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545EDAA5-CD39-497E-AAA8-6356C3E07DA8}" xr6:coauthVersionLast="47" xr6:coauthVersionMax="47" xr10:uidLastSave="{00000000-0000-0000-0000-000000000000}"/>
  <bookViews>
    <workbookView xWindow="-110" yWindow="-110" windowWidth="25820" windowHeight="155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1" i="1" l="1" a="1"/>
  <c r="O21" i="1" l="1"/>
  <c r="O19" i="1" a="1"/>
  <c r="O19" i="1" l="1"/>
  <c r="O18" i="1" a="1"/>
  <c r="O18" i="1" l="1"/>
  <c r="O16" i="1" a="1"/>
  <c r="O16" i="1" l="1"/>
  <c r="O10" i="1" a="1"/>
  <c r="O10" i="1" l="1"/>
  <c r="O9" i="1" a="1"/>
  <c r="O9" i="1" l="1"/>
  <c r="O8" i="1" a="1"/>
  <c r="O8" i="1" l="1"/>
  <c r="O6" i="1" a="1"/>
  <c r="O6" i="1" l="1"/>
  <c r="O5" i="1" a="1"/>
  <c r="O5" i="1" l="1"/>
  <c r="O4" i="1" a="1"/>
  <c r="O23" i="1" a="1"/>
  <c r="O4" i="1" l="1"/>
  <c r="O23" i="1"/>
  <c r="O22" i="1" a="1"/>
  <c r="O22" i="1" l="1"/>
  <c r="O20" i="1" a="1"/>
  <c r="O20" i="1" l="1"/>
  <c r="O17" i="1" a="1"/>
  <c r="O17" i="1" l="1"/>
  <c r="O15" i="1" a="1"/>
  <c r="O15" i="1" l="1"/>
  <c r="O14" i="1" a="1"/>
  <c r="O14" i="1" l="1"/>
  <c r="O13" i="1" a="1"/>
  <c r="O13" i="1" l="1"/>
  <c r="O12" i="1" a="1"/>
  <c r="O12" i="1" l="1"/>
  <c r="O11" i="1" a="1"/>
  <c r="O11" i="1" l="1"/>
  <c r="O7" i="1" a="1"/>
  <c r="O7" i="1" l="1"/>
  <c r="O3" i="1" a="1"/>
  <c r="O3" i="1" l="1"/>
  <c r="D31" i="1" a="1"/>
  <c r="D33" i="57" a="1"/>
  <c r="G14" i="57" a="1"/>
  <c r="G13" i="57" a="1"/>
  <c r="G28" i="57" a="1"/>
  <c r="D27" i="57" a="1"/>
  <c r="G10" i="57" a="1"/>
  <c r="D26" i="57" a="1"/>
  <c r="D10" i="57" a="1"/>
  <c r="D25" i="57" a="1"/>
  <c r="D9" i="57" a="1"/>
  <c r="G8" i="57" a="1"/>
  <c r="D24" i="57" a="1"/>
  <c r="G7" i="57" a="1"/>
  <c r="D23" i="57" a="1"/>
  <c r="D22" i="57" a="1"/>
  <c r="G5" i="57" a="1"/>
  <c r="D5" i="57" a="1"/>
  <c r="G4" i="57" a="1"/>
  <c r="G19" i="57" a="1"/>
  <c r="G2" i="57" a="1"/>
  <c r="G17" i="57" a="1"/>
  <c r="E33" i="57" a="1"/>
  <c r="D17" i="57" a="1"/>
  <c r="G33" i="57" a="1"/>
  <c r="G16" i="57" a="1"/>
  <c r="D16" i="57" a="1"/>
  <c r="G31" i="57" a="1"/>
  <c r="G15" i="57" a="1"/>
  <c r="D31" i="57" a="1"/>
  <c r="D15" i="57" a="1"/>
  <c r="G30" i="57" a="1"/>
  <c r="D30" i="57" a="1"/>
  <c r="D14" i="57" a="1"/>
  <c r="G29" i="57" a="1"/>
  <c r="D29" i="57" a="1"/>
  <c r="D13" i="57" a="1"/>
  <c r="G12" i="57" a="1"/>
  <c r="D28" i="57" a="1"/>
  <c r="D12" i="57" a="1"/>
  <c r="G27" i="57" a="1"/>
  <c r="G11" i="57" a="1"/>
  <c r="D11" i="57" a="1"/>
  <c r="G26" i="57" a="1"/>
  <c r="G9" i="57" a="1"/>
  <c r="D8" i="57" a="1"/>
  <c r="G23" i="57" a="1"/>
  <c r="G6" i="57" a="1"/>
  <c r="D6" i="57" a="1"/>
  <c r="G21" i="57" a="1"/>
  <c r="G3" i="57" a="1"/>
  <c r="G18" i="57" a="1"/>
  <c r="D2" i="57" a="1"/>
  <c r="G25" i="57" a="1"/>
  <c r="D7" i="57" a="1"/>
  <c r="G22" i="57" a="1"/>
  <c r="D21" i="57" a="1"/>
  <c r="G20" i="57" a="1"/>
  <c r="D20" i="57" a="1"/>
  <c r="D19" i="57" a="1"/>
  <c r="G24" i="57" a="1"/>
  <c r="D4" i="57" a="1"/>
  <c r="D3" i="57" a="1"/>
  <c r="D18" i="57" a="1"/>
  <c r="B33" i="57" a="1"/>
  <c r="D31" i="1" l="1"/>
  <c r="B33" i="57"/>
  <c r="D18" i="57"/>
  <c r="D3" i="57"/>
  <c r="D4" i="57"/>
  <c r="G24" i="57"/>
  <c r="D19" i="57"/>
  <c r="D20" i="57"/>
  <c r="G20" i="57"/>
  <c r="D21" i="57"/>
  <c r="G22" i="57"/>
  <c r="D7" i="57"/>
  <c r="G25" i="57"/>
  <c r="D2" i="57"/>
  <c r="G18" i="57"/>
  <c r="G3" i="57"/>
  <c r="G21" i="57"/>
  <c r="D6" i="57"/>
  <c r="G6" i="57"/>
  <c r="G23" i="57"/>
  <c r="D8" i="57"/>
  <c r="G9" i="57"/>
  <c r="G26" i="57"/>
  <c r="D11" i="57"/>
  <c r="G11" i="57"/>
  <c r="G27" i="57"/>
  <c r="D12" i="57"/>
  <c r="D28" i="57"/>
  <c r="G12" i="57"/>
  <c r="D13" i="57"/>
  <c r="D29" i="57"/>
  <c r="G29" i="57"/>
  <c r="D14" i="57"/>
  <c r="D30" i="57"/>
  <c r="G30" i="57"/>
  <c r="D15" i="57"/>
  <c r="D31" i="57"/>
  <c r="G15" i="57"/>
  <c r="G31" i="57"/>
  <c r="D16" i="57"/>
  <c r="G16" i="57"/>
  <c r="G33" i="57"/>
  <c r="D17" i="57"/>
  <c r="E33" i="57"/>
  <c r="G17" i="57"/>
  <c r="G2" i="57"/>
  <c r="G19" i="57"/>
  <c r="G4" i="57"/>
  <c r="D5" i="57"/>
  <c r="G5" i="57"/>
  <c r="D22" i="57"/>
  <c r="D23" i="57"/>
  <c r="G7" i="57"/>
  <c r="D24" i="57"/>
  <c r="G8" i="57"/>
  <c r="D9" i="57"/>
  <c r="D25" i="57"/>
  <c r="D10" i="57"/>
  <c r="D26" i="57"/>
  <c r="G10" i="57"/>
  <c r="D27" i="57"/>
  <c r="G28" i="57"/>
  <c r="G13" i="57"/>
  <c r="G14" i="57"/>
  <c r="D33" i="57"/>
  <c r="M8" i="48" a="1"/>
  <c r="M23" i="48" a="1"/>
  <c r="M7" i="48" a="1"/>
  <c r="M6" i="48" a="1"/>
  <c r="M4" i="48" a="1"/>
  <c r="M17" i="48" a="1"/>
  <c r="M12" i="48" a="1"/>
  <c r="M24" i="48" a="1"/>
  <c r="M21" i="48" a="1"/>
  <c r="M20" i="48" a="1"/>
  <c r="M19" i="48" a="1"/>
  <c r="M18" i="48" a="1"/>
  <c r="M14" i="48" a="1"/>
  <c r="M13" i="48" a="1"/>
  <c r="M16" i="48" a="1"/>
  <c r="M15" i="48" a="1"/>
  <c r="M11" i="48" a="1"/>
  <c r="M10" i="48" a="1"/>
  <c r="M10" i="48" l="1"/>
  <c r="M11" i="48"/>
  <c r="M15" i="48"/>
  <c r="M16" i="48"/>
  <c r="M13" i="48"/>
  <c r="M14" i="48"/>
  <c r="M18" i="48"/>
  <c r="M19" i="48"/>
  <c r="M20" i="48"/>
  <c r="M21" i="48"/>
  <c r="M24" i="48"/>
  <c r="M12" i="48"/>
  <c r="M17" i="48"/>
  <c r="M4" i="48"/>
  <c r="M6" i="48"/>
  <c r="M7" i="48"/>
  <c r="M23" i="48"/>
  <c r="M8" i="48"/>
  <c r="Y2" i="12" l="1"/>
  <c r="G18" i="43" a="1"/>
  <c r="G10" i="43" a="1"/>
  <c r="C22" i="43" a="1"/>
  <c r="C6" i="43" a="1"/>
  <c r="F22" i="42" a="1"/>
  <c r="F20" i="42" a="1"/>
  <c r="F18" i="42" a="1"/>
  <c r="F16" i="42" a="1"/>
  <c r="F14" i="42" a="1"/>
  <c r="F12" i="42" a="1"/>
  <c r="F10" i="42" a="1"/>
  <c r="F8" i="42" a="1"/>
  <c r="F6" i="42" a="1"/>
  <c r="F4" i="42" a="1"/>
  <c r="R3" i="18" a="1"/>
  <c r="B3" i="18" a="1"/>
  <c r="H2" i="15" a="1"/>
  <c r="N2" i="5" a="1"/>
  <c r="T2" i="7" a="1"/>
  <c r="D2" i="7" a="1"/>
  <c r="J2" i="47" a="1"/>
  <c r="P2" i="46" a="1"/>
  <c r="J12" i="52" a="1"/>
  <c r="J10" i="52" a="1"/>
  <c r="J8" i="52" a="1"/>
  <c r="J6" i="52" a="1"/>
  <c r="J4" i="52" a="1"/>
  <c r="V25" i="56" a="1"/>
  <c r="V21" i="56" a="1"/>
  <c r="V17" i="56" a="1"/>
  <c r="V13" i="56" a="1"/>
  <c r="V9" i="56" a="1"/>
  <c r="V5" i="56" a="1"/>
  <c r="J22" i="56" a="1"/>
  <c r="J18" i="56" a="1"/>
  <c r="J14" i="56" a="1"/>
  <c r="J10" i="56" a="1"/>
  <c r="J6" i="56" a="1"/>
  <c r="K23" i="12" a="1"/>
  <c r="M21" i="12" a="1"/>
  <c r="O19" i="12" a="1"/>
  <c r="Q17" i="12" a="1"/>
  <c r="S15" i="12" a="1"/>
  <c r="L14" i="12" a="1"/>
  <c r="N12" i="12" a="1"/>
  <c r="P10" i="12" a="1"/>
  <c r="R8" i="12" a="1"/>
  <c r="K7" i="12" a="1"/>
  <c r="M5" i="12" a="1"/>
  <c r="O3" i="12" a="1"/>
  <c r="O32" i="12" a="1"/>
  <c r="L32" i="12" a="1"/>
  <c r="E32" i="12" a="1"/>
  <c r="G20" i="12" a="1"/>
  <c r="F15" i="12" a="1"/>
  <c r="E10" i="12" a="1"/>
  <c r="G4" i="12" a="1"/>
  <c r="J12" i="39" a="1"/>
  <c r="H17" i="39" a="1"/>
  <c r="F22" i="39" a="1"/>
  <c r="F6" i="39" a="1"/>
  <c r="K20" i="28" a="1"/>
  <c r="M14" i="28" a="1"/>
  <c r="L9" i="28" a="1"/>
  <c r="K4" i="28" a="1"/>
  <c r="H17" i="28" a="1"/>
  <c r="H9" i="28" a="1"/>
  <c r="E23" i="28" a="1"/>
  <c r="E15" i="28" a="1"/>
  <c r="E7" i="28" a="1"/>
  <c r="K28" i="1" a="1"/>
  <c r="I23" i="1" a="1"/>
  <c r="G21" i="1" a="1"/>
  <c r="L18" i="1" a="1"/>
  <c r="J16" i="1" a="1"/>
  <c r="H14" i="1" a="1"/>
  <c r="F12" i="1" a="1"/>
  <c r="K9" i="1" a="1"/>
  <c r="I7" i="1" a="1"/>
  <c r="G5" i="1" a="1"/>
  <c r="J28" i="48" a="1"/>
  <c r="H2" i="38" a="1"/>
  <c r="AF4" i="9" a="1"/>
  <c r="P4" i="9" a="1"/>
  <c r="P2" i="38" a="1"/>
  <c r="AN4" i="9" a="1"/>
  <c r="X4" i="9" a="1"/>
  <c r="H4" i="9" a="1"/>
  <c r="O2" i="38" a="1"/>
  <c r="AM4" i="9" a="1"/>
  <c r="W4" i="9" a="1"/>
  <c r="G4" i="9" a="1"/>
  <c r="N2" i="38" a="1"/>
  <c r="AL4" i="9" a="1"/>
  <c r="V4" i="9" a="1"/>
  <c r="F4" i="9" a="1"/>
  <c r="E2" i="38" a="1"/>
  <c r="H10" i="43" a="1"/>
  <c r="I23" i="42" a="1"/>
  <c r="H16" i="42" a="1"/>
  <c r="J11" i="42" a="1"/>
  <c r="D7" i="42" a="1"/>
  <c r="I4" i="42" a="1"/>
  <c r="U2" i="15" a="1"/>
  <c r="F2" i="5" a="1"/>
  <c r="H2" i="7" a="1"/>
  <c r="N2" i="46" a="1"/>
  <c r="C10" i="52" a="1"/>
  <c r="G7" i="52" a="1"/>
  <c r="U25" i="56" a="1"/>
  <c r="T16" i="56" a="1"/>
  <c r="U11" i="56" a="1"/>
  <c r="G23" i="56" a="1"/>
  <c r="I13" i="56" a="1"/>
  <c r="O21" i="12" a="1"/>
  <c r="M17" i="12" a="1"/>
  <c r="K13" i="12" a="1"/>
  <c r="S10" i="12" a="1"/>
  <c r="Q6" i="12" a="1"/>
  <c r="O34" i="12" a="1"/>
  <c r="M33" i="12" a="1"/>
  <c r="E20" i="12" a="1"/>
  <c r="G7" i="12" a="1"/>
  <c r="J17" i="39" a="1"/>
  <c r="F21" i="39" a="1"/>
  <c r="K18" i="28" a="1"/>
  <c r="M11" i="28" a="1"/>
  <c r="G18" i="28" a="1"/>
  <c r="D21" i="28" a="1"/>
  <c r="G15" i="1" a="1"/>
  <c r="I12" i="1" a="1"/>
  <c r="F7" i="1" a="1"/>
  <c r="E20" i="28" a="1"/>
  <c r="L6" i="1" a="1"/>
  <c r="V2" i="38" a="1"/>
  <c r="E4" i="9" a="1"/>
  <c r="C18" i="43" a="1"/>
  <c r="I18" i="42" a="1"/>
  <c r="C14" i="42" a="1"/>
  <c r="F9" i="42" a="1"/>
  <c r="J6" i="42" a="1"/>
  <c r="P3" i="18" a="1"/>
  <c r="C2" i="5" a="1"/>
  <c r="D12" i="52" a="1"/>
  <c r="I9" i="52" a="1"/>
  <c r="C5" i="52" a="1"/>
  <c r="U20" i="56" a="1"/>
  <c r="T6" i="56" a="1"/>
  <c r="J17" i="56" a="1"/>
  <c r="J27" i="48" a="1"/>
  <c r="Z4" i="9" a="1"/>
  <c r="H19" i="43" a="1"/>
  <c r="C19" i="43" a="1"/>
  <c r="F21" i="42" a="1"/>
  <c r="J18" i="42" a="1"/>
  <c r="D14" i="42" a="1"/>
  <c r="G9" i="42" a="1"/>
  <c r="C7" i="42" a="1"/>
  <c r="Q3" i="18" a="1"/>
  <c r="B2" i="15" a="1"/>
  <c r="E2" i="5" a="1"/>
  <c r="K2" i="47" a="1"/>
  <c r="E12" i="52" a="1"/>
  <c r="D5" i="52" a="1"/>
  <c r="V20" i="56" a="1"/>
  <c r="T11" i="56" a="1"/>
  <c r="U6" i="56" a="1"/>
  <c r="G18" i="56" a="1"/>
  <c r="J8" i="56" a="1"/>
  <c r="O23" i="12" a="1"/>
  <c r="M19" i="12" a="1"/>
  <c r="L15" i="12" a="1"/>
  <c r="S12" i="12" a="1"/>
  <c r="Q8" i="12" a="1"/>
  <c r="P4" i="12" a="1"/>
  <c r="R33" i="12" a="1"/>
  <c r="F32" i="12" a="1"/>
  <c r="G13" i="12" a="1"/>
  <c r="H19" i="39" a="1"/>
  <c r="F2" i="39" a="1"/>
  <c r="L11" i="28" a="1"/>
  <c r="K5" i="28" a="1"/>
  <c r="G8" i="28" a="1"/>
  <c r="E11" i="28" a="1"/>
  <c r="G23" i="1" a="1"/>
  <c r="L17" i="1" a="1"/>
  <c r="F15" i="1" a="1"/>
  <c r="J9" i="1" a="1"/>
  <c r="H4" i="1" a="1"/>
  <c r="C22" i="55" a="1"/>
  <c r="D2" i="38" a="1"/>
  <c r="H9" i="43" a="1"/>
  <c r="H23" i="42" a="1"/>
  <c r="E21" i="42" a="1"/>
  <c r="G16" i="42" a="1"/>
  <c r="I11" i="42" a="1"/>
  <c r="H4" i="42" a="1"/>
  <c r="T2" i="15" a="1"/>
  <c r="D2" i="5" a="1"/>
  <c r="G2" i="7" a="1"/>
  <c r="M2" i="46" a="1"/>
  <c r="J9" i="52" a="1"/>
  <c r="F7" i="52" a="1"/>
  <c r="T25" i="56" a="1"/>
  <c r="S16" i="56" a="1"/>
  <c r="S11" i="56" a="1"/>
  <c r="I22" i="56" a="1"/>
  <c r="H13" i="56" a="1"/>
  <c r="I8" i="56" a="1"/>
  <c r="N21" i="12" a="1"/>
  <c r="L17" i="12" a="1"/>
  <c r="R10" i="12" a="1"/>
  <c r="P6" i="12" a="1"/>
  <c r="Q33" i="12" a="1"/>
  <c r="L33" i="12" a="1"/>
  <c r="G19" i="12" a="1"/>
  <c r="F7" i="12" a="1"/>
  <c r="J16" i="39" a="1"/>
  <c r="F20" i="39" a="1"/>
  <c r="M17" i="28" a="1"/>
  <c r="K11" i="28" a="1"/>
  <c r="G17" i="28" a="1"/>
  <c r="D11" i="28" a="1"/>
  <c r="L28" i="1" a="1"/>
  <c r="I20" i="1" a="1"/>
  <c r="H12" i="1" a="1"/>
  <c r="Y4" i="9" a="1"/>
  <c r="G19" i="43" a="1"/>
  <c r="D21" i="42" a="1"/>
  <c r="A2" i="15" a="1"/>
  <c r="I2" i="47" a="1"/>
  <c r="AI4" i="9" a="1"/>
  <c r="G15" i="43" a="1"/>
  <c r="H5" i="43" a="1"/>
  <c r="G22" i="42" a="1"/>
  <c r="I17" i="42" a="1"/>
  <c r="H10" i="42" a="1"/>
  <c r="J5" i="42" a="1"/>
  <c r="H3" i="18" a="1"/>
  <c r="K2" i="15" a="1"/>
  <c r="Q2" i="7" a="1"/>
  <c r="B2" i="47" a="1"/>
  <c r="D2" i="46" a="1"/>
  <c r="H8" i="52" a="1"/>
  <c r="C4" i="52" a="1"/>
  <c r="S23" i="56" a="1"/>
  <c r="U13" i="56" a="1"/>
  <c r="H25" i="56" a="1"/>
  <c r="I20" i="56" a="1"/>
  <c r="G11" i="56" a="1"/>
  <c r="O22" i="12" a="1"/>
  <c r="L16" i="12" a="1"/>
  <c r="S11" i="12" a="1"/>
  <c r="Q7" i="12" a="1"/>
  <c r="P5" i="12" a="1"/>
  <c r="P31" i="12" a="1"/>
  <c r="F23" i="12" a="1"/>
  <c r="G16" i="12" a="1"/>
  <c r="E4" i="12" a="1"/>
  <c r="H10" i="39" a="1"/>
  <c r="F11" i="39" a="1"/>
  <c r="L14" i="28" a="1"/>
  <c r="H22" i="28" a="1"/>
  <c r="G13" i="28" a="1"/>
  <c r="D16" i="28" a="1"/>
  <c r="G19" i="1" a="1"/>
  <c r="K13" i="1" a="1"/>
  <c r="H8" i="1" a="1"/>
  <c r="C14" i="55" a="1"/>
  <c r="M2" i="38" a="1"/>
  <c r="O4" i="9" a="1"/>
  <c r="A4" i="9" a="1"/>
  <c r="G5" i="43" a="1"/>
  <c r="C9" i="43" a="1"/>
  <c r="C20" i="42" a="1"/>
  <c r="F15" i="42" a="1"/>
  <c r="J12" i="42" a="1"/>
  <c r="D8" i="42" a="1"/>
  <c r="G3" i="42" a="1"/>
  <c r="G3" i="18" a="1"/>
  <c r="M2" i="5" a="1"/>
  <c r="T2" i="47" a="1"/>
  <c r="A2" i="47" a="1"/>
  <c r="C11" i="52" a="1"/>
  <c r="E6" i="52" a="1"/>
  <c r="T18" i="56" a="1"/>
  <c r="V8" i="56" a="1"/>
  <c r="H20" i="56" a="1"/>
  <c r="I15" i="56" a="1"/>
  <c r="G6" i="56" a="1"/>
  <c r="N20" i="12" a="1"/>
  <c r="L18" i="12" a="1"/>
  <c r="S13" i="12" a="1"/>
  <c r="R9" i="12" a="1"/>
  <c r="P7" i="12" a="1"/>
  <c r="N3" i="12" a="1"/>
  <c r="L30" i="12" a="1"/>
  <c r="E23" i="12" a="1"/>
  <c r="F10" i="12" a="1"/>
  <c r="J7" i="39" a="1"/>
  <c r="AH4" i="9" a="1"/>
  <c r="H14" i="43" a="1"/>
  <c r="H4" i="43" a="1"/>
  <c r="E22" i="42" a="1"/>
  <c r="H17" i="42" a="1"/>
  <c r="E15" i="42" a="1"/>
  <c r="G10" i="42" a="1"/>
  <c r="I5" i="42" a="1"/>
  <c r="J2" i="15" a="1"/>
  <c r="P2" i="7" a="1"/>
  <c r="V2" i="46" a="1"/>
  <c r="C2" i="46" a="1"/>
  <c r="G8" i="52" a="1"/>
  <c r="J3" i="52" a="1"/>
  <c r="V22" i="56" a="1"/>
  <c r="T13" i="56" a="1"/>
  <c r="G25" i="56" a="1"/>
  <c r="G20" i="56" a="1"/>
  <c r="I10" i="56" a="1"/>
  <c r="N22" i="12" a="1"/>
  <c r="M20" i="12" a="1"/>
  <c r="K16" i="12" a="1"/>
  <c r="R11" i="12" a="1"/>
  <c r="O5" i="12" a="1"/>
  <c r="O31" i="12" a="1"/>
  <c r="G22" i="12" a="1"/>
  <c r="F16" i="12" a="1"/>
  <c r="G3" i="12" a="1"/>
  <c r="H9" i="39" a="1"/>
  <c r="F10" i="39" a="1"/>
  <c r="K14" i="28" a="1"/>
  <c r="G22" i="28" a="1"/>
  <c r="G12" i="28" a="1"/>
  <c r="D15" i="28" a="1"/>
  <c r="I27" i="1" a="1"/>
  <c r="F19" i="1" a="1"/>
  <c r="J13" i="1" a="1"/>
  <c r="I5" i="1" a="1"/>
  <c r="C29" i="55" a="1"/>
  <c r="C13" i="55" a="1"/>
  <c r="L2" i="38" a="1"/>
  <c r="N4" i="9" a="1"/>
  <c r="H23" i="43" a="1"/>
  <c r="C8" i="43" a="1"/>
  <c r="J19" i="42" a="1"/>
  <c r="D15" i="42" a="1"/>
  <c r="I12" i="42" a="1"/>
  <c r="C8" i="42" a="1"/>
  <c r="F3" i="42" a="1"/>
  <c r="F3" i="18" a="1"/>
  <c r="L2" i="5" a="1"/>
  <c r="S2" i="47" a="1"/>
  <c r="U2" i="46" a="1"/>
  <c r="I10" i="52" a="1"/>
  <c r="D6" i="52" a="1"/>
  <c r="I3" i="52" a="1"/>
  <c r="S18" i="56" a="1"/>
  <c r="U8" i="56" a="1"/>
  <c r="H15" i="56" a="1"/>
  <c r="J5" i="56" a="1"/>
  <c r="L20" i="12" a="1"/>
  <c r="K18" i="12" a="1"/>
  <c r="R13" i="12" a="1"/>
  <c r="Q9" i="12" a="1"/>
  <c r="O7" i="12" a="1"/>
  <c r="M3" i="12" a="1"/>
  <c r="K30" i="12" a="1"/>
  <c r="F22" i="12" a="1"/>
  <c r="G9" i="12" a="1"/>
  <c r="J6" i="39" a="1"/>
  <c r="H8" i="39" a="1"/>
  <c r="L20" i="28" a="1"/>
  <c r="M7" i="28" a="1"/>
  <c r="E26" i="28" a="1"/>
  <c r="E5" i="28" a="1"/>
  <c r="H27" i="1" a="1"/>
  <c r="J21" i="1" a="1"/>
  <c r="G16" i="1" a="1"/>
  <c r="L10" i="1" a="1"/>
  <c r="AG4" i="9" a="1"/>
  <c r="G14" i="43" a="1"/>
  <c r="G4" i="43" a="1"/>
  <c r="D22" i="42" a="1"/>
  <c r="G17" i="42" a="1"/>
  <c r="C15" i="42" a="1"/>
  <c r="E10" i="42" a="1"/>
  <c r="H5" i="42" a="1"/>
  <c r="E3" i="42" a="1"/>
  <c r="I2" i="15" a="1"/>
  <c r="O2" i="7" a="1"/>
  <c r="B2" i="46" a="1"/>
  <c r="F8" i="52" a="1"/>
  <c r="H3" i="52" a="1"/>
  <c r="U22" i="56" a="1"/>
  <c r="S13" i="56" a="1"/>
  <c r="J24" i="56" a="1"/>
  <c r="J19" i="56" a="1"/>
  <c r="H10" i="56" a="1"/>
  <c r="M22" i="12" a="1"/>
  <c r="K20" i="12" a="1"/>
  <c r="R15" i="12" a="1"/>
  <c r="Q11" i="12" a="1"/>
  <c r="P9" i="12" a="1"/>
  <c r="N5" i="12" a="1"/>
  <c r="R30" i="12" a="1"/>
  <c r="E16" i="12" a="1"/>
  <c r="F3" i="12" a="1"/>
  <c r="H7" i="39" a="1"/>
  <c r="F9" i="39" a="1"/>
  <c r="M13" i="28" a="1"/>
  <c r="H21" i="28" a="1"/>
  <c r="H11" i="28" a="1"/>
  <c r="E14" i="28" a="1"/>
  <c r="G27" i="1" a="1"/>
  <c r="K18" i="1" a="1"/>
  <c r="I13" i="1" a="1"/>
  <c r="K10" i="1" a="1"/>
  <c r="H5" i="1" a="1"/>
  <c r="C28" i="55" a="1"/>
  <c r="C12" i="55" a="1"/>
  <c r="K2" i="38" a="1"/>
  <c r="M4" i="9" a="1"/>
  <c r="G23" i="43" a="1"/>
  <c r="H13" i="43" a="1"/>
  <c r="C7" i="43" a="1"/>
  <c r="I19" i="42" a="1"/>
  <c r="H12" i="42" a="1"/>
  <c r="J7" i="42" a="1"/>
  <c r="D3" i="42" a="1"/>
  <c r="E3" i="18" a="1"/>
  <c r="K2" i="5" a="1"/>
  <c r="R2" i="47" a="1"/>
  <c r="T2" i="46" a="1"/>
  <c r="H10" i="52" a="1"/>
  <c r="C6" i="52" a="1"/>
  <c r="G3" i="52" a="1"/>
  <c r="U17" i="56" a="1"/>
  <c r="T8" i="56" a="1"/>
  <c r="I24" i="56" a="1"/>
  <c r="G15" i="56" a="1"/>
  <c r="I5" i="56" a="1"/>
  <c r="S17" i="12" a="1"/>
  <c r="Q13" i="12" a="1"/>
  <c r="O9" i="12" a="1"/>
  <c r="N7" i="12" a="1"/>
  <c r="L3" i="12" a="1"/>
  <c r="G34" i="12" a="1"/>
  <c r="E22" i="12" a="1"/>
  <c r="F9" i="12" a="1"/>
  <c r="J5" i="39" a="1"/>
  <c r="H6" i="39" a="1"/>
  <c r="M19" i="28" a="1"/>
  <c r="L7" i="28" a="1"/>
  <c r="G21" i="28" a="1"/>
  <c r="D26" i="28" a="1"/>
  <c r="D5" i="28" a="1"/>
  <c r="I21" i="1" a="1"/>
  <c r="F16" i="1" a="1"/>
  <c r="J10" i="1" a="1"/>
  <c r="L7" i="1" a="1"/>
  <c r="I4" i="9" a="1"/>
  <c r="G19" i="42" a="1"/>
  <c r="C16" i="42" a="1"/>
  <c r="G12" i="42" a="1"/>
  <c r="C9" i="42" a="1"/>
  <c r="G2" i="5" a="1"/>
  <c r="A2" i="7" a="1"/>
  <c r="Q2" i="46" a="1"/>
  <c r="G11" i="52" a="1"/>
  <c r="T15" i="56" a="1"/>
  <c r="S9" i="56" a="1"/>
  <c r="H22" i="56" a="1"/>
  <c r="G16" i="56" a="1"/>
  <c r="H9" i="56" a="1"/>
  <c r="S22" i="12" a="1"/>
  <c r="K17" i="12" a="1"/>
  <c r="L11" i="12" a="1"/>
  <c r="L5" i="12" a="1"/>
  <c r="P33" i="12" a="1"/>
  <c r="L31" i="12" a="1"/>
  <c r="G12" i="12" a="1"/>
  <c r="H20" i="39" a="1"/>
  <c r="F16" i="39" a="1"/>
  <c r="K12" i="28" a="1"/>
  <c r="G11" i="28" a="1"/>
  <c r="E8" i="28" a="1"/>
  <c r="H23" i="1" a="1"/>
  <c r="K19" i="1" a="1"/>
  <c r="T2" i="38" a="1"/>
  <c r="H15" i="43" a="1"/>
  <c r="F4" i="52" a="1"/>
  <c r="Q19" i="12" a="1"/>
  <c r="K14" i="12" a="1"/>
  <c r="L8" i="12" a="1"/>
  <c r="F20" i="12" a="1"/>
  <c r="G11" i="12" a="1"/>
  <c r="J22" i="39" a="1"/>
  <c r="H16" i="39" a="1"/>
  <c r="K19" i="28" a="1"/>
  <c r="H23" i="28" a="1"/>
  <c r="L22" i="1" a="1"/>
  <c r="I19" i="1" a="1"/>
  <c r="K8" i="1" a="1"/>
  <c r="C23" i="55" a="1"/>
  <c r="D19" i="42" a="1"/>
  <c r="D12" i="42" a="1"/>
  <c r="L2" i="46" a="1"/>
  <c r="D7" i="28" a="1"/>
  <c r="AD4" i="9" a="1"/>
  <c r="C19" i="42" a="1"/>
  <c r="M3" i="18" a="1"/>
  <c r="Q2" i="47" a="1"/>
  <c r="E4" i="52" a="1"/>
  <c r="U14" i="56" a="1"/>
  <c r="P19" i="12" a="1"/>
  <c r="Q10" i="12" a="1"/>
  <c r="K8" i="12" a="1"/>
  <c r="J21" i="39" a="1"/>
  <c r="J15" i="1" a="1"/>
  <c r="H12" i="43" a="1"/>
  <c r="C12" i="42" a="1"/>
  <c r="C5" i="42" a="1"/>
  <c r="P2" i="47" a="1"/>
  <c r="K2" i="46" a="1"/>
  <c r="E7" i="52" a="1"/>
  <c r="I21" i="56" a="1"/>
  <c r="P22" i="12" a="1"/>
  <c r="P16" i="12" a="1"/>
  <c r="R4" i="12" a="1"/>
  <c r="G9" i="28" a="1"/>
  <c r="C20" i="55" a="1"/>
  <c r="B4" i="9" a="1"/>
  <c r="C16" i="43" a="1"/>
  <c r="O16" i="12" a="1"/>
  <c r="I15" i="1" a="1"/>
  <c r="U2" i="38" a="1"/>
  <c r="AJ4" i="9" a="1"/>
  <c r="G16" i="43" a="1"/>
  <c r="C21" i="43" a="1"/>
  <c r="J22" i="42" a="1"/>
  <c r="G5" i="42" a="1"/>
  <c r="O3" i="18" a="1"/>
  <c r="L2" i="15" a="1"/>
  <c r="C8" i="52" a="1"/>
  <c r="G4" i="52" a="1"/>
  <c r="S22" i="56" a="1"/>
  <c r="S15" i="56" a="1"/>
  <c r="R19" i="12" a="1"/>
  <c r="M14" i="12" a="1"/>
  <c r="M8" i="12" a="1"/>
  <c r="E21" i="12" a="1"/>
  <c r="F12" i="12" a="1"/>
  <c r="E3" i="12" a="1"/>
  <c r="H18" i="39" a="1"/>
  <c r="L19" i="28" a="1"/>
  <c r="K3" i="28" a="1"/>
  <c r="F23" i="1" a="1"/>
  <c r="J19" i="1" a="1"/>
  <c r="L15" i="1" a="1"/>
  <c r="L8" i="1" a="1"/>
  <c r="C24" i="55" a="1"/>
  <c r="G22" i="56" a="1"/>
  <c r="J15" i="56" a="1"/>
  <c r="G9" i="56" a="1"/>
  <c r="R22" i="12" a="1"/>
  <c r="S16" i="12" a="1"/>
  <c r="K11" i="12" a="1"/>
  <c r="K5" i="12" a="1"/>
  <c r="K31" i="12" a="1"/>
  <c r="E12" i="12" a="1"/>
  <c r="F15" i="39" a="1"/>
  <c r="M10" i="28" a="1"/>
  <c r="AE4" i="9" a="1"/>
  <c r="C20" i="43" a="1"/>
  <c r="N3" i="18" a="1"/>
  <c r="J7" i="52" a="1"/>
  <c r="K15" i="1" a="1"/>
  <c r="E5" i="42" a="1"/>
  <c r="U2" i="47" a="1"/>
  <c r="E11" i="52" a="1"/>
  <c r="V7" i="56" a="1"/>
  <c r="J21" i="56" a="1"/>
  <c r="I14" i="56" a="1"/>
  <c r="G8" i="56" a="1"/>
  <c r="Q22" i="12" a="1"/>
  <c r="R16" i="12" a="1"/>
  <c r="R32" i="12" a="1"/>
  <c r="M30" i="12" a="1"/>
  <c r="F14" i="39" a="1"/>
  <c r="L10" i="28" a="1"/>
  <c r="G10" i="28" a="1"/>
  <c r="L11" i="1" a="1"/>
  <c r="L4" i="1" a="1"/>
  <c r="C21" i="55" a="1"/>
  <c r="S2" i="38" a="1"/>
  <c r="G13" i="43" a="1"/>
  <c r="C17" i="43" a="1"/>
  <c r="H22" i="42" a="1"/>
  <c r="D5" i="42" a="1"/>
  <c r="F2" i="15" a="1"/>
  <c r="H7" i="52" a="1"/>
  <c r="U7" i="56" a="1"/>
  <c r="Q16" i="12" a="1"/>
  <c r="P13" i="12" a="1"/>
  <c r="F34" i="12" a="1"/>
  <c r="F11" i="12" a="1"/>
  <c r="F13" i="39" a="1"/>
  <c r="M18" i="28" a="1"/>
  <c r="G23" i="28" a="1"/>
  <c r="D19" i="28" a="1"/>
  <c r="H19" i="1" a="1"/>
  <c r="J8" i="1" a="1"/>
  <c r="H15" i="42" a="1"/>
  <c r="H8" i="42" a="1"/>
  <c r="D11" i="52" a="1"/>
  <c r="H14" i="56" a="1"/>
  <c r="E34" i="12" a="1"/>
  <c r="K10" i="28" a="1"/>
  <c r="E6" i="28" a="1"/>
  <c r="AC4" i="9" a="1"/>
  <c r="H18" i="42" a="1"/>
  <c r="V2" i="7" a="1"/>
  <c r="S21" i="56" a="1"/>
  <c r="T14" i="56" a="1"/>
  <c r="N19" i="12" a="1"/>
  <c r="O10" i="12" a="1"/>
  <c r="S7" i="12" a="1"/>
  <c r="G33" i="12" a="1"/>
  <c r="E11" i="12" a="1"/>
  <c r="J20" i="39" a="1"/>
  <c r="L18" i="28" a="1"/>
  <c r="D18" i="28" a="1"/>
  <c r="D6" i="28" a="1"/>
  <c r="G8" i="1" a="1"/>
  <c r="F19" i="42" a="1"/>
  <c r="J15" i="42" a="1"/>
  <c r="E12" i="42" a="1"/>
  <c r="J8" i="42" a="1"/>
  <c r="V2" i="47" a="1"/>
  <c r="O2" i="46" a="1"/>
  <c r="F11" i="52" a="1"/>
  <c r="S8" i="56" a="1"/>
  <c r="O33" i="12" a="1"/>
  <c r="H10" i="28" a="1"/>
  <c r="D20" i="28" a="1"/>
  <c r="D8" i="28" a="1"/>
  <c r="G12" i="1" a="1"/>
  <c r="F5" i="1" a="1"/>
  <c r="D4" i="9" a="1"/>
  <c r="I22" i="42" a="1"/>
  <c r="E19" i="42" a="1"/>
  <c r="F5" i="42" a="1"/>
  <c r="G2" i="15" a="1"/>
  <c r="B2" i="5" a="1"/>
  <c r="U21" i="56" a="1"/>
  <c r="V14" i="56" a="1"/>
  <c r="H8" i="56" a="1"/>
  <c r="I15" i="42" a="1"/>
  <c r="I8" i="42" a="1"/>
  <c r="I7" i="52" a="1"/>
  <c r="S4" i="12" a="1"/>
  <c r="E19" i="28" a="1"/>
  <c r="C4" i="9" a="1"/>
  <c r="A2" i="5" a="1"/>
  <c r="T21" i="56" a="1"/>
  <c r="H15" i="39" a="1"/>
  <c r="K22" i="1" a="1"/>
  <c r="T7" i="56" a="1"/>
  <c r="J7" i="56" a="1"/>
  <c r="Q32" i="12" a="1"/>
  <c r="F19" i="12" a="1"/>
  <c r="F12" i="39" a="1"/>
  <c r="K11" i="1" a="1"/>
  <c r="I8" i="1" a="1"/>
  <c r="K4" i="1" a="1"/>
  <c r="R2" i="38" a="1"/>
  <c r="C22" i="42" a="1"/>
  <c r="L3" i="18" a="1"/>
  <c r="E2" i="15" a="1"/>
  <c r="O2" i="47" a="1"/>
  <c r="D4" i="52" a="1"/>
  <c r="S7" i="56" a="1"/>
  <c r="O13" i="12" a="1"/>
  <c r="H14" i="39" a="1"/>
  <c r="J22" i="1" a="1"/>
  <c r="J17" i="42" a="1"/>
  <c r="E14" i="42" a="1"/>
  <c r="J10" i="42" a="1"/>
  <c r="M2" i="7" a="1"/>
  <c r="G2" i="47" a="1"/>
  <c r="A2" i="46" a="1"/>
  <c r="G9" i="52" a="1"/>
  <c r="S12" i="56" a="1"/>
  <c r="S5" i="56" a="1"/>
  <c r="G19" i="56" a="1"/>
  <c r="H12" i="56" a="1"/>
  <c r="O15" i="12" a="1"/>
  <c r="P12" i="12" a="1"/>
  <c r="S9" i="12" a="1"/>
  <c r="E17" i="12" a="1"/>
  <c r="E8" i="12" a="1"/>
  <c r="J11" i="39" a="1"/>
  <c r="H5" i="39" a="1"/>
  <c r="M23" i="28" a="1"/>
  <c r="M15" i="28" a="1"/>
  <c r="K7" i="28" a="1"/>
  <c r="H5" i="28" a="1"/>
  <c r="H21" i="1" a="1"/>
  <c r="K17" i="1" a="1"/>
  <c r="G14" i="1" a="1"/>
  <c r="G2" i="38" a="1"/>
  <c r="T4" i="9" a="1"/>
  <c r="G22" i="43" a="1"/>
  <c r="G8" i="43" a="1"/>
  <c r="C5" i="43" a="1"/>
  <c r="J20" i="42" a="1"/>
  <c r="F7" i="42" a="1"/>
  <c r="J3" i="42" a="1"/>
  <c r="A3" i="18" a="1"/>
  <c r="R2" i="5" a="1"/>
  <c r="F6" i="52" a="1"/>
  <c r="S25" i="56" a="1"/>
  <c r="V18" i="56" a="1"/>
  <c r="G12" i="56" a="1"/>
  <c r="H5" i="56" a="1"/>
  <c r="L21" i="12" a="1"/>
  <c r="P18" i="12" a="1"/>
  <c r="N9" i="12" a="1"/>
  <c r="R3" i="12" a="1"/>
  <c r="O30" i="12" a="1"/>
  <c r="E31" i="12" a="1"/>
  <c r="H16" i="28" a="1"/>
  <c r="G5" i="28" a="1"/>
  <c r="E13" i="28" a="1"/>
  <c r="F28" i="1" a="1"/>
  <c r="J17" i="1" a="1"/>
  <c r="H10" i="1" a="1"/>
  <c r="I3" i="1" a="1"/>
  <c r="I6" i="42" a="1"/>
  <c r="H12" i="52" a="1"/>
  <c r="I5" i="52" a="1"/>
  <c r="I25" i="56" a="1"/>
  <c r="M18" i="12" a="1"/>
  <c r="M15" i="12" a="1"/>
  <c r="M12" i="12" a="1"/>
  <c r="K34" i="12" a="1"/>
  <c r="E15" i="12" a="1"/>
  <c r="J9" i="39" a="1"/>
  <c r="H3" i="39" a="1"/>
  <c r="K23" i="28" a="1"/>
  <c r="K15" i="28" a="1"/>
  <c r="K6" i="28" a="1"/>
  <c r="L20" i="1" a="1"/>
  <c r="L13" i="1" a="1"/>
  <c r="C2" i="38" a="1"/>
  <c r="C3" i="43" a="1"/>
  <c r="H20" i="42" a="1"/>
  <c r="S2" i="15" a="1"/>
  <c r="I2" i="7" a="1"/>
  <c r="H5" i="52" a="1"/>
  <c r="T17" i="56" a="1"/>
  <c r="U10" i="56" a="1"/>
  <c r="S23" i="12" a="1"/>
  <c r="S20" i="12" a="1"/>
  <c r="K15" i="12" a="1"/>
  <c r="L9" i="12" a="1"/>
  <c r="C10" i="42" a="1"/>
  <c r="H6" i="42" a="1"/>
  <c r="C3" i="42" a="1"/>
  <c r="G12" i="52" a="1"/>
  <c r="G5" i="52" a="1"/>
  <c r="H24" i="56" a="1"/>
  <c r="R23" i="12" a="1"/>
  <c r="R17" i="12" a="1"/>
  <c r="S14" i="12" a="1"/>
  <c r="E6" i="12" a="1"/>
  <c r="J8" i="39" a="1"/>
  <c r="H2" i="39" a="1"/>
  <c r="G3" i="28" a="1"/>
  <c r="I6" i="1" a="1"/>
  <c r="Q4" i="9" a="1"/>
  <c r="G20" i="42" a="1"/>
  <c r="O2" i="5" a="1"/>
  <c r="T24" i="56" a="1"/>
  <c r="G24" i="56" a="1"/>
  <c r="Q23" i="12" a="1"/>
  <c r="H21" i="43" a="1"/>
  <c r="F17" i="42" a="1"/>
  <c r="J13" i="42" a="1"/>
  <c r="I10" i="42" a="1"/>
  <c r="E7" i="42" a="1"/>
  <c r="L2" i="7" a="1"/>
  <c r="F2" i="47" a="1"/>
  <c r="I12" i="52" a="1"/>
  <c r="F9" i="52" a="1"/>
  <c r="V11" i="56" a="1"/>
  <c r="J25" i="56" a="1"/>
  <c r="I18" i="56" a="1"/>
  <c r="O18" i="12" a="1"/>
  <c r="N15" i="12" a="1"/>
  <c r="O12" i="12" a="1"/>
  <c r="O6" i="12" a="1"/>
  <c r="M34" i="12" a="1"/>
  <c r="G15" i="12" a="1"/>
  <c r="E7" i="12" a="1"/>
  <c r="J10" i="39" a="1"/>
  <c r="H4" i="39" a="1"/>
  <c r="L23" i="28" a="1"/>
  <c r="L15" i="28" a="1"/>
  <c r="M6" i="28" a="1"/>
  <c r="H4" i="28" a="1"/>
  <c r="F21" i="1" a="1"/>
  <c r="I17" i="1" a="1"/>
  <c r="F14" i="1" a="1"/>
  <c r="K6" i="1" a="1"/>
  <c r="F2" i="38" a="1"/>
  <c r="S4" i="9" a="1"/>
  <c r="G21" i="43" a="1"/>
  <c r="H7" i="43" a="1"/>
  <c r="C4" i="43" a="1"/>
  <c r="I20" i="42" a="1"/>
  <c r="E17" i="42" a="1"/>
  <c r="I3" i="42" a="1"/>
  <c r="V2" i="15" a="1"/>
  <c r="Q2" i="5" a="1"/>
  <c r="K2" i="7" a="1"/>
  <c r="J5" i="52" a="1"/>
  <c r="V24" i="56" a="1"/>
  <c r="U18" i="56" a="1"/>
  <c r="V10" i="56" a="1"/>
  <c r="J11" i="56" a="1"/>
  <c r="G5" i="56" a="1"/>
  <c r="K21" i="12" a="1"/>
  <c r="N18" i="12" a="1"/>
  <c r="M9" i="12" a="1"/>
  <c r="Q3" i="12" a="1"/>
  <c r="L34" i="12" a="1"/>
  <c r="G30" i="12" a="1"/>
  <c r="G6" i="12" a="1"/>
  <c r="L6" i="28" a="1"/>
  <c r="G16" i="28" a="1"/>
  <c r="G4" i="28" a="1"/>
  <c r="D13" i="28" a="1"/>
  <c r="L27" i="1" a="1"/>
  <c r="H17" i="1" a="1"/>
  <c r="G10" i="1" a="1"/>
  <c r="H3" i="1" a="1"/>
  <c r="C11" i="55" a="1"/>
  <c r="H20" i="43" a="1"/>
  <c r="D17" i="42" a="1"/>
  <c r="I13" i="42" a="1"/>
  <c r="D10" i="42" a="1"/>
  <c r="J2" i="7" a="1"/>
  <c r="E2" i="47" a="1"/>
  <c r="E9" i="52" a="1"/>
  <c r="H18" i="56" a="1"/>
  <c r="N6" i="12" a="1"/>
  <c r="F6" i="12" a="1"/>
  <c r="J6" i="1" a="1"/>
  <c r="R4" i="9" a="1"/>
  <c r="G7" i="43" a="1"/>
  <c r="C17" i="42" a="1"/>
  <c r="H3" i="42" a="1"/>
  <c r="P2" i="5" a="1"/>
  <c r="U24" i="56" a="1"/>
  <c r="I11" i="56" a="1"/>
  <c r="P3" i="12" a="1"/>
  <c r="F30" i="12" a="1"/>
  <c r="M5" i="28" a="1"/>
  <c r="H15" i="28" a="1"/>
  <c r="H3" i="28" a="1"/>
  <c r="E12" i="28" a="1"/>
  <c r="K27" i="1" a="1"/>
  <c r="G17" i="1" a="1"/>
  <c r="F10" i="1" a="1"/>
  <c r="G3" i="1" a="1"/>
  <c r="C10" i="55" a="1"/>
  <c r="G20" i="43" a="1"/>
  <c r="H13" i="42" a="1"/>
  <c r="D2" i="47" a="1"/>
  <c r="D9" i="52" a="1"/>
  <c r="I17" i="56" a="1"/>
  <c r="L12" i="12" a="1"/>
  <c r="M6" i="12" a="1"/>
  <c r="G14" i="12" a="1"/>
  <c r="M22" i="28" a="1"/>
  <c r="J27" i="1" a="1"/>
  <c r="K20" i="1" a="1"/>
  <c r="B2" i="38" a="1"/>
  <c r="H6" i="43" a="1"/>
  <c r="J23" i="42" a="1"/>
  <c r="J16" i="42" a="1"/>
  <c r="R2" i="15" a="1"/>
  <c r="F2" i="7" a="1"/>
  <c r="S17" i="56" a="1"/>
  <c r="T10" i="56" a="1"/>
  <c r="H11" i="56" a="1"/>
  <c r="R20" i="12" a="1"/>
  <c r="H11" i="42" a="1"/>
  <c r="J4" i="42" a="1"/>
  <c r="G10" i="52" a="1"/>
  <c r="H21" i="56" a="1"/>
  <c r="I7" i="56" a="1"/>
  <c r="L19" i="12" a="1"/>
  <c r="N14" i="12" a="1"/>
  <c r="O8" i="12" a="1"/>
  <c r="M16" i="28" a="1"/>
  <c r="G20" i="1" a="1"/>
  <c r="G13" i="1" a="1"/>
  <c r="P34" i="12" a="1"/>
  <c r="G19" i="28" a="1"/>
  <c r="L19" i="1" a="1"/>
  <c r="F11" i="42" a="1"/>
  <c r="J28" i="1" a="1"/>
  <c r="E11" i="42" a="1"/>
  <c r="L13" i="12" a="1"/>
  <c r="F19" i="39" a="1"/>
  <c r="D10" i="52" a="1"/>
  <c r="R18" i="12" a="1"/>
  <c r="C18" i="42" a="1"/>
  <c r="H19" i="56" a="1"/>
  <c r="R31" i="12" a="1"/>
  <c r="G15" i="28" a="1"/>
  <c r="C10" i="43" a="1"/>
  <c r="H6" i="56" a="1"/>
  <c r="Q18" i="12" a="1"/>
  <c r="F4" i="12" a="1"/>
  <c r="D14" i="28" a="1"/>
  <c r="H28" i="1" a="1"/>
  <c r="J4" i="1" a="1"/>
  <c r="H18" i="43" a="1"/>
  <c r="M12" i="28" a="1"/>
  <c r="G23" i="42" a="1"/>
  <c r="N23" i="12" a="1"/>
  <c r="G28" i="1" a="1"/>
  <c r="U3" i="18" a="1"/>
  <c r="R6" i="12" a="1"/>
  <c r="G14" i="28" a="1"/>
  <c r="E16" i="42" a="1"/>
  <c r="S2" i="46" a="1"/>
  <c r="U9" i="56" a="1"/>
  <c r="E8" i="52" a="1"/>
  <c r="P11" i="12" a="1"/>
  <c r="P30" i="12" a="1"/>
  <c r="Q2" i="38" a="1"/>
  <c r="C15" i="43" a="1"/>
  <c r="G18" i="42" a="1"/>
  <c r="D2" i="15" a="1"/>
  <c r="N2" i="47" a="1"/>
  <c r="S14" i="56" a="1"/>
  <c r="Q34" i="12" a="1"/>
  <c r="G23" i="12" a="1"/>
  <c r="L16" i="28" a="1"/>
  <c r="H19" i="28" a="1"/>
  <c r="E17" i="28" a="1"/>
  <c r="F13" i="1" a="1"/>
  <c r="H6" i="1" a="1"/>
  <c r="C15" i="55" a="1"/>
  <c r="E18" i="42" a="1"/>
  <c r="V12" i="56" a="1"/>
  <c r="K16" i="28" a="1"/>
  <c r="F6" i="1" a="1"/>
  <c r="E4" i="42" a="1"/>
  <c r="S18" i="12" a="1"/>
  <c r="D18" i="42" a="1"/>
  <c r="V2" i="5" a="1"/>
  <c r="L2" i="47" a="1"/>
  <c r="E16" i="28" a="1"/>
  <c r="U2" i="5" a="1"/>
  <c r="I28" i="1" a="1"/>
  <c r="J11" i="1" a="1"/>
  <c r="T2" i="5" a="1"/>
  <c r="F18" i="39" a="1"/>
  <c r="H22" i="43" a="1"/>
  <c r="C4" i="42" a="1"/>
  <c r="H9" i="52" a="1"/>
  <c r="C3" i="52" a="1"/>
  <c r="H18" i="1" a="1"/>
  <c r="C2" i="47" a="1"/>
  <c r="P17" i="12" a="1"/>
  <c r="Q31" i="12" a="1"/>
  <c r="F17" i="39" a="1"/>
  <c r="H14" i="28" a="1"/>
  <c r="S24" i="56" a="1"/>
  <c r="H11" i="1" a="1"/>
  <c r="H17" i="43" a="1"/>
  <c r="I8" i="52" a="1"/>
  <c r="O17" i="12" a="1"/>
  <c r="Q30" i="12" a="1"/>
  <c r="L12" i="28" a="1"/>
  <c r="D10" i="28" a="1"/>
  <c r="G4" i="1" a="1"/>
  <c r="V23" i="56" a="1"/>
  <c r="M23" i="12" a="1"/>
  <c r="E23" i="42" a="1"/>
  <c r="J16" i="56" a="1"/>
  <c r="N17" i="12" a="1"/>
  <c r="G11" i="42" a="1"/>
  <c r="G4" i="42" a="1"/>
  <c r="F10" i="52" a="1"/>
  <c r="F3" i="52" a="1"/>
  <c r="G21" i="56" a="1"/>
  <c r="H7" i="56" a="1"/>
  <c r="K19" i="12" a="1"/>
  <c r="N13" i="12" a="1"/>
  <c r="N8" i="12" a="1"/>
  <c r="G5" i="12" a="1"/>
  <c r="F20" i="1" a="1"/>
  <c r="L12" i="1" a="1"/>
  <c r="G6" i="1" a="1"/>
  <c r="C9" i="55" a="1"/>
  <c r="C2" i="15" a="1"/>
  <c r="R7" i="12" a="1"/>
  <c r="D17" i="28" a="1"/>
  <c r="C13" i="43" a="1"/>
  <c r="E10" i="52" a="1"/>
  <c r="J20" i="56" a="1"/>
  <c r="G21" i="12" a="1"/>
  <c r="C12" i="43" a="1"/>
  <c r="I19" i="56" a="1"/>
  <c r="M7" i="12" a="1"/>
  <c r="L13" i="28" a="1"/>
  <c r="J12" i="1" a="1"/>
  <c r="C11" i="43" a="1"/>
  <c r="E5" i="12" a="1"/>
  <c r="H2" i="47" a="1"/>
  <c r="T12" i="56" a="1"/>
  <c r="L7" i="12" a="1"/>
  <c r="K13" i="28" a="1"/>
  <c r="I2" i="38" a="1"/>
  <c r="Q12" i="12" a="1"/>
  <c r="I11" i="1" a="1"/>
  <c r="J9" i="42" a="1"/>
  <c r="V3" i="18" a="1"/>
  <c r="P23" i="12" a="1"/>
  <c r="S6" i="12" a="1"/>
  <c r="D12" i="28" a="1"/>
  <c r="I16" i="42" a="1"/>
  <c r="J2" i="5" a="1"/>
  <c r="J18" i="39" a="1"/>
  <c r="G18" i="1" a="1"/>
  <c r="F27" i="1" a="1"/>
  <c r="I2" i="5" a="1"/>
  <c r="F18" i="1" a="1"/>
  <c r="H9" i="42" a="1"/>
  <c r="C14" i="43" a="1"/>
  <c r="M2" i="47" a="1"/>
  <c r="K12" i="1" a="1"/>
  <c r="E3" i="52" a="1"/>
  <c r="G7" i="56" a="1"/>
  <c r="M13" i="12" a="1"/>
  <c r="F5" i="12" a="1"/>
  <c r="L5" i="1" a="1"/>
  <c r="U12" i="56" a="1"/>
  <c r="P32" i="12" a="1"/>
  <c r="H18" i="28" a="1"/>
  <c r="J2" i="38" a="1"/>
  <c r="D11" i="42" a="1"/>
  <c r="D4" i="42" a="1"/>
  <c r="D3" i="52" a="1"/>
  <c r="I6" i="56" a="1"/>
  <c r="R12" i="12" a="1"/>
  <c r="F21" i="12" a="1"/>
  <c r="I18" i="1" a="1"/>
  <c r="K5" i="1" a="1"/>
  <c r="C11" i="42" a="1"/>
  <c r="E19" i="12" a="1"/>
  <c r="S2" i="5" a="1"/>
  <c r="C9" i="52" a="1"/>
  <c r="H17" i="56" a="1"/>
  <c r="G18" i="12" a="1"/>
  <c r="J19" i="39" a="1"/>
  <c r="A2" i="38" a="1"/>
  <c r="S10" i="56" a="1"/>
  <c r="I4" i="1" a="1"/>
  <c r="I9" i="42" a="1"/>
  <c r="G17" i="56" a="1"/>
  <c r="K12" i="12" a="1"/>
  <c r="F18" i="12" a="1"/>
  <c r="F8" i="39" a="1"/>
  <c r="F23" i="42" a="1"/>
  <c r="J15" i="39" a="1"/>
  <c r="G11" i="1" a="1"/>
  <c r="G17" i="43" a="1"/>
  <c r="T3" i="18" a="1"/>
  <c r="U23" i="56" a="1"/>
  <c r="AA4" i="9" a="1"/>
  <c r="I21" i="42" a="1"/>
  <c r="I14" i="42" a="1"/>
  <c r="J3" i="18" a="1"/>
  <c r="S2" i="7" a="1"/>
  <c r="S20" i="56" a="1"/>
  <c r="S6" i="56" a="1"/>
  <c r="R21" i="12" a="1"/>
  <c r="M16" i="12" a="1"/>
  <c r="N10" i="12" a="1"/>
  <c r="E14" i="12" a="1"/>
  <c r="J4" i="39" a="1"/>
  <c r="F3" i="39" a="1"/>
  <c r="L8" i="28" a="1"/>
  <c r="I16" i="1" a="1"/>
  <c r="G11" i="43" a="1"/>
  <c r="I7" i="42" a="1"/>
  <c r="I3" i="18" a="1"/>
  <c r="H2" i="46" a="1"/>
  <c r="I6" i="52" a="1"/>
  <c r="Q4" i="12" a="1"/>
  <c r="M31" i="12" a="1"/>
  <c r="F13" i="12" a="1"/>
  <c r="J3" i="39" a="1"/>
  <c r="L22" i="28" a="1"/>
  <c r="K8" i="28" a="1"/>
  <c r="H6" i="28" a="1"/>
  <c r="D4" i="28" a="1"/>
  <c r="I22" i="1" a="1"/>
  <c r="H16" i="1" a="1"/>
  <c r="G9" i="1" a="1"/>
  <c r="C27" i="55" a="1"/>
  <c r="H21" i="42" a="1"/>
  <c r="H14" i="42" a="1"/>
  <c r="R2" i="7" a="1"/>
  <c r="G2" i="46" a="1"/>
  <c r="V19" i="56" a="1"/>
  <c r="U5" i="56" a="1"/>
  <c r="G13" i="56" a="1"/>
  <c r="Q21" i="12" a="1"/>
  <c r="Q15" i="12" a="1"/>
  <c r="M10" i="12" a="1"/>
  <c r="O4" i="12" a="1"/>
  <c r="J2" i="39" a="1"/>
  <c r="K22" i="28" a="1"/>
  <c r="H15" i="1" a="1"/>
  <c r="G9" i="43" a="1"/>
  <c r="H7" i="42" a="1"/>
  <c r="D3" i="18" a="1"/>
  <c r="F2" i="46" a="1"/>
  <c r="H6" i="52" a="1"/>
  <c r="U19" i="56" a="1"/>
  <c r="E13" i="12" a="1"/>
  <c r="H22" i="39" a="1"/>
  <c r="M21" i="28" a="1"/>
  <c r="L5" i="28" a="1"/>
  <c r="G6" i="28" a="1"/>
  <c r="E3" i="28" a="1"/>
  <c r="H22" i="1" a="1"/>
  <c r="L14" i="1" a="1"/>
  <c r="F9" i="1" a="1"/>
  <c r="C26" i="55" a="1"/>
  <c r="G21" i="42" a="1"/>
  <c r="G14" i="42" a="1"/>
  <c r="N2" i="7" a="1"/>
  <c r="E2" i="46" a="1"/>
  <c r="T19" i="56" a="1"/>
  <c r="T5" i="56" a="1"/>
  <c r="J12" i="56" a="1"/>
  <c r="P21" i="12" a="1"/>
  <c r="P15" i="12" a="1"/>
  <c r="L10" i="12" a="1"/>
  <c r="N4" i="12" a="1"/>
  <c r="F33" i="12" a="1"/>
  <c r="M4" i="28" a="1"/>
  <c r="C6" i="42" a="1"/>
  <c r="V15" i="56" a="1"/>
  <c r="S21" i="12" a="1"/>
  <c r="S8" i="12" a="1"/>
  <c r="F17" i="12" a="1"/>
  <c r="L21" i="28" a="1"/>
  <c r="E22" i="28" a="1"/>
  <c r="G7" i="1" a="1"/>
  <c r="F4" i="1" a="1"/>
  <c r="L3" i="1" a="1"/>
  <c r="AB4" i="9" a="1"/>
  <c r="J3" i="1" a="1"/>
  <c r="H19" i="42" a="1"/>
  <c r="S5" i="12" a="1"/>
  <c r="E9" i="28" a="1"/>
  <c r="L16" i="1" a="1"/>
  <c r="F3" i="1" a="1"/>
  <c r="I11" i="52" a="1"/>
  <c r="L17" i="28" a="1"/>
  <c r="D16" i="42" a="1"/>
  <c r="D9" i="28" a="1"/>
  <c r="S19" i="12" a="1"/>
  <c r="Q5" i="12" a="1"/>
  <c r="G15" i="42" a="1"/>
  <c r="G8" i="12" a="1"/>
  <c r="P2" i="15" a="1"/>
  <c r="K9" i="28" a="1"/>
  <c r="J4" i="9" a="1"/>
  <c r="C18" i="55" a="1"/>
  <c r="J14" i="1" a="1"/>
  <c r="G6" i="52" a="1"/>
  <c r="J14" i="39" a="1"/>
  <c r="C17" i="55" a="1"/>
  <c r="H16" i="43" a="1"/>
  <c r="G12" i="43" a="1"/>
  <c r="R14" i="12" a="1"/>
  <c r="J13" i="39" a="1"/>
  <c r="E13" i="42" a="1"/>
  <c r="U2" i="7" a="1"/>
  <c r="G14" i="56" a="1"/>
  <c r="H8" i="43" a="1"/>
  <c r="J23" i="1" a="1"/>
  <c r="F8" i="1" a="1"/>
  <c r="B2" i="7" a="1"/>
  <c r="G32" i="12" a="1"/>
  <c r="F7" i="39" a="1"/>
  <c r="C23" i="42" a="1"/>
  <c r="G7" i="28" a="1"/>
  <c r="L21" i="1" a="1"/>
  <c r="D6" i="42" a="1"/>
  <c r="E18" i="12" a="1"/>
  <c r="D23" i="28" a="1"/>
  <c r="G17" i="12" a="1"/>
  <c r="AK4" i="9" a="1"/>
  <c r="E20" i="42" a="1"/>
  <c r="F12" i="52" a="1"/>
  <c r="U15" i="56" a="1"/>
  <c r="P8" i="12" a="1"/>
  <c r="H20" i="1" a="1"/>
  <c r="C12" i="52" a="1"/>
  <c r="Q20" i="12" a="1"/>
  <c r="L6" i="12" a="1"/>
  <c r="M20" i="28" a="1"/>
  <c r="F17" i="1" a="1"/>
  <c r="K3" i="1" a="1"/>
  <c r="K3" i="18" a="1"/>
  <c r="K6" i="12" a="1"/>
  <c r="V6" i="56" a="1"/>
  <c r="H11" i="52" a="1"/>
  <c r="O20" i="12" a="1"/>
  <c r="E9" i="12" a="1"/>
  <c r="K16" i="1" a="1"/>
  <c r="Q2" i="15" a="1"/>
  <c r="D8" i="52" a="1"/>
  <c r="C19" i="55" a="1"/>
  <c r="J14" i="42" a="1"/>
  <c r="F8" i="12" a="1"/>
  <c r="N2" i="15" a="1"/>
  <c r="M8" i="28" a="1"/>
  <c r="G13" i="42" a="1"/>
  <c r="F5" i="52" a="1"/>
  <c r="K3" i="12" a="1"/>
  <c r="I14" i="1" a="1"/>
  <c r="I16" i="56" a="1"/>
  <c r="C16" i="55" a="1"/>
  <c r="E5" i="52" a="1"/>
  <c r="Q14" i="12" a="1"/>
  <c r="H11" i="43" a="1"/>
  <c r="C13" i="42" a="1"/>
  <c r="C23" i="43" a="1"/>
  <c r="H11" i="39" a="1"/>
  <c r="D23" i="42" a="1"/>
  <c r="K7" i="1" a="1"/>
  <c r="K10" i="12" a="1"/>
  <c r="J21" i="42" a="1"/>
  <c r="E30" i="12" a="1"/>
  <c r="C21" i="42" a="1"/>
  <c r="S3" i="18" a="1"/>
  <c r="T9" i="56" a="1"/>
  <c r="F14" i="12" a="1"/>
  <c r="K21" i="28" a="1"/>
  <c r="D22" i="28" a="1"/>
  <c r="D20" i="42" a="1"/>
  <c r="U4" i="9" a="1"/>
  <c r="J11" i="52" a="1"/>
  <c r="P20" i="12" a="1"/>
  <c r="G10" i="12" a="1"/>
  <c r="C3" i="18" a="1"/>
  <c r="R5" i="12" a="1"/>
  <c r="L4" i="9" a="1"/>
  <c r="K17" i="28" a="1"/>
  <c r="M9" i="28" a="1"/>
  <c r="C25" i="55" a="1"/>
  <c r="K4" i="9" a="1"/>
  <c r="J23" i="56" a="1"/>
  <c r="D7" i="52" a="1"/>
  <c r="L4" i="12" a="1"/>
  <c r="K14" i="1" a="1"/>
  <c r="I23" i="56" a="1"/>
  <c r="K4" i="12" a="1"/>
  <c r="N16" i="12" a="1"/>
  <c r="M2" i="15" a="1"/>
  <c r="H23" i="56" a="1"/>
  <c r="S3" i="12" a="1"/>
  <c r="H2" i="5" a="1"/>
  <c r="F13" i="42" a="1"/>
  <c r="H16" i="56" a="1"/>
  <c r="R34" i="12" a="1"/>
  <c r="D13" i="42" a="1"/>
  <c r="M3" i="28" a="1"/>
  <c r="I4" i="52" a="1"/>
  <c r="P14" i="12" a="1"/>
  <c r="H21" i="39" a="1"/>
  <c r="S19" i="56" a="1"/>
  <c r="G31" i="12" a="1"/>
  <c r="R2" i="46" a="1"/>
  <c r="L23" i="12" a="1"/>
  <c r="F5" i="39" a="1"/>
  <c r="M4" i="12" a="1"/>
  <c r="E4" i="28" a="1"/>
  <c r="O2" i="15" a="1"/>
  <c r="D3" i="28" a="1"/>
  <c r="C7" i="52" a="1"/>
  <c r="L4" i="28" a="1"/>
  <c r="H13" i="1" a="1"/>
  <c r="K33" i="12" a="1"/>
  <c r="F11" i="1" a="1"/>
  <c r="G7" i="42" a="1"/>
  <c r="M11" i="12" a="1"/>
  <c r="G6" i="42" a="1"/>
  <c r="F22" i="1" a="1"/>
  <c r="E6" i="42" a="1"/>
  <c r="F31" i="12" a="1"/>
  <c r="J7" i="1" a="1"/>
  <c r="J2" i="46" a="1"/>
  <c r="U16" i="56" a="1"/>
  <c r="K22" i="12" a="1"/>
  <c r="J13" i="56" a="1"/>
  <c r="M32" i="12" a="1"/>
  <c r="L3" i="28" a="1"/>
  <c r="I10" i="1" a="1"/>
  <c r="G6" i="43" a="1"/>
  <c r="E9" i="42" a="1"/>
  <c r="H4" i="52" a="1"/>
  <c r="I12" i="56" a="1"/>
  <c r="O14" i="12" a="1"/>
  <c r="H20" i="28" a="1"/>
  <c r="L23" i="1" a="1"/>
  <c r="L9" i="1" a="1"/>
  <c r="H3" i="43" a="1"/>
  <c r="D9" i="42" a="1"/>
  <c r="E2" i="7" a="1"/>
  <c r="T23" i="56" a="1"/>
  <c r="K32" i="12" a="1"/>
  <c r="H13" i="39" a="1"/>
  <c r="G20" i="28" a="1"/>
  <c r="I9" i="1" a="1"/>
  <c r="G8" i="42" a="1"/>
  <c r="T22" i="56" a="1"/>
  <c r="G10" i="56" a="1"/>
  <c r="H13" i="28" a="1"/>
  <c r="K23" i="1" a="1"/>
  <c r="G3" i="43" a="1"/>
  <c r="C2" i="7" a="1"/>
  <c r="O11" i="12" a="1"/>
  <c r="E33" i="12" a="1"/>
  <c r="H12" i="39" a="1"/>
  <c r="H12" i="28" a="1"/>
  <c r="H9" i="1" a="1"/>
  <c r="E8" i="42" a="1"/>
  <c r="T20" i="56" a="1"/>
  <c r="J9" i="56" a="1"/>
  <c r="N11" i="12" a="1"/>
  <c r="H8" i="28" a="1"/>
  <c r="H7" i="28" a="1"/>
  <c r="I9" i="56" a="1"/>
  <c r="G22" i="1" a="1"/>
  <c r="V16" i="56" a="1"/>
  <c r="K21" i="1" a="1"/>
  <c r="L22" i="12" a="1"/>
  <c r="K9" i="12" a="1"/>
  <c r="F4" i="39" a="1"/>
  <c r="H7" i="1" a="1"/>
  <c r="I2" i="46" a="1"/>
  <c r="I2" i="46" l="1"/>
  <c r="H7" i="1"/>
  <c r="F4" i="39"/>
  <c r="K9" i="12"/>
  <c r="L22" i="12"/>
  <c r="K21" i="1"/>
  <c r="V16" i="56"/>
  <c r="G22" i="1"/>
  <c r="I9" i="56"/>
  <c r="H7" i="28"/>
  <c r="H8" i="28"/>
  <c r="N11" i="12"/>
  <c r="J9" i="56"/>
  <c r="T20" i="56"/>
  <c r="E8" i="42"/>
  <c r="H9" i="1"/>
  <c r="H12" i="28"/>
  <c r="H12" i="39"/>
  <c r="E33" i="12"/>
  <c r="O11" i="12"/>
  <c r="C2" i="7"/>
  <c r="G3" i="43"/>
  <c r="K23" i="1"/>
  <c r="H13" i="28"/>
  <c r="G10" i="56"/>
  <c r="T22" i="56"/>
  <c r="G8" i="42"/>
  <c r="I9" i="1"/>
  <c r="G20" i="28"/>
  <c r="H13" i="39"/>
  <c r="K32" i="12"/>
  <c r="T23" i="56"/>
  <c r="E2" i="7"/>
  <c r="D9" i="42"/>
  <c r="H3" i="43"/>
  <c r="L9" i="1"/>
  <c r="L23" i="1"/>
  <c r="H20" i="28"/>
  <c r="O14" i="12"/>
  <c r="I12" i="56"/>
  <c r="H4" i="52"/>
  <c r="E9" i="42"/>
  <c r="G6" i="43"/>
  <c r="I10" i="1"/>
  <c r="L3" i="28"/>
  <c r="M32" i="12"/>
  <c r="J13" i="56"/>
  <c r="K22" i="12"/>
  <c r="U16" i="56"/>
  <c r="J2" i="46"/>
  <c r="J7" i="1"/>
  <c r="F31" i="12"/>
  <c r="E6" i="42"/>
  <c r="F22" i="1"/>
  <c r="G6" i="42"/>
  <c r="M11" i="12"/>
  <c r="G7" i="42"/>
  <c r="F11" i="1"/>
  <c r="K33" i="12"/>
  <c r="H13" i="1"/>
  <c r="L4" i="28"/>
  <c r="C7" i="52"/>
  <c r="D3" i="28"/>
  <c r="O2" i="15"/>
  <c r="E4" i="28"/>
  <c r="M4" i="12"/>
  <c r="F5" i="39"/>
  <c r="L23" i="12"/>
  <c r="R2" i="46"/>
  <c r="G31" i="12"/>
  <c r="S19" i="56"/>
  <c r="H21" i="39"/>
  <c r="P14" i="12"/>
  <c r="I4" i="52"/>
  <c r="M3" i="28"/>
  <c r="D13" i="42"/>
  <c r="R34" i="12"/>
  <c r="H16" i="56"/>
  <c r="F13" i="42"/>
  <c r="H2" i="5"/>
  <c r="S3" i="12"/>
  <c r="H23" i="56"/>
  <c r="M2" i="15"/>
  <c r="N16" i="12"/>
  <c r="K4" i="12"/>
  <c r="I23" i="56"/>
  <c r="K14" i="1"/>
  <c r="L4" i="12"/>
  <c r="D7" i="52"/>
  <c r="J23" i="56"/>
  <c r="K4" i="9"/>
  <c r="C25" i="55"/>
  <c r="M9" i="28"/>
  <c r="K17" i="28"/>
  <c r="L4" i="9"/>
  <c r="R5" i="12"/>
  <c r="C3" i="18"/>
  <c r="G10" i="12"/>
  <c r="P20" i="12"/>
  <c r="J11" i="52"/>
  <c r="U4" i="9"/>
  <c r="D20" i="42"/>
  <c r="D22" i="28"/>
  <c r="K21" i="28"/>
  <c r="F14" i="12"/>
  <c r="T9" i="56"/>
  <c r="S3" i="18"/>
  <c r="C21" i="42"/>
  <c r="E30" i="12"/>
  <c r="J21" i="42"/>
  <c r="K10" i="12"/>
  <c r="K7" i="1"/>
  <c r="D23" i="42"/>
  <c r="H11" i="39"/>
  <c r="C23" i="43"/>
  <c r="C13" i="42"/>
  <c r="H11" i="43"/>
  <c r="Q14" i="12"/>
  <c r="E5" i="52"/>
  <c r="C16" i="55"/>
  <c r="I16" i="56"/>
  <c r="I14" i="1"/>
  <c r="K3" i="12"/>
  <c r="F5" i="52"/>
  <c r="G13" i="42"/>
  <c r="M8" i="28"/>
  <c r="N2" i="15"/>
  <c r="F8" i="12"/>
  <c r="J14" i="42"/>
  <c r="C19" i="55"/>
  <c r="D8" i="52"/>
  <c r="Q2" i="15"/>
  <c r="K16" i="1"/>
  <c r="E9" i="12"/>
  <c r="O20" i="12"/>
  <c r="H11" i="52"/>
  <c r="V6" i="56"/>
  <c r="K6" i="12"/>
  <c r="K3" i="18"/>
  <c r="K3" i="1"/>
  <c r="F17" i="1"/>
  <c r="M20" i="28"/>
  <c r="L6" i="12"/>
  <c r="Q20" i="12"/>
  <c r="C12" i="52"/>
  <c r="H20" i="1"/>
  <c r="P8" i="12"/>
  <c r="U15" i="56"/>
  <c r="F12" i="52"/>
  <c r="E20" i="42"/>
  <c r="AK4" i="9"/>
  <c r="G17" i="12"/>
  <c r="D23" i="28"/>
  <c r="E18" i="12"/>
  <c r="D6" i="42"/>
  <c r="L21" i="1"/>
  <c r="G7" i="28"/>
  <c r="C23" i="42"/>
  <c r="F7" i="39"/>
  <c r="G32" i="12"/>
  <c r="B2" i="7"/>
  <c r="F8" i="1"/>
  <c r="J23" i="1"/>
  <c r="H8" i="43"/>
  <c r="G14" i="56"/>
  <c r="U2" i="7"/>
  <c r="E13" i="42"/>
  <c r="J13" i="39"/>
  <c r="R14" i="12"/>
  <c r="G12" i="43"/>
  <c r="H16" i="43"/>
  <c r="C17" i="55"/>
  <c r="J14" i="39"/>
  <c r="G6" i="52"/>
  <c r="J14" i="1"/>
  <c r="C18" i="55"/>
  <c r="J4" i="9"/>
  <c r="K9" i="28"/>
  <c r="P2" i="15"/>
  <c r="G8" i="12"/>
  <c r="G15" i="42"/>
  <c r="Q5" i="12"/>
  <c r="S19" i="12"/>
  <c r="D9" i="28"/>
  <c r="D16" i="42"/>
  <c r="L17" i="28"/>
  <c r="I11" i="52"/>
  <c r="F3" i="1"/>
  <c r="L16" i="1"/>
  <c r="E9" i="28"/>
  <c r="S5" i="12"/>
  <c r="H19" i="42"/>
  <c r="J3" i="1"/>
  <c r="AB4" i="9"/>
  <c r="L3" i="1"/>
  <c r="F4" i="1"/>
  <c r="G7" i="1"/>
  <c r="E22" i="28"/>
  <c r="L21" i="28"/>
  <c r="F17" i="12"/>
  <c r="S8" i="12"/>
  <c r="S21" i="12"/>
  <c r="V15" i="56"/>
  <c r="C6" i="42"/>
  <c r="M4" i="28"/>
  <c r="F33" i="12"/>
  <c r="N4" i="12"/>
  <c r="L10" i="12"/>
  <c r="P15" i="12"/>
  <c r="P21" i="12"/>
  <c r="J12" i="56"/>
  <c r="T5" i="56"/>
  <c r="T19" i="56"/>
  <c r="E2" i="46"/>
  <c r="N2" i="7"/>
  <c r="G14" i="42"/>
  <c r="G21" i="42"/>
  <c r="C26" i="55"/>
  <c r="F9" i="1"/>
  <c r="L14" i="1"/>
  <c r="H22" i="1"/>
  <c r="E3" i="28"/>
  <c r="G6" i="28"/>
  <c r="L5" i="28"/>
  <c r="M21" i="28"/>
  <c r="H22" i="39"/>
  <c r="E13" i="12"/>
  <c r="U19" i="56"/>
  <c r="H6" i="52"/>
  <c r="F2" i="46"/>
  <c r="D3" i="18"/>
  <c r="H7" i="42"/>
  <c r="G9" i="43"/>
  <c r="H15" i="1"/>
  <c r="K22" i="28"/>
  <c r="J2" i="39"/>
  <c r="O4" i="12"/>
  <c r="M10" i="12"/>
  <c r="Q15" i="12"/>
  <c r="Q21" i="12"/>
  <c r="G13" i="56"/>
  <c r="U5" i="56"/>
  <c r="V19" i="56"/>
  <c r="G2" i="46"/>
  <c r="R2" i="7"/>
  <c r="H14" i="42"/>
  <c r="H21" i="42"/>
  <c r="C27" i="55"/>
  <c r="G9" i="1"/>
  <c r="H16" i="1"/>
  <c r="I22" i="1"/>
  <c r="D4" i="28"/>
  <c r="H6" i="28"/>
  <c r="K8" i="28"/>
  <c r="L22" i="28"/>
  <c r="J3" i="39"/>
  <c r="F13" i="12"/>
  <c r="M31" i="12"/>
  <c r="Q4" i="12"/>
  <c r="I6" i="52"/>
  <c r="H2" i="46"/>
  <c r="I3" i="18"/>
  <c r="I7" i="42"/>
  <c r="G11" i="43"/>
  <c r="I16" i="1"/>
  <c r="L8" i="28"/>
  <c r="F3" i="39"/>
  <c r="J4" i="39"/>
  <c r="E14" i="12"/>
  <c r="N10" i="12"/>
  <c r="M16" i="12"/>
  <c r="R21" i="12"/>
  <c r="S6" i="56"/>
  <c r="S20" i="56"/>
  <c r="S2" i="7"/>
  <c r="J3" i="18"/>
  <c r="I14" i="42"/>
  <c r="I21" i="42"/>
  <c r="AA4" i="9"/>
  <c r="U23" i="56"/>
  <c r="T3" i="18"/>
  <c r="G17" i="43"/>
  <c r="G11" i="1"/>
  <c r="J15" i="39"/>
  <c r="F23" i="42"/>
  <c r="F8" i="39"/>
  <c r="F18" i="12"/>
  <c r="K12" i="12"/>
  <c r="G17" i="56"/>
  <c r="I9" i="42"/>
  <c r="I4" i="1"/>
  <c r="S10" i="56"/>
  <c r="A2" i="38"/>
  <c r="J19" i="39"/>
  <c r="G18" i="12"/>
  <c r="H17" i="56"/>
  <c r="C9" i="52"/>
  <c r="S2" i="5"/>
  <c r="E19" i="12"/>
  <c r="C11" i="42"/>
  <c r="K5" i="1"/>
  <c r="I18" i="1"/>
  <c r="F21" i="12"/>
  <c r="R12" i="12"/>
  <c r="I6" i="56"/>
  <c r="D3" i="52"/>
  <c r="D4" i="42"/>
  <c r="D11" i="42"/>
  <c r="J2" i="38"/>
  <c r="H18" i="28"/>
  <c r="P32" i="12"/>
  <c r="U12" i="56"/>
  <c r="L5" i="1"/>
  <c r="F5" i="12"/>
  <c r="M13" i="12"/>
  <c r="G7" i="56"/>
  <c r="E3" i="52"/>
  <c r="K12" i="1"/>
  <c r="M2" i="47"/>
  <c r="C14" i="43"/>
  <c r="H9" i="42"/>
  <c r="F18" i="1"/>
  <c r="I2" i="5"/>
  <c r="F27" i="1"/>
  <c r="G18" i="1"/>
  <c r="J18" i="39"/>
  <c r="J2" i="5"/>
  <c r="I16" i="42"/>
  <c r="D12" i="28"/>
  <c r="S6" i="12"/>
  <c r="P23" i="12"/>
  <c r="V3" i="18"/>
  <c r="J9" i="42"/>
  <c r="I11" i="1"/>
  <c r="Q12" i="12"/>
  <c r="I2" i="38"/>
  <c r="K13" i="28"/>
  <c r="L7" i="12"/>
  <c r="T12" i="56"/>
  <c r="H2" i="47"/>
  <c r="E5" i="12"/>
  <c r="C11" i="43"/>
  <c r="J12" i="1"/>
  <c r="L13" i="28"/>
  <c r="M7" i="12"/>
  <c r="I19" i="56"/>
  <c r="C12" i="43"/>
  <c r="G21" i="12"/>
  <c r="J20" i="56"/>
  <c r="E10" i="52"/>
  <c r="C13" i="43"/>
  <c r="D17" i="28"/>
  <c r="R7" i="12"/>
  <c r="C2" i="15"/>
  <c r="C9" i="55"/>
  <c r="G6" i="1"/>
  <c r="L12" i="1"/>
  <c r="F20" i="1"/>
  <c r="G5" i="12"/>
  <c r="N8" i="12"/>
  <c r="N13" i="12"/>
  <c r="K19" i="12"/>
  <c r="H7" i="56"/>
  <c r="G21" i="56"/>
  <c r="F3" i="52"/>
  <c r="F10" i="52"/>
  <c r="G4" i="42"/>
  <c r="G11" i="42"/>
  <c r="N17" i="12"/>
  <c r="J16" i="56"/>
  <c r="E23" i="42"/>
  <c r="M23" i="12"/>
  <c r="V23" i="56"/>
  <c r="G4" i="1"/>
  <c r="D10" i="28"/>
  <c r="L12" i="28"/>
  <c r="Q30" i="12"/>
  <c r="O17" i="12"/>
  <c r="I8" i="52"/>
  <c r="H17" i="43"/>
  <c r="H11" i="1"/>
  <c r="S24" i="56"/>
  <c r="H14" i="28"/>
  <c r="F17" i="39"/>
  <c r="Q31" i="12"/>
  <c r="P17" i="12"/>
  <c r="C2" i="47"/>
  <c r="H18" i="1"/>
  <c r="C3" i="52"/>
  <c r="H9" i="52"/>
  <c r="C4" i="42"/>
  <c r="H22" i="43"/>
  <c r="F18" i="39"/>
  <c r="T2" i="5"/>
  <c r="J11" i="1"/>
  <c r="I28" i="1"/>
  <c r="U2" i="5"/>
  <c r="E16" i="28"/>
  <c r="L2" i="47"/>
  <c r="V2" i="5"/>
  <c r="D18" i="42"/>
  <c r="S18" i="12"/>
  <c r="E4" i="42"/>
  <c r="F6" i="1"/>
  <c r="K16" i="28"/>
  <c r="V12" i="56"/>
  <c r="E18" i="42"/>
  <c r="C15" i="55"/>
  <c r="H6" i="1"/>
  <c r="F13" i="1"/>
  <c r="E17" i="28"/>
  <c r="H19" i="28"/>
  <c r="L16" i="28"/>
  <c r="G23" i="12"/>
  <c r="Q34" i="12"/>
  <c r="S14" i="56"/>
  <c r="N2" i="47"/>
  <c r="D2" i="15"/>
  <c r="G18" i="42"/>
  <c r="C15" i="43"/>
  <c r="Q2" i="38"/>
  <c r="P30" i="12"/>
  <c r="P11" i="12"/>
  <c r="E8" i="52"/>
  <c r="U9" i="56"/>
  <c r="S2" i="46"/>
  <c r="E16" i="42"/>
  <c r="G14" i="28"/>
  <c r="R6" i="12"/>
  <c r="U3" i="18"/>
  <c r="G28" i="1"/>
  <c r="N23" i="12"/>
  <c r="G23" i="42"/>
  <c r="M12" i="28"/>
  <c r="H18" i="43"/>
  <c r="J4" i="1"/>
  <c r="H28" i="1"/>
  <c r="D14" i="28"/>
  <c r="F4" i="12"/>
  <c r="Q18" i="12"/>
  <c r="H6" i="56"/>
  <c r="C10" i="43"/>
  <c r="G15" i="28"/>
  <c r="R31" i="12"/>
  <c r="H19" i="56"/>
  <c r="C18" i="42"/>
  <c r="R18" i="12"/>
  <c r="D10" i="52"/>
  <c r="F19" i="39"/>
  <c r="L13" i="12"/>
  <c r="E11" i="42"/>
  <c r="J28" i="1"/>
  <c r="F11" i="42"/>
  <c r="L19" i="1"/>
  <c r="G19" i="28"/>
  <c r="P34" i="12"/>
  <c r="G13" i="1"/>
  <c r="G20" i="1"/>
  <c r="M16" i="28"/>
  <c r="O8" i="12"/>
  <c r="N14" i="12"/>
  <c r="L19" i="12"/>
  <c r="I7" i="56"/>
  <c r="H21" i="56"/>
  <c r="G10" i="52"/>
  <c r="J4" i="42"/>
  <c r="H11" i="42"/>
  <c r="R20" i="12"/>
  <c r="H11" i="56"/>
  <c r="T10" i="56"/>
  <c r="S17" i="56"/>
  <c r="F2" i="7"/>
  <c r="R2" i="15"/>
  <c r="J16" i="42"/>
  <c r="J23" i="42"/>
  <c r="H6" i="43"/>
  <c r="B2" i="38"/>
  <c r="K20" i="1"/>
  <c r="J27" i="1"/>
  <c r="M22" i="28"/>
  <c r="G14" i="12"/>
  <c r="M6" i="12"/>
  <c r="L12" i="12"/>
  <c r="I17" i="56"/>
  <c r="D9" i="52"/>
  <c r="D2" i="47"/>
  <c r="H13" i="42"/>
  <c r="G20" i="43"/>
  <c r="C10" i="55"/>
  <c r="G3" i="1"/>
  <c r="F10" i="1"/>
  <c r="G17" i="1"/>
  <c r="K27" i="1"/>
  <c r="E12" i="28"/>
  <c r="H3" i="28"/>
  <c r="H15" i="28"/>
  <c r="M5" i="28"/>
  <c r="F30" i="12"/>
  <c r="P3" i="12"/>
  <c r="I11" i="56"/>
  <c r="U24" i="56"/>
  <c r="P2" i="5"/>
  <c r="H3" i="42"/>
  <c r="C17" i="42"/>
  <c r="G7" i="43"/>
  <c r="R4" i="9"/>
  <c r="J6" i="1"/>
  <c r="F6" i="12"/>
  <c r="N6" i="12"/>
  <c r="H18" i="56"/>
  <c r="E9" i="52"/>
  <c r="E2" i="47"/>
  <c r="J2" i="7"/>
  <c r="D10" i="42"/>
  <c r="I13" i="42"/>
  <c r="D17" i="42"/>
  <c r="H20" i="43"/>
  <c r="C11" i="55"/>
  <c r="H3" i="1"/>
  <c r="G10" i="1"/>
  <c r="H17" i="1"/>
  <c r="L27" i="1"/>
  <c r="D13" i="28"/>
  <c r="G4" i="28"/>
  <c r="G16" i="28"/>
  <c r="L6" i="28"/>
  <c r="G6" i="12"/>
  <c r="G30" i="12"/>
  <c r="L34" i="12"/>
  <c r="Q3" i="12"/>
  <c r="M9" i="12"/>
  <c r="N18" i="12"/>
  <c r="K21" i="12"/>
  <c r="G5" i="56"/>
  <c r="J11" i="56"/>
  <c r="V10" i="56"/>
  <c r="U18" i="56"/>
  <c r="V24" i="56"/>
  <c r="J5" i="52"/>
  <c r="K2" i="7"/>
  <c r="Q2" i="5"/>
  <c r="V2" i="15"/>
  <c r="I3" i="42"/>
  <c r="E17" i="42"/>
  <c r="I20" i="42"/>
  <c r="C4" i="43"/>
  <c r="H7" i="43"/>
  <c r="G21" i="43"/>
  <c r="S4" i="9"/>
  <c r="F2" i="38"/>
  <c r="K6" i="1"/>
  <c r="F14" i="1"/>
  <c r="I17" i="1"/>
  <c r="F21" i="1"/>
  <c r="H4" i="28"/>
  <c r="M6" i="28"/>
  <c r="L15" i="28"/>
  <c r="L23" i="28"/>
  <c r="H4" i="39"/>
  <c r="J10" i="39"/>
  <c r="E7" i="12"/>
  <c r="G15" i="12"/>
  <c r="M34" i="12"/>
  <c r="O6" i="12"/>
  <c r="O12" i="12"/>
  <c r="N15" i="12"/>
  <c r="O18" i="12"/>
  <c r="I18" i="56"/>
  <c r="J25" i="56"/>
  <c r="V11" i="56"/>
  <c r="F9" i="52"/>
  <c r="I12" i="52"/>
  <c r="F2" i="47"/>
  <c r="L2" i="7"/>
  <c r="E7" i="42"/>
  <c r="I10" i="42"/>
  <c r="J13" i="42"/>
  <c r="F17" i="42"/>
  <c r="H21" i="43"/>
  <c r="Q23" i="12"/>
  <c r="G24" i="56"/>
  <c r="T24" i="56"/>
  <c r="O2" i="5"/>
  <c r="G20" i="42"/>
  <c r="Q4" i="9"/>
  <c r="I6" i="1"/>
  <c r="G3" i="28"/>
  <c r="H2" i="39"/>
  <c r="J8" i="39"/>
  <c r="E6" i="12"/>
  <c r="S14" i="12"/>
  <c r="R17" i="12"/>
  <c r="R23" i="12"/>
  <c r="H24" i="56"/>
  <c r="G5" i="52"/>
  <c r="G12" i="52"/>
  <c r="C3" i="42"/>
  <c r="H6" i="42"/>
  <c r="C10" i="42"/>
  <c r="L9" i="12"/>
  <c r="K15" i="12"/>
  <c r="S20" i="12"/>
  <c r="S23" i="12"/>
  <c r="U10" i="56"/>
  <c r="T17" i="56"/>
  <c r="H5" i="52"/>
  <c r="I2" i="7"/>
  <c r="S2" i="15"/>
  <c r="H20" i="42"/>
  <c r="C3" i="43"/>
  <c r="C2" i="38"/>
  <c r="L13" i="1"/>
  <c r="L20" i="1"/>
  <c r="K6" i="28"/>
  <c r="K15" i="28"/>
  <c r="K23" i="28"/>
  <c r="H3" i="39"/>
  <c r="J9" i="39"/>
  <c r="E15" i="12"/>
  <c r="K34" i="12"/>
  <c r="M12" i="12"/>
  <c r="M15" i="12"/>
  <c r="M18" i="12"/>
  <c r="I25" i="56"/>
  <c r="I5" i="52"/>
  <c r="H12" i="52"/>
  <c r="I6" i="42"/>
  <c r="I3" i="1"/>
  <c r="H10" i="1"/>
  <c r="J17" i="1"/>
  <c r="F28" i="1"/>
  <c r="E13" i="28"/>
  <c r="G5" i="28"/>
  <c r="H16" i="28"/>
  <c r="E31" i="12"/>
  <c r="O30" i="12"/>
  <c r="R3" i="12"/>
  <c r="N9" i="12"/>
  <c r="P18" i="12"/>
  <c r="L21" i="12"/>
  <c r="H5" i="56"/>
  <c r="G12" i="56"/>
  <c r="V18" i="56"/>
  <c r="S25" i="56"/>
  <c r="F6" i="52"/>
  <c r="R2" i="5"/>
  <c r="A3" i="18"/>
  <c r="J3" i="42"/>
  <c r="F7" i="42"/>
  <c r="J20" i="42"/>
  <c r="C5" i="43"/>
  <c r="G8" i="43"/>
  <c r="G22" i="43"/>
  <c r="T4" i="9"/>
  <c r="G2" i="38"/>
  <c r="G14" i="1"/>
  <c r="K17" i="1"/>
  <c r="H21" i="1"/>
  <c r="H5" i="28"/>
  <c r="K7" i="28"/>
  <c r="M15" i="28"/>
  <c r="M23" i="28"/>
  <c r="H5" i="39"/>
  <c r="J11" i="39"/>
  <c r="E8" i="12"/>
  <c r="E17" i="12"/>
  <c r="S9" i="12"/>
  <c r="P12" i="12"/>
  <c r="O15" i="12"/>
  <c r="H12" i="56"/>
  <c r="G19" i="56"/>
  <c r="S5" i="56"/>
  <c r="S12" i="56"/>
  <c r="G9" i="52"/>
  <c r="A2" i="46"/>
  <c r="G2" i="47"/>
  <c r="M2" i="7"/>
  <c r="J10" i="42"/>
  <c r="E14" i="42"/>
  <c r="J17" i="42"/>
  <c r="J22" i="1"/>
  <c r="H14" i="39"/>
  <c r="O13" i="12"/>
  <c r="S7" i="56"/>
  <c r="D4" i="52"/>
  <c r="O2" i="47"/>
  <c r="E2" i="15"/>
  <c r="L3" i="18"/>
  <c r="C22" i="42"/>
  <c r="R2" i="38"/>
  <c r="K4" i="1"/>
  <c r="I8" i="1"/>
  <c r="K11" i="1"/>
  <c r="F12" i="39"/>
  <c r="F19" i="12"/>
  <c r="Q32" i="12"/>
  <c r="J7" i="56"/>
  <c r="T7" i="56"/>
  <c r="K22" i="1"/>
  <c r="H15" i="39"/>
  <c r="T21" i="56"/>
  <c r="A2" i="5"/>
  <c r="C4" i="9"/>
  <c r="E19" i="28"/>
  <c r="S4" i="12"/>
  <c r="I7" i="52"/>
  <c r="I8" i="42"/>
  <c r="I15" i="42"/>
  <c r="H8" i="56"/>
  <c r="V14" i="56"/>
  <c r="U21" i="56"/>
  <c r="B2" i="5"/>
  <c r="G2" i="15"/>
  <c r="F5" i="42"/>
  <c r="E19" i="42"/>
  <c r="I22" i="42"/>
  <c r="D4" i="9"/>
  <c r="F5" i="1"/>
  <c r="G12" i="1"/>
  <c r="D8" i="28"/>
  <c r="D20" i="28"/>
  <c r="H10" i="28"/>
  <c r="O33" i="12"/>
  <c r="S8" i="56"/>
  <c r="F11" i="52"/>
  <c r="O2" i="46"/>
  <c r="V2" i="47"/>
  <c r="J8" i="42"/>
  <c r="E12" i="42"/>
  <c r="J15" i="42"/>
  <c r="F19" i="42"/>
  <c r="G8" i="1"/>
  <c r="D6" i="28"/>
  <c r="D18" i="28"/>
  <c r="L18" i="28"/>
  <c r="J20" i="39"/>
  <c r="E11" i="12"/>
  <c r="G33" i="12"/>
  <c r="S7" i="12"/>
  <c r="O10" i="12"/>
  <c r="N19" i="12"/>
  <c r="T14" i="56"/>
  <c r="S21" i="56"/>
  <c r="V2" i="7"/>
  <c r="H18" i="42"/>
  <c r="AC4" i="9"/>
  <c r="E6" i="28"/>
  <c r="K10" i="28"/>
  <c r="E34" i="12"/>
  <c r="H14" i="56"/>
  <c r="D11" i="52"/>
  <c r="H8" i="42"/>
  <c r="H15" i="42"/>
  <c r="J8" i="1"/>
  <c r="H19" i="1"/>
  <c r="D19" i="28"/>
  <c r="G23" i="28"/>
  <c r="M18" i="28"/>
  <c r="F13" i="39"/>
  <c r="F11" i="12"/>
  <c r="F34" i="12"/>
  <c r="P13" i="12"/>
  <c r="Q16" i="12"/>
  <c r="U7" i="56"/>
  <c r="H7" i="52"/>
  <c r="F2" i="15"/>
  <c r="D5" i="42"/>
  <c r="H22" i="42"/>
  <c r="C17" i="43"/>
  <c r="G13" i="43"/>
  <c r="S2" i="38"/>
  <c r="C21" i="55"/>
  <c r="L4" i="1"/>
  <c r="L11" i="1"/>
  <c r="G10" i="28"/>
  <c r="L10" i="28"/>
  <c r="F14" i="39"/>
  <c r="M30" i="12"/>
  <c r="R32" i="12"/>
  <c r="R16" i="12"/>
  <c r="Q22" i="12"/>
  <c r="G8" i="56"/>
  <c r="I14" i="56"/>
  <c r="J21" i="56"/>
  <c r="V7" i="56"/>
  <c r="E11" i="52"/>
  <c r="U2" i="47"/>
  <c r="E5" i="42"/>
  <c r="K15" i="1"/>
  <c r="J7" i="52"/>
  <c r="N3" i="18"/>
  <c r="C20" i="43"/>
  <c r="AE4" i="9"/>
  <c r="M10" i="28"/>
  <c r="F15" i="39"/>
  <c r="E12" i="12"/>
  <c r="K31" i="12"/>
  <c r="K5" i="12"/>
  <c r="K11" i="12"/>
  <c r="S16" i="12"/>
  <c r="R22" i="12"/>
  <c r="G9" i="56"/>
  <c r="J15" i="56"/>
  <c r="G22" i="56"/>
  <c r="C24" i="55"/>
  <c r="L8" i="1"/>
  <c r="L15" i="1"/>
  <c r="J19" i="1"/>
  <c r="F23" i="1"/>
  <c r="K3" i="28"/>
  <c r="L19" i="28"/>
  <c r="H18" i="39"/>
  <c r="E3" i="12"/>
  <c r="F12" i="12"/>
  <c r="E21" i="12"/>
  <c r="M8" i="12"/>
  <c r="M14" i="12"/>
  <c r="R19" i="12"/>
  <c r="S15" i="56"/>
  <c r="S22" i="56"/>
  <c r="G4" i="52"/>
  <c r="C8" i="52"/>
  <c r="L2" i="15"/>
  <c r="O3" i="18"/>
  <c r="G5" i="42"/>
  <c r="J22" i="42"/>
  <c r="C21" i="43"/>
  <c r="G16" i="43"/>
  <c r="AJ4" i="9"/>
  <c r="U2" i="38"/>
  <c r="I15" i="1"/>
  <c r="O16" i="12"/>
  <c r="C16" i="43"/>
  <c r="B4" i="9"/>
  <c r="C20" i="55"/>
  <c r="G9" i="28"/>
  <c r="R4" i="12"/>
  <c r="P16" i="12"/>
  <c r="P22" i="12"/>
  <c r="I21" i="56"/>
  <c r="E7" i="52"/>
  <c r="K2" i="46"/>
  <c r="P2" i="47"/>
  <c r="C5" i="42"/>
  <c r="C12" i="42"/>
  <c r="H12" i="43"/>
  <c r="J15" i="1"/>
  <c r="J21" i="39"/>
  <c r="K8" i="12"/>
  <c r="Q10" i="12"/>
  <c r="P19" i="12"/>
  <c r="U14" i="56"/>
  <c r="E4" i="52"/>
  <c r="Q2" i="47"/>
  <c r="M3" i="18"/>
  <c r="C19" i="42"/>
  <c r="AD4" i="9"/>
  <c r="D7" i="28"/>
  <c r="L2" i="46"/>
  <c r="D12" i="42"/>
  <c r="D19" i="42"/>
  <c r="C23" i="55"/>
  <c r="K8" i="1"/>
  <c r="I19" i="1"/>
  <c r="L22" i="1"/>
  <c r="H23" i="28"/>
  <c r="K19" i="28"/>
  <c r="H16" i="39"/>
  <c r="J22" i="39"/>
  <c r="G11" i="12"/>
  <c r="F20" i="12"/>
  <c r="L8" i="12"/>
  <c r="K14" i="12"/>
  <c r="Q19" i="12"/>
  <c r="F4" i="52"/>
  <c r="H15" i="43"/>
  <c r="T2" i="38"/>
  <c r="K19" i="1"/>
  <c r="H23" i="1"/>
  <c r="E8" i="28"/>
  <c r="G11" i="28"/>
  <c r="K12" i="28"/>
  <c r="F16" i="39"/>
  <c r="H20" i="39"/>
  <c r="G12" i="12"/>
  <c r="L31" i="12"/>
  <c r="P33" i="12"/>
  <c r="L5" i="12"/>
  <c r="L11" i="12"/>
  <c r="K17" i="12"/>
  <c r="S22" i="12"/>
  <c r="H9" i="56"/>
  <c r="G16" i="56"/>
  <c r="H22" i="56"/>
  <c r="S9" i="56"/>
  <c r="T15" i="56"/>
  <c r="G11" i="52"/>
  <c r="Q2" i="46"/>
  <c r="A2" i="7"/>
  <c r="G2" i="5"/>
  <c r="C9" i="42"/>
  <c r="G12" i="42"/>
  <c r="C16" i="42"/>
  <c r="G19" i="42"/>
  <c r="I4" i="9"/>
  <c r="L7" i="1"/>
  <c r="J10" i="1"/>
  <c r="F16" i="1"/>
  <c r="I21" i="1"/>
  <c r="D5" i="28"/>
  <c r="D26" i="28"/>
  <c r="G21" i="28"/>
  <c r="L7" i="28"/>
  <c r="M19" i="28"/>
  <c r="H6" i="39"/>
  <c r="J5" i="39"/>
  <c r="F9" i="12"/>
  <c r="E22" i="12"/>
  <c r="G34" i="12"/>
  <c r="L3" i="12"/>
  <c r="N7" i="12"/>
  <c r="O9" i="12"/>
  <c r="Q13" i="12"/>
  <c r="S17" i="12"/>
  <c r="I5" i="56"/>
  <c r="G15" i="56"/>
  <c r="I24" i="56"/>
  <c r="T8" i="56"/>
  <c r="U17" i="56"/>
  <c r="G3" i="52"/>
  <c r="C6" i="52"/>
  <c r="H10" i="52"/>
  <c r="T2" i="46"/>
  <c r="R2" i="47"/>
  <c r="K2" i="5"/>
  <c r="E3" i="18"/>
  <c r="D3" i="42"/>
  <c r="J7" i="42"/>
  <c r="H12" i="42"/>
  <c r="I19" i="42"/>
  <c r="C7" i="43"/>
  <c r="H13" i="43"/>
  <c r="G23" i="43"/>
  <c r="M4" i="9"/>
  <c r="K2" i="38"/>
  <c r="C12" i="55"/>
  <c r="C28" i="55"/>
  <c r="H5" i="1"/>
  <c r="K10" i="1"/>
  <c r="I13" i="1"/>
  <c r="K18" i="1"/>
  <c r="G27" i="1"/>
  <c r="E14" i="28"/>
  <c r="H11" i="28"/>
  <c r="H21" i="28"/>
  <c r="M13" i="28"/>
  <c r="F9" i="39"/>
  <c r="H7" i="39"/>
  <c r="F3" i="12"/>
  <c r="E16" i="12"/>
  <c r="R30" i="12"/>
  <c r="N5" i="12"/>
  <c r="P9" i="12"/>
  <c r="Q11" i="12"/>
  <c r="R15" i="12"/>
  <c r="K20" i="12"/>
  <c r="M22" i="12"/>
  <c r="H10" i="56"/>
  <c r="J19" i="56"/>
  <c r="J24" i="56"/>
  <c r="S13" i="56"/>
  <c r="U22" i="56"/>
  <c r="H3" i="52"/>
  <c r="F8" i="52"/>
  <c r="B2" i="46"/>
  <c r="O2" i="7"/>
  <c r="I2" i="15"/>
  <c r="E3" i="42"/>
  <c r="H5" i="42"/>
  <c r="E10" i="42"/>
  <c r="C15" i="42"/>
  <c r="G17" i="42"/>
  <c r="D22" i="42"/>
  <c r="G4" i="43"/>
  <c r="G14" i="43"/>
  <c r="AG4" i="9"/>
  <c r="L10" i="1"/>
  <c r="G16" i="1"/>
  <c r="J21" i="1"/>
  <c r="H27" i="1"/>
  <c r="E5" i="28"/>
  <c r="E26" i="28"/>
  <c r="M7" i="28"/>
  <c r="L20" i="28"/>
  <c r="H8" i="39"/>
  <c r="J6" i="39"/>
  <c r="G9" i="12"/>
  <c r="F22" i="12"/>
  <c r="K30" i="12"/>
  <c r="M3" i="12"/>
  <c r="O7" i="12"/>
  <c r="Q9" i="12"/>
  <c r="R13" i="12"/>
  <c r="K18" i="12"/>
  <c r="L20" i="12"/>
  <c r="J5" i="56"/>
  <c r="H15" i="56"/>
  <c r="U8" i="56"/>
  <c r="S18" i="56"/>
  <c r="I3" i="52"/>
  <c r="D6" i="52"/>
  <c r="I10" i="52"/>
  <c r="U2" i="46"/>
  <c r="S2" i="47"/>
  <c r="L2" i="5"/>
  <c r="F3" i="18"/>
  <c r="F3" i="42"/>
  <c r="C8" i="42"/>
  <c r="I12" i="42"/>
  <c r="D15" i="42"/>
  <c r="J19" i="42"/>
  <c r="C8" i="43"/>
  <c r="H23" i="43"/>
  <c r="N4" i="9"/>
  <c r="L2" i="38"/>
  <c r="C13" i="55"/>
  <c r="C29" i="55"/>
  <c r="I5" i="1"/>
  <c r="J13" i="1"/>
  <c r="F19" i="1"/>
  <c r="I27" i="1"/>
  <c r="D15" i="28"/>
  <c r="G12" i="28"/>
  <c r="G22" i="28"/>
  <c r="K14" i="28"/>
  <c r="F10" i="39"/>
  <c r="H9" i="39"/>
  <c r="G3" i="12"/>
  <c r="F16" i="12"/>
  <c r="G22" i="12"/>
  <c r="O31" i="12"/>
  <c r="O5" i="12"/>
  <c r="R11" i="12"/>
  <c r="K16" i="12"/>
  <c r="M20" i="12"/>
  <c r="N22" i="12"/>
  <c r="I10" i="56"/>
  <c r="G20" i="56"/>
  <c r="G25" i="56"/>
  <c r="T13" i="56"/>
  <c r="V22" i="56"/>
  <c r="J3" i="52"/>
  <c r="G8" i="52"/>
  <c r="C2" i="46"/>
  <c r="V2" i="46"/>
  <c r="P2" i="7"/>
  <c r="J2" i="15"/>
  <c r="I5" i="42"/>
  <c r="G10" i="42"/>
  <c r="E15" i="42"/>
  <c r="H17" i="42"/>
  <c r="E22" i="42"/>
  <c r="H4" i="43"/>
  <c r="H14" i="43"/>
  <c r="AH4" i="9"/>
  <c r="J7" i="39"/>
  <c r="F10" i="12"/>
  <c r="E23" i="12"/>
  <c r="L30" i="12"/>
  <c r="N3" i="12"/>
  <c r="P7" i="12"/>
  <c r="R9" i="12"/>
  <c r="S13" i="12"/>
  <c r="L18" i="12"/>
  <c r="N20" i="12"/>
  <c r="G6" i="56"/>
  <c r="I15" i="56"/>
  <c r="H20" i="56"/>
  <c r="V8" i="56"/>
  <c r="T18" i="56"/>
  <c r="E6" i="52"/>
  <c r="C11" i="52"/>
  <c r="A2" i="47"/>
  <c r="T2" i="47"/>
  <c r="M2" i="5"/>
  <c r="G3" i="18"/>
  <c r="G3" i="42"/>
  <c r="D8" i="42"/>
  <c r="J12" i="42"/>
  <c r="F15" i="42"/>
  <c r="C20" i="42"/>
  <c r="C9" i="43"/>
  <c r="G5" i="43"/>
  <c r="A11" i="9"/>
  <c r="A10" i="9"/>
  <c r="A4" i="9"/>
  <c r="A13" i="9"/>
  <c r="A12" i="9"/>
  <c r="A7" i="9"/>
  <c r="A5" i="9"/>
  <c r="A9" i="9"/>
  <c r="A8" i="9"/>
  <c r="A6" i="9"/>
  <c r="O4" i="9"/>
  <c r="M2" i="38"/>
  <c r="C14" i="55"/>
  <c r="H8" i="1"/>
  <c r="K13" i="1"/>
  <c r="G19" i="1"/>
  <c r="D16" i="28"/>
  <c r="G13" i="28"/>
  <c r="H22" i="28"/>
  <c r="L14" i="28"/>
  <c r="F11" i="39"/>
  <c r="H10" i="39"/>
  <c r="E4" i="12"/>
  <c r="G16" i="12"/>
  <c r="F23" i="12"/>
  <c r="P31" i="12"/>
  <c r="P5" i="12"/>
  <c r="Q7" i="12"/>
  <c r="S11" i="12"/>
  <c r="L16" i="12"/>
  <c r="O22" i="12"/>
  <c r="G11" i="56"/>
  <c r="I20" i="56"/>
  <c r="H25" i="56"/>
  <c r="U13" i="56"/>
  <c r="S23" i="56"/>
  <c r="C4" i="52"/>
  <c r="H8" i="52"/>
  <c r="D2" i="46"/>
  <c r="B2" i="47"/>
  <c r="Q2" i="7"/>
  <c r="K2" i="15"/>
  <c r="H3" i="18"/>
  <c r="J5" i="42"/>
  <c r="H10" i="42"/>
  <c r="I17" i="42"/>
  <c r="G22" i="42"/>
  <c r="H5" i="43"/>
  <c r="G15" i="43"/>
  <c r="AI4" i="9"/>
  <c r="I2" i="47"/>
  <c r="A2" i="15"/>
  <c r="D21" i="42"/>
  <c r="G19" i="43"/>
  <c r="Y4" i="9"/>
  <c r="H12" i="1"/>
  <c r="I20" i="1"/>
  <c r="L28" i="1"/>
  <c r="D11" i="28"/>
  <c r="G17" i="28"/>
  <c r="K11" i="28"/>
  <c r="M17" i="28"/>
  <c r="F20" i="39"/>
  <c r="J16" i="39"/>
  <c r="F7" i="12"/>
  <c r="G19" i="12"/>
  <c r="L33" i="12"/>
  <c r="Q33" i="12"/>
  <c r="P6" i="12"/>
  <c r="R10" i="12"/>
  <c r="L17" i="12"/>
  <c r="N21" i="12"/>
  <c r="I8" i="56"/>
  <c r="H13" i="56"/>
  <c r="I22" i="56"/>
  <c r="S11" i="56"/>
  <c r="S16" i="56"/>
  <c r="T25" i="56"/>
  <c r="F7" i="52"/>
  <c r="J9" i="52"/>
  <c r="M2" i="46"/>
  <c r="G2" i="7"/>
  <c r="D2" i="5"/>
  <c r="T2" i="15"/>
  <c r="H4" i="42"/>
  <c r="I11" i="42"/>
  <c r="G16" i="42"/>
  <c r="E21" i="42"/>
  <c r="H23" i="42"/>
  <c r="H9" i="43"/>
  <c r="D2" i="38"/>
  <c r="C22" i="55"/>
  <c r="H4" i="1"/>
  <c r="J9" i="1"/>
  <c r="F15" i="1"/>
  <c r="L17" i="1"/>
  <c r="G23" i="1"/>
  <c r="E11" i="28"/>
  <c r="G8" i="28"/>
  <c r="K5" i="28"/>
  <c r="L11" i="28"/>
  <c r="F2" i="39"/>
  <c r="H19" i="39"/>
  <c r="G13" i="12"/>
  <c r="F32" i="12"/>
  <c r="R33" i="12"/>
  <c r="P4" i="12"/>
  <c r="Q8" i="12"/>
  <c r="S12" i="12"/>
  <c r="L15" i="12"/>
  <c r="M19" i="12"/>
  <c r="O23" i="12"/>
  <c r="J8" i="56"/>
  <c r="G18" i="56"/>
  <c r="U6" i="56"/>
  <c r="T11" i="56"/>
  <c r="V20" i="56"/>
  <c r="D5" i="52"/>
  <c r="E12" i="52"/>
  <c r="K2" i="47"/>
  <c r="E2" i="5"/>
  <c r="B2" i="15"/>
  <c r="Q3" i="18"/>
  <c r="C7" i="42"/>
  <c r="G9" i="42"/>
  <c r="D14" i="42"/>
  <c r="J18" i="42"/>
  <c r="F21" i="42"/>
  <c r="C19" i="43"/>
  <c r="H19" i="43"/>
  <c r="Z4" i="9"/>
  <c r="J27" i="48"/>
  <c r="J17" i="56"/>
  <c r="T6" i="56"/>
  <c r="U20" i="56"/>
  <c r="C5" i="52"/>
  <c r="I9" i="52"/>
  <c r="D12" i="52"/>
  <c r="C2" i="5"/>
  <c r="P3" i="18"/>
  <c r="J6" i="42"/>
  <c r="F9" i="42"/>
  <c r="C14" i="42"/>
  <c r="I18" i="42"/>
  <c r="C18" i="43"/>
  <c r="E4" i="9"/>
  <c r="V2" i="38"/>
  <c r="L6" i="1"/>
  <c r="E20" i="28"/>
  <c r="F7" i="1"/>
  <c r="I12" i="1"/>
  <c r="G15" i="1"/>
  <c r="D21" i="28"/>
  <c r="G18" i="28"/>
  <c r="M11" i="28"/>
  <c r="K18" i="28"/>
  <c r="F21" i="39"/>
  <c r="J17" i="39"/>
  <c r="G7" i="12"/>
  <c r="E20" i="12"/>
  <c r="M33" i="12"/>
  <c r="O34" i="12"/>
  <c r="Q6" i="12"/>
  <c r="S10" i="12"/>
  <c r="K13" i="12"/>
  <c r="M17" i="12"/>
  <c r="O21" i="12"/>
  <c r="I13" i="56"/>
  <c r="G23" i="56"/>
  <c r="U11" i="56"/>
  <c r="T16" i="56"/>
  <c r="U25" i="56"/>
  <c r="G7" i="52"/>
  <c r="C10" i="52"/>
  <c r="N2" i="46"/>
  <c r="H2" i="7"/>
  <c r="F2" i="5"/>
  <c r="U2" i="15"/>
  <c r="I4" i="42"/>
  <c r="D7" i="42"/>
  <c r="J11" i="42"/>
  <c r="H16" i="42"/>
  <c r="I23" i="42"/>
  <c r="H10" i="43"/>
  <c r="E2" i="38"/>
  <c r="F4" i="9"/>
  <c r="V4" i="9"/>
  <c r="AL4" i="9"/>
  <c r="N2" i="38"/>
  <c r="G4" i="9"/>
  <c r="W4" i="9"/>
  <c r="AM4" i="9"/>
  <c r="O2" i="38"/>
  <c r="H4" i="9"/>
  <c r="X4" i="9"/>
  <c r="AN4" i="9"/>
  <c r="P2" i="38"/>
  <c r="P4" i="9"/>
  <c r="AF4" i="9"/>
  <c r="H2" i="38"/>
  <c r="J28" i="48"/>
  <c r="G5" i="1"/>
  <c r="I7" i="1"/>
  <c r="K9" i="1"/>
  <c r="F12" i="1"/>
  <c r="H14" i="1"/>
  <c r="J16" i="1"/>
  <c r="L18" i="1"/>
  <c r="G21" i="1"/>
  <c r="I23" i="1"/>
  <c r="K28" i="1"/>
  <c r="E7" i="28"/>
  <c r="E15" i="28"/>
  <c r="E23" i="28"/>
  <c r="H9" i="28"/>
  <c r="H17" i="28"/>
  <c r="K4" i="28"/>
  <c r="L9" i="28"/>
  <c r="M14" i="28"/>
  <c r="K20" i="28"/>
  <c r="F6" i="39"/>
  <c r="F22" i="39"/>
  <c r="H17" i="39"/>
  <c r="J12" i="39"/>
  <c r="G4" i="12"/>
  <c r="E10" i="12"/>
  <c r="F15" i="12"/>
  <c r="G20" i="12"/>
  <c r="E32" i="12"/>
  <c r="L32" i="12"/>
  <c r="O32" i="12"/>
  <c r="O3" i="12"/>
  <c r="M5" i="12"/>
  <c r="K7" i="12"/>
  <c r="R8" i="12"/>
  <c r="P10" i="12"/>
  <c r="N12" i="12"/>
  <c r="L14" i="12"/>
  <c r="S15" i="12"/>
  <c r="Q17" i="12"/>
  <c r="O19" i="12"/>
  <c r="M21" i="12"/>
  <c r="K23" i="12"/>
  <c r="J6" i="56"/>
  <c r="J10" i="56"/>
  <c r="J14" i="56"/>
  <c r="J18" i="56"/>
  <c r="J22" i="56"/>
  <c r="V5" i="56"/>
  <c r="V9" i="56"/>
  <c r="V13" i="56"/>
  <c r="V17" i="56"/>
  <c r="V21" i="56"/>
  <c r="V25" i="56"/>
  <c r="J4" i="52"/>
  <c r="J6" i="52"/>
  <c r="J8" i="52"/>
  <c r="J10" i="52"/>
  <c r="J12" i="52"/>
  <c r="P2" i="46"/>
  <c r="J2" i="47"/>
  <c r="D2" i="7"/>
  <c r="T2" i="7"/>
  <c r="N2" i="5"/>
  <c r="H2" i="15"/>
  <c r="B3" i="18"/>
  <c r="R3" i="18"/>
  <c r="F4" i="42"/>
  <c r="F6" i="42"/>
  <c r="F8" i="42"/>
  <c r="F10" i="42"/>
  <c r="F12" i="42"/>
  <c r="F14" i="42"/>
  <c r="F16" i="42"/>
  <c r="F18" i="42"/>
  <c r="F20" i="42"/>
  <c r="F22" i="42"/>
  <c r="C6" i="43"/>
  <c r="C22" i="43"/>
  <c r="G10" i="43"/>
  <c r="G18" i="43"/>
  <c r="AG2" i="12"/>
  <c r="AF2" i="12"/>
  <c r="J20" i="1" a="1"/>
  <c r="E21" i="28" a="1"/>
  <c r="E10" i="28" a="1"/>
  <c r="E18" i="28" a="1"/>
  <c r="M9" i="48" a="1"/>
  <c r="M5" i="48" a="1"/>
  <c r="M22" i="48" a="1"/>
  <c r="J5" i="1" a="1"/>
  <c r="J18" i="1" a="1"/>
  <c r="J18" i="1" l="1"/>
  <c r="J5" i="1"/>
  <c r="M22" i="48"/>
  <c r="M5" i="48"/>
  <c r="M9" i="48"/>
  <c r="E18" i="28"/>
  <c r="E10" i="28"/>
  <c r="E21" i="28"/>
  <c r="J20" i="1"/>
  <c r="Y3" i="12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L26" i="48" a="1"/>
  <c r="O3" i="48" a="1"/>
  <c r="K26" i="48" a="1"/>
  <c r="N3" i="48" a="1"/>
  <c r="N3" i="48" l="1"/>
  <c r="K26" i="48"/>
  <c r="O3" i="48"/>
  <c r="L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L27" i="48" a="1"/>
  <c r="L28" i="48" a="1"/>
  <c r="K27" i="48" a="1"/>
  <c r="K28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O24" i="48" l="1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8" i="48"/>
  <c r="K27" i="48"/>
  <c r="L28" i="48"/>
  <c r="L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Q8" i="48" l="1" a="1"/>
  <c r="Q8" i="48" s="1"/>
  <c r="AF7" i="12" s="1"/>
  <c r="Q4" i="48" a="1"/>
  <c r="Q4" i="48" s="1"/>
  <c r="AF3" i="12" s="1"/>
  <c r="Q11" i="48" a="1"/>
  <c r="Q11" i="48" s="1"/>
  <c r="AF10" i="12" s="1"/>
  <c r="Q23" i="48" a="1"/>
  <c r="Q23" i="48" s="1"/>
  <c r="AF22" i="12" s="1"/>
  <c r="Q20" i="48" a="1"/>
  <c r="Q20" i="48" s="1"/>
  <c r="AF19" i="12" s="1"/>
  <c r="Q13" i="48" a="1"/>
  <c r="Q13" i="48" s="1"/>
  <c r="AF12" i="12" s="1"/>
  <c r="Q10" i="48" a="1"/>
  <c r="Q10" i="48" s="1"/>
  <c r="AF9" i="12" s="1"/>
  <c r="Q7" i="48" a="1"/>
  <c r="Q7" i="48" s="1"/>
  <c r="AF6" i="12" s="1"/>
  <c r="Q22" i="48" a="1"/>
  <c r="Q22" i="48" s="1"/>
  <c r="AF21" i="12" s="1"/>
  <c r="Q19" i="48" a="1"/>
  <c r="Q19" i="48" s="1"/>
  <c r="AF18" i="12" s="1"/>
  <c r="Q16" i="48" a="1"/>
  <c r="Q16" i="48" s="1"/>
  <c r="AF15" i="12" s="1"/>
  <c r="Q9" i="48" a="1"/>
  <c r="Q9" i="48" s="1"/>
  <c r="AF8" i="12" s="1"/>
  <c r="Q6" i="48" a="1"/>
  <c r="Q6" i="48" s="1"/>
  <c r="AF5" i="12" s="1"/>
  <c r="Q21" i="48" a="1"/>
  <c r="Q21" i="48" s="1"/>
  <c r="AF20" i="12" s="1"/>
  <c r="Q18" i="48" a="1"/>
  <c r="Q18" i="48" s="1"/>
  <c r="AF17" i="12" s="1"/>
  <c r="Q15" i="48" a="1"/>
  <c r="Q15" i="48" s="1"/>
  <c r="AF14" i="12" s="1"/>
  <c r="Q12" i="48" a="1"/>
  <c r="Q12" i="48" s="1"/>
  <c r="AF11" i="12" s="1"/>
  <c r="Q5" i="48" a="1"/>
  <c r="Q5" i="48" s="1"/>
  <c r="AF4" i="12" s="1"/>
  <c r="Q24" i="48" a="1"/>
  <c r="Q24" i="48" s="1"/>
  <c r="AF23" i="12" s="1"/>
  <c r="Q17" i="48" a="1"/>
  <c r="Q17" i="48" s="1"/>
  <c r="AF16" i="12" s="1"/>
  <c r="Q14" i="48" a="1"/>
  <c r="Q14" i="48" s="1"/>
  <c r="AF13" i="12" s="1"/>
  <c r="N30" i="56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5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6" i="40" l="1"/>
  <c r="D20" i="40"/>
  <c r="D15" i="40"/>
  <c r="E12" i="49" s="1"/>
  <c r="D14" i="40"/>
  <c r="D13" i="40"/>
  <c r="D19" i="40"/>
  <c r="D21" i="40"/>
  <c r="E23" i="49" s="1"/>
  <c r="E20" i="49"/>
  <c r="D7" i="40"/>
  <c r="E17" i="49" s="1"/>
  <c r="D9" i="40"/>
  <c r="D11" i="40"/>
  <c r="D10" i="40"/>
  <c r="E4" i="49" s="1"/>
  <c r="D18" i="40"/>
  <c r="D8" i="40"/>
  <c r="D17" i="40"/>
  <c r="E19" i="49" s="1"/>
  <c r="D12" i="40"/>
  <c r="E22" i="49" s="1"/>
  <c r="D23" i="40"/>
  <c r="D24" i="40"/>
  <c r="D22" i="40"/>
  <c r="D16" i="40"/>
  <c r="E9" i="49" l="1"/>
  <c r="E18" i="49"/>
  <c r="E13" i="49"/>
  <c r="E7" i="49"/>
  <c r="E8" i="49"/>
  <c r="E15" i="49"/>
  <c r="E10" i="49"/>
  <c r="E11" i="49"/>
  <c r="E5" i="49"/>
  <c r="E21" i="49"/>
  <c r="E6" i="49"/>
  <c r="E14" i="49"/>
  <c r="E16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6" i="40" s="1"/>
  <c r="U10" i="42" a="1"/>
  <c r="U10" i="42" s="1"/>
  <c r="L10" i="40" s="1"/>
  <c r="U13" i="42" a="1"/>
  <c r="U13" i="42" s="1"/>
  <c r="L7" i="40" s="1"/>
  <c r="U18" i="42" a="1"/>
  <c r="U18" i="42" s="1"/>
  <c r="L25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3" i="49" l="1"/>
  <c r="I23" i="55"/>
  <c r="I14" i="55"/>
  <c r="K18" i="49"/>
  <c r="K20" i="49"/>
  <c r="I24" i="55"/>
  <c r="P24" i="55" s="1"/>
  <c r="I29" i="55"/>
  <c r="K6" i="49"/>
  <c r="K17" i="49"/>
  <c r="I19" i="55"/>
  <c r="K21" i="49"/>
  <c r="I12" i="55"/>
  <c r="I22" i="55"/>
  <c r="K14" i="49"/>
  <c r="K11" i="49"/>
  <c r="I18" i="55"/>
  <c r="K4" i="49"/>
  <c r="I16" i="55"/>
  <c r="K7" i="49"/>
  <c r="I17" i="55"/>
  <c r="I27" i="55"/>
  <c r="K22" i="49"/>
  <c r="K8" i="49"/>
  <c r="I11" i="55"/>
  <c r="L23" i="40"/>
  <c r="L24" i="40"/>
  <c r="L22" i="40"/>
  <c r="L21" i="40"/>
  <c r="L15" i="40"/>
  <c r="L14" i="40"/>
  <c r="L17" i="40"/>
  <c r="L8" i="40"/>
  <c r="K16" i="49" l="1"/>
  <c r="I26" i="55"/>
  <c r="K23" i="49"/>
  <c r="I20" i="55"/>
  <c r="K19" i="49"/>
  <c r="I15" i="55"/>
  <c r="K5" i="49"/>
  <c r="I28" i="55"/>
  <c r="I13" i="55"/>
  <c r="K10" i="49"/>
  <c r="I9" i="55"/>
  <c r="K9" i="49"/>
  <c r="K15" i="49"/>
  <c r="I10" i="55"/>
  <c r="I25" i="55"/>
  <c r="I21" i="55"/>
  <c r="K12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N3" i="28"/>
  <c r="X13" i="28" l="1"/>
  <c r="I7" i="40" s="1"/>
  <c r="I17" i="49" s="1"/>
  <c r="X4" i="28"/>
  <c r="I24" i="40" s="1"/>
  <c r="X18" i="28"/>
  <c r="I25" i="40" s="1"/>
  <c r="X6" i="28"/>
  <c r="I16" i="40" s="1"/>
  <c r="X23" i="28"/>
  <c r="I18" i="40" s="1"/>
  <c r="X5" i="28"/>
  <c r="I26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X11" i="28"/>
  <c r="X14" i="28"/>
  <c r="H19" i="55" l="1"/>
  <c r="H25" i="55"/>
  <c r="I19" i="49"/>
  <c r="H15" i="55"/>
  <c r="I18" i="49"/>
  <c r="H14" i="55"/>
  <c r="H24" i="55"/>
  <c r="I20" i="49"/>
  <c r="I22" i="49"/>
  <c r="H27" i="55"/>
  <c r="I13" i="49"/>
  <c r="H23" i="55"/>
  <c r="I8" i="49"/>
  <c r="H11" i="55"/>
  <c r="I15" i="49"/>
  <c r="H10" i="55"/>
  <c r="I10" i="49"/>
  <c r="H13" i="55"/>
  <c r="H29" i="55"/>
  <c r="I6" i="49"/>
  <c r="H12" i="55"/>
  <c r="I21" i="49"/>
  <c r="I11" i="40"/>
  <c r="I15" i="40"/>
  <c r="I23" i="40"/>
  <c r="I21" i="40"/>
  <c r="I19" i="40"/>
  <c r="I14" i="40"/>
  <c r="I22" i="40"/>
  <c r="I9" i="40"/>
  <c r="I10" i="40"/>
  <c r="H16" i="55" l="1"/>
  <c r="I4" i="49"/>
  <c r="H28" i="55"/>
  <c r="I5" i="49"/>
  <c r="H9" i="55"/>
  <c r="I9" i="49"/>
  <c r="H21" i="55"/>
  <c r="I12" i="49"/>
  <c r="I14" i="49"/>
  <c r="H22" i="55"/>
  <c r="I11" i="49"/>
  <c r="H18" i="55"/>
  <c r="H20" i="55"/>
  <c r="I23" i="49"/>
  <c r="I7" i="49"/>
  <c r="H17" i="55"/>
  <c r="I16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4" i="40" s="1"/>
  <c r="F15" i="49" s="1"/>
  <c r="S6" i="39" a="1"/>
  <c r="S6" i="39" s="1"/>
  <c r="E8" i="40" s="1"/>
  <c r="S11" i="39" a="1"/>
  <c r="S11" i="39" s="1"/>
  <c r="E9" i="40" s="1"/>
  <c r="F11" i="49" s="1"/>
  <c r="S14" i="39" a="1"/>
  <c r="S14" i="39" s="1"/>
  <c r="E15" i="40" s="1"/>
  <c r="S19" i="39" a="1"/>
  <c r="S19" i="39" s="1"/>
  <c r="E23" i="40" s="1"/>
  <c r="S22" i="39" a="1"/>
  <c r="S22" i="39" s="1"/>
  <c r="E18" i="40" s="1"/>
  <c r="S4" i="39" a="1"/>
  <c r="S4" i="39" s="1"/>
  <c r="E26" i="40" s="1"/>
  <c r="F8" i="49" s="1"/>
  <c r="S9" i="39" a="1"/>
  <c r="S9" i="39" s="1"/>
  <c r="E10" i="40" s="1"/>
  <c r="S12" i="39" a="1"/>
  <c r="S12" i="39" s="1"/>
  <c r="E7" i="40" s="1"/>
  <c r="S17" i="39" a="1"/>
  <c r="S17" i="39" s="1"/>
  <c r="E25" i="40" s="1"/>
  <c r="S20" i="39" a="1"/>
  <c r="S20" i="39" s="1"/>
  <c r="E12" i="40" s="1"/>
  <c r="S7" i="39" a="1"/>
  <c r="S7" i="39" s="1"/>
  <c r="E20" i="40" s="1"/>
  <c r="S10" i="39" a="1"/>
  <c r="S10" i="39" s="1"/>
  <c r="E19" i="40" s="1"/>
  <c r="F7" i="49" s="1"/>
  <c r="S15" i="39" a="1"/>
  <c r="S15" i="39" s="1"/>
  <c r="E11" i="40" s="1"/>
  <c r="S18" i="39" a="1"/>
  <c r="S18" i="39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1" i="40" s="1"/>
  <c r="S16" i="39" a="1"/>
  <c r="S16" i="39" s="1"/>
  <c r="E13" i="40" s="1"/>
  <c r="F13" i="49" s="1"/>
  <c r="S21" i="39" a="1"/>
  <c r="S21" i="39" s="1"/>
  <c r="E22" i="40" s="1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7" i="49" l="1"/>
  <c r="F5" i="49"/>
  <c r="F14" i="49"/>
  <c r="F21" i="49"/>
  <c r="F16" i="49"/>
  <c r="F4" i="49"/>
  <c r="F19" i="49"/>
  <c r="F12" i="49"/>
  <c r="F10" i="49"/>
  <c r="F6" i="49"/>
  <c r="F23" i="49"/>
  <c r="F20" i="49"/>
  <c r="F9" i="49"/>
  <c r="F18" i="49"/>
  <c r="F22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4" i="40" s="1"/>
  <c r="G24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3" i="40" s="1"/>
  <c r="G23" i="40" s="1"/>
  <c r="R24" i="13" a="1"/>
  <c r="R24" i="13" s="1"/>
  <c r="F18" i="40" s="1"/>
  <c r="G18" i="40" s="1"/>
  <c r="R6" i="13" a="1"/>
  <c r="R6" i="13" s="1"/>
  <c r="F26" i="40" s="1"/>
  <c r="G26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5" i="40" s="1"/>
  <c r="G25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1" i="40" s="1"/>
  <c r="G21" i="40" s="1"/>
  <c r="R18" i="13" a="1"/>
  <c r="R18" i="13" s="1"/>
  <c r="F13" i="40" s="1"/>
  <c r="G13" i="40" s="1"/>
  <c r="R23" i="13" a="1"/>
  <c r="R23" i="13" s="1"/>
  <c r="F22" i="40" s="1"/>
  <c r="G22" i="40" s="1"/>
  <c r="R4" i="13" a="1"/>
  <c r="R4" i="13" s="1"/>
  <c r="F14" i="40" s="1"/>
  <c r="G14" i="40" s="1"/>
  <c r="G10" i="49"/>
  <c r="I21" i="12"/>
  <c r="I13" i="12"/>
  <c r="H5" i="12"/>
  <c r="K26" i="40" s="1"/>
  <c r="I5" i="12"/>
  <c r="I23" i="12"/>
  <c r="I3" i="12"/>
  <c r="H10" i="12"/>
  <c r="K10" i="40" s="1"/>
  <c r="G22" i="49" l="1"/>
  <c r="G8" i="49"/>
  <c r="H22" i="40" a="1"/>
  <c r="H22" i="40" s="1"/>
  <c r="H19" i="40" a="1"/>
  <c r="H19" i="40" s="1"/>
  <c r="H15" i="40" a="1"/>
  <c r="H15" i="40" s="1"/>
  <c r="H24" i="40" a="1"/>
  <c r="H24" i="40" s="1"/>
  <c r="H25" i="40" a="1"/>
  <c r="H25" i="40" s="1"/>
  <c r="H21" i="40" a="1"/>
  <c r="H21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6" i="40" a="1"/>
  <c r="H26" i="40" s="1"/>
  <c r="H9" i="40" a="1"/>
  <c r="H9" i="40" s="1"/>
  <c r="H23" i="40" a="1"/>
  <c r="H23" i="40" s="1"/>
  <c r="H17" i="40" a="1"/>
  <c r="H17" i="40" s="1"/>
  <c r="H10" i="40" a="1"/>
  <c r="H10" i="40" s="1"/>
  <c r="H14" i="40" a="1"/>
  <c r="H14" i="40" s="1"/>
  <c r="H11" i="40" a="1"/>
  <c r="H11" i="40" s="1"/>
  <c r="H7" i="40" a="1"/>
  <c r="H7" i="40" s="1"/>
  <c r="H12" i="40" a="1"/>
  <c r="H12" i="40" s="1"/>
  <c r="G17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6" i="49"/>
  <c r="G14" i="49"/>
  <c r="G15" i="49"/>
  <c r="G6" i="49"/>
  <c r="G21" i="49"/>
  <c r="G12" i="49"/>
  <c r="G4" i="49"/>
  <c r="G7" i="49"/>
  <c r="G18" i="49"/>
  <c r="G20" i="49"/>
  <c r="G19" i="49"/>
  <c r="G23" i="49"/>
  <c r="G5" i="49"/>
  <c r="G13" i="49"/>
  <c r="G11" i="49"/>
  <c r="G9" i="49"/>
  <c r="J5" i="12"/>
  <c r="H3" i="12"/>
  <c r="K14" i="40" s="1"/>
  <c r="H21" i="12"/>
  <c r="K12" i="40" s="1"/>
  <c r="I16" i="12"/>
  <c r="H19" i="12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5" i="40" s="1"/>
  <c r="I4" i="12"/>
  <c r="I7" i="12"/>
  <c r="I12" i="12"/>
  <c r="I11" i="12"/>
  <c r="H4" i="12"/>
  <c r="K24" i="40" s="1"/>
  <c r="I14" i="12"/>
  <c r="H14" i="12"/>
  <c r="K21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3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2" i="40" s="1"/>
  <c r="H15" i="12"/>
  <c r="K15" i="40" s="1"/>
  <c r="H17" i="49" l="1"/>
  <c r="G19" i="55"/>
  <c r="L19" i="55" s="1"/>
  <c r="G16" i="55"/>
  <c r="L16" i="55" s="1"/>
  <c r="H4" i="49"/>
  <c r="G11" i="55"/>
  <c r="L11" i="55" s="1"/>
  <c r="H8" i="49"/>
  <c r="H10" i="49"/>
  <c r="G13" i="55"/>
  <c r="L13" i="55" s="1"/>
  <c r="H15" i="49"/>
  <c r="G10" i="55"/>
  <c r="L10" i="55" s="1"/>
  <c r="H14" i="49"/>
  <c r="G22" i="55"/>
  <c r="L22" i="55" s="1"/>
  <c r="G15" i="55"/>
  <c r="L15" i="55" s="1"/>
  <c r="H19" i="49"/>
  <c r="H21" i="49"/>
  <c r="G12" i="55"/>
  <c r="L12" i="55" s="1"/>
  <c r="H6" i="49"/>
  <c r="G29" i="55"/>
  <c r="L29" i="55" s="1"/>
  <c r="G21" i="55"/>
  <c r="L21" i="55" s="1"/>
  <c r="H12" i="49"/>
  <c r="H9" i="49"/>
  <c r="G9" i="55"/>
  <c r="L9" i="55" s="1"/>
  <c r="H16" i="49"/>
  <c r="G26" i="55"/>
  <c r="L26" i="55" s="1"/>
  <c r="H18" i="49"/>
  <c r="G14" i="55"/>
  <c r="L14" i="55" s="1"/>
  <c r="G20" i="55"/>
  <c r="L20" i="55" s="1"/>
  <c r="H23" i="49"/>
  <c r="H7" i="49"/>
  <c r="G17" i="55"/>
  <c r="L17" i="55" s="1"/>
  <c r="G27" i="55"/>
  <c r="L27" i="55" s="1"/>
  <c r="H22" i="49"/>
  <c r="G25" i="55"/>
  <c r="L25" i="55" s="1"/>
  <c r="H11" i="49"/>
  <c r="G18" i="55"/>
  <c r="L18" i="55" s="1"/>
  <c r="H13" i="49"/>
  <c r="G23" i="55"/>
  <c r="L23" i="55" s="1"/>
  <c r="G24" i="55"/>
  <c r="L24" i="55" s="1"/>
  <c r="H20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4" i="40" s="1"/>
  <c r="AJ8" i="12" a="1"/>
  <c r="AJ8" i="12" s="1"/>
  <c r="J20" i="40" s="1"/>
  <c r="AJ15" i="12" a="1"/>
  <c r="AJ15" i="12" s="1"/>
  <c r="J15" i="40" s="1"/>
  <c r="AJ22" i="12" a="1"/>
  <c r="AJ22" i="12" s="1"/>
  <c r="J22" i="40" s="1"/>
  <c r="AJ6" i="12" a="1"/>
  <c r="AJ6" i="12" s="1"/>
  <c r="J16" i="40" s="1"/>
  <c r="AJ19" i="12" a="1"/>
  <c r="AJ19" i="12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5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1" i="40" s="1"/>
  <c r="AJ11" i="12" a="1"/>
  <c r="AJ11" i="12" s="1"/>
  <c r="J19" i="40" s="1"/>
  <c r="AJ21" i="12" a="1"/>
  <c r="AJ21" i="12" s="1"/>
  <c r="J12" i="40" s="1"/>
  <c r="AJ5" i="12" a="1"/>
  <c r="AJ5" i="12" s="1"/>
  <c r="J26" i="40" s="1"/>
  <c r="AJ20" i="12" a="1"/>
  <c r="AJ20" i="12" s="1"/>
  <c r="J23" i="40" s="1"/>
  <c r="M16" i="40" l="1"/>
  <c r="M24" i="40"/>
  <c r="J10" i="49"/>
  <c r="F13" i="55"/>
  <c r="J13" i="55" s="1"/>
  <c r="F18" i="55"/>
  <c r="J18" i="55" s="1"/>
  <c r="J11" i="49"/>
  <c r="J22" i="49"/>
  <c r="F27" i="55"/>
  <c r="J27" i="55" s="1"/>
  <c r="F29" i="55"/>
  <c r="J29" i="55" s="1"/>
  <c r="J6" i="49"/>
  <c r="F19" i="55"/>
  <c r="J19" i="55" s="1"/>
  <c r="J17" i="49"/>
  <c r="M15" i="40"/>
  <c r="F21" i="55"/>
  <c r="J21" i="55" s="1"/>
  <c r="J12" i="49"/>
  <c r="F11" i="55"/>
  <c r="J11" i="55" s="1"/>
  <c r="J8" i="49"/>
  <c r="M13" i="40"/>
  <c r="F23" i="55"/>
  <c r="J23" i="55" s="1"/>
  <c r="J13" i="49"/>
  <c r="F28" i="55"/>
  <c r="J28" i="55" s="1"/>
  <c r="J5" i="49"/>
  <c r="F17" i="55"/>
  <c r="J17" i="55" s="1"/>
  <c r="J7" i="49"/>
  <c r="J20" i="49"/>
  <c r="F24" i="55"/>
  <c r="J24" i="55" s="1"/>
  <c r="M25" i="40"/>
  <c r="F26" i="55"/>
  <c r="J26" i="55" s="1"/>
  <c r="J16" i="49"/>
  <c r="J23" i="49"/>
  <c r="F20" i="55"/>
  <c r="J20" i="55" s="1"/>
  <c r="J14" i="49"/>
  <c r="F22" i="55"/>
  <c r="J22" i="55" s="1"/>
  <c r="M18" i="40"/>
  <c r="M9" i="40"/>
  <c r="M12" i="40"/>
  <c r="M19" i="40"/>
  <c r="M21" i="40"/>
  <c r="M8" i="40"/>
  <c r="M7" i="40"/>
  <c r="M23" i="40"/>
  <c r="M11" i="40"/>
  <c r="M22" i="40"/>
  <c r="M26" i="40"/>
  <c r="J21" i="49" l="1"/>
  <c r="F10" i="55"/>
  <c r="J10" i="55" s="1"/>
  <c r="J15" i="49"/>
  <c r="F12" i="55"/>
  <c r="J12" i="55" s="1"/>
  <c r="M20" i="40"/>
  <c r="J18" i="49"/>
  <c r="F14" i="55"/>
  <c r="J14" i="55" s="1"/>
  <c r="F25" i="55"/>
  <c r="J25" i="55" s="1"/>
  <c r="M17" i="40"/>
  <c r="J19" i="49"/>
  <c r="F15" i="55"/>
  <c r="J15" i="55" s="1"/>
  <c r="M10" i="40"/>
  <c r="F16" i="55"/>
  <c r="J16" i="55" s="1"/>
  <c r="J4" i="49"/>
  <c r="M14" i="40"/>
  <c r="F9" i="55"/>
  <c r="J9" i="55" s="1"/>
  <c r="J9" i="49"/>
  <c r="N19" i="40" l="1" a="1"/>
  <c r="N19" i="40" s="1"/>
  <c r="L7" i="49" s="1"/>
  <c r="N14" i="40" a="1"/>
  <c r="N14" i="40" s="1"/>
  <c r="L9" i="49" s="1"/>
  <c r="N9" i="40" a="1"/>
  <c r="N9" i="40" s="1"/>
  <c r="L11" i="49" s="1"/>
  <c r="N17" i="40" a="1"/>
  <c r="N17" i="40" s="1"/>
  <c r="L19" i="49" s="1"/>
  <c r="N7" i="40" a="1"/>
  <c r="N7" i="40" s="1"/>
  <c r="L17" i="49" s="1"/>
  <c r="N13" i="40" a="1"/>
  <c r="N13" i="40" s="1"/>
  <c r="L13" i="49" s="1"/>
  <c r="N25" i="40" a="1"/>
  <c r="N25" i="40" s="1"/>
  <c r="L20" i="49" s="1"/>
  <c r="N26" i="40" a="1"/>
  <c r="N26" i="40" s="1"/>
  <c r="L8" i="49" s="1"/>
  <c r="N23" i="40" a="1"/>
  <c r="N23" i="40" s="1"/>
  <c r="L16" i="49" s="1"/>
  <c r="N20" i="40" a="1"/>
  <c r="N20" i="40" s="1"/>
  <c r="L18" i="49" s="1"/>
  <c r="N10" i="40" a="1"/>
  <c r="N10" i="40" s="1"/>
  <c r="L4" i="49" s="1"/>
  <c r="N15" i="40" a="1"/>
  <c r="N15" i="40" s="1"/>
  <c r="L12" i="49" s="1"/>
  <c r="N21" i="40" a="1"/>
  <c r="N21" i="40" s="1"/>
  <c r="L23" i="49" s="1"/>
  <c r="N8" i="40" a="1"/>
  <c r="N8" i="40" s="1"/>
  <c r="L10" i="49" s="1"/>
  <c r="N12" i="40" a="1"/>
  <c r="N12" i="40" s="1"/>
  <c r="L22" i="49" s="1"/>
  <c r="N18" i="40" a="1"/>
  <c r="N18" i="40" s="1"/>
  <c r="L6" i="49" s="1"/>
  <c r="N16" i="40" a="1"/>
  <c r="N16" i="40" s="1"/>
  <c r="L21" i="49" s="1"/>
  <c r="N24" i="40" a="1"/>
  <c r="N24" i="40" s="1"/>
  <c r="L15" i="49" s="1"/>
  <c r="N22" i="40" a="1"/>
  <c r="N22" i="40" s="1"/>
  <c r="L5" i="49" s="1"/>
  <c r="N11" i="40" a="1"/>
  <c r="N11" i="40" s="1"/>
  <c r="L14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4FFC83CA-8CD2-4751-8C47-AFAA62797923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Timestamp="1728630700"&gt;&lt;FQL&gt;&lt;Q&gt;NQG00809^FMA_MCAP(0,,,USD,"PORTAGG")&lt;/Q&gt;&lt;R&gt;0&lt;/R&gt;&lt;C&gt;0&lt;/C&gt;&lt;/FQL&gt;&lt;FQL&gt;&lt;Q&gt;FC0000GR^FMA_MCAP(0,,,USD,"PORTAGG")&lt;/Q&gt;&lt;R&gt;1&lt;/R&gt;&lt;C&gt;1&lt;/C&gt;&lt;D xsi:type="xsd:double"&gt;81358.65&lt;/D&gt;&lt;/FQL&gt;&lt;FQL&gt;&lt;Q&gt;FC0000ZA^FMA_MCAP(0,,,USD,"PORTAGG")&lt;/Q&gt;&lt;R&gt;1&lt;/R&gt;&lt;C&gt;1&lt;/C&gt;&lt;D xsi:type="xsd:double"&gt;368945.25&lt;/D&gt;&lt;/FQL&gt;&lt;FQL&gt;&lt;Q&gt;FC0000CH^FMA_MCAP(0,,,USD,"PORTAGG")&lt;/Q&gt;&lt;R&gt;1&lt;/R&gt;&lt;C&gt;1&lt;/C&gt;&lt;D xsi:type="xsd:double"&gt;2295681.8&lt;/D&gt;&lt;/FQL&gt;&lt;FQL&gt;&lt;Q&gt;EWJ^FREF_MARKET_VALUE_COMPANY(0,,,USD,,0,,"LEGACY")&lt;/Q&gt;&lt;R&gt;1&lt;/R&gt;&lt;C&gt;1&lt;/C&gt;&lt;D xsi:type="xsd:double"&gt;14995.35&lt;/D&gt;&lt;/FQL&gt;&lt;FQL&gt;&lt;Q&gt;FC0000MX^FMA_MCAP(0,,,USD,"PORTAGG")&lt;/Q&gt;&lt;R&gt;1&lt;/R&gt;&lt;C&gt;1&lt;/C&gt;&lt;D xsi:type="xsd:double"&gt;417534.03&lt;/D&gt;&lt;/FQL&gt;&lt;FQL&gt;&lt;Q&gt;EWG^FREF_MARKET_VALUE_COMPANY(0,,,USD,,0,,"LEGACY")&lt;/Q&gt;&lt;R&gt;1&lt;/R&gt;&lt;C&gt;1&lt;/C&gt;&lt;D xsi:type="xsd:double"&gt;900.081&lt;/D&gt;&lt;/FQL&gt;&lt;FQL&gt;&lt;Q&gt;EWW^FREF_MARKET_VALUE_COMPANY(0,,,USD,,0,,"LEGACY")&lt;/Q&gt;&lt;R&gt;1&lt;/R&gt;&lt;C&gt;1&lt;/C&gt;&lt;D xsi:type="xsd:double"&gt;1580.21&lt;/D&gt;&lt;/FQL&gt;&lt;FQL&gt;&lt;Q&gt;EWC^FREF_MARKET_VALUE_COMPANY(0,,,USD,,0,,"LEGACY")&lt;/Q&gt;&lt;R&gt;1&lt;/R&gt;&lt;C&gt;1&lt;/C&gt;&lt;D xsi:type="xsd:double"&gt;2889.72&lt;/D&gt;&lt;/FQL&gt;&lt;FQL&gt;&lt;Q&gt;EWT^FREF_MARKET_VALUE_COMPANY(0,,,USD,,0,,"LEGACY")&lt;/Q&gt;&lt;R&gt;1&lt;/R&gt;&lt;C&gt;1&lt;/C&gt;&lt;D xsi:type="xsd:double"&gt;5645.428&lt;/D&gt;&lt;/FQL&gt;&lt;FQL&gt;&lt;Q&gt;FC0000MY^FMA_MCAP(0,,,USD,"PORTAGG")&lt;/Q&gt;&lt;R&gt;1&lt;/R&gt;&lt;C&gt;1&lt;/C&gt;&lt;D xsi:type="xsd:double"&gt;440878.16&lt;/D&gt;&lt;/FQL&gt;&lt;FQL&gt;&lt;Q&gt;EWA^FREF_MARKET_VALUE_COMPANY(0,,,USD,,0,,"LEGACY")&lt;/Q&gt;&lt;R&gt;1&lt;/R&gt;&lt;C&gt;1&lt;/C&gt;&lt;D xsi:type="xsd:double"&gt;1526.56&lt;/D&gt;&lt;/FQL&gt;&lt;FQL&gt;&lt;Q&gt;FC0000PE^FMA_MCAP(0,,,USD,"PORTAGG")&lt;/Q&gt;&lt;R&gt;1&lt;/R&gt;&lt;C&gt;1&lt;/C&gt;&lt;D xsi:type="xsd:double"&gt;35106.77&lt;/D&gt;&lt;/FQL&gt;&lt;FQL&gt;&lt;Q&gt;ENZL^FREF_MARKET_VALUE_COMPANY(0,,,USD,,0,,"LEGACY")&lt;/Q&gt;&lt;R&gt;1&lt;/R&gt;&lt;C&gt;1&lt;/C&gt;&lt;D xsi:type="xsd:double"&gt;100.0195&lt;/D&gt;&lt;/FQL&gt;&lt;FQL&gt;&lt;Q&gt;KSA^FREF_MARKET_VALUE_COMPANY(0,,,USD,,0,,"LEGACY")&lt;/Q&gt;&lt;R&gt;1&lt;/R&gt;&lt;C&gt;1&lt;/C&gt;&lt;D xsi:type="xsd:double"&gt;634.705&lt;/D&gt;&lt;/FQL&gt;&lt;FQL&gt;&lt;Q&gt;FC0000PH^FMA_MCAP(0,,,USD,"PORTAGG")&lt;/Q&gt;&lt;R&gt;1&lt;/R&gt;&lt;C&gt;1&lt;/C&gt;&lt;D xsi:type="xsd:double"&gt;245821.16&lt;/D&gt;&lt;/FQL&gt;&lt;FQL&gt;&lt;Q&gt;EPHE^FREF_MARKET_VALUE_COMPANY(0,,,USD,,0,,"LEGACY")&lt;/Q&gt;&lt;R&gt;1&lt;/R&gt;&lt;C&gt;1&lt;/C&gt;&lt;D xsi:type="xsd:double"&gt;111.969&lt;/D&gt;&lt;/FQL&gt;&lt;FQL&gt;&lt;Q&gt;FC0000ID^FMA_MCAP(0,,,USD,"PORTAGG")&lt;/Q&gt;&lt;R&gt;1&lt;/R&gt;&lt;C&gt;1&lt;/C&gt;&lt;D xsi:type="xsd:double"&gt;694339.1&lt;/D&gt;&lt;/FQL&gt;&lt;FQL&gt;&lt;Q&gt;FC0000TR^FMA_MCAP(0,,,USD,"PORTAGG")&lt;/Q&gt;&lt;R&gt;1&lt;/R&gt;&lt;C&gt;1&lt;/C&gt;&lt;D xsi:type="xsd:double"&gt;340992.72&lt;/D&gt;&lt;/FQL&gt;&lt;FQL&gt;&lt;Q&gt;FC0000CN^FMA_MCAP(0,,,USD,"PORTAGG")&lt;/Q&gt;&lt;R&gt;1&lt;/R&gt;&lt;C&gt;1&lt;/C&gt;&lt;D xsi:type="xsd:double"&gt;8332266.5&lt;/D&gt;&lt;/FQL&gt;&lt;FQL&gt;&lt;Q&gt;FC0000QA^FMA_MCAP(0,,,USD,"PORTAGG")&lt;/Q&gt;&lt;R&gt;1&lt;/R&gt;&lt;C&gt;1&lt;/C&gt;&lt;D xsi:type="xsd:double"&gt;168448.92&lt;/D&gt;&lt;/FQL&gt;&lt;FQL&gt;&lt;Q&gt;CC_ZA^FG_COMPANY_NAME&lt;/Q&gt;&lt;R&gt;1&lt;/R&gt;&lt;C&gt;1&lt;/C&gt;&lt;D xsi:type="xsd:string"&gt;South Africa&lt;/D&gt;&lt;/FQL&gt;&lt;FQL&gt;&lt;Q&gt;QAT^FREF_MARKET_VALUE_COMPANY(0,,,USD,,0,,"LEGACY")&lt;/Q&gt;&lt;R&gt;1&lt;/R&gt;&lt;C&gt;1&lt;/C&gt;&lt;D xsi:type="xsd:double"&gt;63.91&lt;/D&gt;&lt;/FQL&gt;&lt;FQL&gt;&lt;Q&gt;FC0000ZA^FG_MCAP_IDX(0,,,USD)&lt;/Q&gt;&lt;R&gt;1&lt;/R&gt;&lt;C&gt;1&lt;/C&gt;&lt;D xsi:type="xsd:double"&gt;368945.25&lt;/D&gt;&lt;/FQL&gt;&lt;FQL&gt;&lt;Q&gt;MCHI^FREF_MARKET_VALUE_COMPANY(0,,,USD,,0,,"LEGACY")&lt;/Q&gt;&lt;R&gt;1&lt;/R&gt;&lt;C&gt;1&lt;/C&gt;&lt;D xsi:type="xsd:double"&gt;6334.35&lt;/D&gt;&lt;/FQL&gt;&lt;FQL&gt;&lt;Q&gt;FC0000US^FMA_MCAP(0,,,USD,"PORTAGG")&lt;/Q&gt;&lt;R&gt;1&lt;/R&gt;&lt;C&gt;1&lt;/C&gt;&lt;D xsi:type="xsd:double"&gt;59975580&lt;/D&gt;&lt;/FQL&gt;&lt;FQL&gt;&lt;Q&gt;FC0000IN^FMA_MCAP(0,,,USD,"PORTAGG")&lt;/Q&gt;&lt;R&gt;1&lt;/R&gt;&lt;C&gt;1&lt;/C&gt;&lt;D xsi:type="xsd:double"&gt;5431541.5&lt;/D&gt;&lt;/FQL&gt;&lt;FQL&gt;&lt;Q&gt;SPY^FREF_MARKET_VALUE_COMPANY(0,,,USD,,0,,"LEGACY")&lt;/Q&gt;&lt;R&gt;1&lt;/R&gt;&lt;C&gt;1&lt;/C&gt;&lt;D xsi:type="xsd:double"&gt;584185.507273&lt;/D&gt;&lt;/FQL&gt;&lt;FQL&gt;&lt;Q&gt;INDA^FREF_MARKET_VALUE_COMPANY(0,,,USD,,0,,"LEGACY")&lt;/Q&gt;&lt;R&gt;1&lt;/R&gt;&lt;C&gt;1&lt;/C&gt;&lt;D xsi:type="xsd:double"&gt;11211.585&lt;/D&gt;&lt;/FQL&gt;&lt;FQL&gt;&lt;Q&gt;QQQ^FREF_MARKET_VALUE_COMPANY(0,,,USD,,0,,"LEGACY")&lt;/Q&gt;&lt;R&gt;1&lt;/R&gt;&lt;C&gt;1&lt;/C&gt;&lt;D xsi:type="xsd:double"&gt;295184.5575&lt;/D&gt;&lt;/FQL&gt;&lt;FQL&gt;&lt;Q&gt;GREK^FREF_MARKET_VALUE_COMPANY(0,,,USD,,0,,"LEGACY")&lt;/Q&gt;&lt;R&gt;1&lt;/R&gt;&lt;C&gt;1&lt;/C&gt;&lt;D xsi:type="xsd:double"&gt;197.88980308548&lt;/D&gt;&lt;/FQL&gt;&lt;FQL&gt;&lt;Q&gt;FC0000GB^FMA_MCAP(0,,,USD,"PORTAGG")&lt;/Q&gt;&lt;R&gt;1&lt;/R&gt;&lt;C&gt;1&lt;/C&gt;&lt;D xsi:type="xsd:double"&gt;3282035.8&lt;/D&gt;&lt;/FQL&gt;&lt;FQL&gt;&lt;Q&gt;EWU^FREF_MARKET_VALUE_COMPANY(0,,,USD,,0,,"LEGACY")&lt;/Q&gt;&lt;R&gt;1&lt;/R&gt;&lt;C&gt;1&lt;/C&gt;&lt;D xsi:type="xsd:double"&gt;3317.806&lt;/D&gt;&lt;/FQL&gt;&lt;FQL&gt;&lt;Q&gt;EZA^FREF_MARKET_VALUE_COMPANY(0,,,USD,,0,,"LEGACY")&lt;/Q&gt;&lt;R&gt;1&lt;/R&gt;&lt;C&gt;1&lt;/C&gt;&lt;D xsi:type="xsd:double"&gt;310.527&lt;/D&gt;&lt;/FQL&gt;&lt;FQL&gt;&lt;Q&gt;FC0000BR^FMA_MCAP(0,,,USD,"PORTAGG")&lt;/Q&gt;&lt;R&gt;1&lt;/R&gt;&lt;C&gt;1&lt;/C&gt;&lt;D xsi:type="xsd:double"&gt;685759.94&lt;/D&gt;&lt;/FQL&gt;&lt;FQL&gt;&lt;Q&gt;EWL^FREF_MARKET_VALUE_COMPANY(0,,,USD,,0,,"LEGACY")&lt;/Q&gt;&lt;R&gt;1&lt;/R&gt;&lt;C&gt;1&lt;/C&gt;&lt;D xsi:type="xsd:double"&gt;1275.5&lt;/D&gt;&lt;/FQL&gt;&lt;FQL&gt;&lt;Q&gt;EWZ^FREF_MARKET_VALUE_COMPANY(0,,,USD,,0,,"LEGACY")&lt;/Q&gt;&lt;R&gt;1&lt;/R&gt;&lt;C&gt;1&lt;/C&gt;&lt;D xsi:type="xsd:double"&gt;3881.6365&lt;/D&gt;&lt;/FQL&gt;&lt;FQL&gt;&lt;Q&gt;FC0000JP^FMA_MCAP(0,,,USD,"PORTAGG")&lt;/Q&gt;&lt;R&gt;1&lt;/R&gt;&lt;C&gt;1&lt;/C&gt;&lt;D xsi:type="xsd:double"&gt;6639800&lt;/D&gt;&lt;/FQL&gt;&lt;FQL&gt;&lt;Q&gt;FC0000KR^FMA_MCAP(0,,,USD,"PORTAGG")&lt;/Q&gt;&lt;R&gt;1&lt;/R&gt;&lt;C&gt;1&lt;/C&gt;&lt;D xsi:type="xsd:double"&gt;1812119.6&lt;/D&gt;&lt;/FQL&gt;&lt;FQL&gt;&lt;Q&gt;EWY^FREF_MARKET_VALUE_COMPANY(0,,,USD,,0,,"LEGACY")&lt;/Q&gt;&lt;R&gt;1&lt;/R&gt;&lt;C&gt;1&lt;/C&gt;&lt;D xsi:type="xsd:double"&gt;4868.539&lt;/D&gt;&lt;/FQL&gt;&lt;FQL&gt;&lt;Q&gt;FC0000DE^FMA_MCAP(0,,,USD,"PORTAGG")&lt;/Q&gt;&lt;R&gt;1&lt;/R&gt;&lt;C&gt;1&lt;/C&gt;&lt;D xsi:type="xsd:double"&gt;2363407.5&lt;/D&gt;&lt;/FQL&gt;&lt;FQL&gt;&lt;Q&gt;FC0000TW^FMA_MCAP(0,,,USD,"PORTAGG")&lt;/Q&gt;&lt;R&gt;1&lt;/R&gt;&lt;C&gt;1&lt;/C&gt;&lt;D xsi:type="xsd:double"&gt;2453010.8&lt;/D&gt;&lt;/FQL&gt;&lt;FQL&gt;&lt;Q&gt;EWM^FREF_MARKET_VALUE_COMPANY(0,,,USD,,0,,"LEGACY")&lt;/Q&gt;&lt;R&gt;1&lt;/R&gt;&lt;C&gt;1&lt;/C&gt;&lt;D xsi:type="xsd:double"&gt;346.4325&lt;/D&gt;&lt;/FQL&gt;&lt;FQL&gt;&lt;Q&gt;FC0000NZ^FMA_MCAP(0,,,USD,"PORTAGG")&lt;/Q&gt;&lt;R&gt;1&lt;/R&gt;&lt;C&gt;1&lt;/C&gt;&lt;D xsi:type="xsd:double"&gt;99515.08&lt;/D&gt;&lt;/FQL&gt;&lt;FQL&gt;&lt;Q&gt;FC0000PL^FMA_MCAP(0,,,USD,"PORTAGG")&lt;/Q&gt;&lt;R&gt;1&lt;/R&gt;&lt;C&gt;1&lt;/C&gt;&lt;D xsi:type="xsd:double"&gt;194876.83&lt;/D&gt;&lt;/FQL&gt;&lt;FQL&gt;&lt;Q&gt;EPOL^FREF_MARKET_VALUE_COMPANY(0,,,USD,,0,,"LEGACY")&lt;/Q&gt;&lt;R&gt;1&lt;/R&gt;&lt;C&gt;1&lt;/C&gt;&lt;D xsi:type="xsd:double"&gt;283.2&lt;/D&gt;&lt;/FQL&gt;&lt;FQL&gt;&lt;Q&gt;FTSEWIVNXXXX^FMA_MCAP(0,,,USD,"PORTAGG")&lt;/Q&gt;&lt;R&gt;1&lt;/R&gt;&lt;C&gt;1&lt;/C&gt;&lt;D xsi:type="xsd:double"&gt;25221.94412&lt;/D&gt;&lt;/FQL&gt;&lt;FQL&gt;&lt;Q&gt;FC0000CL^FMA_MCAP(0,,,USD,"PORTAGG")&lt;/Q&gt;&lt;R&gt;1&lt;/R&gt;&lt;C&gt;1&lt;/C&gt;&lt;D xsi:type="xsd:double"&gt;143458.14&lt;/D&gt;&lt;/FQL&gt;&lt;FQL&gt;&lt;Q&gt;SET-BKK^FMA_MCAP(0,,,USD,"PORTAGG")&lt;/Q&gt;&lt;R&gt;1&lt;/R&gt;&lt;C&gt;1&lt;/C&gt;&lt;D xsi:type="xsd:double"&gt;541660.483653098&lt;/D&gt;&lt;/FQL&gt;&lt;FQL&gt;&lt;Q&gt;CNYA^FREF_MARKET_VALUE_COMPANY(0,,,USD,,0,,"LEGACY")&lt;/Q&gt;&lt;R&gt;1&lt;/R&gt;&lt;C&gt;1&lt;/C&gt;&lt;D xsi:type="xsd:double"&gt;358.13&lt;/D&gt;&lt;/FQL&gt;&lt;FQL&gt;&lt;Q&gt;FC0000CA^FMA_MCAP(0,,,USD,"PORTAGG")&lt;/Q&gt;&lt;R&gt;1&lt;/R&gt;&lt;C&gt;1&lt;/C&gt;&lt;D xsi:type="xsd:double"&gt;2961441.3&lt;/D&gt;&lt;/FQL&gt;&lt;FQL&gt;&lt;Q&gt;EPU^FREF_MARKET_VALUE_COMPANY(0,,,USD,,0,,"LEGACY")&lt;/Q&gt;&lt;R&gt;1&lt;/R&gt;&lt;C&gt;1&lt;/C&gt;&lt;D xsi:type="xsd:double"&gt;82.517&lt;/D&gt;&lt;/FQL&gt;&lt;FQL&gt;&lt;Q&gt;FC0000SA^FMA_MCAP(0,,,USD,"PORTAGG")&lt;/Q&gt;&lt;R&gt;1&lt;/R&gt;&lt;C&gt;1&lt;/C&gt;&lt;D xsi:type="xsd:double"&gt;2697668.3&lt;/D&gt;&lt;/FQL&gt;&lt;FQL&gt;&lt;Q&gt;VNM^FREF_MARKET_VALUE_COMPANY(0,,,USD,,0,,"LEGACY")&lt;/Q&gt;&lt;R&gt;1&lt;/R&gt;&lt;C&gt;1&lt;/C&gt;&lt;D xsi:type="xsd:double"&gt;492.5&lt;/D&gt;&lt;/FQL&gt;&lt;FQL&gt;&lt;Q&gt;FC0000AE^FMA_MCAP(0,,,USD,"PORTAGG")&lt;/Q&gt;&lt;R&gt;1&lt;/R&gt;&lt;C&gt;1&lt;/C&gt;&lt;D xsi:type="xsd:double"&gt;916309.44&lt;/D&gt;&lt;/FQL&gt;&lt;FQL&gt;&lt;Q&gt;UAE^FREF_MARKET_VALUE_COMPANY(0,,,USD,,0,,"LEGACY")&lt;/Q&gt;&lt;R&gt;1&lt;/R&gt;&lt;C&gt;1&lt;/C&gt;&lt;D xsi:type="xsd:double"&gt;43.7485&lt;/D&gt;&lt;/FQL&gt;&lt;FQL&gt;&lt;Q&gt;TUR^FREF_MARKET_VALUE_COMPANY(0,,,USD,,0,,"LEGACY")&lt;/Q&gt;&lt;R&gt;1&lt;/R&gt;&lt;C&gt;1&lt;/C&gt;&lt;D xsi:type="xsd:double"&gt;172.584&lt;/D&gt;&lt;/FQL&gt;&lt;FQL&gt;&lt;Q&gt;FC0000AU^FMA_MCAP(0,,,USD,"PORTAGG")&lt;/Q&gt;&lt;R&gt;1&lt;/R&gt;&lt;C&gt;1&lt;/C&gt;&lt;D xsi:type="xsd:double"&gt;1802580.6&lt;/D&gt;&lt;/FQL&gt;&lt;FQL&gt;&lt;Q&gt;EIDO^FREF_MARKET_VALUE_COMPANY(0,,,USD,,0,,"LEGACY")&lt;/Q&gt;&lt;R&gt;1&lt;/R&gt;&lt;C&gt;1&lt;/C&gt;&lt;D xsi:type="xsd:double"&gt;359.39&lt;/D&gt;&lt;/FQL&gt;&lt;FQL&gt;&lt;Q&gt;ECH^FREF_MARKET_VALUE_COMPANY(0,,,USD,,0,,"LEGACY")&lt;/Q&gt;&lt;R&gt;1&lt;/R&gt;&lt;C&gt;1&lt;/C&gt;&lt;D xsi:type="xsd:double"&gt;527.8115&lt;/D&gt;&lt;/FQL&gt;&lt;FQL&gt;&lt;Q&gt;SET-BKK^FG_MCAP_IDX(0,,,USD)&lt;/Q&gt;&lt;R&gt;1&lt;/R&gt;&lt;C&gt;1&lt;/C&gt;&lt;D xsi:type="xsd:double"&gt;541660.483653098&lt;/D&gt;&lt;/FQL&gt;&lt;FQL&gt;&lt;Q&gt;NQG00809^FG_COMPANY_NAME&lt;/Q&gt;&lt;R&gt;1&lt;/R&gt;&lt;C&gt;1&lt;/C&gt;&lt;D xsi:type="xsd:string"&gt;Nasdaq South Africa&lt;/D&gt;&lt;/FQL&gt;&lt;FQL&gt;&lt;Q&gt;DUMMY^ECON_EXPR_DATA('FDS_ECON[NTCPMIMFGSA@PL]',,,M)&lt;/Q&gt;&lt;R&gt;1&lt;/R&gt;&lt;C&gt;1&lt;/C&gt;&lt;D xsi:type="xsd:double"&gt;48.646362&lt;/D&gt;&lt;/FQL&gt;&lt;FQL&gt;&lt;Q&gt;DUMMY^ECON_EXPR_DATA('FDS_ECON[NTCPMIMFGSA@VN]',,,M)&lt;/Q&gt;&lt;R&gt;1&lt;/R&gt;&lt;C&gt;1&lt;/C&gt;&lt;D xsi:type="xsd:double"&gt;47.348457&lt;/D&gt;&lt;/FQL&gt;&lt;FQL&gt;&lt;Q&gt;DUMMY^ECON_EXPR_DATA('FDS_ECON[NTCPMIPHMANHE]',,,M)&lt;/Q&gt;&lt;R&gt;1&lt;/R&gt;&lt;C&gt;1&lt;/C&gt;&lt;D xsi:type="xsd:double"&gt;53.677677&lt;/D&gt;&lt;/FQL&gt;&lt;FQL&gt;&lt;Q&gt;DUMMY^ECON_EXPR_DATA('FDS_ECON[NTCPMIMFGSA@AE]',,,M)&lt;/Q&gt;&lt;R&gt;0&lt;/R&gt;&lt;C&gt;0&lt;/C&gt;&lt;/FQL&gt;&lt;FQL&gt;&lt;Q&gt;DUMMY^ECON_EXPR_DATA('FDS_ECON[NTCPMIMFGSA@ID]',,,M)&lt;/Q&gt;&lt;R&gt;1&lt;/R&gt;&lt;C&gt;1&lt;/C&gt;&lt;D xsi:type="xsd:double"&gt;49.166794&lt;/D&gt;&lt;/FQL&gt;&lt;FQL&gt;&lt;Q&gt;DUMMY^ECON_EXPR_DATA('FDS_ECON[NTCPMIMFGSA@CL]',,,M)&lt;/Q&gt;&lt;R&gt;0&lt;/R&gt;&lt;C&gt;0&lt;/C&gt;&lt;/FQL&gt;&lt;FQL&gt;&lt;Q&gt;DUMMY^ECON_EXPR_DATA('FDS_ECON[NTCPMIMFGSA@CN]',,,M)&lt;/Q&gt;&lt;R&gt;1&lt;/R&gt;&lt;C&gt;1&lt;/C&gt;&lt;D xsi:type="xsd:double"&gt;49.30284&lt;/D&gt;&lt;/FQL&gt;&lt;FQL&gt;&lt;Q&gt;DUMMY^ECON_EXPR_DATA('FDS_ECON[NTCPMIMFGSA@IN]',,,M)&lt;/Q&gt;&lt;R&gt;1&lt;/R&gt;&lt;C&gt;1&lt;/C&gt;&lt;D xsi:type="xsd:double"&gt;56.53472&lt;/D&gt;&lt;/FQL&gt;&lt;FQL&gt;&lt;Q&gt;DUMMY^ECON_EXPR_DATA('FDS_ECON[NTCPMIMFGSA@MX]',,,M)&lt;/Q&gt;&lt;R&gt;1&lt;/R&gt;&lt;C&gt;1&lt;/C&gt;&lt;D xsi:type="xsd:double"&gt;47.32885&lt;/D&gt;&lt;/FQL&gt;&lt;FQL&gt;&lt;Q&gt;DUMMY^ECON_EXPR_DATA('FDS_ECON[NTCPMIINDEXSA@SA]',,,M)&lt;/Q&gt;&lt;R&gt;1&lt;/R&gt;&lt;C&gt;1&lt;/C&gt;&lt;D xsi:type="xsd:double"&gt;56.34642&lt;/D&gt;&lt;/FQL&gt;&lt;FQL&gt;&lt;Q&gt;DUMMY^ECON_EXPR_DATA('FDS_ECON[NTCPMIMFGSA@TR]',,,M)&lt;/Q&gt;&lt;R&gt;1&lt;/R&gt;&lt;C&gt;1&lt;/C&gt;&lt;D xsi:type="xsd:double"&gt;44.313152&lt;/D&gt;&lt;/FQL&gt;&lt;FQL&gt;&lt;Q&gt;DUMMY^ECON_EXPR_DATA('FDS_ECON[NTCPMITHMANHE]',,,M)&lt;/Q&gt;&lt;R&gt;1&lt;/R&gt;&lt;C&gt;1&lt;/C&gt;&lt;D xsi:type="xsd:double"&gt;50.401905&lt;/D&gt;&lt;/FQL&gt;&lt;FQL&gt;&lt;Q&gt;DUMMY^ECON_EXPR_DATA('FDS_ECON[PMIQAWHEHE]',,,M)&lt;/Q&gt;&lt;R&gt;1&lt;/R&gt;&lt;C&gt;1&lt;/C&gt;&lt;D xsi:type="xsd:double"&gt;51.723763&lt;/D&gt;&lt;/FQL&gt;&lt;FQL&gt;&lt;Q&gt;DUMMY^ECON_EXPR_DATA('FDS_ECON[NTCPMIMFGSA@BR]',,,M)&lt;/Q&gt;&lt;R&gt;1&lt;/R&gt;&lt;C&gt;1&lt;/C&gt;&lt;D xsi:type="xsd:double"&gt;53.232143&lt;/D&gt;&lt;/FQL&gt;&lt;FQL&gt;&lt;Q&gt;DUMMY^ECON_EXPR_DATA('FDS_ECON[NTCPMIMFGSA@KR]',,,M)&lt;/Q&gt;&lt;R&gt;1&lt;/R&gt;&lt;C&gt;1&lt;/C&gt;&lt;D xsi:type="xsd:double"&gt;48.325603&lt;/D&gt;&lt;/FQL&gt;&lt;FQL&gt;&lt;Q&gt;DUMMY^ECON_EXPR_DATA('FDS_ECON[NTCPMIMFGSA@PE]',,,M)&lt;/Q&gt;&lt;R&gt;0&lt;/R&gt;&lt;C&gt;0&lt;/C&gt;&lt;/FQL&gt;&lt;FQL&gt;&lt;Q&gt;DUMMY^ECON_EXPR_DATA('FDS_ECON[NTCPMIMFGSA@GR]',,,M)&lt;/Q&gt;&lt;R&gt;1&lt;/R&gt;&lt;C&gt;1&lt;/C&gt;&lt;D xsi:type="xsd:double"&gt;50.30609&lt;/D&gt;&lt;/FQL&gt;&lt;FQL&gt;&lt;Q&gt;DUMMY^ECON_EXPR_DATA('FDS_ECON[PMIMFGSA@ZA]',,,M)&lt;/Q&gt;&lt;R&gt;1&lt;/R&gt;&lt;C&gt;1&lt;/C&gt;&lt;D xsi:type="xsd:double"&gt;50.974167&lt;/D&gt;&lt;/FQL&gt;&lt;FQL&gt;&lt;Q&gt;DUMMY^ECON_EXPR_DATA('FDS_ECON[NTCPMIMFGSA@TW]',,,M)&lt;/Q&gt;&lt;R&gt;1&lt;/R&gt;&lt;C&gt;1&lt;/C&gt;&lt;D xsi:type="xsd:double"&gt;50.822594&lt;/D&gt;&lt;/FQL&gt;&lt;FQL&gt;&lt;Q&gt;DUMMY^ECON_EXPR_DATA('FDS_ECON[PMIMYMANHE]',,,M)&lt;/Q&gt;&lt;R&gt;1&lt;/R&gt;&lt;C&gt;1&lt;/C&gt;&lt;D xsi:type="xsd:double"&gt;49.535587&lt;/D&gt;&lt;/FQL&gt;&lt;FQL&gt;&lt;Q&gt;CAGDPY@QA^EE_ACTUAL_ANNUAL(MED,0)&lt;/Q&gt;&lt;R&gt;1&lt;/R&gt;&lt;C&gt;1&lt;/C&gt;&lt;D xsi:type="xsd:double"&gt;17.1137401273655&lt;/D&gt;&lt;/FQL&gt;&lt;FQL&gt;&lt;Q&gt;CAGDPY@TW^EE_ACTUAL_ANNUAL(MED,0)&lt;/Q&gt;&lt;R&gt;1&lt;/R&gt;&lt;C&gt;1&lt;/C&gt;&lt;D xsi:type="xsd:double"&gt;13.6964985659127&lt;/D&gt;&lt;/FQL&gt;&lt;FQL&gt;&lt;Q&gt;CC_VN^FG_COMPANY_NAME&lt;/Q&gt;&lt;R&gt;1&lt;/R&gt;&lt;C&gt;1&lt;/C&gt;&lt;D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xsi:type="xsd:double"&gt;0.7093668&lt;/D&gt;&lt;/FQL&gt;&lt;FQL&gt;&lt;Q&gt;USDTRY^FG_PRICE_CHANGE(0,-1AM)&lt;/Q&gt;&lt;R&gt;1&lt;/R&gt;&lt;C&gt;1&lt;/C&gt;&lt;D xsi:type="xsd:double"&gt;0.46783686&lt;/D&gt;&lt;/FQL&gt;&lt;FQL&gt;&lt;Q&gt;USDQAR^FG_PRICE_CHANGE(0,-1AM)&lt;/Q&gt;&lt;R&gt;1&lt;/R&gt;&lt;C&gt;1&lt;/C&gt;&lt;D xsi:type="xsd:double"&gt;0&lt;/D&gt;&lt;/FQL&gt;&lt;FQL&gt;&lt;Q&gt;USDINR^FG_PRICE_CHANGE(0,-1AM)&lt;/Q&gt;&lt;R&gt;1&lt;/R&gt;&lt;C&gt;1&lt;/C&gt;&lt;D xsi:type="xsd:double"&gt;0&lt;/D&gt;&lt;/FQL&gt;&lt;FQL&gt;&lt;Q&gt;USDZAR^FG_PRICE_CHANGE(0,-1AM)&lt;/Q&gt;&lt;R&gt;1&lt;/R&gt;&lt;C&gt;1&lt;/C&gt;&lt;D xsi:type="xsd:double"&gt;-2.13359&lt;/D&gt;&lt;/FQL&gt;&lt;FQL&gt;&lt;Q&gt;USDKRW^FG_PRICE_CHANGE(0,-1AM)&lt;/Q&gt;&lt;R&gt;1&lt;/R&gt;&lt;C&gt;1&lt;/C&gt;&lt;D xsi:type="xsd:double"&gt;0.50239563&lt;/D&gt;&lt;/FQL&gt;&lt;FQL&gt;&lt;Q&gt;USDTWD^FG_PRICE_CHANGE(0,-1AM)&lt;/Q&gt;&lt;R&gt;1&lt;/R&gt;&lt;C&gt;1&lt;/C&gt;&lt;D xsi:type="xsd:double"&gt;0.023305416&lt;/D&gt;&lt;/FQL&gt;&lt;FQL&gt;&lt;Q&gt;USDPEN^FG_PRICE_CHANGE(0,-1AM)&lt;/Q&gt;&lt;R&gt;1&lt;/R&gt;&lt;C&gt;1&lt;/C&gt;&lt;D xsi:type="xsd:double"&gt;-1.491487&lt;/D&gt;&lt;/FQL&gt;&lt;FQL&gt;&lt;Q&gt;USDPHP^FG_PRICE_CHANGE(0,-1AM)&lt;/Q&gt;&lt;R&gt;1&lt;/R&gt;&lt;C&gt;1&lt;/C&gt;&lt;D xsi:type="xsd:double"&gt;1.7382026&lt;/D&gt;&lt;/FQL&gt;&lt;FQL&gt;&lt;Q&gt;USDCLP^FG_PRICE_CHANGE(0,-1AM)&lt;/Q&gt;&lt;R&gt;1&lt;/R&gt;&lt;C&gt;1&lt;/C&gt;&lt;D xsi:type="xsd:double"&gt;-2.0561934&lt;/D&gt;&lt;/FQL&gt;&lt;FQL&gt;&lt;Q&gt;FC0000TH^FMA_EPS(NTMA,-20AY,0,CY,,"PORTAGG","MEANR")&lt;/Q&gt;&lt;R&gt;20&lt;/R&gt;&lt;C&gt;1&lt;/C&gt;&lt;D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xsi:type="xsd:double"&gt;48.1240323738324&lt;/D&gt;&lt;D xsi:type="xsd:double"&gt;34.7106307308398&lt;/D&gt;&lt;D xsi:type="xsd:double"&gt;40.2723415007705&lt;/D&gt;&lt;D xsi:type="xsd:double"&gt;42.4815786364131&lt;/D&gt;&lt;D xsi:type="xsd:double"&gt;40.181607467413&lt;/D&gt;&lt;/FQL&gt;&lt;FQL&gt;&lt;Q&gt;FC0000CN^FMA_EPS(NTMA,-20AY,0,CY,,"PORTAGG","MEANR")&lt;/Q&gt;&lt;R&gt;20&lt;/R&gt;&lt;C&gt;1&lt;/C&gt;&lt;D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xsi:type="xsd:double"&gt;17.6373597477272&lt;/D&gt;&lt;D xsi:type="xsd:double"&gt;17.494770758292&lt;/D&gt;&lt;D xsi:type="xsd:double"&gt;21.2753163279978&lt;/D&gt;&lt;D xsi:type="xsd:double"&gt;20.3708484088649&lt;/D&gt;&lt;D xsi:type="xsd:double"&gt;19.111296642109&lt;/D&gt;&lt;/FQL&gt;&lt;FQL&gt;&lt;Q&gt;EWM^P_PRICE_RETURNS_PR('52W',2,-10AY,0,AM)&lt;/Q&gt;&lt;R&gt;121&lt;/R&gt;&lt;C&gt;1&lt;/C&gt;&lt;D xsi:type="xsd:double"&gt;-1.7794788&lt;/D&gt;&lt;D xsi:type="xsd:double"&gt;-1.6083479&lt;/D&gt;&lt;D xsi:type="xsd:double"&gt;-12.478458&lt;/D&gt;&lt;D xsi:type="xsd:double"&gt;-12.396354&lt;/D&gt;&lt;D xsi:type="xsd:double"&gt;-5.2277145&lt;/D&gt;&lt;D xsi:type="xsd:double"&gt;-13.033885&lt;/D&gt;&lt;D xsi:type="xsd:double"&gt;-10.688507&lt;/D&gt;&lt;D xsi:type="xsd:double"&gt;-10.579008&lt;/D&gt;&lt;D xsi:type="xsd:double"&gt;-18.680222&lt;/D&gt;&lt;D xsi:type="xsd:double"&gt;-21.996815&lt;/D&gt;&lt;D xsi:type="xsd:double"&gt;-26.351833&lt;/D&gt;&lt;D xsi:type="xsd:double"&gt;-35.87727&lt;/D&gt;&lt;D xsi:type="xsd:double"&gt;-24.042547&lt;/D&gt;&lt;D xsi:type="xsd:double"&gt;-29.69904&lt;/D&gt;&lt;D xsi:type="xsd:double"&gt;-21.066248&lt;/D&gt;&lt;D xsi:type="xsd:double"&gt;-22.98311&lt;/D&gt;&lt;D xsi:type="xsd:double"&gt;-19.999039&lt;/D&gt;&lt;D xsi:type="xsd:double"&gt;-11.600375&lt;/D&gt;&lt;D xsi:type="xsd:double"&gt;-11.546278&lt;/D&gt;&lt;D xsi:type="xsd:double"&gt;-17.989826&lt;/D&gt;&lt;D xsi:type="xsd:double"&gt;-12.58285&lt;/D&gt;&lt;D xsi:type="xsd:double"&gt;-4.340845&lt;/D&gt;&lt;D xsi:type="xsd:double"&gt;2.8110862&lt;/D&gt;&lt;D xsi:type="xsd:double"&gt;15.503573&lt;/D&gt;&lt;D xsi:type="xsd:double"&gt;0.4941225&lt;/D&gt;&lt;D xsi:type="xsd:double"&gt;2.0168543&lt;/D&gt;&lt;D xsi:type="xsd:double"&gt;-1.0967016&lt;/D&gt;&lt;D xsi:type="xsd:double"&gt;4.936385&lt;/D&gt;&lt;D xsi:type="xsd:double"&gt;-0.12894273&lt;/D&gt;&lt;D xsi:type="xsd:double"&gt;-3.115511&lt;/D&gt;&lt;D xsi:type="xsd:double"&gt;-8.394021&lt;/D&gt;&lt;D xsi:type="xsd:double"&gt;4.117942&lt;/D&gt;&lt;D xsi:type="xsd:double"&gt;6.0394287&lt;/D&gt;&lt;D xsi:type="xsd:double"&gt;1.02427&lt;/D&gt;&lt;D xsi:type="xsd:double"&gt;-0.2749622&lt;/D&gt;&lt;D xsi:type="xsd:double"&gt;4.0148616&lt;/D&gt;&lt;D xsi:type="xsd:double"&gt;5.5098057&lt;/D&gt;&lt;D xsi:type="xsd:double"&gt;13.087416&lt;/D&gt;&lt;D xsi:type="xsd:double"&gt;15.581727&lt;/D&gt;&lt;D xsi:type="xsd:double"&gt;25.381649&lt;/D&gt;&lt;D xsi:type="xsd:double"&gt;22.265411&lt;/D&gt;&lt;D xsi:type="xsd:double"&gt;25.808525&lt;/D&gt;&lt;D xsi:type="xsd:double"&gt;25.840736&lt;/D&gt;&lt;D xsi:type="xsd:double"&gt;9.286404&lt;/D&gt;&lt;D xsi:type="xsd:double"&gt;8.292854&lt;/D&gt;&lt;D xsi:type="xsd:double"&gt;5.8704853&lt;/D&gt;&lt;D xsi:type="xsd:double"&gt;10.578405&lt;/D&gt;&lt;D xsi:type="xsd:double"&gt;3.7762523&lt;/D&gt;&lt;D xsi:type="xsd:double"&gt;-0.30753613&lt;/D&gt;&lt;D xsi:type="xsd:double"&gt;0.15670061&lt;/D&gt;&lt;D xsi:type="xsd:double"&gt;-4.2828083&lt;/D&gt;&lt;D xsi:type="xsd:double"&gt;-7.6067743&lt;/D&gt;&lt;D xsi:type="xsd:double"&gt;-6.0307145&lt;/D&gt;&lt;D xsi:type="xsd:double"&gt;-10.07868&lt;/D&gt;&lt;D xsi:type="xsd:double"&gt;-14.298534&lt;/D&gt;&lt;D xsi:type="xsd:double"&gt;-9.567195&lt;/D&gt;&lt;D xsi:type="xsd:double"&gt;-8.253866&lt;/D&gt;&lt;D xsi:type="xsd:double"&gt;-0.5800009&lt;/D&gt;&lt;D xsi:type="xsd:double"&gt;-11.934715&lt;/D&gt;&lt;D xsi:type="xsd:double"&gt;-8.058864&lt;/D&gt;&lt;D xsi:type="xsd:double"&gt;-6.4350963&lt;/D&gt;&lt;D xsi:type="xsd:double"&gt;-2.6201487&lt;/D&gt;&lt;D xsi:type="xsd:double"&gt;-2.9019415&lt;/D&gt;&lt;D xsi:type="xsd:double"&gt;-3.1463742&lt;/D&gt;&lt;D xsi:type="xsd:double"&gt;-9.350133&lt;/D&gt;&lt;D xsi:type="xsd:double"&gt;-16.262537&lt;/D&gt;&lt;D xsi:type="xsd:double"&gt;-20.618994&lt;/D&gt;&lt;D xsi:type="xsd:double"&gt;-16.11706&lt;/D&gt;&lt;D xsi:type="xsd:double"&gt;-3.3390343&lt;/D&gt;&lt;D xsi:type="xsd:double"&gt;-6.297797&lt;/D&gt;&lt;D xsi:type="xsd:double"&gt;-0.13270974&lt;/D&gt;&lt;D xsi:type="xsd:double"&gt;-8.056837&lt;/D&gt;&lt;D xsi:type="xsd:double"&gt;2.2148132&lt;/D&gt;&lt;D xsi:type="xsd:double"&gt;-1.3828993&lt;/D&gt;&lt;D xsi:type="xsd:double"&gt;8.917654&lt;/D&gt;&lt;D xsi:type="xsd:double"&gt;3.561914&lt;/D&gt;&lt;D xsi:type="xsd:double"&gt;6.0350895&lt;/D&gt;&lt;D xsi:type="xsd:double"&gt;16.271484&lt;/D&gt;&lt;D xsi:type="xsd:double"&gt;22.21676&lt;/D&gt;&lt;D xsi:type="xsd:double"&gt;17.826187&lt;/D&gt;&lt;D xsi:type="xsd:double"&gt;0.9581208&lt;/D&gt;&lt;D xsi:type="xsd:double"&gt;-4.007572&lt;/D&gt;&lt;D xsi:type="xsd:double"&gt;-7.0705833&lt;/D&gt;&lt;D xsi:type="xsd:double"&gt;7.963681&lt;/D&gt;&lt;D xsi:type="xsd:double"&gt;1.9065261&lt;/D&gt;&lt;D xsi:type="xsd:double"&gt;-4.908812&lt;/D&gt;&lt;D xsi:type="xsd:double"&gt;-12.809258&lt;/D&gt;&lt;D xsi:type="xsd:double"&gt;-8.62183&lt;/D&gt;&lt;D xsi:type="xsd:double"&gt;-4.0947437&lt;/D&gt;&lt;D xsi:type="xsd:double"&gt;-3.9422631&lt;/D&gt;&lt;D xsi:type="xsd:double"&gt;-0.30961037&lt;/D&gt;&lt;D xsi:type="xsd:double"&gt;-6.874794&lt;/D&gt;&lt;D xsi:type="xsd:double"&gt;-11.220264&lt;/D&gt;&lt;D xsi:type="xsd:double"&gt;-7.9196634&lt;/D&gt;&lt;D xsi:type="xsd:double"&gt;-2.8012693&lt;/D&gt;&lt;D xsi:type="xsd:double"&gt;-10.467255&lt;/D&gt;&lt;D xsi:type="xsd:double"&gt;-18.630356&lt;/D&gt;&lt;D xsi:type="xsd:double"&gt;-10.180444&lt;/D&gt;&lt;D xsi:type="xsd:double"&gt;-2.896279&lt;/D&gt;&lt;D xsi:type="xsd:double"&gt;-4.4131575&lt;/D&gt;&lt;D xsi:type="xsd:double"&gt;-5.853862&lt;/D&gt;&lt;D xsi:type="xsd:double"&gt;-12.626827&lt;/D&gt;&lt;D xsi:type="xsd:double"&gt;-11.046494&lt;/D&gt;&lt;D xsi:type="xsd:double"&gt;-4.94951&lt;/D&gt;&lt;D xsi:type="xsd:double"&gt;-8.908242&lt;/D&gt;&lt;D xsi:type="xsd:double"&gt;-5.1383376&lt;/D&gt;&lt;D xsi:type="xsd:double"&gt;-2.6539505&lt;/D&gt;&lt;D xsi:type="xsd:double"&gt;-2.761954&lt;/D&gt;&lt;D xsi:type="xsd:double"&gt;5.383408&lt;/D&gt;&lt;D xsi:type="xsd:double"&gt;-0.010699034&lt;/D&gt;&lt;D xsi:type="xsd:double"&gt;-4.98746&lt;/D&gt;&lt;D xsi:type="xsd:double"&gt;-3.1995952&lt;/D&gt;&lt;D xsi:type="xsd:double"&gt;-4.795891&lt;/D&gt;&lt;D xsi:type="xsd:double"&gt;4.133427&lt;/D&gt;&lt;D xsi:type="xsd:double"&gt;1.2791276&lt;/D&gt;&lt;D xsi:type="xsd:double"&gt;6.8535566&lt;/D&gt;&lt;D xsi:type="xsd:double"&gt;16.204762&lt;/D&gt;&lt;D xsi:type="xsd:double"&gt;19.396448&lt;/D&gt;&lt;D xsi:type="xsd:double"&gt;14.950335&lt;/D&gt;&lt;D xsi:type="xsd:double"&gt;25.751091&lt;/D&gt;&lt;D xsi:type="xsd:double"&gt;29.246925&lt;/D&gt;&lt;/FQL&gt;&lt;FQL&gt;&lt;Q&gt;GREK^FG_TOTAL_RETURNC(-10AY,0,AM)&lt;/Q&gt;&lt;R&gt;121&lt;/R&gt;&lt;C&gt;1&lt;/C&gt;&lt;D xsi:type="xsd:double"&gt;-16.93858&lt;/D&gt;&lt;D xsi:type="xsd:double"&gt;-10.97632&lt;/D&gt;&lt;D xsi:type="xsd:double"&gt;-2.9201746&lt;/D&gt;&lt;D xsi:type="xsd:double"&gt;-15.048182&lt;/D&gt;&lt;D xsi:type="xsd:double"&gt;-2.4622679&lt;/D&gt;&lt;D xsi:type="xsd:double"&gt;-7.573289&lt;/D&gt;&lt;D xsi:type="xsd:double"&gt;-2.4669647&lt;/D&gt;&lt;D xsi:type="xsd:double"&gt;14.272797&lt;/D&gt;&lt;D xsi:type="xsd:double"&gt;-4.9802184&lt;/D&gt;&lt;D xsi:type="xsd:double"&gt;-6.322801&lt;/D&gt;&lt;D xsi:type="xsd:double"&gt;-9.857911&lt;/D&gt;&lt;D xsi:type="xsd:double"&gt;-0.68965554&lt;/D&gt;&lt;D xsi:type="xsd:double"&gt;2.2817492&lt;/D&gt;&lt;D xsi:type="xsd:double"&gt;-7.6624513&lt;/D&gt;&lt;D xsi:type="xsd:double"&gt;-14.285726&lt;/D&gt;&lt;D xsi:type="xsd:double"&gt;-9.705371&lt;/D&gt;&lt;D xsi:type="xsd:double"&gt;-21.900827&lt;/D&gt;&lt;D xsi:type="xsd:double"&gt;27.689589&lt;/D&gt;&lt;D xsi:type="xsd:double"&gt;-0.82873106&lt;/D&gt;&lt;D xsi:type="xsd:double"&gt;18.523693&lt;/D&gt;&lt;D xsi:type="xsd:double"&gt;-5.4641666&lt;/D&gt;&lt;D xsi:type="xsd:double"&gt;-14.481056&lt;/D&gt;&lt;D xsi:type="xsd:double"&gt;5.2325606&lt;/D&gt;&lt;D xsi:type="xsd:double"&gt;-0.6906092&lt;/D&gt;&lt;D xsi:type="xsd:double"&gt;2.9902697&lt;/D&gt;&lt;D xsi:type="xsd:double"&gt;-2.093184&lt;/D&gt;&lt;D xsi:type="xsd:double"&gt;13.655174&lt;/D&gt;&lt;D xsi:type="xsd:double"&gt;-0.13042092&lt;/D&gt;&lt;D xsi:type="xsd:double"&gt;-5.452281&lt;/D&gt;&lt;D xsi:type="xsd:double"&gt;3.5386682&lt;/D&gt;&lt;D xsi:type="xsd:double"&gt;3.1645536&lt;/D&gt;&lt;D xsi:type="xsd:double"&gt;18.282223&lt;/D&gt;&lt;D xsi:type="xsd:double"&gt;-1.6597569&lt;/D&gt;&lt;D xsi:type="xsd:double"&gt;10.021114&lt;/D&gt;&lt;D xsi:type="xsd:double"&gt;-1.917553&lt;/D&gt;&lt;D xsi:type="xsd:double"&gt;-0.87976456&lt;/D&gt;&lt;D xsi:type="xsd:double"&gt;-7.2978377&lt;/D&gt;&lt;D xsi:type="xsd:double"&gt;-4.6808424&lt;/D&gt;&lt;D xsi:type="xsd:double"&gt;3.571415&lt;/D&gt;&lt;D xsi:type="xsd:double"&gt;16.007196&lt;/D&gt;&lt;D xsi:type="xsd:double"&gt;-1.0436237&lt;/D&gt;&lt;D xsi:type="xsd:double"&gt;-0.47940612&lt;/D&gt;&lt;D xsi:type="xsd:double"&gt;-2.1194518&lt;/D&gt;&lt;D xsi:type="xsd:double"&gt;0.590539&lt;/D&gt;&lt;D xsi:type="xsd:double"&gt;-9.491187&lt;/D&gt;&lt;D xsi:type="xsd:double"&gt;0.4864931&lt;/D&gt;&lt;D xsi:type="xsd:double"&gt;-4.5723495&lt;/D&gt;&lt;D xsi:type="xsd:double"&gt;-4.396856&lt;/D&gt;&lt;D xsi:type="xsd:double"&gt;-12.028289&lt;/D&gt;&lt;D xsi:type="xsd:double"&gt;3.2171369&lt;/D&gt;&lt;D xsi:type="xsd:double"&gt;-2.0779133&lt;/D&gt;&lt;D xsi:type="xsd:double"&gt;0.9561181&lt;/D&gt;&lt;D xsi:type="xsd:double"&gt;-1.6150594&lt;/D&gt;&lt;D xsi:type="xsd:double"&gt;5.33514&lt;/D&gt;&lt;D xsi:type="xsd:double"&gt;10.129869&lt;/D&gt;&lt;D xsi:type="xsd:double"&gt;-4.8349085&lt;/D&gt;&lt;D xsi:type="xsd:double"&gt;14.622068&lt;/D&gt;&lt;D xsi:type="xsd:double"&gt;4.4629574&lt;/D&gt;&lt;D xsi:type="xsd:double"&gt;-5.9251604&lt;/D&gt;&lt;D xsi:type="xsd:double"&gt;1.4364719&lt;/D&gt;&lt;D xsi:type="xsd:double"&gt;0.5446553&lt;/D&gt;&lt;D xsi:type="xsd:double"&gt;3.4669638&lt;/D&gt;&lt;D xsi:type="xsd:double"&gt;-0.20942688&lt;/D&gt;&lt;D xsi:type="xsd:double"&gt;6.447506&lt;/D&gt;&lt;D xsi:type="xsd:double"&gt;-8.032131&lt;/D&gt;&lt;D xsi:type="xsd:double"&gt;-28.275108&lt;/D&gt;&lt;D xsi:type="xsd:double"&gt;-9.132427&lt;/D&gt;&lt;D xsi:type="xsd:double"&gt;-0.50240755&lt;/D&gt;&lt;D xsi:type="xsd:double"&gt;14.421999&lt;/D&gt;&lt;D xsi:type="xsd:double"&gt;-2.7326703&lt;/D&gt;&lt;D xsi:type="xsd:double"&gt;0.9136915&lt;/D&gt;&lt;D xsi:type="xsd:double"&gt;1.5090585&lt;/D&gt;&lt;D xsi:type="xsd:double"&gt;3.2051444&lt;/D&gt;&lt;D xsi:type="xsd:double"&gt;-1.665163&lt;/D&gt;&lt;D xsi:type="xsd:double"&gt;22.90039&lt;/D&gt;&lt;D xsi:type="xsd:double"&gt;5.927062&lt;/D&gt;&lt;D xsi:type="xsd:double"&gt;-9.188366&lt;/D&gt;&lt;D xsi:type="xsd:double"&gt;10.118055&lt;/D&gt;&lt;D xsi:type="xsd:double"&gt;7.044399&lt;/D&gt;&lt;D xsi:type="xsd:double"&gt;3.3261776&lt;/D&gt;&lt;D xsi:type="xsd:double"&gt;3.911388&lt;/D&gt;&lt;D xsi:type="xsd:double"&gt;-7.961363&lt;/D&gt;&lt;D xsi:type="xsd:double"&gt;0.542891&lt;/D&gt;&lt;D xsi:type="xsd:double"&gt;2.5197983&lt;/D&gt;&lt;D xsi:type="xsd:double"&gt;-1.8258452&lt;/D&gt;&lt;D xsi:type="xsd:double"&gt;0.071537495&lt;/D&gt;&lt;D xsi:type="xsd:double"&gt;-2.4303079&lt;/D&gt;&lt;D xsi:type="xsd:double"&gt;1.9981265&lt;/D&gt;&lt;D xsi:type="xsd:double"&gt;8.477068&lt;/D&gt;&lt;D xsi:type="xsd:double"&gt;-18.606228&lt;/D&gt;&lt;D xsi:type="xsd:double"&gt;13.383209&lt;/D&gt;&lt;D xsi:type="xsd:double"&gt;-7.9178867&lt;/D&gt;&lt;D xsi:type="xsd:double"&gt;0.03980398&lt;/D&gt;&lt;D xsi:type="xsd:double"&gt;-9.877997&lt;/D&gt;&lt;D xsi:type="xsd:double"&gt;10.447109&lt;/D&gt;&lt;D xsi:type="xsd:double"&gt;-5.41082&lt;/D&gt;&lt;D xsi:type="xsd:double"&gt;-7.7118635&lt;/D&gt;&lt;D xsi:type="xsd:double"&gt;18.227732&lt;/D&gt;&lt;D xsi:type="xsd:double"&gt;3.029132&lt;/D&gt;&lt;D xsi:type="xsd:double"&gt;8.863115&lt;/D&gt;&lt;D xsi:type="xsd:double"&gt;10.941386&lt;/D&gt;&lt;D xsi:type="xsd:double"&gt;-3.7143767&lt;/D&gt;&lt;D xsi:type="xsd:double"&gt;3.0927896&lt;/D&gt;&lt;D xsi:type="xsd:double"&gt;5.1612854&lt;/D&gt;&lt;D xsi:type="xsd:double"&gt;9.570562&lt;/D&gt;&lt;D xsi:type="xsd:double"&gt;5.62793&lt;/D&gt;&lt;D xsi:type="xsd:double"&gt;1.8128514&lt;/D&gt;&lt;D xsi:type="xsd:double"&gt;-7.043725&lt;/D&gt;&lt;D xsi:type="xsd:double"&gt;-8.845067&lt;/D&gt;&lt;D xsi:type="xsd:double"&gt;8.034611&lt;/D&gt;&lt;D xsi:type="xsd:double"&gt;4.2048097&lt;/D&gt;&lt;D xsi:type="xsd:double"&gt;8.243632&lt;/D&gt;&lt;D xsi:type="xsd:double"&gt;4.527819&lt;/D&gt;&lt;D xsi:type="xsd:double"&gt;1.0643601&lt;/D&gt;&lt;D xsi:type="xsd:double"&gt;-1.1021316&lt;/D&gt;&lt;D xsi:type="xsd:double"&gt;4.408121&lt;/D&gt;&lt;D xsi:type="xsd:double"&gt;-1.2689769&lt;/D&gt;&lt;D xsi:type="xsd:double"&gt;0.27173758&lt;/D&gt;&lt;D xsi:type="xsd:double"&gt;-2.7397275&lt;/D&gt;&lt;D xsi:type="xsd:double"&gt;2.7180552&lt;/D&gt;&lt;D xsi:type="xsd:double"&gt;-1.1481822&lt;/D&gt;&lt;/FQL&gt;&lt;FQL&gt;&lt;Q&gt;UAE^FMA_DIV_YLD(NTMA,-10AY,0,AM,"PORTAGG","MEANR")&lt;/Q&gt;&lt;R&gt;121&lt;/R&gt;&lt;C&gt;1&lt;/C&gt;&lt;D xsi:type="xsd:double"&gt;2.65788966260198&lt;/D&gt;&lt;D xsi:type="xsd:double"&gt;2.88381053313352&lt;/D&gt;&lt;D xsi:type="xsd:double"&gt;3.28993781309251&lt;/D&gt;&lt;D xsi:type="xsd:double"&gt;3.46626119790924&lt;/D&gt;&lt;D xsi:type="xsd:double"&gt;3.406002920225&lt;/D&gt;&lt;D xsi:type="xsd:double"&gt;3.59170629251579&lt;/D&gt;&lt;D xsi:type="xsd:double"&gt;3.3093315447407&lt;/D&gt;&lt;D xsi:type="xsd:double"&gt;3.20936293595498&lt;/D&gt;&lt;D xsi:type="xsd:double"&gt;3.39709049074658&lt;/D&gt;&lt;D xsi:type="xsd:double"&gt;3.59547100151014&lt;/D&gt;&lt;D xsi:type="xsd:double"&gt;3.51066081137995&lt;/D&gt;&lt;D xsi:type="xsd:double"&gt;4.0682917273579&lt;/D&gt;&lt;D xsi:type="xsd:double"&gt;3.83864612646838&lt;/D&gt;&lt;D xsi:type="xsd:double"&gt;4.34242578300291&lt;/D&gt;&lt;D xsi:type="xsd:double"&gt;4.66880993888601&lt;/D&gt;&lt;D xsi:type="xsd:double"&gt;4.51601597600629&lt;/D&gt;&lt;D xsi:type="xsd:double"&gt;4.49750342257808&lt;/D&gt;&lt;D xsi:type="xsd:double"&gt;3.91390842203764&lt;/D&gt;&lt;D xsi:type="xsd:double"&gt;3.96500726136839&lt;/D&gt;&lt;D xsi:type="xsd:double"&gt;4.10838652834426&lt;/D&gt;&lt;D xsi:type="xsd:double"&gt;3.95546556434018&lt;/D&gt;&lt;D xsi:type="xsd:double"&gt;3.89331158952563&lt;/D&gt;&lt;D xsi:type="xsd:double"&gt;3.77129567576754&lt;/D&gt;&lt;D xsi:type="xsd:double"&gt;3.78179940254546&lt;/D&gt;&lt;D xsi:type="xsd:double"&gt;3.70860987482517&lt;/D&gt;&lt;D xsi:type="xsd:double"&gt;3.86988873346593&lt;/D&gt;&lt;D xsi:type="xsd:double"&gt;4.04213362107626&lt;/D&gt;&lt;D xsi:type="xsd:double"&gt;3.94675312398833&lt;/D&gt;&lt;D xsi:type="xsd:double"&gt;4.06370041395673&lt;/D&gt;&lt;D xsi:type="xsd:double"&gt;4.13351713077394&lt;/D&gt;&lt;D xsi:type="xsd:double"&gt;4.0091549631198&lt;/D&gt;&lt;D xsi:type="xsd:double"&gt;3.93346532154707&lt;/D&gt;&lt;D xsi:type="xsd:double"&gt;4.0775837543297&lt;/D&gt;&lt;D xsi:type="xsd:double"&gt;4.09961572841122&lt;/D&gt;&lt;D xsi:type="xsd:double"&gt;3.92245512653431&lt;/D&gt;&lt;D xsi:type="xsd:double"&gt;4.00220774424468&lt;/D&gt;&lt;D xsi:type="xsd:double"&gt;4.24710015685901&lt;/D&gt;&lt;D xsi:type="xsd:double"&gt;4.40735294523302&lt;/D&gt;&lt;D xsi:type="xsd:double"&gt;4.53758080478154&lt;/D&gt;&lt;D xsi:type="xsd:double"&gt;4.32804455711653&lt;/D&gt;&lt;D xsi:type="xsd:double"&gt;4.37232100073199&lt;/D&gt;&lt;D xsi:type="xsd:double"&gt;4.4501797596765&lt;/D&gt;&lt;D xsi:type="xsd:double"&gt;4.76561297090148&lt;/D&gt;&lt;D xsi:type="xsd:double"&gt;5.00905412967451&lt;/D&gt;&lt;D xsi:type="xsd:double"&gt;4.74684740107771&lt;/D&gt;&lt;D xsi:type="xsd:double"&gt;4.86510598214907&lt;/D&gt;&lt;D xsi:type="xsd:double"&gt;4.70876359398125&lt;/D&gt;&lt;D xsi:type="xsd:double"&gt;4.67929210859948&lt;/D&gt;&lt;D xsi:type="xsd:double"&gt;4.82568629961835&lt;/D&gt;&lt;D xsi:type="xsd:double"&gt;4.79116229025491&lt;/D&gt;&lt;D xsi:type="xsd:double"&gt;5.33211419795947&lt;/D&gt;&lt;D xsi:type="xsd:double"&gt;5.12611383279415&lt;/D&gt;&lt;D xsi:type="xsd:double"&gt;5.16085288673199&lt;/D&gt;&lt;D xsi:type="xsd:double"&gt;5.31672133699885&lt;/D&gt;&lt;D xsi:type="xsd:double"&gt;4.9646726568178&lt;/D&gt;&lt;D xsi:type="xsd:double"&gt;5.14294282253743&lt;/D&gt;&lt;D xsi:type="xsd:double"&gt;5.12167789406312&lt;/D&gt;&lt;D xsi:type="xsd:double"&gt;5.11054526539231&lt;/D&gt;&lt;D xsi:type="xsd:double"&gt;5.04590634030175&lt;/D&gt;&lt;D xsi:type="xsd:double"&gt;4.78562167046327&lt;/D&gt;&lt;D xsi:type="xsd:double"&gt;4.82534833081153&lt;/D&gt;&lt;D xsi:type="xsd:double"&gt;4.73468670545981&lt;/D&gt;&lt;D xsi:type="xsd:double"&gt;4.98587416377155&lt;/D&gt;&lt;D xsi:type="xsd:double"&gt;5.30146964765545&lt;/D&gt;&lt;D xsi:type="xsd:double"&gt;5.29294150122237&lt;/D&gt;&lt;D xsi:type="xsd:double"&gt;6.25491116483084&lt;/D&gt;&lt;D xsi:type="xsd:double"&gt;6.13996795561179&lt;/D&gt;&lt;D xsi:type="xsd:double"&gt;4.83380584913181&lt;/D&gt;&lt;D xsi:type="xsd:double"&gt;4.26909082062526&lt;/D&gt;&lt;D xsi:type="xsd:double"&gt;4.64038292469803&lt;/D&gt;&lt;D xsi:type="xsd:double"&gt;4.71833746514566&lt;/D&gt;&lt;D xsi:type="xsd:double"&gt;4.40478883636457&lt;/D&gt;&lt;D xsi:type="xsd:double"&gt;4.40952472150302&lt;/D&gt;&lt;D xsi:type="xsd:double"&gt;4.79879032116376&lt;/D&gt;&lt;D xsi:type="xsd:double"&gt;4.38638948097711&lt;/D&gt;&lt;D xsi:type="xsd:double"&gt;4.38046661110031&lt;/D&gt;&lt;D xsi:type="xsd:double"&gt;4.49072629746781&lt;/D&gt;&lt;D xsi:type="xsd:double"&gt;4.63994549336457&lt;/D&gt;&lt;D xsi:type="xsd:double"&gt;4.44407903311302&lt;/D&gt;&lt;D xsi:type="xsd:double"&gt;4.49404745478291&lt;/D&gt;&lt;D xsi:type="xsd:double"&gt;4.33639944718057&lt;/D&gt;&lt;D xsi:type="xsd:double"&gt;4.66461148853874&lt;/D&gt;&lt;D xsi:type="xsd:double"&gt;4.55959284496174&lt;/D&gt;&lt;D xsi:type="xsd:double"&gt;4.23236656043557&lt;/D&gt;&lt;D xsi:type="xsd:double"&gt;4.20675748900207&lt;/D&gt;&lt;D xsi:type="xsd:double"&gt;3.87279482168578&lt;/D&gt;&lt;D xsi:type="xsd:double"&gt;4.1419014263539&lt;/D&gt;&lt;D xsi:type="xsd:double"&gt;4.41655113406482&lt;/D&gt;&lt;D xsi:type="xsd:double"&gt;4.12409634759813&lt;/D&gt;&lt;D xsi:type="xsd:double"&gt;3.68712919842022&lt;/D&gt;&lt;D xsi:type="xsd:double"&gt;3.39111316812964&lt;/D&gt;&lt;D xsi:type="xsd:double"&gt;3.71788751219049&lt;/D&gt;&lt;D xsi:type="xsd:double"&gt;4.10183655604875&lt;/D&gt;&lt;D xsi:type="xsd:double"&gt;4.52447694653152&lt;/D&gt;&lt;D xsi:type="xsd:double"&gt;4.05195124421842&lt;/D&gt;&lt;D xsi:type="xsd:double"&gt;4.3086514668389&lt;/D&gt;&lt;D xsi:type="xsd:double"&gt;4.3762079721523&lt;/D&gt;&lt;D xsi:type="xsd:double"&gt;4.32314779991653&lt;/D&gt;&lt;D xsi:type="xsd:double"&gt;4.52302796105692&lt;/D&gt;&lt;D xsi:type="xsd:double"&gt;4.75737356688376&lt;/D&gt;&lt;D xsi:type="xsd:double"&gt;4.60480460715398&lt;/D&gt;&lt;D xsi:type="xsd:double"&gt;4.68723600810196&lt;/D&gt;&lt;D xsi:type="xsd:double"&gt;4.60222666498844&lt;/D&gt;&lt;D xsi:type="xsd:double"&gt;4.39420056893218&lt;/D&gt;&lt;D xsi:type="xsd:double"&gt;4.4660686481732&lt;/D&gt;&lt;D xsi:type="xsd:double"&gt;4.32351786079993&lt;/D&gt;&lt;D xsi:type="xsd:double"&gt;4.09404708754608&lt;/D&gt;&lt;D xsi:type="xsd:double"&gt;4.42551318981118&lt;/D&gt;&lt;D xsi:type="xsd:double"&gt;4.43501930621046&lt;/D&gt;&lt;D xsi:type="xsd:double"&gt;4.6319789519466&lt;/D&gt;&lt;D xsi:type="xsd:double"&gt;4.78972346863615&lt;/D&gt;&lt;D xsi:type="xsd:double"&gt;4.48743020321214&lt;/D&gt;&lt;D xsi:type="xsd:double"&gt;4.93385101810588&lt;/D&gt;&lt;D xsi:type="xsd:double"&gt;5.10156722778819&lt;/D&gt;&lt;D xsi:type="xsd:double"&gt;5.41063362828071&lt;/D&gt;&lt;D xsi:type="xsd:double"&gt;5.63612194386081&lt;/D&gt;&lt;D xsi:type="xsd:double"&gt;5.92383230107615&lt;/D&gt;&lt;D xsi:type="xsd:double"&gt;5.68593798326938&lt;/D&gt;&lt;D xsi:type="xsd:double"&gt;5.50578053249293&lt;/D&gt;&lt;D xsi:type="xsd:double"&gt;5.22205065580385&lt;/D&gt;&lt;D xsi:type="xsd:double"&gt;5.30359591929354&lt;/D&gt;&lt;/FQL&gt;&lt;FQL&gt;&lt;Q&gt;EIDO^FMA_DIV_YLD(NTMA,-10AY,0,AM,"PORTAGG","MEANR")&lt;/Q&gt;&lt;R&gt;121&lt;/R&gt;&lt;C&gt;1&lt;/C&gt;&lt;D xsi:type="xsd:double"&gt;2.64291012746792&lt;/D&gt;&lt;D xsi:type="xsd:double"&gt;2.6500504123827&lt;/D&gt;&lt;D xsi:type="xsd:double"&gt;2.47652845534818&lt;/D&gt;&lt;D xsi:type="xsd:double"&gt;2.50009264497839&lt;/D&gt;&lt;D xsi:type="xsd:double"&gt;2.39172454156291&lt;/D&gt;&lt;D xsi:type="xsd:double"&gt;2.29773354905087&lt;/D&gt;&lt;D xsi:type="xsd:double"&gt;2.28931532162128&lt;/D&gt;&lt;D xsi:type="xsd:double"&gt;2.38763795167849&lt;/D&gt;&lt;D xsi:type="xsd:double"&gt;2.5047999397131&lt;/D&gt;&lt;D xsi:type="xsd:double"&gt;2.48199973721683&lt;/D&gt;&lt;D xsi:type="xsd:double"&gt;2.50529983879766&lt;/D&gt;&lt;D xsi:type="xsd:double"&gt;2.75652760650617&lt;/D&gt;&lt;D xsi:type="xsd:double"&gt;2.56291923319435&lt;/D&gt;&lt;D xsi:type="xsd:double"&gt;2.63260602355132&lt;/D&gt;&lt;D xsi:type="xsd:double"&gt;2.55583165879323&lt;/D&gt;&lt;D xsi:type="xsd:double"&gt;2.51658304076817&lt;/D&gt;&lt;D xsi:type="xsd:double"&gt;2.42182868616774&lt;/D&gt;&lt;D xsi:type="xsd:double"&gt;2.4006256119424&lt;/D&gt;&lt;D xsi:type="xsd:double"&gt;2.37453621906878&lt;/D&gt;&lt;D xsi:type="xsd:double"&gt;2.45665971882557&lt;/D&gt;&lt;D xsi:type="xsd:double"&gt;2.38550732231453&lt;/D&gt;&lt;D xsi:type="xsd:double"&gt;2.2967543838902&lt;/D&gt;&lt;D xsi:type="xsd:double"&gt;2.13171943706468&lt;/D&gt;&lt;D xsi:type="xsd:double"&gt;2.24173794647769&lt;/D&gt;&lt;D xsi:type="xsd:double"&gt;2.26359555719156&lt;/D&gt;&lt;D xsi:type="xsd:double"&gt;2.26582038342978&lt;/D&gt;&lt;D xsi:type="xsd:double"&gt;2.40736704684636&lt;/D&gt;&lt;D xsi:type="xsd:double"&gt;2.4144176271327&lt;/D&gt;&lt;D xsi:type="xsd:double"&gt;2.42000269524997&lt;/D&gt;&lt;D xsi:type="xsd:double"&gt;2.46676551582942&lt;/D&gt;&lt;D xsi:type="xsd:double"&gt;2.41475868300196&lt;/D&gt;&lt;D xsi:type="xsd:double"&gt;2.48832486407803&lt;/D&gt;&lt;D xsi:type="xsd:double"&gt;2.55434127905001&lt;/D&gt;&lt;D xsi:type="xsd:double"&gt;2.56623276539589&lt;/D&gt;&lt;D xsi:type="xsd:double"&gt;2.53462511849312&lt;/D&gt;&lt;D xsi:type="xsd:double"&gt;2.58887493715102&lt;/D&gt;&lt;D xsi:type="xsd:double"&gt;2.57332982660615&lt;/D&gt;&lt;D xsi:type="xsd:double"&gt;2.59443551457898&lt;/D&gt;&lt;D xsi:type="xsd:double"&gt;2.64675042408231&lt;/D&gt;&lt;D xsi:type="xsd:double"&gt;2.50540151182646&lt;/D&gt;&lt;D xsi:type="xsd:double"&gt;2.49266899085601&lt;/D&gt;&lt;D xsi:type="xsd:double"&gt;2.5704694884505&lt;/D&gt;&lt;D xsi:type="xsd:double"&gt;2.6387005645107&lt;/D&gt;&lt;D xsi:type="xsd:double"&gt;2.98299653113196&lt;/D&gt;&lt;D xsi:type="xsd:double"&gt;2.98015065233381&lt;/D&gt;&lt;D xsi:type="xsd:double"&gt;3.07973776277079&lt;/D&gt;&lt;D xsi:type="xsd:double"&gt;2.92828899398241&lt;/D&gt;&lt;D xsi:type="xsd:double"&gt;3.07772921390162&lt;/D&gt;&lt;D xsi:type="xsd:double"&gt;3.05695062359547&lt;/D&gt;&lt;D xsi:type="xsd:double"&gt;2.99538427488654&lt;/D&gt;&lt;D xsi:type="xsd:double"&gt;2.84833225058677&lt;/D&gt;&lt;D xsi:type="xsd:double"&gt;2.80191727145279&lt;/D&gt;&lt;D xsi:type="xsd:double"&gt;2.78274929957219&lt;/D&gt;&lt;D xsi:type="xsd:double"&gt;2.86267773238532&lt;/D&gt;&lt;D xsi:type="xsd:double"&gt;2.78672736410313&lt;/D&gt;&lt;D xsi:type="xsd:double"&gt;2.97413855510859&lt;/D&gt;&lt;D xsi:type="xsd:double"&gt;2.81364244709272&lt;/D&gt;&lt;D xsi:type="xsd:double"&gt;2.70139972730494&lt;/D&gt;&lt;D xsi:type="xsd:double"&gt;2.80764754072476&lt;/D&gt;&lt;D xsi:type="xsd:double"&gt;2.78437136331752&lt;/D&gt;&lt;D xsi:type="xsd:double"&gt;2.90387642735781&lt;/D&gt;&lt;D xsi:type="xsd:double"&gt;2.78710123763046&lt;/D&gt;&lt;D xsi:type="xsd:double"&gt;2.84376073786866&lt;/D&gt;&lt;D xsi:type="xsd:double"&gt;2.7417166651884&lt;/D&gt;&lt;D xsi:type="xsd:double"&gt;2.87248569360398&lt;/D&gt;&lt;D xsi:type="xsd:double"&gt;3.45459210452896&lt;/D&gt;&lt;D xsi:type="xsd:double"&gt;3.83807684319746&lt;/D&gt;&lt;D xsi:type="xsd:double"&gt;3.8065645565337&lt;/D&gt;&lt;D xsi:type="xsd:double"&gt;3.23793629454534&lt;/D&gt;&lt;D xsi:type="xsd:double"&gt;2.89035287879583&lt;/D&gt;&lt;D xsi:type="xsd:double"&gt;2.84566455130874&lt;/D&gt;&lt;D xsi:type="xsd:double"&gt;2.99067508739804&lt;/D&gt;&lt;D xsi:type="xsd:double"&gt;2.90714850209354&lt;/D&gt;&lt;D xsi:type="xsd:double"&gt;2.57610577202903&lt;/D&gt;&lt;D xsi:type="xsd:double"&gt;2.30964223420027&lt;/D&gt;&lt;D xsi:type="xsd:double"&gt;2.25512411774914&lt;/D&gt;&lt;D xsi:type="xsd:double"&gt;2.42648207955229&lt;/D&gt;&lt;D xsi:type="xsd:double"&gt;2.53994366513554&lt;/D&gt;&lt;D xsi:type="xsd:double"&gt;2.70015270894703&lt;/D&gt;&lt;D xsi:type="xsd:double"&gt;2.78544756226045&lt;/D&gt;&lt;D xsi:type="xsd:double"&gt;2.78886702841286&lt;/D&gt;&lt;D xsi:type="xsd:double"&gt;3.04124910866497&lt;/D&gt;&lt;D xsi:type="xsd:double"&gt;3.12216635184192&lt;/D&gt;&lt;D xsi:type="xsd:double"&gt;3.0813649045992&lt;/D&gt;&lt;D xsi:type="xsd:double"&gt;2.94242526640173&lt;/D&gt;&lt;D xsi:type="xsd:double"&gt;2.97093600659572&lt;/D&gt;&lt;D xsi:type="xsd:double"&gt;3.11284835195057&lt;/D&gt;&lt;D xsi:type="xsd:double"&gt;3.15102952509642&lt;/D&gt;&lt;D xsi:type="xsd:double"&gt;3.10786650297892&lt;/D&gt;&lt;D xsi:type="xsd:double"&gt;3.14241923362569&lt;/D&gt;&lt;D xsi:type="xsd:double"&gt;3.27613117032577&lt;/D&gt;&lt;D xsi:type="xsd:double"&gt;3.48306499724146&lt;/D&gt;&lt;D xsi:type="xsd:double"&gt;3.51473528557729&lt;/D&gt;&lt;D xsi:type="xsd:double"&gt;3.72887292895967&lt;/D&gt;&lt;D xsi:type="xsd:double"&gt;3.64133523741671&lt;/D&gt;&lt;D xsi:type="xsd:double"&gt;3.57520257199878&lt;/D&gt;&lt;D xsi:type="xsd:double"&gt;3.82506903758753&lt;/D&gt;&lt;D xsi:type="xsd:double"&gt;3.94812165466369&lt;/D&gt;&lt;D xsi:type="xsd:double"&gt;4.0771555371593&lt;/D&gt;&lt;D xsi:type="xsd:double"&gt;4.25637666231352&lt;/D&gt;&lt;D xsi:type="xsd:double"&gt;4.12568016568488&lt;/D&gt;&lt;D xsi:type="xsd:double"&gt;4.30989159448186&lt;/D&gt;&lt;D xsi:type="xsd:double"&gt;4.45497344763067&lt;/D&gt;&lt;D xsi:type="xsd:double"&gt;4.5474983256775&lt;/D&gt;&lt;D xsi:type="xsd:double"&gt;4.20571237602629&lt;/D&gt;&lt;D xsi:type="xsd:double"&gt;4.24464030515364&lt;/D&gt;&lt;D xsi:type="xsd:double"&gt;4.08835245004768&lt;/D</t>
        </r>
      </text>
    </comment>
    <comment ref="A2" authorId="0" shapeId="0" xr:uid="{3084A1E6-45BF-4F4D-83AA-772C26BD81E4}">
      <text>
        <r>
          <rPr>
            <b/>
            <sz val="9"/>
            <color indexed="81"/>
            <rFont val="Tahoma"/>
            <charset val="1"/>
          </rPr>
          <t>&gt;&lt;D xsi:type="xsd:double"&gt;4.16331229531514&lt;/D&gt;&lt;D xsi:type="xsd:double"&gt;4.2104251183724&lt;/D&gt;&lt;D xsi:type="xsd:double"&gt;4.26582896543245&lt;/D&gt;&lt;D xsi:type="xsd:double"&gt;4.2381655034885&lt;/D&gt;&lt;D xsi:type="xsd:double"&gt;4.05681829721045&lt;/D&gt;&lt;D xsi:type="xsd:double"&gt;4.10273636403938&lt;/D&gt;&lt;D xsi:type="xsd:double"&gt;4.01376736754698&lt;/D&gt;&lt;D xsi:type="xsd:double"&gt;4.17417597554567&lt;/D&gt;&lt;D xsi:type="xsd:double"&gt;4.53258464513749&lt;/D&gt;&lt;D xsi:type="xsd:double"&gt;4.53990029690998&lt;/D&gt;&lt;D xsi:type="xsd:double"&gt;4.43428112490564&lt;/D&gt;&lt;D xsi:type="xsd:double"&gt;4.36415168290141&lt;/D&gt;&lt;D xsi:type="xsd:double"&gt;4.06357182024841&lt;/D&gt;&lt;D xsi:type="xsd:double"&gt;4.17516528538125&lt;/D&gt;&lt;/FQL&gt;&lt;FQL&gt;&lt;Q&gt;EWW^FMA_PE(NTMA,-10AY,0,AM,"PORTAGG","MEANR")&lt;/Q&gt;&lt;R&gt;121&lt;/R&gt;&lt;C&gt;1&lt;/C&gt;&lt;D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xsi:type="xsd:double"&gt;16.0146447968851&lt;/D&gt;&lt;D xsi:type="xsd:double"&gt;17.0360879572283&lt;/D&gt;&lt;D xsi:type="xsd:double"&gt;17.9017902035248&lt;/D&gt;&lt;D xsi:type="xsd:double"&gt;19.2950533707118&lt;/D&gt;&lt;D xsi:type="xsd:double"&gt;19.7779137711121&lt;/D&gt;&lt;D xsi:type="xsd:double"&gt;18.4368623976547&lt;/D&gt;&lt;D xsi:type="xsd:double"&gt;18.2506144305632&lt;/D&gt;&lt;D xsi:type="xsd:double"&gt;18.7964370760707&lt;/D&gt;&lt;D xsi:type="xsd:double"&gt;17.7598438609247&lt;/D&gt;&lt;D xsi:type="xsd:double"&gt;18.1712997396906&lt;/D&gt;&lt;D xsi:type="xsd:double"&gt;16.8067947816528&lt;/D&gt;&lt;D xsi:type="xsd:double"&gt;16.8259482249495&lt;/D&gt;&lt;D xsi:type="xsd:double"&gt;16.0536127423683&lt;/D&gt;&lt;D xsi:type="xsd:double"&gt;16.6379181756476&lt;/D&gt;&lt;D xsi:type="xsd:double"&gt;16.40873481535&lt;/D&gt;&lt;D xsi:type="xsd:double"&gt;17.0850489631729&lt;/D&gt;&lt;D xsi:type="xsd:double"&gt;16.8272766464309&lt;/D&gt;&lt;D xsi:type="xsd:double"&gt;16.4716122628809&lt;/D&gt;&lt;D xsi:type="xsd:double"&gt;16.8526198543498&lt;/D&gt;&lt;D xsi:type="xsd:double"&gt;17.0275090627006&lt;/D&gt;&lt;D xsi:type="xsd:double"&gt;16.8086445452035&lt;/D&gt;&lt;D xsi:type="xsd:double"&gt;16.5061733011849&lt;/D&gt;&lt;D xsi:type="xsd:double"&gt;15.7616053352883&lt;/D&gt;&lt;D xsi:type="xsd:double"&gt;15.5190786577061&lt;/D&gt;&lt;D xsi:type="xsd:double"&gt;15.7557468107109&lt;/D&gt;&lt;D xsi:type="xsd:double"&gt;15.2903159447706&lt;/D&gt;&lt;D xsi:type="xsd:double"&gt;15.6695632291325&lt;/D&gt;&lt;D xsi:type="xsd:double"&gt;15.6090849830458&lt;/D&gt;&lt;D xsi:type="xsd:double"&gt;14.8766727130423&lt;/D&gt;&lt;D xsi:type="xsd:double"&gt;14.4207671934559&lt;/D&gt;&lt;D xsi:type="xsd:double"&gt;15.5889714167835&lt;/D&gt;&lt;D xsi:type="xsd:double"&gt;14.9249159549307&lt;/D&gt;&lt;D xsi:type="xsd:double"&gt;14.9302452470861&lt;/D&gt;&lt;D xsi:type="xsd:double"&gt;14.5606646447472&lt;/D&gt;&lt;D xsi:type="xsd:double"&gt;13.1675445324019&lt;/D&gt;&lt;D xsi:type="xsd:double"&gt;12.3278807601105&lt;/D&gt;&lt;D xsi:type="xsd:double"&gt;13.0486368369416&lt;/D&gt;&lt;D xsi:type="xsd:double"&gt;13.055453784367&lt;/D&gt;&lt;D xsi:type="xsd:double"&gt;12.4889192955662&lt;/D&gt;&lt;D xsi:type="xsd:double"&gt;13.5647402432512&lt;/D&gt;&lt;D xsi:type="xsd:double"&gt;13.0776909821447&lt;/D&gt;&lt;D xsi:type="xsd:double"&gt;13.1189215671383&lt;/D&gt;&lt;D xsi:type="xsd:double"&gt;12.870790963368&lt;/D&gt;&lt;D xsi:type="xsd:double"&gt;12.4403833740622&lt;/D&gt;&lt;D xsi:type="xsd:double"&gt;13.2342310686059&lt;/D&gt;&lt;D xsi:type="xsd:double"&gt;13.3377713386443&lt;/D&gt;&lt;D xsi:type="xsd:double"&gt;13.6408342892045&lt;/D&gt;&lt;D xsi:type="xsd:double"&gt;13.4055385929671&lt;/D&gt;&lt;D xsi:type="xsd:double"&gt;13.9982827313258&lt;/D&gt;&lt;D xsi:type="xsd:double"&gt;13.9271625603712&lt;/D&gt;&lt;D xsi:type="xsd:double"&gt;12.3499137263999&lt;/D&gt;&lt;D xsi:type="xsd:double"&gt;10.9610213176721&lt;/D&gt;&lt;D xsi:type="xsd:double"&gt;15.3478406105678&lt;/D&gt;&lt;D xsi:type="xsd:double"&gt;16.8190428711971&lt;/D&gt;&lt;D xsi:type="xsd:double"&gt;16.1221946046348&lt;/D&gt;&lt;D xsi:type="xsd:double"&gt;17.1700284020249&lt;/D&gt;&lt;D xsi:type="xsd:double"&gt;15.1608180486606&lt;/D&gt;&lt;D xsi:type="xsd:double"&gt;15.4069667452831&lt;/D&gt;&lt;D xsi:type="xsd:double"&gt;15.0998822606211&lt;/D&gt;&lt;D xsi:type="xsd:double"&gt;15.2249564909971&lt;/D&gt;&lt;D xsi:type="xsd:double"&gt;15.4267400409666&lt;/D&gt;&lt;D xsi:type="xsd:double"&gt;14.3569759576107&lt;/D&gt;&lt;D xsi:type="xsd:double"&gt;14.7232077617364&lt;/D&gt;&lt;D xsi:type="xsd:double"&gt;14.6871182940737&lt;/D&gt;&lt;D xsi:type="xsd:double"&gt;14.7886421681818&lt;/D&gt;&lt;D xsi:type="xsd:double"&gt;15.1257838394212&lt;/D&gt;&lt;D xsi:type="xsd:double"&gt;14.4525821784351&lt;/D&gt;&lt;D xsi:type="xsd:double"&gt;14.181365506205&lt;/D&gt;&lt;D xsi:type="xsd:double"&gt;13.9543056710538&lt;/D&gt;&lt;D xsi:type="xsd:double"&gt;13.5903422203308&lt;/D&gt;&lt;D xsi:type="xsd:double"&gt;13.6026480575438&lt;/D&gt;&lt;D xsi:type="xsd:double"&gt;13.2203018813265&lt;/D&gt;&lt;D xsi:type="xsd:double"&gt;13.5633108678114&lt;/D&gt;&lt;D xsi:type="xsd:double"&gt;13.3727423602226&lt;/D&gt;&lt;D xsi:type="xsd:double"&gt;13.4652140883277&lt;/D&gt;&lt;D xsi:type="xsd:double"&gt;13.7137527556994&lt;/D&gt;&lt;D xsi:type="xsd:double"&gt;12.1484248693521&lt;/D&gt;&lt;D xsi:type="xsd:double"&gt;11.7111073123618&lt;/D&gt;&lt;D xsi:type="xsd:double"&gt;11.3973452502955&lt;/D&gt;&lt;D xsi:type="xsd:double"&gt;11.5982269535525&lt;/D&gt;&lt;D xsi:type="xsd:double"&gt;11.1855783699628&lt;/D&gt;&lt;D xsi:type="xsd:double"&gt;11.2139704402885&lt;/D&gt;&lt;D xsi:type="xsd:double"&gt;12.5559302823446&lt;/D&gt;&lt;D xsi:type="xsd:double"&gt;12.191474778243&lt;/D&gt;&lt;D xsi:type="xsd:double"&gt;12.5402521339375&lt;/D&gt;&lt;D xsi:type="xsd:double"&gt;12.5013781560385&lt;/D&gt;&lt;D xsi:type="xsd:double"&gt;12.5731204801028&lt;/D&gt;&lt;D xsi:type="xsd:double"&gt;12.5742934744458&lt;/D&gt;&lt;D xsi:type="xsd:double"&gt;12.5014287617734&lt;/D&gt;&lt;D xsi:type="xsd:double"&gt;11.9896821712241&lt;/D&gt;&lt;D xsi:type="xsd:double"&gt;11.8229351825776&lt;/D&gt;&lt;D xsi:type="xsd:double"&gt;11.9338366010012&lt;/D&gt;&lt;D xsi:type="xsd:double"&gt;11.6696938147553&lt;/D&gt;&lt;D xsi:type="xsd:double"&gt;11.2231179929993&lt;/D&gt;&lt;D xsi:type="xsd:double"&gt;11.5795549719511&lt;/D&gt;&lt;D xsi:type="xsd:double"&gt;12.3558223533741&lt;/D&gt;&lt;D xsi:type="xsd:double"&gt;12.4477924214197&lt;/D&gt;&lt;D xsi:type="xsd:double"&gt;12.9553567378849&lt;/D&gt;&lt;D xsi:type="xsd:double"&gt;12.3653190254269&lt;/D&gt;&lt;D xsi:type="xsd:double"&gt;12.5757434890324&lt;/D&gt;&lt;D xsi:type="xsd:double"&gt;12.646426984368&lt;/D&gt;&lt;D xsi:type="xsd:double"&gt;11.4351642166333&lt;/D&gt;&lt;D xsi:type="xsd:double"&gt;11.6368901103291&lt;/D&gt;&lt;D xsi:type="xsd:double"&gt;10.9936761795432&lt;/D&gt;&lt;D xsi:type="xsd:double"&gt;10.5580368663785&lt;/D&gt;&lt;D xsi:type="xsd:double"&gt;10.8032984285862&lt;/D&gt;&lt;/FQL&gt;&lt;FQL&gt;&lt;Q&gt;MCHI^FMA_PE(LTMA,-10AY,0,AM,"PORTAGG","MEANR")&lt;/Q&gt;&lt;R&gt;121&lt;/R&gt;&lt;C&gt;1&lt;/C&gt;&lt;D xsi:type="xsd:double"&gt;9.26257846468734&lt;/D&gt;&lt;D xsi:type="xsd:double"&gt;9.50100412677191&lt;/D&gt;&lt;D xsi:type="xsd:double"&gt;9.82305230613948&lt;/D&gt;&lt;D xsi:type="xsd:double"&gt;10.4884769599511&lt;/D&gt;&lt;D xsi:type="xsd:double"&gt;10.5022470297212&lt;/D&gt;&lt;D xsi:type="xsd:double"&gt;10.7696988258815&lt;/D&gt;&lt;D xsi:type="xsd:double"&gt;11.3076767506313&lt;/D&gt;&lt;D xsi:type="xsd:double"&gt;11.4429578702306&lt;/D&gt;&lt;D xsi:type="xsd:double"&gt;11.3183919622594&lt;/D&gt;&lt;D xsi:type="xsd:double"&gt;10.7083510324773&lt;/D&gt;&lt;D xsi:type="xsd:double"&gt;10.5177508221608&lt;/D&gt;&lt;D xsi:type="xsd:double"&gt;9.85998957184596&lt;/D&gt;&lt;D xsi:type="xsd:double"&gt;10.1626587512878&lt;/D&gt;&lt;D xsi:type="xsd:double"&gt;10.1604368288528&lt;/D&gt;&lt;D xsi:type="xsd:double"&gt;9.72541126798335&lt;/D&gt;&lt;D xsi:type="xsd:double"&gt;10.0421306166895&lt;/D&gt;&lt;D xsi:type="xsd:double"&gt;9.36495543758027&lt;/D&gt;&lt;D xsi:type="xsd:double"&gt;9.33169378222709&lt;/D&gt;&lt;D xsi:type="xsd:double"&gt;9.54971811657144&lt;/D&gt;&lt;D xsi:type="xsd:double"&gt;9.57314239150793&lt;/D&gt;&lt;D xsi:type="xsd:double"&gt;10.2614695916338&lt;/D&gt;&lt;D xsi:type="xsd:double"&gt;10.4606462707671&lt;/D&gt;&lt;D xsi:type="xsd:double"&gt;11.3744400467664&lt;/D&gt;&lt;D xsi:type="xsd:double"&gt;12.4817465302323&lt;/D&gt;&lt;D xsi:type="xsd:double"&gt;12.9804122898298&lt;/D&gt;&lt;D xsi:type="xsd:double"&gt;12.8591428281713&lt;/D&gt;&lt;D xsi:type="xsd:double"&gt;13.2640022628496&lt;/D&gt;&lt;D xsi:type="xsd:double"&gt;13.589471551884&lt;/D&gt;&lt;D xsi:type="xsd:double"&gt;14.0425366637057&lt;/D&gt;&lt;D xsi:type="xsd:double"&gt;14.0150343223015&lt;/D&gt;&lt;D xsi:type="xsd:double"&gt;13.8776067391642&lt;/D&gt;&lt;D xsi:type="xsd:double"&gt;13.9870408602343&lt;/D&gt;&lt;D xsi:type="xsd:double"&gt;14.1448994894042&lt;/D&gt;&lt;D xsi:type="xsd:double"&gt;13.9851149615752&lt;/D&gt;&lt;D xsi:type="xsd:double"&gt;14.5460114457741&lt;/D&gt;&lt;D xsi:type="xsd:double"&gt;14.3442567851793&lt;/D&gt;&lt;D xsi:type="xsd:double"&gt;15.1578450550661&lt;/D&gt;&lt;D xsi:type="xsd:double"&gt;15.5044643185864&lt;/D&gt;&lt;D xsi:type="xsd:double"&gt;15.0233402682502&lt;/D&gt;&lt;D xsi:type="xsd:double"&gt;16.2288705385983&lt;/D&gt;&lt;D xsi:type="xsd:double"&gt;14.5435298676946&lt;/D&gt;&lt;D xsi:type="xsd:double"&gt;15.3420588758237&lt;/D&gt;&lt;D xsi:type="xsd:double"&gt;15.0294083408161&lt;/D&gt;&lt;D xsi:type="xsd:double"&gt;14.8658639282796&lt;/D&gt;&lt;D xsi:type="xsd:double"&gt;14.7599761343534&lt;/D&gt;&lt;D xsi:type="xsd:double"&gt;14.1507543763431&lt;/D&gt;&lt;D xsi:type="xsd:double"&gt;13.8936318327587&lt;/D&gt;&lt;D xsi:type="xsd:double"&gt;13.0095401607192&lt;/D&gt;&lt;D xsi:type="xsd:double"&gt;12.3827365982058&lt;/D&gt;&lt;D xsi:type="xsd:double"&gt;12.121937382058&lt;/D&gt;&lt;D xsi:type="xsd:double"&gt;11.9903160382232&lt;/D&gt;&lt;D xsi:type="xsd:double"&gt;11.7607068573293&lt;/D&gt;&lt;D xsi:type="xsd:double"&gt;12.4984428515975&lt;/D&gt;&lt;D xsi:type="xsd:double"&gt;12.7973235548277&lt;/D&gt;&lt;D xsi:type="xsd:double"&gt;12.973287889159&lt;/D&gt;&lt;D xsi:type="xsd:double"&gt;12.6972331843306&lt;/D&gt;&lt;D xsi:type="xsd:double"&gt;12.49107940372&lt;/D&gt;&lt;D xsi:type="xsd:double"&gt;12.5740356727215&lt;/D&gt;&lt;D xsi:type="xsd:double"&gt;12.2031671490423&lt;/D&gt;&lt;D xsi:type="xsd:double"&gt;12.5682785896372&lt;/D&gt;&lt;D xsi:type="xsd:double"&gt;12.2453609040754&lt;/D&gt;&lt;D xsi:type="xsd:double"&gt;12.7181791779251&lt;/D&gt;&lt;D xsi:type="xsd:double"&gt;12.9142879570026&lt;/D&gt;&lt;D xsi:type="xsd:double"&gt;14.0701015180916&lt;/D&gt;&lt;D xsi:type="xsd:double"&gt;13.5233247149116&lt;/D&gt;&lt;D xsi:type="xsd:double"&gt;13.0135977699994&lt;/D&gt;&lt;D xsi:type="xsd:double"&gt;13.0368164475465&lt;/D&gt;&lt;D xsi:type="xsd:double"&gt;13.2645563009928&lt;/D&gt;&lt;D xsi:type="xsd:double"&gt;13.9890733656006&lt;/D&gt;&lt;D xsi:type="xsd:double"&gt;15.2310327528231&lt;/D&gt;&lt;D xsi:type="xsd:double"&gt;15.1278779292094&lt;/D&gt;&lt;D xsi:type="xsd:double"&gt;15.497322020705&lt;/D&gt;&lt;D xsi:type="xsd:double"&gt;16.3616857646415&lt;/D&gt;&lt;D xsi:type="xsd:double"&gt;17.117855224034&lt;/D&gt;&lt;D xsi:type="xsd:double"&gt;17.6614970628448&lt;/D&gt;&lt;D xsi:type="xsd:double"&gt;19.2232262563878&lt;/D&gt;&lt;D xsi:type="xsd:double"&gt;21.8661262235128&lt;/D&gt;&lt;D xsi:type="xsd:double"&gt;19.6196396709034&lt;/D&gt;&lt;D xsi:type="xsd:double"&gt;19.2764829560474&lt;/D&gt;&lt;D xsi:type="xsd:double"&gt;18.6892595059695&lt;/D&gt;&lt;D xsi:type="xsd:double"&gt;18.8317473949495&lt;/D&gt;&lt;D xsi:type="xsd:double"&gt;18.1212210538106&lt;/D&gt;&lt;D xsi:type="xsd:double"&gt;17.3626376746301&lt;/D&gt;&lt;D xsi:type="xsd:double"&gt;16.9532190878833&lt;/D&gt;&lt;D xsi:type="xsd:double"&gt;16.1122080326301&lt;/D&gt;&lt;D xsi:type="xsd:double"&gt;15.5556508804849&lt;/D&gt;&lt;D xsi:type="xsd:double"&gt;14.9023968052198&lt;/D&gt;&lt;D xsi:type="xsd:double"&gt;14.0119070271606&lt;/D&gt;&lt;D xsi:type="xsd:double"&gt;14.2659673064261&lt;/D&gt;&lt;D xsi:type="xsd:double"&gt;12.7944454446453&lt;/D&gt;&lt;D xsi:type="xsd:double"&gt;12.7435601156117&lt;/D&gt;&lt;D xsi:type="xsd:double"&gt;12.3395668717144&lt;/D&gt;&lt;D xsi:type="xsd:double"&gt;12.9844380718054&lt;/D&gt;&lt;D xsi:type="xsd:double"&gt;13.0937708020948&lt;/D&gt;&lt;D xsi:type="xsd:double"&gt;12.2380650185876&lt;/D&gt;&lt;D xsi:type="xsd:double"&gt;12.4027429948563&lt;/D&gt;&lt;D xsi:type="xsd:double"&gt;11.2267517945432&lt;/D&gt;&lt;D xsi:type="xsd:double"&gt;10.7416142169185&lt;/D&gt;&lt;D xsi:type="xsd:double"&gt;12.5468488564334&lt;/D&gt;&lt;D xsi:type="xsd:double"&gt;13.4673105869981&lt;/D&gt;&lt;D xsi:type="xsd:double"&gt;13.1432520772222&lt;/D&gt;&lt;D xsi:type="xsd:double"&gt;12.2796504216718&lt;/D&gt;&lt;D xsi:type="xsd:double"&gt;12.3060956919636&lt;/D&gt;&lt;D xsi:type="xsd:double"&gt;12.035590900254&lt;/D&gt;&lt;D xsi:type="xsd:double"&gt;11.9224145296853&lt;/D&gt;&lt;D xsi:type="xsd:double"&gt;11.7154199908224&lt;/D&gt;&lt;D xsi:type="xsd:double"&gt;12.0303242574607&lt;/D&gt;&lt;D xsi:type="xsd:double"&gt;11.7870762952096&lt;/D&gt;&lt;D xsi:type="xsd:double"&gt;11.4379189932922&lt;/D&gt;&lt;D xsi:type="xsd:double"&gt;11.2269299313469&lt;/D&gt;&lt;D xsi:type="xsd:double"&gt;10.5945691228642&lt;/D&gt;&lt;D xsi:type="xsd:double"&gt;10.3506475185424&lt;/D&gt;&lt;D xsi:type="xsd:double"&gt;10.0610373482894&lt;/D&gt;&lt;D xsi:type="xsd:double"&gt;10.432331601309&lt;/D&gt;&lt;D xsi:type="xsd:double"&gt;10.470688643777&lt;/D&gt;&lt;D xsi:type="xsd:double"&gt;10.7944465082548&lt;/D&gt;&lt;D xsi:type="xsd:double"&gt;10.6120633139574&lt;/D&gt;&lt;D xsi:type="xsd:double"&gt;10.3643068159246&lt;/D&gt;&lt;D xsi:type="xsd:double"&gt;10.0876277561951&lt;/D&gt;&lt;D xsi:type="xsd:double"&gt;9.73737750535678&lt;/D&gt;&lt;D xsi:type="xsd:double"&gt;11.6085732924432&lt;/D&gt;&lt;/FQL&gt;&lt;FQL&gt;&lt;Q&gt;DDR3512M-FDS^MAX(FG_PRICE(0,-5AY))&lt;/Q&gt;&lt;R&gt;1&lt;/R&gt;&lt;C&gt;1&lt;/C&gt;&lt;D xsi:type="xsd:double"&gt;3.3053632&lt;/D&gt;&lt;/FQL&gt;&lt;FQL&gt;&lt;Q&gt;PASP-FDS^MAX(FG_PRICE(0,-5AY))&lt;/Q&gt;&lt;R&gt;1&lt;/R&gt;&lt;C&gt;1&lt;/C&gt;&lt;D xsi:type="xsd:double"&gt;3158.12&lt;/D&gt;&lt;/FQL&gt;&lt;FQL&gt;&lt;Q&gt;PLATI-FDS^MAX(FG_PRICE(0,-5AY))&lt;/Q&gt;&lt;R&gt;1&lt;/R&gt;&lt;C&gt;1&lt;/C&gt;&lt;D xsi:type="xsd:double"&gt;1272.59&lt;/D&gt;&lt;/FQL&gt;&lt;FQL&gt;&lt;Q&gt;W-FDS^MAX(FG_PRICE(0,-5AY))&lt;/Q&gt;&lt;R&gt;1&lt;/R&gt;&lt;C&gt;1&lt;/C&gt;&lt;D xsi:type="xsd:double"&gt;14.2525&lt;/D&gt;&lt;/FQL&gt;&lt;FQL&gt;&lt;Q&gt;COPP-FDS^MAX(FG_PRICE(0,-5AY))&lt;/Q&gt;&lt;R&gt;1&lt;/R&gt;&lt;C&gt;1&lt;/C&gt;&lt;D xsi:type="xsd:double"&gt;5.119&lt;/D&gt;&lt;/FQL&gt;&lt;FQL&gt;&lt;Q&gt;FC0000SA^FG_PRICE(0)&lt;/Q&gt;&lt;R&gt;1&lt;/R&gt;&lt;C&gt;1&lt;/C&gt;&lt;D xsi:type="xsd:double"&gt;47.6629&lt;/D&gt;&lt;/FQL&gt;&lt;FQL&gt;&lt;Q&gt;SET-BKK^FG_PRICE(0)&lt;/Q&gt;&lt;R&gt;1&lt;/R&gt;&lt;C&gt;1&lt;/C&gt;&lt;D xsi:type="xsd:double"&gt;1468.52&lt;/D&gt;&lt;/FQL&gt;&lt;FQL&gt;&lt;Q&gt;FC0000GR^FG_PRICE(0)&lt;/Q&gt;&lt;R&gt;1&lt;/R&gt;&lt;C&gt;1&lt;/C&gt;&lt;D xsi:type="xsd:double"&gt;9.5069275&lt;/D&gt;&lt;/FQL&gt;&lt;FQL&gt;&lt;Q&gt;FC0000MX^FG_PRICE(0)&lt;/Q&gt;&lt;R&gt;1&lt;/R&gt;&lt;C&gt;1&lt;/C&gt;&lt;D xsi:type="xsd:double"&gt;431.09796&lt;/D&gt;&lt;/FQL&gt;&lt;FQL&gt;&lt;Q&gt;FC0000PL^FG_PRICE(0)&lt;/Q&gt;&lt;R&gt;1&lt;/R&gt;&lt;C&gt;1&lt;/C&gt;&lt;D xsi:type="xsd:double"&gt;202.31349&lt;/D&gt;&lt;/FQL&gt;&lt;FQL&gt;&lt;Q&gt;FC0000CN^FG_PRICE(0)&lt;/Q&gt;&lt;R&gt;1&lt;/R&gt;&lt;C&gt;1&lt;/C&gt;&lt;D xsi:type="xsd:double"&gt;275.29236&lt;/D&gt;&lt;/FQL&gt;&lt;FQL&gt;&lt;Q&gt;TUR^FG_PRICE_MAVG(0,,,,200)&lt;/Q&gt;&lt;R&gt;1&lt;/R&gt;&lt;C&gt;1&lt;/C&gt;&lt;D xsi:type="xsd:double"&gt;38.272823&lt;/D&gt;&lt;/FQL&gt;&lt;FQL&gt;&lt;Q&gt;INDA^FG_PRICE_MAVG(0,,,,200)&lt;/Q&gt;&lt;R&gt;1&lt;/R&gt;&lt;C&gt;1&lt;/C&gt;&lt;D xsi:type="xsd:double"&gt;53.557526&lt;/D&gt;&lt;/FQL&gt;&lt;FQL&gt;&lt;Q&gt;EWY^FG_PRICE_MAVG(0,,,,200)&lt;/Q&gt;&lt;R&gt;1&lt;/R&gt;&lt;C&gt;1&lt;/C&gt;&lt;D xsi:type="xsd:double"&gt;64.2029&lt;/D&gt;&lt;/FQL&gt;&lt;FQL&gt;&lt;Q&gt;EPU^FG_PRICE_MAVG(0,,,,200)&lt;/Q&gt;&lt;R&gt;1&lt;/R&gt;&lt;C&gt;1&lt;/C&gt;&lt;D xsi:type="xsd:double"&gt;39.19589&lt;/D&gt;&lt;/FQL&gt;&lt;FQL&gt;&lt;Q&gt;ECH^FG_PRICE_MAVG(0,,,,200)&lt;/Q&gt;&lt;R&gt;1&lt;/R&gt;&lt;C&gt;1&lt;/C&gt;&lt;D xsi:type="xsd:double"&gt;26.498125&lt;/D&gt;&lt;/FQL&gt;&lt;FQL&gt;&lt;Q&gt;KSA^FMA_PCT_ABOVE_MAVG(200,0,,,,"PORTAGG")&lt;/Q&gt;&lt;R&gt;1&lt;/R&gt;&lt;C&gt;1&lt;/C&gt;&lt;D xsi:type="xsd:double"&gt;34.6774193548387&lt;/D&gt;&lt;/FQL&gt;&lt;FQL&gt;&lt;Q&gt;UAE^PERCENT_CHANGE(FMA_EPS(+1,0,,,,"PORTAGG","MEAN"),FMA_EPS(+1,-3AM,,,,"PORTAGG","MEAN"))&lt;/Q&gt;&lt;R&gt;1&lt;/R&gt;&lt;C&gt;1&lt;/C&gt;&lt;D xsi:type="xsd:double"&gt;-1.58896971340539&lt;/D&gt;&lt;/FQL&gt;&lt;FQL&gt;&lt;Q&gt;SET-BKK^FG_TOTAL_RETURNC(0,-3AM)&lt;/Q&gt;&lt;R&gt;1&lt;/R&gt;&lt;C&gt;1&lt;/C&gt;&lt;D xsi:type="xsd:double"&gt;10.975754&lt;/D&gt;&lt;/FQL&gt;&lt;FQL&gt;&lt;Q&gt;MCHI^P_PRICE(0)/P_PRICE_HIGH_PR(0,,,,,,"PRICE","INTRA","52W")&lt;/Q&gt;&lt;R&gt;1&lt;/R&gt;&lt;C&gt;1&lt;/C&gt;&lt;D xsi:type="xsd:double"&gt;0.87563765&lt;/D&gt;&lt;/FQL&gt;&lt;FQL&gt;&lt;Q&gt;GREK^FG_TOTAL_RETURNC(0,-12AM)&lt;/Q&gt;&lt;R&gt;1&lt;/R&gt;&lt;C&gt;1&lt;/C&gt;&lt;D xsi:type="xsd:double"&gt;29.958057&lt;/D&gt;&lt;/FQL&gt;&lt;FQL&gt;&lt;Q&gt;EZA^PERCENT_CHANGE(FMA_EPS(+1,0,,,,"PORTAGG","MEAN"),FMA_EPS(+1,-1AM,,,,"PORTAGG","MEAN"))&lt;/Q&gt;&lt;R&gt;1&lt;/R&gt;&lt;C&gt;1&lt;/C&gt;&lt;D xsi:type="xsd:double"&gt;1.91828676958184&lt;/D&gt;&lt;/FQL&gt;&lt;FQL&gt;&lt;Q&gt;EWY^FG_TOTAL_RETURNC(0,-1AM)&lt;/Q&gt;&lt;R&gt;1&lt;/R&gt;&lt;C&gt;1&lt;/C&gt;&lt;D xsi:type="xsd:double"&gt;3.3126712&lt;/D&gt;&lt;/FQL&gt;&lt;FQL&gt;&lt;Q&gt;EWT^FG_TOTAL_RETURNC(0,-6AM)&lt;/Q&gt;&lt;R&gt;1&lt;/R&gt;&lt;C&gt;1&lt;/C&gt;&lt;D xsi:type="xsd:double"&gt;10.515631&lt;/D&gt;&lt;/FQL&gt;&lt;FQL&gt;&lt;Q&gt;EPU^P_PRICE(0)/P_PRICE_LOW_PR(0,,,,,,"PRICE","INTRA","52W")-1&lt;/Q&gt;&lt;R&gt;1&lt;/R&gt;&lt;C&gt;1&lt;/C&gt;&lt;D xsi:type="xsd:double"&gt;0.521191&lt;/D&gt;&lt;/FQL&gt;&lt;FQL&gt;&lt;Q&gt;EPOL^FMA_PCT_ABOVE_MAVG(200,0,,,,"PORTAGG")&lt;/Q&gt;&lt;R&gt;1&lt;/R&gt;&lt;C&gt;1&lt;/C&gt;&lt;D xsi:type="xsd:double"&gt;29.4117647058824&lt;/D&gt;&lt;/FQL&gt;&lt;FQL&gt;&lt;Q&gt;EIDO^PERCENT_CHANGE(FMA_EPS(+1,0,,,,"PORTAGG","MEAN"),FMA_EPS(+1,-3AM,,,,"PORTAGG","MEAN"))&lt;/Q&gt;&lt;R&gt;1&lt;/R&gt;&lt;C&gt;1&lt;/C&gt;&lt;D xsi:type="xsd:double"&gt;-3.62909747632538&lt;/D&gt;&lt;/FQL&gt;&lt;FQL&gt;&lt;Q&gt;CNYA^FG_TOTAL_RETURNC(0,-3AM)&lt;/Q&gt;&lt;R&gt;1&lt;/R&gt;&lt;C&gt;1&lt;/C&gt;&lt;D xsi:type="xsd:double"&gt;19.865726&lt;/D&gt;&lt;/FQL&gt;&lt;FQL&gt;&lt;Q&gt;URTH^FG_TOTAL_RETURNC(0,-3AM)&lt;/Q&gt;&lt;R&gt;1&lt;/R&gt;&lt;C&gt;1&lt;/C&gt;&lt;D xsi:type="xsd:double"&gt;3.039074&lt;/D&gt;&lt;/FQL&gt;&lt;FQL&gt;&lt;Q&gt;URTH^PERCENT_CHANGE(FMA_EPS(+1,0,,,,"PORTAGG","MEAN"),FMA_EPS(+1,-1AM,,,,"PORTAGG","MEAN"))&lt;/Q&gt;&lt;R&gt;1&lt;/R&gt;&lt;C&gt;1&lt;/C&gt;&lt;D xsi:type="xsd:double"&gt;-0.399781047023017&lt;/D&gt;&lt;/FQL&gt;&lt;FQL&gt;&lt;Q&gt;URTH^FMA_COS_UP("EPS","1M",+1,NOW,,,"PORTAGG","MEANR")&lt;/Q&gt;&lt;R&gt;1&lt;/R&gt;&lt;C&gt;1&lt;/C&gt;&lt;D xsi:type="xsd:double"&gt;461&lt;/D&gt;&lt;/FQL&gt;&lt;FQL&gt;&lt;Q&gt;TUR^SIZE(FG_CONSTITUENTS)&lt;/Q&gt;&lt;R&gt;1&lt;/R&gt;&lt;C&gt;1&lt;/C&gt;&lt;D xsi:type="xsd:long"&gt;96&lt;/D&gt;&lt;/FQL&gt;&lt;FQL&gt;&lt;Q&gt;GREK^FMA_COS_DOWN("EPS","1M",+1,NOW,,,"PORTAGG","MEANR")&lt;/Q&gt;&lt;R&gt;1&lt;/R&gt;&lt;C&gt;1&lt;/C&gt;&lt;D xsi:type="xsd:double"&gt;7&lt;/D&gt;&lt;/FQL&gt;&lt;FQL&gt;&lt;Q&gt;EWT^FMA_COS_UP("EPS","1M",+1,NOW,,,"PORTAGG","MEANR")&lt;/Q&gt;&lt;R&gt;1&lt;/R&gt;&lt;C&gt;1&lt;/C&gt;&lt;D xsi:type="xsd:double"&gt;34&lt;/D&gt;&lt;/FQL&gt;&lt;FQL&gt;&lt;Q&gt;ECH^SIZE(FG_CONSTITUENTS)&lt;/Q&gt;&lt;R&gt;1&lt;/R&gt;&lt;C&gt;1&lt;/C&gt;&lt;D xsi:type="xsd:long"&gt;28&lt;/D&gt;&lt;/FQL&gt;&lt;FQL&gt;&lt;Q&gt;EWZ^FMA_RBICS_REV_CURRENT(30, LOC, "PORTAGG")&lt;/Q&gt;&lt;R&gt;1&lt;/R&gt;&lt;C&gt;1&lt;/C&gt;&lt;D xsi:type="xsd:double"&gt;35.681481478641&lt;/D&gt;&lt;/FQL&gt;&lt;FQL&gt;&lt;Q&gt;QAT^FG_ROE(0)&lt;/Q&gt;&lt;R&gt;1&lt;/R&gt;&lt;C&gt;1&lt;/C&gt;&lt;D xsi:type="xsd:double"&gt;10.8727763595995&lt;/D&gt;&lt;/FQL&gt;&lt;FQL&gt;&lt;Q&gt;TRYSA10Y-FDS^FG_YIELD_NAME&lt;/Q&gt;&lt;R&gt;1&lt;/R&gt;&lt;C&gt;1&lt;/C&gt;&lt;D xsi:type="xsd:string"&gt;Treasury - SAUDI ARABIA Benchmark Bond 10Y&lt;/D&gt;&lt;/FQL&gt;&lt;FQL&gt;&lt;Q&gt;TRYPL10Y-FDS^FG_YIELD_NAME&lt;/Q&gt;&lt;R&gt;1&lt;/R&gt;&lt;C&gt;1&lt;/C&gt;&lt;D xsi:type="xsd:string"&gt;Treasury - Poland Benchmark Bond 10Y&lt;/D&gt;&lt;/FQL&gt;&lt;FQL&gt;&lt;Q&gt;REFTR1WREPO-FDS^PROPER_NAME(0,,,"SECURITY","NAME")&lt;/Q&gt;&lt;R&gt;1&lt;/R&gt;&lt;C&gt;1&lt;/C&gt;&lt;D xsi:type="xsd:string"&gt;Turkey Repo Rate - 1 Week&lt;/D&gt;&lt;/FQL&gt;&lt;FQL&gt;&lt;Q&gt;REFZAREPO-FDS^(SUBARRAY(NOT_NA(NO_REPEAT_F(FG_YIELD(NOW,-10AY,D))),0,1)-SUBARRAY(NOT_NA(NO_REPEAT_F(FG_YIELD(NOW,-10AY,D))),1,1))*100&lt;/Q&gt;&lt;R&gt;1&lt;/R&gt;&lt;C&gt;1&lt;/C&gt;&lt;D xsi:type="xsd:double"&gt;-25&lt;/D&gt;&lt;/FQL&gt;&lt;FQL&gt;&lt;Q&gt;REFMYON-FDS^FG_YIELD(NOW,,,0)&lt;/Q&gt;&lt;R&gt;1&lt;/R&gt;&lt;C&gt;1&lt;/C&gt;&lt;D xsi:type="xsd:double"&gt;3&lt;/D&gt;&lt;/FQL&gt;&lt;FQL&gt;&lt;Q&gt;REFCLMPR-FDS^PROPER_NAME(0,,,"SECURITY","NAME")&lt;/Q&gt;&lt;R&gt;1&lt;/R&gt;&lt;C&gt;1&lt;/C&gt;&lt;D xsi:type="xsd:string"&gt;Chile Monetary Policy Rate&lt;/D&gt;&lt;/FQL&gt;&lt;FQL&gt;&lt;Q&gt;TRYCN10Y-FDS^PCTCHG(FG_YIELD(0,,,,"YTM"),FG_YIELD(-3AM,,,,"YTM"))&lt;/Q&gt;&lt;R&gt;1&lt;/R&gt;&lt;C&gt;1&lt;/C&gt;&lt;D xsi:type="xsd:double"&gt;-5.115478&lt;/D&gt;&lt;/FQL&gt;&lt;FQL&gt;&lt;Q&gt;TRYMY10Y-FDS^PCTCHG(FG_YIELD(0,,,,"YTM"),FG_YIELD(-3AM,,,,"YTM"))&lt;/Q&gt;&lt;R&gt;1&lt;/R&gt;&lt;C&gt;1&lt;/C&gt;&lt;D xsi:type="xsd:double"&gt;-1.5335238&lt;/D&gt;&lt;/FQL&gt;&lt;FQL&gt;&lt;Q&gt;TRYSA10Y-FDS^FG_YIELD(0,,,,"YTM")&lt;/Q&gt;&lt;R&gt;1&lt;/R&gt;&lt;C&gt;1&lt;/C&gt;&lt;D xsi:type="xsd:double"&gt;4.895055&lt;/D&gt;&lt;/FQL&gt;&lt;FQL&gt;&lt;Q&gt;TRYGR10Y-FDS^FG_YIELD(0,,,,"YTM")&lt;/Q&gt;&lt;R&gt;1&lt;/R&gt;&lt;C&gt;1&lt;/C&gt;&lt;D xsi:type="xsd:double"&gt;3.191&lt;/D&gt;&lt;/FQL&gt;&lt;FQL&gt;&lt;Q&gt;TRYPL10Y-FDS^FG_YIELD(0,,,,"YTM")&lt;/Q&gt;&lt;R&gt;1&lt;/R&gt;&lt;C&gt;1&lt;/C&gt;&lt;D xsi:type="xsd:double"&gt;5.4627&lt;/D&gt;&lt;/FQL&gt;&lt;FQL&gt;&lt;Q&gt;CC_CN^IMF_IFS_RCPI_Q(0)&lt;/Q&gt;&lt;R&gt;0&lt;/R&gt;&lt;C&gt;0&lt;/C&gt;&lt;/FQL&gt;&lt;FQL&gt;&lt;Q&gt;VWO^FMA_EVAL_EBITDA(NTMA,0,,,"PORTAGG","MEANR")&lt;/Q&gt;&lt;R&gt;1&lt;/R&gt;&lt;C&gt;1&lt;/C&gt;&lt;D xsi:type="xsd:double"&gt;8.91761531837544&lt;/D&gt;&lt;/FQL&gt;&lt;FQL&gt;&lt;Q&gt;KSA^FMA_DIV_YLD(NTMA,NOW,NOW,M,"PORTAGG","MEANR")&lt;/Q&gt;&lt;R&gt;1&lt;/R&gt;&lt;C&gt;1&lt;/C&gt;&lt;D xsi:type="xsd:double"&gt;3.58391783766996&lt;/D&gt;&lt;/FQL&gt;&lt;FQL&gt;&lt;Q&gt;UAE^FMA_PE(LTM,0,,,"PORTAGG","MEANR")&lt;/Q&gt;&lt;R&gt;1&lt;/R&gt;&lt;C&gt;1&lt;/C&gt;&lt;D xsi:type="xsd:double"&gt;9.88573079148408&lt;/D&gt;&lt;/FQL&gt;&lt;FQL&gt;&lt;Q&gt;QAT^FMA_EVAL_EBIT(LTMA,NOW,NOW,M,"PORTAGG","MEANR")&lt;/Q&gt;&lt;R&gt;1&lt;/R&gt;&lt;C&gt;1&lt;/C&gt;&lt;D xsi:type="xsd:double"&gt;16.287629023603&lt;/D&gt;&lt;/FQL&gt;&lt;FQL&gt;&lt;Q&gt;INDA^FG_FCF_YIELD_NTM(0)&lt;/Q&gt;&lt;R&gt;1&lt;/R&gt;&lt;C&gt;1&lt;/C&gt;&lt;D xsi:type="xsd:double"&gt;2.71914292775399&lt;/D&gt;&lt;/FQL&gt;&lt;FQL&gt;&lt;Q&gt;EZA^FMA_PE(NTMA,0,,,"PORTAGG","MEANR")&lt;/Q&gt;&lt;R&gt;1&lt;/R&gt;&lt;C&gt;1&lt;/C&gt;&lt;D xsi:type="xsd:double"&gt;10.5066606294224&lt;/D&gt;&lt;/FQL&gt;&lt;FQL&gt;&lt;Q&gt;EWY^JULIAN(FMA_DIV_YLD(NTMA,NOW,NOW,M,"PORTAGG","MEANR").DATES)&lt;/Q&gt;&lt;R&gt;1&lt;/R&gt;&lt;C&gt;1&lt;/C&gt;&lt;D xsi:type="xsd:long"&gt;45565&lt;/D&gt;&lt;/FQL&gt;&lt;FQL&gt;&lt;Q&gt;EWM^FMA_EVAL_EBITDA(NTMA,0,,,"PORTAGG","MEANR")&lt;/Q&gt;&lt;R&gt;1&lt;/R&gt;&lt;C&gt;1&lt;/C&gt;&lt;D xsi:type="xsd:double"&gt;8.35544432420325&lt;/D&gt;&lt;/FQL&gt;&lt;FQL&gt;&lt;Q&gt;EPOL^FMA_DIV_YLD(NTMA,NOW,NOW,M,"PORTAGG","MEANR")&lt;/Q&gt;&lt;R&gt;1&lt;/R&gt;&lt;C&gt;1&lt;/C&gt;&lt;D xsi:type="xsd:double"&gt;5.7122906427904&lt;/D&gt;&lt;/FQL&gt;&lt;FQL&gt;&lt;Q&gt;EIDO^FMA_PE(LTM,0,,,"PORTAGG","MEANR")&lt;/Q&gt;&lt;R&gt;1&lt;/R&gt;&lt;C&gt;1&lt;/C&gt;&lt;D xsi:type="xsd:double"&gt;17.1200445509813&lt;/D&gt;&lt;/FQL&gt;&lt;FQL&gt;&lt;Q&gt;CC_US^IMF_IFS_RCPI_Q(0)&lt;/Q&gt;&lt;R&gt;0&lt;/R&gt;&lt;C&gt;0&lt;/C&gt;&lt;/FQL&gt;&lt;FQL&gt;&lt;Q&gt;DUMMY^ECON_EXPR_DATA('FDS_ECON[NTCPMIMFGSA@EME]',,,M)&lt;/Q&gt;&lt;R&gt;1&lt;/R&gt;&lt;C&gt;1&lt;/C&gt;&lt;D xsi:type="xsd:double"&gt;49.8002&lt;/D&gt;&lt;/FQL&gt;&lt;FQL&gt;&lt;Q&gt;EWM^FMA_ROE(NTMA,-20AY,NOW,FY,"PORTAGG","MEANR")&lt;/Q&gt;&lt;R&gt;20&lt;/R&gt;&lt;C&gt;1&lt;/C&gt;&lt;D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xsi:type="xsd:double"&gt;9.33280716163819&lt;/D&gt;&lt;D xsi:type="xsd:double"&gt;10.6153952307461&lt;/D&gt;&lt;D xsi:type="xsd:double"&gt;9.47363114998823&lt;/D&gt;&lt;D xsi:type="xsd:double"&gt;10.1683467048487&lt;/D&gt;&lt;D xsi:type="xsd:double"&gt;9.55851362142362&lt;/D&gt;&lt;/FQL&gt;&lt;FQL&gt;&lt;Q&gt;TRYMX10Y-FDS^FG_YIELD(-10AY,0,Y,,"YTM")&lt;/Q&gt;&lt;R&gt;10&lt;/R&gt;&lt;C&gt;1&lt;/C&gt;&lt;D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xsi:type="xsd:double"&gt;12.8854511836742&lt;/D&gt;&lt;D xsi:type="xsd:double"&gt;12.3572373304302&lt;/D&gt;&lt;D xsi:type="xsd:double"&gt;11.9739138807926&lt;/D&gt;&lt;D xsi:type="xsd:double"&gt;11.5505724490554&lt;/D&gt;&lt;D xsi:type="xsd:double"&gt;11.563438773697&lt;/D&gt;&lt;/FQL&gt;&lt;FQL&gt;&lt;Q&gt;TRY10Y-FDS^FG_YIELD(-10AY,0,Y,,"YTM")&lt;/Q&gt;&lt;R&gt;10&lt;/R&gt;&lt;C&gt;1&lt;/C&gt;&lt;D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xsi:type="xsd:double"&gt;14.5354846163082&lt;/D&gt;&lt;D xsi:type="xsd:double"&gt;12.8423839008733&lt;/D&gt;&lt;D xsi:type="xsd:double"&gt;15.1612174069661&lt;/D&gt;&lt;D xsi:type="xsd:double"&gt;14.9253037325643&lt;/D&gt;&lt;D xsi:type="xsd:double"&gt;16.0781656045333&lt;/D&gt;&lt;/FQL&gt;&lt;FQL&gt;&lt;Q&gt;TRYBR10Y-FDS^FG_YIELD(-10AY,0,Y,,"YTM")&lt;/Q&gt;&lt;R&gt;10&lt;/R&gt;&lt;C&gt;1&lt;/C&gt;&lt;D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xsi:type="xsd:double"&gt;5.810021541725&lt;/D&gt;&lt;D xsi:type="xsd:double"&gt;5.36711218261452&lt;/D&gt;&lt;D xsi:type="xsd:double"&gt;8.82576684666533&lt;/D&gt;&lt;D xsi:type="xsd:double"&gt;11.0341923380188&lt;/D&gt;&lt;D xsi:type="xsd:double"&gt;13.1253657894167&lt;/D&gt;&lt;/FQL&gt;&lt;FQL&gt;&lt;Q&gt;TRYVN10Y-FDS^FG_YIELD(-10AY,0,Y,,"YTM")&lt;/Q&gt;&lt;R&gt;10&lt;/R&gt;&lt;C&gt;1&lt;/C&gt;&lt;D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xsi:type="xsd:double"&gt;12.0971067278746&lt;/D&gt;&lt;D xsi:type="xsd:double"&gt;8.91575729801008&lt;/D&gt;&lt;D xsi:type="xsd:double"&gt;9.59945410063992&lt;/D&gt;&lt;D xsi:type="xsd:double"&gt;10.6731246326263&lt;/D&gt;&lt;D xsi:type="xsd:double"&gt;11.9407094450378&lt;/D&gt;&lt;/FQL&gt;&lt;FQL&gt;&lt;Q&gt;CAGDPY@TW^EE_ACTUAL_ANNUAL(MED,+1)&lt;/Q&gt;&lt;R&gt;1&lt;/R&gt;&lt;C&gt;1&lt;/C&gt;&lt;D xsi:type="xsd:double"&gt;13.85&lt;/D&gt;&lt;/FQL&gt;&lt;FQL&gt;&lt;Q&gt;USDSAR^STD(FG_PRICE_CHANGE(0,-1AY,AM))&lt;/Q&gt;&lt;R&gt;1&lt;/R&gt;&lt;C&gt;1&lt;/C&gt;&lt;D xsi:type="xsd:double"&gt;0.0311698435399504&lt;/D&gt;&lt;/FQL&gt;&lt;FQL&gt;&lt;Q&gt;USDINR^FG_PRICE_CHANGE(0,-6AM)&lt;/Q&gt;&lt;R&gt;1&lt;/R&gt;&lt;C&gt;1&lt;/C&gt;&lt;D xsi:type="xsd:double"&gt;0.93905926&lt;/D&gt;&lt;/FQL&gt;&lt;FQL&gt;&lt;Q&gt;USDMXN^STD(FG_PRICE_CHANGE(0,-3AY,M))&lt;/Q&gt;&lt;R&gt;1&lt;/R&gt;&lt;C&gt;1&lt;/C&gt;&lt;D xsi:type="xsd:double"&gt;2.79617270453914&lt;/D&gt;&lt;/FQL&gt;&lt;FQL&gt;&lt;Q&gt;USDPLN^FG_PRICE(0)&lt;/Q&gt;&lt;R&gt;1&lt;/R&gt;&lt;C&gt;1&lt;/C&gt;&lt;D xsi:type="xsd:double"&gt;3.94005&lt;/D&gt;&lt;/FQL&gt;&lt;FQL&gt;&lt;Q&gt;USDCLP^STD(FG_PRICE_CHANGE(0,-1AY,AM))&lt;/Q&gt;&lt;R&gt;1&lt;/R&gt;&lt;C&gt;1&lt;/C&gt;&lt;D xsi:type="xsd:double"&gt;3.2427535490409&lt;/D&gt;&lt;/FQL&gt;&lt;FQL&gt;&lt;Q&gt;VNM^P_PRICE_RETURNS_PR('52W',2,-10AY,0,AM)&lt;/Q&gt;&lt;R&gt;121&lt;/R&gt;&lt;C&gt;1&lt;/C&gt;&lt;D xsi:type="xsd:double"&gt;17.354548&lt;/D&gt;&lt;D xsi:type="xsd:double"&gt;15.677524&lt;/D&gt;&lt;D xsi:type="xsd:double"&gt;3.1273603&lt;/D&gt;&lt;D xsi:type="xsd:double"&gt;2.2184849&lt;/D&gt;&lt;D xsi:type="xsd:double"&gt;-10.833651&lt;/D&gt;&lt;D xsi:type="xsd:double"&gt;-13.8738575&lt;/D&gt;&lt;D xsi:type="xsd:double"&gt;-17.461586&lt;/D&gt;&lt;D xsi:type="xsd:double"&gt;-4.266989&lt;/D&gt;&lt;D xsi:type="xsd:double"&gt;-12.14993&lt;/D&gt;&lt;D xsi:type="xsd:double"&gt;-7.0992947&lt;/D&gt;&lt;D xsi:type="xsd:double"&gt;-12.740988&lt;/D&gt;&lt;D xsi:type="xsd:double"&gt;-28.119558&lt;/D&gt;&lt;D xsi:type="xsd:double"&gt;-16.729176&lt;/D&gt;&lt;D xsi:type="xsd:double"&gt;-19.304293&lt;/D&gt;&lt;D xsi:type="xsd:double"&gt;-20.835358&lt;/D&gt;&lt;D xsi:type="xsd:double"&gt;-23.10217&lt;/D&gt;&lt;D xsi:type="xsd:double"&gt;-27.169735&lt;/D&gt;&lt;D xsi:type="xsd:double"&gt;-18.807178&lt;/D&gt;&lt;D xsi:type="xsd:double"&gt;-15.049463&lt;/D&gt;&lt;D xsi:type="xsd:double"&gt;-15.316844&lt;/D&gt;&lt;D xsi:type="xsd:double"&gt;-12.9787445&lt;/D&gt;&lt;D xsi:type="xsd:double"&gt;-15.991217&lt;/D&gt;&lt;D xsi:type="xsd:double"&gt;-14.909637&lt;/D&gt;&lt;D xsi:type="xsd:double"&gt;-4.8745213&lt;/D&gt;&lt;D xsi:type="xsd:double"&gt;-13.196362&lt;/D&gt;&lt;D xsi:type="xsd:double"&gt;-14.855552&lt;/D&gt;&lt;D xsi:type="xsd:double"&gt;-7.131171&lt;/D&gt;&lt;D xsi:type="xsd:double"&gt;-1.8641591&lt;/D&gt;&lt;D xsi:type="xsd:double"&gt;6.419015&lt;/D&gt;&lt;D xsi:type="xsd:double"&gt;-4.815215&lt;/D&gt;&lt;D xsi:type="xsd:double"&gt;4.4578075&lt;/D&gt;&lt;D xsi:type="xsd:double"&gt;1.5924096&lt;/D&gt;&lt;D xsi:type="xsd:double"&gt;-1.013583&lt;/D&gt;&lt;D xsi:type="xsd:double"&gt;-0.9296119&lt;/D&gt;&lt;D xsi:type="xsd:double"&gt;-2.5013566&lt;/D&gt;&lt;D xsi:type="xsd:double"&gt;3.0189395&lt;/D&gt;&lt;D xsi:type="xsd:double"&gt;4.1823864&lt;/D&gt;&lt;D xsi:type="xsd:double"&gt;21.689188&lt;/D&gt;&lt;D xsi:type="xsd:double"&gt;27.240408&lt;/D&gt;&lt;D xsi:type="xsd:double"&gt;39.107574&lt;/D&gt;&lt;D xsi:type="xsd:double"&gt;27.264393&lt;/D&gt;&lt;D xsi:type="xsd:double"&gt;43.59504&lt;/D&gt;&lt;D xsi:type="xsd:double"&gt;44.136417&lt;/D&gt;&lt;D xsi:type="xsd:double"&gt;28.977442&lt;/D&gt;&lt;D xsi:type="xsd:double"&gt;20.798815&lt;/D&gt;&lt;D xsi:type="xsd:double"&gt;7.1359754&lt;/D&gt;&lt;D xsi:type="xsd:double"&gt;15.4091835&lt;/D&gt;&lt;D xsi:type="xsd:double"&gt;10.039509&lt;/D&gt;&lt;D xsi:type="xsd:double"&gt;4.380393&lt;/D&gt;&lt;D xsi:type="xsd:double"&gt;-3.558892&lt;/D&gt;&lt;D xsi:type="xsd:double"&gt;-5.553585&lt;/D&gt;&lt;D xsi:type="xsd:double"&gt;-16.315014&lt;/D&gt;&lt;D xsi:type="xsd:double"&gt;-8.56905&lt;/D&gt;&lt;D xsi:type="xsd:double"&gt;-13.440758&lt;/D&gt;&lt;D xsi:type="xsd:double"&gt;-15.778357&lt;/D&gt;&lt;D xsi:type="xsd:double"&gt;-8.097733&lt;/D&gt;&lt;D xsi:type="xsd:double"&gt;-5.870432&lt;/D&gt;&lt;D xsi:type="xsd:double"&gt;6.0913205&lt;/D&gt;&lt;D xsi:type="xsd:double"&gt;-3.263557&lt;/D&gt;&lt;D xsi:type="xsd:double"&gt;-2.3051798&lt;/D&gt;&lt;D xsi:type="xsd:double"&gt;3.5860777&lt;/D&gt;&lt;D xsi:type="xsd:double"&gt;7.4121118&lt;/D&gt;&lt;D xsi:type="xsd:double"&gt;2.302444&lt;/D&gt;&lt;D xsi:type="xsd:double"&gt;4.8515677&lt;/D&gt;&lt;D xsi:type="xsd:double"&gt;-2.4219632&lt;/D&gt;&lt;D xsi:type="xsd:double"&gt;-19.949072&lt;/D&gt;&lt;D xsi:type="xsd:double"&gt;-28.869606&lt;/D&gt;&lt;D xsi:type="xsd:double"&gt;-17.871689&lt;/D&gt;&lt;D xsi:type="xsd:double"&gt;-10.526573&lt;/D&gt;&lt;D xsi:type="xsd:double"&gt;-11.977035&lt;/D&gt;&lt;D xsi:type="xsd:double"&gt;-4.9648523&lt;/D&gt;&lt;D xsi:type="xsd:double"&gt;-4.9648523&lt;/D&gt;&lt;D xsi:type="xsd:double"&gt;-4.5875907&lt;/D&gt;&lt;D xsi:type="xsd:double"&gt;-5.725646&lt;/D&gt;&lt;D xsi:type="xsd:double"&gt;6.1125875&lt;/D&gt;&lt;D xsi:type="xsd:double"&gt;16.624308&lt;/D&gt;&lt;D xsi:type="xsd:double"&gt;19.160234&lt;/D&gt;&lt;D xsi:type="xsd:double"&gt;37.749054&lt;/D&gt;&lt;D xsi:type="xsd:double"&gt;56.099987&lt;/D&gt;&lt;D xsi:type="xsd:double"&gt;45.914494&lt;/D&gt;&lt;D xsi:type="xsd:double"&gt;37.53519&lt;/D&gt;&lt;D xsi:type="xsd:double"&gt;40.836693&lt;/D&gt;&lt;D xsi:type="xsd:double"&gt;35.996914&lt;/D&gt;&lt;D xsi:type="xsd:double"&gt;36.26903&lt;/D&gt;&lt;D xsi:type="xsd:double"&gt;30.514061&lt;/D&gt;&lt;D xsi:type="xsd:double"&gt;33.04788&lt;/D&gt;&lt;D xsi:type="xsd:double"&gt;24.571156&lt;/D&gt;&lt;D xsi:type="xsd:double"&gt;15.668321&lt;/D&gt;&lt;D xsi:type="xsd:double"&gt;12.18791&lt;/D&gt;&lt;D xsi:type="xsd:double"&gt;8.323526&lt;/D&gt;&lt;D xsi:type="xsd:double"&gt;1.4736056&lt;/D&gt;&lt;D xsi:type="xsd:double"&gt;-15.560752&lt;/D&gt;&lt;D xsi:type="xsd:double"&gt;-20.804007&lt;/D&gt;&lt;D xsi:type="xsd:double"&gt;-28.350132&lt;/D&gt;&lt;D xsi:type="xsd:double"&gt;-22.022879&lt;/D&gt;&lt;D xsi:type="xsd:double"&gt;-24.486654&lt;/D&gt;&lt;D xsi:type="xsd:double"&gt;-36.315514&lt;/D&gt;&lt;D xsi:type="xsd:double"&gt;-46.503872&lt;/D&gt;&lt;D xsi:type="xsd:double"&gt;-38.060856&lt;/D&gt;&lt;D xsi:type="xsd:double"&gt;-40.722008&lt;/D&gt;&lt;D xsi:type="xsd:double"&gt;-39.29422&lt;/D&gt;&lt;D xsi:type="xsd:double"&gt;-37.957214&lt;/D&gt;&lt;D xsi:type="xsd:double"&gt;-33.854412&lt;/D&gt;&lt;D xsi:type="xsd:double"&gt;-23.326195&lt;/D&gt;&lt;D xsi:type="xsd:double"&gt;-16.676022&lt;/D&gt;&lt;D xsi:type="xsd:double"&gt;-2.948475&lt;/D&gt;&lt;D xsi:type="xsd:double"&gt;-2.9004812&lt;/D&gt;&lt;D xsi:type="xsd:double"&gt;5.0148606&lt;/D&gt;&lt;D xsi:type="xsd:double"&gt;10.122931&lt;/D&gt;&lt;D xsi:type="xsd:double"&gt;21.384966&lt;/D&gt;&lt;D xsi:type="xsd:double"&gt;6.1357975&lt;/D&gt;&lt;D xsi:type="xsd:double"&gt;9.462905&lt;/D&gt;&lt;D xsi:type="xsd:double"&gt;15.181816&lt;/D&gt;&lt;D xsi:type="xsd:double"&gt;20.887852&lt;/D&gt;&lt;D xsi:type="xsd:double"&gt;14.183879&lt;/D&gt;&lt;D xsi:type="xsd:double"&gt;8.020174&lt;/D&gt;&lt;D xsi:type="xsd:double"&gt;2.9544234&lt;/D&gt;&lt;D xsi:type="xsd:double"&gt;-4.1593494&lt;/D&gt;&lt;D xsi:type="xsd:double"&gt;-17.104221&lt;/D&gt;&lt;D xsi:type="xsd:double"&gt;-15.088683&lt;/D&gt;&lt;D xsi:type="xsd:double"&gt;-2.7305603&lt;/D&gt;&lt;/FQL&gt;&lt;FQL&gt;&lt;Q&gt;EPOL^FG_TOTAL_RETURNC(-10AY,0,AM)&lt;/Q&gt;&lt;R&gt;121&lt;/R&gt;&lt;C&gt;1&lt;/C&gt;&lt;D xsi:type="xsd:double"&gt;-6.997591&lt;/D&gt;&lt;D xsi:type="xsd:double"&gt;-1.6678989&lt;/D&gt;&lt;D xsi:type="xsd:double"&gt;-0.15077591&lt;/D&gt;&lt;D xsi:type="xsd:double"&gt;-6.9992423&lt;/D&gt;&lt;D xsi:type="xsd:double"&gt;-3.4468412&lt;/D&gt;&lt;D xsi:type="xsd:double"&gt;-4.6881733&lt;/D&gt;&lt;D xsi:type="xsd:double"&gt;8.122742&lt;/D&gt;&lt;D xsi:type="xsd:double"&gt;9.098494&lt;/D&gt;&lt;D xsi:type="xsd:double"&gt;-6.9242535&lt;/D&gt;&lt;D xsi:type="xsd:double"&gt;-5.831504&lt;/D&gt;&lt;D xsi:type="xsd:double"&gt;-2.6419997&lt;/D&gt;&lt;D xsi:type="xsd:double"&gt;-0.633204&lt;/D&gt;&lt;D xsi:type="xsd:double"&gt;0.22758245&lt;/D&gt;&lt;D xsi:type="xsd:double"&gt;-10.399639&lt;/D&gt;&lt;D xsi:type="xsd:double"&gt;-11.099839&lt;/D&gt;&lt;D xsi:type="xsd:double"&gt;-4.5946417&lt;/D&gt;&lt;D xsi:type="xsd:double"&gt;4.8455477&lt;/D&gt;&lt;D xsi:type="xsd:double"&gt;7.452345&lt;/D&gt;&lt;D xsi:type="xsd:double"&gt;3.3333302&lt;/D&gt;&lt;D xsi:type="xsd:double"&gt;-7.1279883&lt;/D&gt;&lt;D xsi:type="xsd:double"&gt;-2.8571427&lt;/D&gt;&lt;D xsi:type="xsd:double"&gt;-5.0222216&lt;/D&gt;&lt;D xsi:type="xsd:double"&gt;14.850891&lt;/D&gt;&lt;D xsi:type="xsd:double"&gt;-5.193436&lt;/D&gt;&lt;D xsi:type="xsd:double"&gt;3.5215259&lt;/D&gt;&lt;D xsi:type="xsd:double"&gt;-3.4557283&lt;/D&gt;&lt;D xsi:type="xsd:double"&gt;0.6711483&lt;/D&gt;&lt;D xsi:type="xsd:double"&gt;7.83937&lt;/D&gt;&lt;D xsi:type="xsd:double"&gt;10.6617565&lt;/D&gt;&lt;D xsi:type="xsd:double"&gt;0.7593751&lt;/D&gt;&lt;D xsi:type="xsd:double"&gt;2.920401&lt;/D&gt;&lt;D xsi:type="xsd:double"&gt;9.244847&lt;/D&gt;&lt;D xsi:type="xsd:double"&gt;1.1730194&lt;/D&gt;&lt;D xsi:type="xsd:double"&gt;0.50514936&lt;/D&gt;&lt;D xsi:type="xsd:double"&gt;4.7953725&lt;/D&gt;&lt;D xsi:type="xsd:double"&gt;7.8106523&lt;/D</t>
        </r>
      </text>
    </comment>
    <comment ref="A3" authorId="0" shapeId="0" xr:uid="{4A43A445-AC6A-44D1-A554-3A19F5EDE7E5}">
      <text>
        <r>
          <rPr>
            <b/>
            <sz val="9"/>
            <color indexed="81"/>
            <rFont val="Tahoma"/>
            <charset val="1"/>
          </rPr>
          <t>&gt;&lt;D xsi:type="xsd:double"&gt;-0.80497265&lt;/D&gt;&lt;D xsi:type="xsd:double"&gt;-1.3648152&lt;/D&gt;&lt;D xsi:type="xsd:double"&gt;-1.0471225&lt;/D&gt;&lt;D xsi:type="xsd:double"&gt;5.6064844&lt;/D&gt;&lt;D xsi:type="xsd:double"&gt;-2.181822&lt;/D&gt;&lt;D xsi:type="xsd:double"&gt;-0.44609308&lt;/D&gt;&lt;D xsi:type="xsd:double"&gt;-3.3607244&lt;/D&gt;&lt;D xsi:type="xsd:double"&gt;-3.8253486&lt;/D&gt;&lt;D xsi:type="xsd:double"&gt;-4.1382017&lt;/D&gt;&lt;D xsi:type="xsd:double"&gt;-3.9452076&lt;/D&gt;&lt;D xsi:type="xsd:double"&gt;0.30567646&lt;/D&gt;&lt;D xsi:type="xsd:double"&gt;0.6530285&lt;/D&gt;&lt;D xsi:type="xsd:double"&gt;-3.1141937&lt;/D&gt;&lt;D xsi:type="xsd:double"&gt;0.71429014&lt;/D&gt;&lt;D xsi:type="xsd:double"&gt;1.9060254&lt;/D&gt;&lt;D xsi:type="xsd:double"&gt;5.5231333&lt;/D&gt;&lt;D xsi:type="xsd:double"&gt;-1.5455365&lt;/D&gt;&lt;D xsi:type="xsd:double"&gt;-3.1395853&lt;/D&gt;&lt;D xsi:type="xsd:double"&gt;4.818225&lt;/D&gt;&lt;D xsi:type="xsd:double"&gt;-8.441287&lt;/D&gt;&lt;D xsi:type="xsd:double"&gt;4.655409&lt;/D&gt;&lt;D xsi:type="xsd:double"&gt;2.0113707&lt;/D&gt;&lt;D xsi:type="xsd:double"&gt;-9.635973&lt;/D&gt;&lt;D xsi:type="xsd:double"&gt;1.8009424&lt;/D&gt;&lt;D xsi:type="xsd:double"&gt;-3.9571702&lt;/D&gt;&lt;D xsi:type="xsd:double"&gt;7.561815&lt;/D&gt;&lt;D xsi:type="xsd:double"&gt;-8.156836&lt;/D&gt;&lt;D xsi:type="xsd:double"&gt;7.634425&lt;/D&gt;&lt;D xsi:type="xsd:double"&gt;-6.112921&lt;/D&gt;&lt;D xsi:type="xsd:double"&gt;-19.234598&lt;/D&gt;&lt;D xsi:type="xsd:double"&gt;-11.630774&lt;/D&gt;&lt;D xsi:type="xsd:double"&gt;1.8802285&lt;/D&gt;&lt;D xsi:type="xsd:double"&gt;23.923433&lt;/D&gt;&lt;D xsi:type="xsd:double"&gt;-5.4900703&lt;/D&gt;&lt;D xsi:type="xsd:double"&gt;6.692219&lt;/D&gt;&lt;D xsi:type="xsd:double"&gt;-4.780322&lt;/D&gt;&lt;D xsi:type="xsd:double"&gt;-2.7858377&lt;/D&gt;&lt;D xsi:type="xsd:double"&gt;1.373136&lt;/D&gt;&lt;D xsi:type="xsd:double"&gt;15.901065&lt;/D&gt;&lt;D xsi:type="xsd:double"&gt;4.555404&lt;/D&gt;&lt;D xsi:type="xsd:double"&gt;-7.181239&lt;/D&gt;&lt;D xsi:type="xsd:double"&gt;0.52632093&lt;/D&gt;&lt;D xsi:type="xsd:double"&gt;0.47121048&lt;/D&gt;&lt;D xsi:type="xsd:double"&gt;7.8686833&lt;/D&gt;&lt;D xsi:type="xsd:double"&gt;9.764576&lt;/D&gt;&lt;D xsi:type="xsd:double"&gt;-3.6628425&lt;/D&gt;&lt;D xsi:type="xsd:double"&gt;-0.18323064&lt;/D&gt;&lt;D xsi:type="xsd:double"&gt;5.553007&lt;/D&gt;&lt;D xsi:type="xsd:double"&gt;0.043475628&lt;/D&gt;&lt;D xsi:type="xsd:double"&gt;-1.2603283&lt;/D&gt;&lt;D xsi:type="xsd:double"&gt;-8.142596&lt;/D&gt;&lt;D xsi:type="xsd:double"&gt;5.578351&lt;/D&gt;&lt;D xsi:type="xsd:double"&gt;-3.0733943&lt;/D&gt;&lt;D xsi:type="xsd:double"&gt;-19.592995&lt;/D&gt;&lt;D xsi:type="xsd:double"&gt;7.8281283&lt;/D&gt;&lt;D xsi:type="xsd:double"&gt;-18.831879&lt;/D&gt;&lt;D xsi:type="xsd:double"&gt;2.1993876&lt;/D&gt;&lt;D xsi:type="xsd:double"&gt;-6.3081083&lt;/D&gt;&lt;D xsi:type="xsd:double"&gt;3.18923&lt;/D&gt;&lt;D xsi:type="xsd:double"&gt;-12.019229&lt;/D&gt;&lt;D xsi:type="xsd:double"&gt;-16.003126&lt;/D&gt;&lt;D xsi:type="xsd:double"&gt;32.063198&lt;/D&gt;&lt;D xsi:type="xsd:double"&gt;4.9261093&lt;/D&gt;&lt;D xsi:type="xsd:double"&gt;15.471828&lt;/D&gt;&lt;D xsi:type="xsd:double"&gt;-7.0330977&lt;/D&gt;&lt;D xsi:type="xsd:double"&gt;-1.7164648&lt;/D&gt;&lt;D xsi:type="xsd:double"&gt;1.0672688&lt;/D&gt;&lt;D xsi:type="xsd:double"&gt;14.880001&lt;/D&gt;&lt;D xsi:type="xsd:double"&gt;4.0668488&lt;/D&gt;&lt;D xsi:type="xsd:double"&gt;2.9443264&lt;/D&gt;&lt;D xsi:type="xsd:double"&gt;5.3562164&lt;/D&gt;&lt;D xsi:type="xsd:double"&gt;-12.68509&lt;/D&gt;&lt;D xsi:type="xsd:double"&gt;1.1305809&lt;/D&gt;&lt;D xsi:type="xsd:double"&gt;13.024033&lt;/D&gt;&lt;D xsi:type="xsd:double"&gt;11.177052&lt;/D&gt;&lt;D xsi:type="xsd:double"&gt;0.31347275&lt;/D&gt;&lt;D xsi:type="xsd:double"&gt;1.6887307&lt;/D&gt;&lt;D xsi:type="xsd:double"&gt;2.917409&lt;/D&gt;&lt;D xsi:type="xsd:double"&gt;5.4513693&lt;/D&gt;&lt;D xsi:type="xsd:double"&gt;2.1712184&lt;/D&gt;&lt;D xsi:type="xsd:double"&gt;-3.3394098&lt;/D&gt;&lt;D xsi:type="xsd:double"&gt;6.740701&lt;/D&gt;&lt;D xsi:type="xsd:double"&gt;-10.11191&lt;/D&gt;&lt;D xsi:type="xsd:double"&gt;4.8021317&lt;/D&gt;&lt;D xsi:type="xsd:double"&gt;0.12727976&lt;/D&gt;&lt;/FQL&gt;&lt;FQL&gt;&lt;Q&gt;EWM^FMA_DIV_YLD(NTMA,-10AY,0,AM,"PORTAGG","MEANR")&lt;/Q&gt;&lt;R&gt;121&lt;/R&gt;&lt;C&gt;1&lt;/C&gt;&lt;D xsi:type="xsd:double"&gt;3.27289681334386&lt;/D&gt;&lt;D xsi:type="xsd:double"&gt;3.23261575387607&lt;/D&gt;&lt;D xsi:type="xsd:double"&gt;3.31519023035894&lt;/D&gt;&lt;D xsi:type="xsd:double"&gt;3.35237085919731&lt;/D&gt;&lt;D xsi:type="xsd:double"&gt;3.21707015903648&lt;/D&gt;&lt;D xsi:type="xsd:double"&gt;3.22115622809414&lt;/D&gt;&lt;D xsi:type="xsd:double"&gt;3.13386843335911&lt;/D&gt;&lt;D xsi:type="xsd:double"&gt;3.15913387393993&lt;/D&gt;&lt;D xsi:type="xsd:double"&gt;3.24646621260624&lt;/D&gt;&lt;D xsi:type="xsd:double"&gt;3.29760123075056&lt;/D&gt;&lt;D xsi:type="xsd:double"&gt;3.41003960528218&lt;/D&gt;&lt;D xsi:type="xsd:double"&gt;3.45668466228675&lt;/D&gt;&lt;D xsi:type="xsd:double"&gt;3.24815285320695&lt;/D&gt;&lt;D xsi:type="xsd:double"&gt;3.27732896532219&lt;/D&gt;&lt;D xsi:type="xsd:double"&gt;3.31213861814064&lt;/D&gt;&lt;D xsi:type="xsd:double"&gt;3.29994402197624&lt;/D&gt;&lt;D xsi:type="xsd:double"&gt;3.25345845592812&lt;/D&gt;&lt;D xsi:type="xsd:double"&gt;3.12689202337423&lt;/D&gt;&lt;D xsi:type="xsd:double"&gt;3.04891258093911&lt;/D&gt;&lt;D xsi:type="xsd:double"&gt;3.21087628392609&lt;/D&gt;&lt;D xsi:type="xsd:double"&gt;3.07872245411719&lt;/D&gt;&lt;D xsi:type="xsd:double"&gt;3.06725639036686&lt;/D&gt;&lt;D xsi:type="xsd:double"&gt;2.97855615108403&lt;/D&gt;&lt;D xsi:type="xsd:double"&gt;2.92180166141643&lt;/D&gt;&lt;D xsi:type="xsd:double"&gt;2.9528775149377&lt;/D&gt;&lt;D xsi:type="xsd:double"&gt;2.99617830354866&lt;/D&gt;&lt;D xsi:type="xsd:double"&gt;2.9906679757351&lt;/D&gt;&lt;D xsi:type="xsd:double"&gt;2.99734776603357&lt;/D&gt;&lt;D xsi:type="xsd:double"&gt;2.97086057132627&lt;/D&gt;&lt;D xsi:type="xsd:double"&gt;2.99639343088556&lt;/D&gt;&lt;D xsi:type="xsd:double"&gt;2.98219072517409&lt;/D&gt;&lt;D xsi:type="xsd:double"&gt;2.9510957653899&lt;/D&gt;&lt;D xsi:type="xsd:double"&gt;2.98768819276553&lt;/D&gt;&lt;D xsi:type="xsd:double"&gt;3.06118654791692&lt;/D&gt;&lt;D xsi:type="xsd:double"&gt;3.02642512342599&lt;/D&gt;&lt;D xsi:type="xsd:double"&gt;3.00396100968558&lt;/D&gt;&lt;D xsi:type="xsd:double"&gt;3.08611164708354&lt;/D&gt;&lt;D xsi:type="xsd:double"&gt;3.22623387804256&lt;/D&gt;&lt;D xsi:type="xsd:double"&gt;3.29285952277647&lt;/D&gt;&lt;D xsi:type="xsd:double"&gt;3.10178213638234&lt;/D&gt;&lt;D xsi:type="xsd:double"&gt;3.15738312242101&lt;/D&gt;&lt;D xsi:type="xsd:double"&gt;3.21790732853548&lt;/D&gt;&lt;D xsi:type="xsd:double"&gt;3.17998833692267&lt;/D&gt;&lt;D xsi:type="xsd:double"&gt;3.21533361423715&lt;/D&gt;&lt;D xsi:type="xsd:double"&gt;3.2144929683315&lt;/D&gt;&lt;D xsi:type="xsd:double"&gt;3.39652024772497&lt;/D&gt;&lt;D xsi:type="xsd:double"&gt;3.16957440313444&lt;/D&gt;&lt;D xsi:type="xsd:double"&gt;3.18316979807375&lt;/D&gt;&lt;D xsi:type="xsd:double"&gt;3.36263320971181&lt;/D&gt;&lt;D xsi:type="xsd:double"&gt;3.36856728320569&lt;/D&gt;&lt;D xsi:type="xsd:double"&gt;3.35292339490035&lt;/D&gt;&lt;D xsi:type="xsd:double"&gt;3.2983250120541&lt;/D&gt;&lt;D xsi:type="xsd:double"&gt;3.26981888774542&lt;/D&gt;&lt;D xsi:type="xsd:double"&gt;3.3131032646463&lt;/D&gt;&lt;D xsi:type="xsd:double"&gt;3.38473582166279&lt;/D&gt;&lt;D xsi:type="xsd:double"&gt;3.46268680579039&lt;/D&gt;&lt;D xsi:type="xsd:double"&gt;3.31677772181651&lt;/D&gt;&lt;D xsi:type="xsd:double"&gt;3.40837293774457&lt;/D&gt;&lt;D xsi:type="xsd:double"&gt;3.49386958121226&lt;/D&gt;&lt;D xsi:type="xsd:double"&gt;3.5077994927882&lt;/D&gt;&lt;D xsi:type="xsd:double"&gt;3.611248321082&lt;/D&gt;&lt;D xsi:type="xsd:double"&gt;3.47418008965002&lt;/D&gt;&lt;D xsi:type="xsd:double"&gt;3.53752515589376&lt;/D&gt;&lt;D xsi:type="xsd:double"&gt;3.47766936070474&lt;/D&gt;&lt;D xsi:type="xsd:double"&gt;3.61018542359535&lt;/D&gt;&lt;D xsi:type="xsd:double"&gt;3.88373528358903&lt;/D&gt;&lt;D xsi:type="xsd:double"&gt;3.93990402176073&lt;/D&gt;&lt;D xsi:type="xsd:double"&gt;3.712707160266&lt;/D&gt;&lt;D xsi:type="xsd:double"&gt;2.96991276362846&lt;/D&gt;&lt;D xsi:type="xsd:double"&gt;2.97172775589819&lt;/D&gt;&lt;D xsi:type="xsd:double"&gt;3.12173541439318&lt;/D&gt;&lt;D xsi:type="xsd:double"&gt;3.26690734822232&lt;/D&gt;&lt;D xsi:type="xsd:double"&gt;3.24517135650488&lt;/D&gt;&lt;D xsi:type="xsd:double"&gt;3.39153297322461&lt;/D&gt;&lt;D xsi:type="xsd:double"&gt;3.46039870822694&lt;/D&gt;&lt;D xsi:type="xsd:double"&gt;3.63642701885626&lt;/D&gt;&lt;D xsi:type="xsd:double"&gt;3.79715885815235&lt;/D&gt;&lt;D xsi:type="xsd:double"&gt;3.92877667858296&lt;/D&gt;&lt;D xsi:type="xsd:double"&gt;3.96715334535177&lt;/D&gt;&lt;D xsi:type="xsd:double"&gt;4.02264888317689&lt;/D&gt;&lt;D xsi:type="xsd:double"&gt;4.11209498769269&lt;/D&gt;&lt;D xsi:type="xsd:double"&gt;4.24782040743742&lt;/D&gt;&lt;D xsi:type="xsd:double"&gt;4.27519016594712&lt;/D&gt;&lt;D xsi:type="xsd:double"&gt;4.05416933941672&lt;/D&gt;&lt;D xsi:type="xsd:double"&gt;3.98176674427489&lt;/D&gt;&lt;D xsi:type="xsd:double"&gt;3.99667730302137&lt;/D&gt;&lt;D xsi:type="xsd:double"&gt;3.93278517884227&lt;/D&gt;&lt;D xsi:type="xsd:double"&gt;3.75957087221427&lt;/D&gt;&lt;D xsi:type="xsd:double"&gt;3.76344231312263&lt;/D&gt;&lt;D xsi:type="xsd:double"&gt;3.82223999901775&lt;/D&gt;&lt;D xsi:type="xsd:double"&gt;3.76640940305038&lt;/D&gt;&lt;D xsi:type="xsd:double"&gt;3.94378876971711&lt;/D&gt;&lt;D xsi:type="xsd:double"&gt;4.07575588640201&lt;/D&gt;&lt;D xsi:type="xsd:double"&gt;4.24905513864769&lt;/D&gt;&lt;D xsi:type="xsd:double"&gt;4.06592409176508&lt;/D&gt;&lt;D xsi:type="xsd:double"&gt;4.10971676230651&lt;/D&gt;&lt;D xsi:type="xsd:double"&gt;4.39785078930609&lt;/D&gt;&lt;D xsi:type="xsd:double"&gt;4.26571109992762&lt;/D&gt;&lt;D xsi:type="xsd:double"&gt;4.20267402913554&lt;/D&gt;&lt;D xsi:type="xsd:double"&gt;4.21221493692226&lt;/D&gt;&lt;D xsi:type="xsd:double"&gt;4.2733173662579&lt;/D&gt;&lt;D xsi:type="xsd:double"&gt;4.44601555670161&lt;/D&gt;&lt;D xsi:type="xsd:double"&gt;4.4074980152878&lt;/D&gt;&lt;D xsi:type="xsd:double"&gt;4.40764514098&lt;/D&gt;&lt;D xsi:type="xsd:double"&gt;4.46836191650021&lt;/D&gt;&lt;D xsi:type="xsd:double"&gt;4.4708112909886&lt;/D&gt;&lt;D xsi:type="xsd:double"&gt;4.23860273172512&lt;/D&gt;&lt;D xsi:type="xsd:double"&gt;4.27586913882216&lt;/D&gt;&lt;D xsi:type="xsd:double"&gt;4.324357847055&lt;/D&gt;&lt;D xsi:type="xsd:double"&gt;4.32551350804398&lt;/D&gt;&lt;D xsi:type="xsd:double"&gt;4.33753948787304&lt;/D&gt;&lt;D xsi:type="xsd:double"&gt;4.2603493263433&lt;/D&gt;&lt;D xsi:type="xsd:double"&gt;4.2423325885661&lt;/D&gt;&lt;D xsi:type="xsd:double"&gt;4.15372910807133&lt;/D&gt;&lt;D xsi:type="xsd:double"&gt;4.14065619641102&lt;/D&gt;&lt;D xsi:type="xsd:double"&gt;4.05283549151178&lt;/D&gt;&lt;D xsi:type="xsd:double"&gt;4.06546214747665&lt;/D&gt;&lt;D xsi:type="xsd:double"&gt;4.059648585122&lt;/D&gt;&lt;D xsi:type="xsd:double"&gt;4.17099763014781&lt;/D&gt;&lt;D xsi:type="xsd:double"&gt;4.00137713568902&lt;/D&gt;&lt;D xsi:type="xsd:double"&gt;4.07320977762719&lt;/D&gt;&lt;/FQL&gt;&lt;FQL&gt;&lt;Q&gt;GREK^FMA_PE(LTMA,-10AY,0,AM,"PORTAGG","MEANR")&lt;/Q&gt;&lt;R&gt;121&lt;/R&gt;&lt;C&gt;1&lt;/C&gt;&lt;D xsi:type="xsd:double"&gt;17.5551941795665&lt;/D&gt;&lt;D xsi:type="xsd:double"&gt;17.3240461457316&lt;/D&gt;&lt;D xsi:type="xsd:double"&gt;18.4052549771642&lt;/D&gt;&lt;D xsi:type="xsd:double"&gt;12.5597503481357&lt;/D&gt;&lt;D xsi:type="xsd:double"&gt;13.2387769889063&lt;/D&gt;&lt;D xsi:type="xsd:double"&gt;17.7298929179051&lt;/D&gt;&lt;D xsi:type="xsd:double"&gt;16.5821070296571&lt;/D&gt;&lt;D xsi:type="xsd:double"&gt;15.5683180712668&lt;/D&gt;&lt;D xsi:type="xsd:double"&gt;14.4962970218399&lt;/D&gt;&lt;D xsi:type="xsd:double"&gt;13.3708459511822&lt;/D&gt;&lt;D xsi:type="xsd:double"&gt;12.253785440284&lt;/D&gt;&lt;D xsi:type="xsd:double"&gt;10.8235487615305&lt;/D&gt;&lt;D xsi:type="xsd:double"&gt;11.7428323538399&lt;/D&gt;&lt;D xsi:type="xsd:double"&gt;12.1108715174368&lt;/D&gt;&lt;D xsi:type="xsd:double"&gt;-2.32472952917653&lt;/D&gt;&lt;D xsi:type="xsd:double"&gt;-1.85225930886359&lt;/D&gt;&lt;D xsi:type="xsd:double"&gt;-0.459088098344562&lt;/D&gt;&lt;D xsi:type="xsd:double"&gt;0.273284383357795&lt;/D&gt;&lt;D xsi:type="xsd:double"&gt;1.15890110070207&lt;/D&gt;&lt;D xsi:type="xsd:double"&gt;3.19760915470916&lt;/D&gt;&lt;D xsi:type="xsd:double"&gt;4.1174681557847&lt;/D&gt;&lt;D xsi:type="xsd:double"&gt;4.54699570903979&lt;/D&gt;&lt;D xsi:type="xsd:double"&gt;6.31228227210852&lt;/D&gt;&lt;D xsi:type="xsd:double"&gt;7.97732429011586&lt;/D&gt;&lt;D xsi:type="xsd:double"&gt;10.4495113186868&lt;/D&gt;&lt;D xsi:type="xsd:double"&gt;11.5718322175986&lt;/D&gt;&lt;D xsi:type="xsd:double"&gt;14.870410618164&lt;/D&gt;&lt;D xsi:type="xsd:double"&gt;14.9831478461241&lt;/D&gt;&lt;D xsi:type="xsd:double"&gt;13.6817626611148&lt;/D&gt;&lt;D xsi:type="xsd:double"&gt;14.2543154278051&lt;/D&gt;&lt;D xsi:type="xsd:double"&gt;14.3475452635836&lt;/D&gt;&lt;D xsi:type="xsd:double"&gt;15.1447122644854&lt;/D&gt;&lt;D xsi:type="xsd:double"&gt;15.2761568546349&lt;/D&gt;&lt;D xsi:type="xsd:double"&gt;15.3392692617209&lt;/D&gt;&lt;D xsi:type="xsd:double"&gt;15.3405800018283&lt;/D&gt;&lt;D xsi:type="xsd:double"&gt;14.7709824523562&lt;/D&gt;&lt;D xsi:type="xsd:double"&gt;15.9636161862571&lt;/D&gt;&lt;D xsi:type="xsd:double"&gt;16.8553513135073&lt;/D&gt;&lt;D xsi:type="xsd:double"&gt;18.0761503758952&lt;/D&gt;&lt;D xsi:type="xsd:double"&gt;21.4900338686957&lt;/D&gt;&lt;D xsi:type="xsd:double"&gt;22.774474794118&lt;/D&gt;&lt;D xsi:type="xsd:double"&gt;23.6408704681033&lt;/D&gt;&lt;D xsi:type="xsd:double"&gt;22.8264687433321&lt;/D&gt;&lt;D xsi:type="xsd:double"&gt;22.3432764668542&lt;/D&gt;&lt;D xsi:type="xsd:double"&gt;21.689884640526&lt;/D&gt;&lt;D xsi:type="xsd:double"&gt;21.4094962708426&lt;/D&gt;&lt;D xsi:type="xsd:double"&gt;21.5714542574153&lt;/D&gt;&lt;D xsi:type="xsd:double"&gt;21.611041886164&lt;/D&gt;&lt;D xsi:type="xsd:double"&gt;19.3570558317247&lt;/D&gt;&lt;D xsi:type="xsd:double"&gt;18.8149425005691&lt;/D&gt;&lt;D xsi:type="xsd:double"&gt;20.1213662186291&lt;/D&gt;&lt;D xsi:type="xsd:double"&gt;15.2182329767066&lt;/D&gt;&lt;D xsi:type="xsd:double"&gt;17.5131157840009&lt;/D&gt;&lt;D xsi:type="xsd:double"&gt;18.6526538525698&lt;/D&gt;&lt;D xsi:type="xsd:double"&gt;18.4949664272651&lt;/D&gt;&lt;D xsi:type="xsd:double"&gt;17.8873550817778&lt;/D&gt;&lt;D xsi:type="xsd:double"&gt;18.0896447485839&lt;/D&gt;&lt;D xsi:type="xsd:double"&gt;18.2980040909847&lt;/D&gt;&lt;D xsi:type="xsd:double"&gt;17.3828202148147&lt;/D&gt;&lt;D xsi:type="xsd:double"&gt;19.130384278327&lt;/D&gt;&lt;D xsi:type="xsd:double"&gt;17.6959090209595&lt;/D&gt;&lt;D xsi:type="xsd:double"&gt;15.3510337835447&lt;/D&gt;&lt;D xsi:type="xsd:double"&gt;16.5349430820186&lt;/D&gt;&lt;D xsi:type="xsd:double"&gt;20.0304090349084&lt;/D&gt;&lt;D xsi:type="xsd:double"&gt;15.7994874347438&lt;/D&gt;&lt;D xsi:type="xsd:double"&gt;12.1593887535199&lt;/D&gt;&lt;D xsi:type="xsd:double"&gt;11.8413353917889&lt;/D&gt;&lt;D xsi:type="xsd:double"&gt;12.1254356755209&lt;/D&gt;&lt;D xsi:type="xsd:double"&gt;13.2617249474257&lt;/D&gt;&lt;D xsi:type="xsd:double"&gt;15.2894313036485&lt;/D&gt;&lt;D xsi:type="xsd:double"&gt;14.6773718074516&lt;/D&gt;&lt;D xsi:type="xsd:double"&gt;15.7033422762057&lt;/D&gt;&lt;D xsi:type="xsd:double"&gt;15.7756517966262&lt;/D&gt;&lt;D xsi:type="xsd:double"&gt;15.211344449868&lt;/D&gt;&lt;D xsi:type="xsd:double"&gt;19.5382732494282&lt;/D&gt;&lt;D xsi:type="xsd:double"&gt;18.7170247949698&lt;/D&gt;&lt;D xsi:type="xsd:double"&gt;16.8718111624425&lt;/D&gt;&lt;D xsi:type="xsd:double"&gt;17.7097557617&lt;/D&gt;&lt;D xsi:type="xsd:double"&gt;17.3526079620951&lt;/D&gt;&lt;D xsi:type="xsd:double"&gt;14.9674943635028&lt;/D&gt;&lt;D xsi:type="xsd:double"&gt;17.5248562144338&lt;/D&gt;&lt;D xsi:type="xsd:double"&gt;16.4701291596748&lt;/D&gt;&lt;D xsi:type="xsd:double"&gt;15.8957332151688&lt;/D&gt;&lt;D xsi:type="xsd:double"&gt;14.5198366894255&lt;/D&gt;&lt;D xsi:type="xsd:double"&gt;13.6696510256742&lt;/D&gt;&lt;D xsi:type="xsd:double"&gt;15.8985183296813&lt;/D&gt;&lt;D xsi:type="xsd:double"&gt;12.8505959263299&lt;/D&gt;&lt;D xsi:type="xsd:double"&gt;12.8241040264673&lt;/D&gt;&lt;D xsi:type="xsd:double"&gt;-145.267550162616&lt;/D&gt;&lt;D xsi:type="xsd:double"&gt;-93.2859712669503&lt;/D&gt;&lt;D xsi:type="xsd:double"&gt;-82.7991785267528&lt;/D&gt;&lt;D xsi:type="xsd:double"&gt;-71.9438018786746&lt;/D&gt;&lt;D xsi:type="xsd:double"&gt;-61.1745741511965&lt;/D&gt;&lt;D xsi:type="xsd:double"&gt;-52.1353848220425&lt;/D&gt;&lt;D xsi:type="xsd:double"&gt;-40.494203958859&lt;/D&gt;&lt;D xsi:type="xsd:double"&gt;-31.5189552222626&lt;/D&gt;&lt;D xsi:type="xsd:double"&gt;-21.2205942367622&lt;/D&gt;&lt;D xsi:type="xsd:double"&gt;-10.9221715250541&lt;/D&gt;&lt;D xsi:type="xsd:double"&gt;-1.25526881025327&lt;/D&gt;&lt;D xsi:type="xsd:double"&gt;6.13249817183395&lt;/D&gt;&lt;D xsi:type="xsd:double"&gt;7.66544169329057&lt;/D&gt;&lt;D xsi:type="xsd:double"&gt;7.72449840709078&lt;/D&gt;&lt;D xsi:type="xsd:double"&gt;7.62731901037671&lt;/D&gt;&lt;D xsi:type="xsd:double"&gt;7.60325180324729&lt;/D&gt;&lt;D xsi:type="xsd:double"&gt;7.80759497607942&lt;/D&gt;&lt;D xsi:type="xsd:double"&gt;7.88407872362084&lt;/D&gt;&lt;D xsi:type="xsd:double"&gt;7.82643862364634&lt;/D&gt;&lt;D xsi:type="xsd:double"&gt;7.24306466054478&lt;/D&gt;&lt;D xsi:type="xsd:double"&gt;6.67476049747147&lt;/D&gt;&lt;D xsi:type="xsd:double"&gt;6.58481442819446&lt;/D&gt;&lt;D xsi:type="xsd:double"&gt;6.34483826506129&lt;/D&gt;&lt;D xsi:type="xsd:double"&gt;6.42036377586516&lt;/D&gt;&lt;D xsi:type="xsd:double"&gt;6.76279885194106&lt;/D&gt;&lt;D xsi:type="xsd:double"&gt;6.79378064726842&lt;/D&gt;&lt;D xsi:type="xsd:double"&gt;6.77308214959858&lt;/D&gt;&lt;D xsi:type="xsd:double"&gt;6.85782977272736&lt;/D&gt;&lt;D xsi:type="xsd:double"&gt;6.88114640755675&lt;/D&gt;&lt;D xsi:type="xsd:double"&gt;6.73062942650011&lt;/D&gt;&lt;D xsi:type="xsd:double"&gt;6.52047455489693&lt;/D&gt;&lt;D xsi:type="xsd:double"&gt;6.58307749627567&lt;/D&gt;&lt;D xsi:type="xsd:double"&gt;6.47520914544429&lt;/D&gt;&lt;/FQL&gt;&lt;FQL&gt;&lt;Q&gt;PASP-FDS^FG_PRICE(0)&lt;/Q&gt;&lt;R&gt;1&lt;/R&gt;&lt;C&gt;1&lt;/C&gt;&lt;D xsi:type="xsd:double"&gt;1069&lt;/D&gt;&lt;/FQL&gt;&lt;FQL&gt;&lt;Q&gt;CPALM-FDS^FG_PRICE_CHANGE(0,-6AM)&lt;/Q&gt;&lt;R&gt;1&lt;/R&gt;&lt;C&gt;1&lt;/C&gt;&lt;D xsi:type="xsd:double"&gt;-3.697144122205&lt;/D&gt;&lt;/FQL&gt;&lt;FQL&gt;&lt;Q&gt;FC0000ZA^FG_PRICE(0)&lt;/Q&gt;&lt;R&gt;1&lt;/R&gt;&lt;C&gt;1&lt;/C&gt;&lt;D xsi:type="xsd:double"&gt;379.59973&lt;/D&gt;&lt;/FQL&gt;&lt;FQL&gt;&lt;Q&gt;FC0000MY^FG_PRICE(0)&lt;/Q&gt;&lt;R&gt;1&lt;/R&gt;&lt;C&gt;1&lt;/C&gt;&lt;D xsi:type="xsd:double"&gt;274.3716&lt;/D&gt;&lt;/FQL&gt;&lt;FQL&gt;&lt;Q&gt;UAE^FG_PRICE(0)&lt;/Q&gt;&lt;R&gt;1&lt;/R&gt;&lt;C&gt;1&lt;/C&gt;&lt;D xsi:type="xsd:double"&gt;14.83&lt;/D&gt;&lt;/FQL&gt;&lt;FQL&gt;&lt;Q&gt;EWW^FG_PRICE_MAVG(0,,,,60)&lt;/Q&gt;&lt;R&gt;1&lt;/R&gt;&lt;C&gt;1&lt;/C&gt;&lt;D xsi:type="xsd:double"&gt;54.705833&lt;/D&gt;&lt;/FQL&gt;&lt;FQL&gt;&lt;Q&gt;UAE^FG_TOTAL_RETURNC(0,-3AM)&lt;/Q&gt;&lt;R&gt;1&lt;/R&gt;&lt;C&gt;1&lt;/C&gt;&lt;D xsi:type="xsd:double"&gt;7.776165&lt;/D&gt;&lt;/FQL&gt;&lt;FQL&gt;&lt;Q&gt;MCHI^PERCENT_CHANGE(FMA_EPS(+1,0,,,,"PORTAGG","MEAN"),FMA_EPS(+1,-3AM,,,,"PORTAGG","MEAN"))&lt;/Q&gt;&lt;R&gt;1&lt;/R&gt;&lt;C&gt;1&lt;/C&gt;&lt;D xsi:type="xsd:double"&gt;5.4915135570263&lt;/D&gt;&lt;/FQL&gt;&lt;FQL&gt;&lt;Q&gt;EWZ^FMA_PCT_ABOVE_MAVG(200,0,,,,"PORTAGG")&lt;/Q&gt;&lt;R&gt;1&lt;/R&gt;&lt;C&gt;1&lt;/C&gt;&lt;D xsi:type="xsd:double"&gt;41.5094339622642&lt;/D&gt;&lt;/FQL&gt;&lt;FQL&gt;&lt;Q&gt;EWT^FG_TOTAL_RETURNC(0,-12AM)&lt;/Q&gt;&lt;R&gt;1&lt;/R&gt;&lt;C&gt;1&lt;/C&gt;&lt;D xsi:type="xsd:double"&gt;33.933033&lt;/D&gt;&lt;/FQL&gt;&lt;FQL&gt;&lt;Q&gt;EPHE^P_PRICE(0)/P_PRICE_HIGH_PR(0,,,,,,"PRICE","INTRA","52W")&lt;/Q&gt;&lt;R&gt;1&lt;/R&gt;&lt;C&gt;1&lt;/C&gt;&lt;D xsi:type="xsd:double"&gt;0.95699996&lt;/D&gt;&lt;/FQL&gt;&lt;FQL&gt;&lt;Q&gt;SPY^FG_TOTAL_RETURNC(0,-3AM)&lt;/Q&gt;&lt;R&gt;1&lt;/R&gt;&lt;C&gt;1&lt;/C&gt;&lt;D xsi:type="xsd:double"&gt;2.9537082&lt;/D&gt;&lt;/FQL&gt;&lt;FQL&gt;&lt;Q&gt;EWJ^PERCENT_CHANGE(FMA_EPS(+1,0,,,,"PORTAGG","MEAN"),FMA_EPS(+1,-3AM,,,,"PORTAGG","MEAN"))&lt;/Q&gt;&lt;R&gt;1&lt;/R&gt;&lt;C&gt;1&lt;/C&gt;&lt;D xsi:type="xsd:double"&gt;8.14604040250023&lt;/D&gt;&lt;/FQL&gt;&lt;FQL&gt;&lt;Q&gt;TUR^FMA_COS_UP("EPS","1M",+1,NOW,,,"PORTAGG","MEANR")&lt;/Q&gt;&lt;R&gt;1&lt;/R&gt;&lt;C&gt;1&lt;/C&gt;&lt;D xsi:type="xsd:double"&gt;20&lt;/D&gt;&lt;/FQL&gt;&lt;FQL&gt;&lt;Q&gt;EPOL^SIZE(FG_CONSTITUENTS)&lt;/Q&gt;&lt;R&gt;1&lt;/R&gt;&lt;C&gt;1&lt;/C&gt;&lt;D xsi:type="xsd:long"&gt;35&lt;/D&gt;&lt;/FQL&gt;&lt;FQL&gt;&lt;Q&gt;QAT^FMA_RBICS_REV_CURRENT(30, LOC, "PORTAGG")&lt;/Q&gt;&lt;R&gt;1&lt;/R&gt;&lt;C&gt;1&lt;/C&gt;&lt;D xsi:type="xsd:double"&gt;61.3564863000863&lt;/D&gt;&lt;/FQL&gt;&lt;FQL&gt;&lt;Q&gt;TRYVN10Y-FDS^FG_YIELD_NAME&lt;/Q&gt;&lt;R&gt;1&lt;/R&gt;&lt;C&gt;1&lt;/C&gt;&lt;D xsi:type="xsd:string"&gt;Treasury - Vietnam Benchmark Bond 10Y&lt;/D&gt;&lt;/FQL&gt;&lt;FQL&gt;&lt;Q&gt;REFQALEND-FDS^PROPER_NAME(0,,,"SECURITY","NAME")&lt;/Q&gt;&lt;R&gt;1&lt;/R&gt;&lt;C&gt;1&lt;/C&gt;&lt;D xsi:type="xsd:string"&gt;Qatar Lending Rate - Overnight&lt;/D&gt;&lt;/FQL&gt;&lt;FQL&gt;&lt;Q&gt;REFMXTON-FDS^(SUBARRAY(NOT_NA(NO_REPEAT_F(FG_YIELD(NOW,-10AY,D))),0,1)-SUBARRAY(NOT_NA(NO_REPEAT_F(FG_YIELD(NOW,-10AY,D))),1,1))*100&lt;/Q&gt;&lt;R&gt;1&lt;/R&gt;&lt;C&gt;1&lt;/C&gt;&lt;D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TRYQA10Y-FDS^PCTCHG(FG_YIELD(0,,,,"YTM"),FG_YIELD(-1AM,,,,"YTM"))&lt;/Q&gt;&lt;R&gt;0&lt;/R&gt;&lt;C&gt;0&lt;/C&gt;&lt;/FQL&gt;&lt;FQL&gt;&lt;Q&gt;TRYAE10Y-FDS^FG_YIELD_NAME&lt;/Q&gt;&lt;R&gt;1&lt;/R&gt;&lt;C&gt;1&lt;/C&gt;&lt;D xsi:type="xsd:string"&gt;Treasury - United Arab Emirates USD Benchmark Bond 10Y&lt;/D&gt;&lt;/FQL&gt;&lt;FQL&gt;&lt;Q&gt;TUR^FG_FCF_YIELD_NTM(0)&lt;/Q&gt;&lt;R&gt;0&lt;/R&gt;&lt;C&gt;0&lt;/C&gt;&lt;/FQL&gt;&lt;FQL&gt;&lt;Q&gt;GREK^FMA_PE(LTM,0,,,"PORTAGG","MEANR")&lt;/Q&gt;&lt;R&gt;1&lt;/R&gt;&lt;C&gt;1&lt;/C&gt;&lt;D xsi:type="xsd:double"&gt;7.10003008184096&lt;/D&gt;&lt;/FQL&gt;&lt;FQL&gt;&lt;Q&gt;EWY^FMA_DIV_YLD(NTMA,NOW,NOW,M,"PORTAGG","MEANR")&lt;/Q&gt;&lt;R&gt;1&lt;/R&gt;&lt;C&gt;1&lt;/C&gt;&lt;D xsi:type="xsd:double"&gt;2.36164814844772&lt;/D&gt;&lt;/FQL&gt;&lt;FQL&gt;&lt;Q&gt;EPOL^JULIAN(FMA_DIV_YLD(NTMA,NOW,NOW,M,"PORTAGG","MEANR").DATES)&lt;/Q&gt;&lt;R&gt;1&lt;/R&gt;&lt;C&gt;1&lt;/C&gt;&lt;D xsi:type="xsd:long"&gt;45565&lt;/D&gt;&lt;/FQL&gt;&lt;FQL&gt;&lt;Q&gt;TRYTR7Y-FDS^FG_YIELD(0,,,,"YTM")&lt;/Q&gt;&lt;R&gt;1&lt;/R&gt;&lt;C&gt;1&lt;/C&gt;&lt;D xsi:type="xsd:double"&gt;26.018295&lt;/D&gt;&lt;/FQL&gt;&lt;FQL&gt;&lt;Q&gt;EPHE^FMA_EVAL_EBIT(LTMA,NOW,NOW,M,"PORTAGG","MEANR")&lt;/Q&gt;&lt;R&gt;1&lt;/R&gt;&lt;C&gt;1&lt;/C&gt;&lt;D xsi:type="xsd:double"&gt;12.2111974342539&lt;/D&gt;&lt;/FQL&gt;&lt;FQL&gt;&lt;Q&gt;KSA^FMA_ROE(NTMA,-20AY,NOW,FY,"PORTAGG","MEANR")&lt;/Q&gt;&lt;R&gt;20&lt;/R&gt;&lt;C&gt;1&lt;/C&gt;&lt;D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xsi:type="xsd:double"&gt;11.2305559865745&lt;/D&gt;&lt;D xsi:type="xsd:double"&gt;10.1469870690871&lt;/D&gt;&lt;D xsi:type="xsd:double"&gt;12.7997878063274&lt;/D&gt;&lt;D xsi:type="xsd:double"&gt;13.778318029977&lt;/D&gt;&lt;D xsi:type="xsd:double"&gt;11.7583310618864&lt;/D&gt;&lt;/FQL&gt;&lt;FQL&gt;&lt;Q&gt;TRYDE10Y-FDS^FG_YIELD(-10AY,0,Y,,"YTM")&lt;/Q&gt;&lt;R&gt;10&lt;/R&gt;&lt;C&gt;1&lt;/C&gt;&lt;D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xsi:type="xsd:double"&gt;2.004&lt;/D&gt;&lt;/FQL&gt;&lt;FQL&gt;&lt;Q&gt;CC_QA^FG_COMPANY_NAME&lt;/Q&gt;&lt;R&gt;1&lt;/R&gt;&lt;C&gt;1&lt;/C&gt;&lt;D xsi:type="xsd:string"&gt;Qatar&lt;/D&gt;&lt;/FQL&gt;&lt;FQL&gt;&lt;Q&gt;USDQAR^STD(FG_PRICE_CHANGE(0,-1AY,AM))&lt;/Q&gt;&lt;R&gt;1&lt;/R&gt;&lt;C&gt;1&lt;/C&gt;&lt;D xsi:type="xsd:double"&gt;0.00761764787174341&lt;/D&gt;&lt;/FQL&gt;&lt;FQL&gt;&lt;Q&gt;USDZAR^FG_COMPANY_NAME&lt;/Q&gt;&lt;R&gt;1&lt;/R&gt;&lt;C&gt;1&lt;/C&gt;&lt;D xsi:type="xsd:string"&gt;South African Rand per U.S. Dollar&lt;/D&gt;&lt;/FQL&gt;&lt;FQL&gt;&lt;Q&gt;USDMYR^FG_PRICE_CHANGE(0,-1AM)&lt;/Q&gt;&lt;R&gt;1&lt;/R&gt;&lt;C&gt;1&lt;/C&gt;&lt;D xsi:type="xsd:double"&gt;-1.174444&lt;/D&gt;&lt;/FQL&gt;&lt;FQL&gt;&lt;Q&gt;USDPHP^STD(FG_PRICE_CHANGE(0,-3AY,M))&lt;/Q&gt;&lt;R&gt;1&lt;/R&gt;&lt;C&gt;1&lt;/C&gt;&lt;D xsi:type="xsd:double"&gt;1.83390831543572&lt;/D&gt;&lt;/FQL&gt;&lt;FQL&gt;&lt;Q&gt;ECH^FG_TOTAL_RETURNC(-10AY,0,AM)&lt;/Q&gt;&lt;R&gt;121&lt;/R&gt;&lt;C&gt;1&lt;/C&gt;&lt;D xsi:type="xsd:double"&gt;-6.70138&lt;/D&gt;&lt;D xsi:type="xsd:double"&gt;2.2810102&lt;/D&gt;&lt;D xsi:type="xsd:double"&gt;-5.836308&lt;/D&gt;&lt;D xsi:type="xsd:double"&gt;-1.9991636&lt;/D&gt;&lt;D xsi:type="xsd:double"&gt;2.3429394&lt;/D&gt;&lt;D xsi:type="xsd:double"&gt;-2.4905682&lt;/D&gt;&lt;D xsi:type="xsd:double"&gt;7.5335503&lt;/D&gt;&lt;D xsi:type="xsd:double"&gt;4.7264934&lt;/D&gt;&lt;D xsi:type="xsd:double"&gt;-8.361971&lt;/D&gt;&lt;D xsi:type="xsd:double"&gt;-4.9957395&lt;/D&gt;&lt;D xsi:type="xsd:double"&gt;-3.3911884&lt;/D&gt;&lt;D xsi:type="xsd:double"&gt;-4.8645735&lt;/D&gt;&lt;D xsi:type="xsd:double"&gt;3.7187815&lt;/D&gt;&lt;D xsi:type="xsd:double"&gt;-4.986&lt;/D&gt;&lt;D xsi:type="xsd:double"&gt;-7.3702755&lt;/D&gt;&lt;D xsi:type="xsd:double"&gt;-4.0515423&lt;/D&gt;&lt;D xsi:type="xsd:double"&gt;7.45672&lt;/D&gt;&lt;D xsi:type="xsd:double"&gt;9.262705&lt;/D&gt;&lt;D xsi:type="xsd:double"&gt;1.2758732&lt;/D&gt;&lt;D xsi:type="xsd:double"&gt;2.4916053&lt;/D&gt;&lt;D xsi:type="xsd:double"&gt;-1.5569508&lt;/D&gt;&lt;D xsi:type="xsd:double"&gt;5.06047&lt;/D&gt;&lt;D xsi:type="xsd:double"&gt;4.0355086&lt;/D&gt;&lt;D xsi:type="xsd:double"&gt;-5.3271236&lt;/D&gt;&lt;D xsi:type="xsd:double"&gt;1.3930559&lt;/D&gt;&lt;D xsi:type="xsd:double"&gt;3.1788826&lt;/D&gt;&lt;D xsi:type="xsd:double"&gt;3.6031365&lt;/D&gt;&lt;D xsi:type="xsd:double"&gt;-5.6830406&lt;/D&gt;&lt;D xsi:type="xsd:double"&gt;9.730017&lt;/D&gt;&lt;D xsi:type="xsd:double"&gt;-1.2180269&lt;/D&gt;&lt;D xsi:type="xsd:double"&gt;11.837233&lt;/D&gt;&lt;D xsi:type="xsd:double"&gt;-5.821389&lt;/D&gt;&lt;D xsi:type="xsd:double"&gt;2.1306515&lt;/D&gt;&lt;D xsi:type="xsd:double"&gt;0.48383474&lt;/D&gt;&lt;D xsi:type="xsd:double"&gt;5.171609&lt;/D&gt;&lt;D xsi:type="xsd:double"&gt;5.8654904&lt;/D&gt;&lt;D xsi:type="xsd:double"&gt;5.665493&lt;/D&gt;&lt;D xsi:type="xsd:double"&gt;-2.365464&lt;/D&gt;&lt;D xsi:type="xsd:double"&gt;-11.770641&lt;/D&gt;&lt;D xsi:type="xsd:double"&gt;23.916077&lt;/D&gt;&lt;D xsi:type="xsd:double"&gt;-2.532345&lt;/D&gt;&lt;D xsi:type="xsd:double"&gt;2.7688265&lt;/D&gt;&lt;D xsi:type="xsd:double"&gt;-0.16608238&lt;/D&gt;&lt;D xsi:type="xsd:double"&gt;-1.9962966&lt;/D&gt;&lt;D xsi:type="xsd:double"&gt;-5.130142&lt;/D&gt;&lt;D xsi:type="xsd:double"&gt;-5.5056453&lt;/D&gt;&lt;D xsi:type="xsd:double"&gt;-3.0881464&lt;/D&gt;&lt;D xsi:type="xsd:double"&gt;-7.446331&lt;/D&gt;&lt;D xsi:type="xsd:double"&gt;1.7095089&lt;/D&gt;&lt;D xsi:type="xsd:double"&gt;1.2458801&lt;/D&gt;&lt;D xsi:type="xsd:double"&gt;-1.6949117&lt;/D&gt;&lt;D xsi:type="xsd:double"&gt;5.3263426&lt;/D&gt;&lt;D xsi:type="xsd:double"&gt;3.3685207&lt;/D&gt;&lt;D xsi:type="xsd:double"&gt;-4.5622406&lt;/D&gt;&lt;D xsi:type="xsd:double"&gt;1.5934467&lt;/D&gt;&lt;D xsi:type="xsd:double"&gt;-7.9991045&lt;/D&gt;&lt;D xsi:type="xsd:double"&gt;-2.5328815&lt;/D&gt;&lt;D xsi:type="xsd:double"&gt;2.8328657&lt;/D&gt;&lt;D xsi:type="xsd:double"&gt;-7.3798895&lt;/D&gt;&lt;D xsi:type="xsd:double"&gt;-1.6844928&lt;/D&gt;&lt;D xsi:type="xsd:double"&gt;3.0459642&lt;/D&gt;&lt;D xsi:type="xsd:double"&gt;-11.559778&lt;/D&gt;&lt;D xsi:type="xsd:double"&gt;-2.5962353&lt;/D&gt;&lt;D xsi:type="xsd:double"&gt;5.929506&lt;/D&gt;&lt;D xsi:type="xsd:double"&gt;-9.507251&lt;/D&gt;&lt;D xsi:type="xsd:double"&gt;-15.6630335&lt;/D&gt;&lt;D xsi:type="xsd:double"&gt;-8.3175125&lt;/D&gt;&lt;D xsi:type="xsd:double"&gt;4.8053026&lt;/D&gt;&lt;D xsi:type="xsd:double"&gt;10.434782&lt;/D&gt;&lt;D xsi:type="xsd:double"&gt;-3.4858584&lt;/D&gt;&lt;D xsi:type="xsd:double"&gt;-1.85256&lt;/D&gt;&lt;D xsi:type="xsd:double"&gt;-4.853612&lt;/D&gt;&lt;D xsi:type="xsd:double"&gt;-2.6720643&lt;/D&gt;&lt;D xsi:type="xsd:double"&gt;13.935101&lt;/D&gt;&lt;D xsi:type="xsd:double"&gt;5.622494&lt;/D&gt;&lt;D xsi:type="xsd:double"&gt;12.87148&lt;/D&gt;&lt;D xsi:type="xsd:double"&gt;-1.493001&lt;/D&gt;&lt;D xsi:type="xsd:double"&gt;6.0937524&lt;/D&gt;&lt;D xsi:type="xsd:double"&gt;3.1811476&lt;/D&gt;&lt;D xsi:type="xsd:double"&gt;-5.9377613&lt;/D&gt;&lt;D xsi:type="xsd:double"&gt;-9.658843&lt;/D&gt;&lt;D xsi:type="xsd:double"&gt;-4.919714&lt;/D&gt;&lt;D xsi:type="xsd:double"&gt;-2.120012&lt;/D&gt;&lt;D xsi:type="xsd:double"&gt;1.762116&lt;/D&gt;&lt;D xsi:type="xsd:double"&gt;-11.363638&lt;/D&gt;&lt;D xsi:type="xsd:double"&gt;10.663414&lt;/D&gt;&lt;D xsi:type="xsd:double"&gt;-6.951088&lt;/D&gt;&lt;D xsi:type="xsd:double"&gt;-3.6527514&lt;/D&gt;&lt;D xsi:type="xsd:double"&gt;11.567795&lt;/D&gt;&lt;D xsi:type="xsd:double"&gt;1.6331196&lt;/D&gt;&lt;D xsi:type="xsd:double"&gt;6.1285496&lt;/D&gt;&lt;D xsi:type="xsd:double"&gt;-12.253517&lt;/D&gt;&lt;D xsi:type="xsd:double"&gt;15.614891&lt;/D&gt;&lt;D xsi:type="xsd:double"&gt;-14.584839&lt;/D&gt;&lt;D xsi:type="xsd:double"&gt;14.370239&lt;/D&gt;&lt;D xsi:type="xsd:double"&gt;4.951954&lt;/D&gt;&lt;D xsi:type="xsd:double"&gt;-13.8028145&lt;/D&gt;&lt;D xsi:type="xsd:double"&gt;12.418306&lt;/D&gt;&lt;D xsi:type="xsd:double"&gt;-1.1991262&lt;/D&gt;&lt;D xsi:type="xsd:double"&gt;2.1584034&lt;/D&gt;&lt;D xsi:type="xsd:double"&gt;8.124077&lt;/D&gt;&lt;D xsi:type="xsd:double"&gt;-1.5027344&lt;/D&gt;&lt;D xsi:type="xsd:double"&gt;-4.4036093&lt;/D&gt;&lt;D xsi:type="xsd:double"&gt;8.451212&lt;/D&gt;&lt;D xsi:type="xsd:double"&gt;1.8999338&lt;/D&gt;&lt;D xsi:type="xsd:double"&gt;2.320826&lt;/D&gt;&lt;D xsi:type="xsd:double"&gt;-0.1667738&lt;/D&gt;&lt;D xsi:type="xsd:double"&gt;-11.66054&lt;/D&gt;&lt;D xsi:type="xsd:double"&gt;-4.7276855&lt;/D&gt;&lt;D xsi:type="xsd:double"&gt;-2.0246148&lt;/D&gt;&lt;D xsi:type="xsd:double"&gt;10.818481&lt;/D&gt;&lt;D xsi:type="xsd:double"&gt;-3.4412742&lt;/D&gt;&lt;D xsi:type="xsd:double"&gt;-5.8307943&lt;/D&gt;&lt;D xsi:type="xsd:double"&gt;4.977751&lt;/D&gt;&lt;D xsi:type="xsd:double"&gt;6.3222766&lt;/D&gt;&lt;D xsi:type="xsd:double"&gt;1.957941&lt;/D&gt;&lt;D xsi:type="xsd:double"&gt;-0.39118528&lt;/D&gt;&lt;D xsi:type="xsd:double"&gt;-1.5094519&lt;/D&gt;&lt;D xsi:type="xsd:double"&gt;-4.7973213&lt;/D&gt;&lt;D xsi:type="xsd:double"&gt;-2.8906226&lt;/D&gt;&lt;D xsi:type="xsd:double"&gt;6.9589734&lt;/D&gt;&lt;/FQL&gt;&lt;FQL&gt;&lt;Q&gt;DDR3512M-FDS^FG_PRICE_MAVG(0,,,,30)&lt;/Q&gt;&lt;R&gt;1&lt;/R&gt;&lt;C&gt;1&lt;/C&gt;&lt;D xsi:type="xsd:double"&gt;0.8824327&lt;/D&gt;&lt;/FQL&gt;&lt;FQL&gt;&lt;Q&gt;NI-FDS^FG_PRICE(0)/MAX(FG_PRICE(0,-1AY))&lt;/Q&gt;&lt;R&gt;1&lt;/R&gt;&lt;C&gt;1&lt;/C&gt;&lt;D xsi:type="xsd:double"&gt;0.806110458284371&lt;/D&gt;&lt;/FQL&gt;&lt;FQL&gt;&lt;Q&gt;BRENT-FDS^FG_PRICE(0)&lt;/Q&gt;&lt;R&gt;1&lt;/R&gt;&lt;C&gt;1&lt;/C&gt;&lt;D xsi:type="xsd:double"&gt;85.86&lt;/D&gt;&lt;/FQL&gt;&lt;FQL&gt;&lt;Q&gt;FC0000QA^FG_PRICE(0)&lt;/Q&gt;&lt;R&gt;1&lt;/R&gt;&lt;C&gt;1&lt;/C&gt;&lt;D xsi:type="xsd:double"&gt;108.19753&lt;/D&gt;&lt;/FQL&gt;&lt;FQL&gt;&lt;Q&gt;FC0000CL^FG_PRICE(0)&lt;/Q&gt;&lt;R&gt;1&lt;/R&gt;&lt;C&gt;1&lt;/C&gt;&lt;D xsi:type="xsd:double"&gt;205.58913&lt;/D&gt;&lt;/FQL&gt;&lt;FQL&gt;&lt;Q&gt;GREK^FG_PRICE_MAVG(0,,,,200)&lt;/Q&gt;&lt;R&gt;1&lt;/R&gt;&lt;C&gt;1&lt;/C&gt;&lt;D xsi:type="xsd:double"&gt;40.746796&lt;/D&gt;&lt;/FQL&gt;&lt;FQL&gt;&lt;Q&gt;DUMMY^ECON_EXPR_DATA('FDS_ECON[PMIDMMANHE]',,,M)&lt;/Q&gt;&lt;R&gt;1&lt;/R&gt;&lt;C&gt;1&lt;/C&gt;&lt;D xsi:type="xsd:double"&gt;47.52011&lt;/D&gt;&lt;/FQL&gt;&lt;FQL&gt;&lt;Q&gt;CAGDPY@TH^EE_ACTUAL_ANNUAL(MED,+1)&lt;/Q&gt;&lt;R&gt;1&lt;/R&gt;&lt;C&gt;1&lt;/C&gt;&lt;D xsi:type="xsd:double"&gt;2.6&lt;/D&gt;&lt;/FQL&gt;&lt;FQL&gt;&lt;Q&gt;CC_TH^FG_COMPANY_NAME&lt;/Q&gt;&lt;R&gt;1&lt;/R&gt;&lt;C&gt;1&lt;/C&gt;&lt;D xsi:type="xsd:string"&gt;Thailand&lt;/D&gt;&lt;/FQL&gt;&lt;FQL&gt;&lt;Q&gt;USDAED^FG_PRICE_CHANGE(0,-1AM)&lt;/Q&gt;&lt;R&gt;1&lt;/R&gt;&lt;C&gt;1&lt;/C&gt;&lt;D xsi:type="xsd:double"&gt;0&lt;/D&gt;&lt;/FQL&gt;&lt;FQL&gt;&lt;Q&gt;USDQAR^STD(FG_PRICE_CHANGE(0,-3AY,M))&lt;/Q&gt;&lt;R&gt;1&lt;/R&gt;&lt;C&gt;1&lt;/C&gt;&lt;D xsi:type="xsd:double"&gt;0.00998265294793277&lt;/D&gt;&lt;/FQL&gt;&lt;FQL&gt;&lt;Q&gt;USDZAR^FG_PRICE(0)&lt;/Q&gt;&lt;R&gt;1&lt;/R&gt;&lt;C&gt;1&lt;/C&gt;&lt;D xsi:type="xsd:double"&gt;17.545&lt;/D&gt;&lt;/FQL&gt;&lt;FQL&gt;&lt;Q&gt;USDMYR^FG_PRICE_CHANGE(0,-3AM)&lt;/Q&gt;&lt;R&gt;1&lt;/R&gt;&lt;C&gt;1&lt;/C&gt;&lt;D xsi:type="xsd:double"&gt;-8.7012&lt;/D&gt;&lt;/FQL&gt;&lt;FQL&gt;&lt;Q&gt;USDPLN^FG_COMPANY_NAME&lt;/Q&gt;&lt;R&gt;1&lt;/R&gt;&lt;C&gt;1&lt;/C&gt;&lt;D xsi:type="xsd:string"&gt;Polish Zloty per U.S. Dollar&lt;/D&gt;&lt;/FQL&gt;&lt;FQL&gt;&lt;Q&gt;FC0000QA^FMA_EPS(NTMA,-20AY,0,CY,,"PORTAGG","MEANR")&lt;/Q&gt;&lt;R&gt;20&lt;/R&gt;&lt;C&gt;1&lt;/C&gt;&lt;D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xsi:type="xsd:double"&gt;11.210548&lt;/D&gt;&lt;D xsi:type="xsd:double"&gt;13.36205&lt;/D&gt;&lt;D xsi:type="xsd:double"&gt;17.651045&lt;/D&gt;&lt;D xsi:type="xsd:double"&gt;20.94785&lt;/D&gt;&lt;D xsi:type="xsd:double"&gt;24.313128&lt;/D&gt;&lt;D xsi:type="xsd:double"&gt;20.374453&lt;/D&gt;&lt;D xsi:type="xsd:double"&gt;31.329357&lt;/D&gt;&lt;D xsi:type="xsd:double"&gt;20.373964&lt;/D&gt;&lt;D xsi:type="xsd:double"&gt;29.881882&lt;/D&gt;&lt;D xsi:type="xsd:double"&gt;19.39125&lt;/D&gt;&lt;D xsi:type="xsd:double"&gt;25.174093&lt;/D&gt;&lt;D xsi:type="xsd:double"&gt;14.394784&lt;/D&gt;&lt;D xsi:type="xsd:double"&gt;-2.0138621&lt;/D&gt;&lt;D xsi:type="xsd:double"&gt;-10.123581&lt;/D&gt;&lt;D xsi:type="xsd:double"&gt;-18.523962&lt;/D&gt;&lt;D xsi:type="xsd:double"&gt;-20.460022&lt;/D&gt;&lt;D xsi:type="xsd:double"&gt;-23.534578&lt;/D&gt;&lt;D xsi:type="xsd:double"&gt;-21.710373&lt;/D&gt;&lt;D xsi:type="xsd:double"&gt;-26.39395&lt;/D&gt;&lt;D xsi:type="xsd:double"&gt;-18.884003&lt;/D&gt;&lt;D xsi:type="xsd:double"&gt;-13.109583&lt;/D&gt;&lt;D xsi:type="xsd:double"&gt;-0.09961128&lt;/D&gt;&lt;D xsi:type="xsd:double"&gt;-8.817363&lt;/D&gt;&lt;D xsi:type="xsd:double"&gt;-10.400462&lt;/D&gt;&lt;D xsi:type="xsd:double"&gt;7.187259&lt;/D&gt;&lt;D xsi:type="xsd:double"&gt;4.2523026&lt;/D&gt;&lt;D xsi:type="xsd:double"&gt;19.753933&lt;/D&gt;&lt;D xsi:type="xsd:double"&gt;19.939268&lt;/D&gt;&lt;D xsi:type="xsd:double"&gt;24.780035&lt;/D&gt;&lt;D xsi:type="xsd:double"&gt;23.12901&lt;/D&gt;&lt;D xsi:type="xsd:double"&gt;33.535885&lt;/D&gt;&lt;D xsi:type="xsd:double"&gt;19.803583&lt;/D&gt;&lt;D xsi:type="xsd:double"&gt;15.145755&lt;/D&gt;&lt;D xsi:type="xsd:double"&gt;-6.691223&lt;/D&gt;&lt;D xsi:type="xsd:double"&gt;9.623373&lt;/D&gt;&lt;D xsi:type="xsd:double"&gt;15.610433&lt;/D&gt;&lt;D xsi:type="xsd:double"&gt;31.554771&lt;/D&gt;&lt;D xsi:type="xsd:double"&gt;41.121708&lt;/D&gt;&lt;D xsi:type="xsd:double"&gt;24.988758&lt;/D&gt;&lt;D xsi:type="xsd:double"&gt;37.888824&lt;/D&gt;&lt;D xsi:type="xsd:double"&gt;37.429764&lt;/D&gt;&lt;D xsi:type="xsd:double"&gt;42.685974&lt;/D&gt;&lt;D xsi:type="xsd:double"&gt;48.904514&lt;/D&gt;&lt;D xsi:type="xsd:double"&gt;67.45031&lt;/D&gt;&lt;D xsi:type="xsd:double"&gt;30.430365&lt;/D&gt;&lt;D xsi:type="xsd:double"&gt;45.797432&lt;/D&gt;&lt;D xsi:type="xsd:double"&gt;41.16957&lt;/D&gt;&lt;D xsi:type="xsd:double"&gt;48.953674&lt;/D&gt;&lt;D xsi:type="xsd:double"&gt;19.012619&lt;/D&gt;&lt;D xsi:type="xsd:double"&gt;18.621994&lt;/D&gt;&lt;D xsi:type="xsd:double"&gt;24.057924&lt;/D&gt;&lt;D xsi:type="xsd:double"&gt;15.4129505&lt;/D&gt;&lt;D xsi:type="xsd:double"&gt;7.4292183&lt;/D&gt;&lt;D xsi:type="xsd:double"&gt;11.484933&lt;/D&gt;&lt;D xsi:type="xsd:double"&gt;-5.8683395&lt;/D&gt;&lt;D xsi:type="xsd:double"&gt;-15.45896&lt;/D&gt;&lt;D xsi:type="xsd:double"&gt;-6.134224&lt;/D&gt;&lt;D xsi:type="xsd:double"&gt;-10.234869&lt;/D&gt;&lt;D xsi:type="xsd:double"&gt;-21.38282&lt;/D&gt;&lt;D xsi:type="xsd:double"&gt;-20.532167&lt;/D&gt;&lt;D xsi:type="xsd:double"&gt;-11.769093&lt;/D&gt;&lt;D xsi:type="xsd:double"&gt;-17.78831&lt;/D&gt;&lt;D xsi:type="xsd:double"&gt;-21.134096&lt;/D&gt;&lt;D xsi:type="xsd:double"&gt;-29.70438&lt;/D&gt;&lt;D xsi:type="xsd:double"&gt;-27.521563&lt;/D&gt;&lt;D xsi:type="xsd:double"&gt;-26.851242&lt;/D&gt;&lt;D xsi:type="xsd:double"&gt;-19.144321&lt;/D&gt;&lt;D xsi:type="xsd:double"&gt;-15.098882&lt;/D&gt;&lt;D xsi:type="xsd:double"&gt;-12.994999&lt;/D&gt;&lt;D xsi:type="xsd:double"&gt;-8.131141&lt;/D&gt;&lt;D xsi:type="xsd:double"&gt;1.6426921&lt;/D&gt;&lt;D xsi:type="xsd:double"&gt;-13.346714&lt;/D&gt;&lt;D xsi:type="xsd:double"&gt;-19.552082&lt;/D&gt;&lt;D xsi:type="xsd:double"&gt;-11.605853&lt;/D&gt;&lt;D xsi:type="xsd:double"&gt;-14.119709&lt;/D&gt;&lt;D xsi:type="xsd:double"&gt;-3.6936939&lt;/D&gt;&lt;D xsi:type="xsd:double"&gt;-8.642715&lt;/D&gt;&lt;D xsi:type="xsd:double"&gt;-16.76389&lt;/D&gt;&lt;D xsi:type="xsd:double"&gt;-23.257917&lt;/D&gt;&lt;D xsi:type="xsd:double"&gt;-24.001663&lt;/D&gt;&lt;D xsi:type="xsd:double"&gt;-14.893162&lt;/D&gt;&lt;D xsi:type="xsd:double"&gt;-18.590355&lt;/D&gt;&lt;D xsi:type="xsd:double"&gt;-11.038667&lt;/D&gt;&lt;D xsi:type="xsd:double"&gt;-7.5126705&lt;/D&gt;&lt;D xsi:type="xsd:double"&gt;-10.250783&lt;/D&gt;&lt;D xsi:type="xsd:double"&gt;-14.437509&lt;/D&gt;&lt;D xsi:type="xsd:double"&gt;-10.592455&lt;/D&gt;&lt;D xsi:type="xsd:double"&gt;12.923002&lt;/D&gt;&lt;/FQL&gt;&lt;FQL&gt;&lt;Q&gt;EPHE^FG_TOTAL_RETURNC(-10AY,0,AM)&lt;/Q&gt;&lt;R&gt;121&lt;/R&gt;&lt;C&gt;1&lt;/C&gt;&lt;D xsi:type="xsd:double"&gt;-5.160469&lt;/D&gt;&lt;D xsi:type="xsd:double"&gt;3.5462976&lt;/D&gt;&lt;D xsi:type="xsd:double"&gt;-1.3594806&lt;/D&gt;&lt;D xsi:type="xsd:double"&gt;3.488183&lt;/D&gt;&lt;D xsi:type="xsd:double"&gt;5.546999&lt;/D&gt;&lt;D xsi:type="xsd:double"&gt;0.21897554&lt;/D&gt;&lt;D xsi:type="xsd:double"&gt;4.224336&lt;/D&gt;&lt;D xsi:type="xsd:double"&gt;-4.821801&lt;/D&gt;&lt;D xsi:type="xsd:double"&gt;-6.020558&lt;/D&gt;&lt;D xsi:type="xsd:double"&gt;-0.07983446&lt;/D&gt;&lt;D xsi:type="xsd:double"&gt;0.23591518&lt;/D&gt;&lt;D xsi:type="xsd:double"&gt;-10.3818&lt;/D&gt;&lt;D xsi:type="xsd:double"&gt;7.2366476&lt;/D&gt;&lt;D xsi:type="xsd:double"&gt;-7.455784&lt;/D&gt;&lt;D xsi:type="xsd:double"&gt;-0.8526802&lt;/D&gt;&lt;D xsi:type="xsd:double"&gt;-6.7512217&lt;/D&gt;&lt;D xsi:type="xsd:double"&gt;2.7130604&lt;/D&gt;&lt;D xsi:type="xsd:double"&gt;7.6134324&lt;/D&gt;&lt;D xsi:type="xsd:double"&gt;4.01386&lt;/D&gt;&lt;D xsi:type="xsd:double"&gt;-1.6657472&lt;/D&gt;&lt;D xsi:type="xsd:double"&gt;7.1710944&lt;/D&gt;&lt;D xsi:type="xsd:double"&gt;3.557837&lt;/D&gt;&lt;D xsi:type="xsd:double"&gt;2.7572155&lt;/D&gt;&lt;D xsi:type="xsd:double"&gt;-9.34161&lt;/D&gt;&lt;D xsi:type="xsd:double"&gt;0.19183159&lt;/D&gt;&lt;D xsi:type="xsd:double"&gt;-8.342457&lt;/D&gt;&lt;D xsi:type="xsd:double"&gt;-0.8355677&lt;/D&gt;&lt;D xsi:type="xsd:double"&gt;5.144322&lt;/D&gt;&lt;D xsi:type="xsd:double"&gt;-1.9517779&lt;/D&gt;&lt;D xsi:type="xsd:double"&gt;-1.170963&lt;/D&gt;&lt;D xsi:type="xsd:double"&gt;6.9016695&lt;/D&gt;&lt;D xsi:type="xsd:double"&gt;1.8841743&lt;/D&gt;&lt;D xsi:type="xsd:double"&gt;1.5229821&lt;/D&gt;&lt;D xsi:type="xsd:double"&gt;-4.0613174&lt;/D&gt;&lt;D xsi:type="xsd:double"&gt;-1.3445377&lt;/D&gt;&lt;D xsi:type="xsd:double"&gt;2.8960824&lt;/D&gt;&lt;D xsi:type="xsd:double"&gt;3.1732798&lt;/D&gt;&lt;D xsi:type="xsd:double"&gt;-0.2941966&lt;/D&gt;&lt;D xsi:type="xsd:double"&gt;-0.34870505&lt;/D&gt;&lt;D xsi:type="xsd:double"&gt;6.6122293&lt;/D&gt;&lt;D xsi:type="xsd:double"&gt;-7.5543222&lt;/D&gt;&lt;D xsi:type="xsd:double"&gt;-0.27329326&lt;/D&gt;&lt;D xsi:type="xsd:double"&gt;-5.6727943&lt;/D&gt;&lt;D xsi:type="xsd:double"&gt;-2.0336926&lt;/D&gt;&lt;D xsi:type="xsd:double"&gt;-2.6097298&lt;/D&gt;&lt;D xsi:type="xsd:double"&gt;-7.4293017&lt;/D&gt;&lt;D xsi:type="xsd:double"&gt;8.09114&lt;/D&gt;&lt;D xsi:type="xsd:double"&gt;-4.613507&lt;/D&gt;&lt;D xsi:type="xsd:doub</t>
        </r>
      </text>
    </comment>
    <comment ref="A4" authorId="0" shapeId="0" xr:uid="{985F0BE0-80B0-4F22-A187-1F5EEC1538B0}">
      <text>
        <r>
          <rPr>
            <b/>
            <sz val="9"/>
            <color indexed="81"/>
            <rFont val="Tahoma"/>
            <charset val="1"/>
          </rPr>
          <t>le"&gt;-9.417033&lt;/D&gt;&lt;D xsi:type="xsd:double"&gt;2.2277236&lt;/D&gt;&lt;D xsi:type="xsd:double"&gt;7.713592&lt;/D&gt;&lt;D xsi:type="xsd:double"&gt;12.180149&lt;/D&gt;&lt;D xsi:type="xsd:double"&gt;0.14321804&lt;/D&gt;&lt;D xsi:type="xsd:double"&gt;-4.4336376&lt;/D&gt;&lt;D xsi:type="xsd:double"&gt;5.237949&lt;/D&gt;&lt;D xsi:type="xsd:double"&gt;-4.9772444&lt;/D&gt;&lt;D xsi:type="xsd:double"&gt;4.6393275&lt;/D&gt;&lt;D xsi:type="xsd:double"&gt;3.2843351&lt;/D&gt;&lt;D xsi:type="xsd:double"&gt;-5.7445645&lt;/D&gt;&lt;D xsi:type="xsd:double"&gt;1.5680552&lt;/D&gt;&lt;D xsi:type="xsd:double"&gt;-1.8351316&lt;/D&gt;&lt;D xsi:type="xsd:double"&gt;5.84569&lt;/D&gt;&lt;D xsi:type="xsd:double"&gt;-4.793942&lt;/D&gt;&lt;D xsi:type="xsd:double"&gt;0.76885223&lt;/D&gt;&lt;D xsi:type="xsd:double"&gt;-4.6212316&lt;/D&gt;&lt;D xsi:type="xsd:double"&gt;-13.922113&lt;/D&gt;&lt;D xsi:type="xsd:double"&gt;-15.85322&lt;/D&gt;&lt;D xsi:type="xsd:double"&gt;4.6147227&lt;/D&gt;&lt;D xsi:type="xsd:double"&gt;16.34966&lt;/D&gt;&lt;D xsi:type="xsd:double"&gt;-4.195404&lt;/D&gt;&lt;D xsi:type="xsd:double"&gt;-3.4696817&lt;/D&gt;&lt;D xsi:type="xsd:double"&gt;0.22701025&lt;/D&gt;&lt;D xsi:type="xsd:double"&gt;0.98149776&lt;/D&gt;&lt;D xsi:type="xsd:double"&gt;19.439257&lt;/D&gt;&lt;D xsi:type="xsd:double"&gt;2.3474216&lt;/D&gt;&lt;D xsi:type="xsd:double"&gt;2.241242&lt;/D&gt;&lt;D xsi:type="xsd:double"&gt;-4.226619&lt;/D&gt;&lt;D xsi:type="xsd:double"&gt;-5.070424&lt;/D&gt;&lt;D xsi:type="xsd:double"&gt;-2.571714&lt;/D&gt;&lt;D xsi:type="xsd:double"&gt;-1.8612504&lt;/D&gt;&lt;D xsi:type="xsd:double"&gt;9.741211&lt;/D&gt;&lt;D xsi:type="xsd:double"&gt;-5.204052&lt;/D&gt;&lt;D xsi:type="xsd:double"&gt;-3.9546132&lt;/D&gt;&lt;D xsi:type="xsd:double"&gt;6.845033&lt;/D&gt;&lt;D xsi:type="xsd:double"&gt;1.0731697&lt;/D&gt;&lt;D xsi:type="xsd:double"&gt;6.435013&lt;/D&gt;&lt;D xsi:type="xsd:double"&gt;-1.8440187&lt;/D&gt;&lt;D xsi:type="xsd:double"&gt;-3.928882&lt;/D&gt;&lt;D xsi:type="xsd:double"&gt;4.247105&lt;/D&gt;&lt;D xsi:type="xsd:double"&gt;-6.1728477&lt;/D&gt;&lt;D xsi:type="xsd:double"&gt;0.42763948&lt;/D&gt;&lt;D xsi:type="xsd:double"&gt;-6.3216505&lt;/D&gt;&lt;D xsi:type="xsd:double"&gt;-3.5627186&lt;/D&gt;&lt;D xsi:type="xsd:double"&gt;-5.906093&lt;/D&gt;&lt;D xsi:type="xsd:double"&gt;3.66472&lt;/D&gt;&lt;D xsi:type="xsd:double"&gt;-1.7299771&lt;/D&gt;&lt;D xsi:type="xsd:double"&gt;-14.619213&lt;/D&gt;&lt;D xsi:type="xsd:double"&gt;12.191844&lt;/D&gt;&lt;D xsi:type="xsd:double"&gt;5.353582&lt;/D&gt;&lt;D xsi:type="xsd:double"&gt;6.3702345&lt;/D&gt;&lt;D xsi:type="xsd:double"&gt;2.005732&lt;/D&gt;&lt;D xsi:type="xsd:double"&gt;-7.514042&lt;/D&gt;&lt;D xsi:type="xsd:double"&gt;0.7213354&lt;/D&gt;&lt;D xsi:type="xsd:double"&gt;1.4323354&lt;/D&gt;&lt;D xsi:type="xsd:double"&gt;-3.6050797&lt;/D&gt;&lt;D xsi:type="xsd:double"&gt;-0.35114288&lt;/D&gt;&lt;D xsi:type="xsd:double"&gt;0.27407408&lt;/D&gt;&lt;D xsi:type="xsd:double"&gt;-3.865677&lt;/D&gt;&lt;D xsi:type="xsd:double"&gt;0.97482204&lt;/D&gt;&lt;D xsi:type="xsd:double"&gt;-0.76428056&lt;/D&gt;&lt;D xsi:type="xsd:double"&gt;2.5537014&lt;/D&gt;&lt;D xsi:type="xsd:double"&gt;3.9693475&lt;/D&gt;&lt;D xsi:type="xsd:double"&gt;5.25105&lt;/D&gt;&lt;D xsi:type="xsd:double"&gt;1.0925055&lt;/D&gt;&lt;D xsi:type="xsd:double"&gt;-5.1873207&lt;/D&gt;&lt;D xsi:type="xsd:double"&gt;-3.4954429&lt;/D&gt;&lt;D xsi:type="xsd:double"&gt;-3.0314982&lt;/D&gt;&lt;D xsi:type="xsd:double"&gt;2.2116542&lt;/D&gt;&lt;D xsi:type="xsd:double"&gt;3.7500024&lt;/D&gt;&lt;D xsi:type="xsd:double"&gt;9.483099&lt;/D&gt;&lt;D xsi:type="xsd:double"&gt;1.9169331&lt;/D&gt;&lt;/FQL&gt;&lt;FQL&gt;&lt;Q&gt;EWY^FMA_PE(NTMA,-10AY,0,AM,"PORTAGG","MEANR")&lt;/Q&gt;&lt;R&gt;121&lt;/R&gt;&lt;C&gt;1&lt;/C&gt;&lt;D xsi:type="xsd:double"&gt;9.41503901520073&lt;/D&gt;&lt;D xsi:type="xsd:double"&gt;9.82638030849437&lt;/D&gt;&lt;D xsi:type="xsd:double"&gt;9.74248636245465&lt;/D&gt;&lt;D xsi:type="xsd:double"&gt;9.48865585416202&lt;/D&gt;&lt;D xsi:type="xsd:double"&gt;9.72368374245743&lt;/D&gt;&lt;D xsi:type="xsd:double"&gt;9.79429551713415&lt;/D&gt;&lt;D xsi:type="xsd:double"&gt;10.0978816592371&lt;/D&gt;&lt;D xsi:type="xsd:double"&gt;9.9408106650886&lt;/D&gt;&lt;D xsi:type="xsd:double"&gt;9.51222182290223&lt;/D&gt;&lt;D xsi:type="xsd:double"&gt;9.41384326037621&lt;/D&gt;&lt;D xsi:type="xsd:double"&gt;9.52821142819636&lt;/D&gt;&lt;D xsi:type="xsd:double"&gt;9.52239217179004&lt;/D&gt;&lt;D xsi:type="xsd:double"&gt;10.0374445020696&lt;/D&gt;&lt;D xsi:type="xsd:double"&gt;10.2222105971187&lt;/D&gt;&lt;D xsi:type="xsd:double"&gt;9.91201077887293&lt;/D&gt;&lt;D xsi:type="xsd:double"&gt;9.84493007804424&lt;/D&gt;&lt;D xsi:type="xsd:double"&gt;10.2812893412181&lt;/D&gt;&lt;D xsi:type="xsd:double"&gt;10.5288289581602&lt;/D&gt;&lt;D xsi:type="xsd:double"&gt;10.3878479963116&lt;/D&gt;&lt;D xsi:type="xsd:double"&gt;10.1051656785314&lt;/D&gt;&lt;D xsi:type="xsd:double"&gt;10.1963562146098&lt;/D&gt;&lt;D xsi:type="xsd:double"&gt;9.82512038208472&lt;/D&gt;&lt;D xsi:type="xsd:double"&gt;10.0719226489657&lt;/D&gt;&lt;D xsi:type="xsd:double"&gt;10.1661879927761&lt;/D&gt;&lt;D xsi:type="xsd:double"&gt;10.0035503653534&lt;/D&gt;&lt;D xsi:type="xsd:double"&gt;9.83267814533709&lt;/D&gt;&lt;D xsi:type="xsd:double"&gt;9.93466742584193&lt;/D&gt;&lt;D xsi:type="xsd:double"&gt;9.6917606197148&lt;/D&gt;&lt;D xsi:type="xsd:double"&gt;9.46083849074821&lt;/D&gt;&lt;D xsi:type="xsd:double"&gt;9.49718274436653&lt;/D&gt;&lt;D xsi:type="xsd:double"&gt;9.21723546269852&lt;/D&gt;&lt;D xsi:type="xsd:double"&gt;9.37812463434468&lt;/D&gt;&lt;D xsi:type="xsd:double"&gt;9.62758066673185&lt;/D&gt;&lt;D xsi:type="xsd:double"&gt;9.41533609380383&lt;/D&gt;&lt;D xsi:type="xsd:double"&gt;9.17093179552655&lt;/D&gt;&lt;D xsi:type="xsd:double"&gt;9.03052302415224&lt;/D&gt;&lt;D xsi:type="xsd:double"&gt;9.35302778305068&lt;/D&gt;&lt;D xsi:type="xsd:double"&gt;9.40587044266173&lt;/D&gt;&lt;D xsi:type="xsd:double"&gt;9.11105245226827&lt;/D&gt;&lt;D xsi:type="xsd:double"&gt;9.21175037762583&lt;/D&gt;&lt;D xsi:type="xsd:double"&gt;8.69462430094741&lt;/D&gt;&lt;D xsi:type="xsd:double"&gt;9.03940485264859&lt;/D&gt;&lt;D xsi:type="xsd:double"&gt;8.8993957317078&lt;/D&gt;&lt;D xsi:type="xsd:double"&gt;8.84306642123857&lt;/D&gt;&lt;D xsi:type="xsd:double"&gt;8.8906727849606&lt;/D&gt;&lt;D xsi:type="xsd:double"&gt;8.33050113177625&lt;/D&gt;&lt;D xsi:type="xsd:double"&gt;8.2221451667098&lt;/D&gt;&lt;D xsi:type="xsd:double"&gt;8.20739331145331&lt;/D&gt;&lt;D xsi:type="xsd:double"&gt;8.10862021239323&lt;/D&gt;&lt;D xsi:type="xsd:double"&gt;7.92349918625952&lt;/D&gt;&lt;D xsi:type="xsd:double"&gt;7.93922425062401&lt;/D&gt;&lt;D xsi:type="xsd:double"&gt;8.69871615043039&lt;/D&gt;&lt;D xsi:type="xsd:double"&gt;10.0657981442218&lt;/D&gt;&lt;D xsi:type="xsd:double"&gt;10.1171833968751&lt;/D&gt;&lt;D xsi:type="xsd:double"&gt;11.2217295688897&lt;/D&gt;&lt;D xsi:type="xsd:double"&gt;10.7895487475045&lt;/D&gt;&lt;D xsi:type="xsd:double"&gt;10.9408184872225&lt;/D&gt;&lt;D xsi:type="xsd:double"&gt;11.115639420747&lt;/D&gt;&lt;D xsi:type="xsd:double"&gt;10.5246323658389&lt;/D&gt;&lt;D xsi:type="xsd:double"&gt;10.9306379681539&lt;/D&gt;&lt;D xsi:type="xsd:double"&gt;10.7807473714492&lt;/D&gt;&lt;D xsi:type="xsd:double"&gt;11.4379336603759&lt;/D&gt;&lt;D xsi:type="xsd:double"&gt;11.0272108688466&lt;/D&gt;&lt;D xsi:type="xsd:double"&gt;11.4149153744738&lt;/D&gt;&lt;D xsi:type="xsd:double"&gt;11.3063702228192&lt;/D&gt;&lt;D xsi:type="xsd:double"&gt;9.97394973272756&lt;/D&gt;&lt;D xsi:type="xsd:double"&gt;10.2100474892561&lt;/D&gt;&lt;D xsi:type="xsd:double"&gt;11.5818575624789&lt;/D&gt;&lt;D xsi:type="xsd:double"&gt;13.0612745482133&lt;/D&gt;&lt;D xsi:type="xsd:double"&gt;12.5771086713327&lt;/D&gt;&lt;D xsi:type="xsd:double"&gt;13.4051440393633&lt;/D&gt;&lt;D xsi:type="xsd:double"&gt;12.8596373995842&lt;/D&gt;&lt;D xsi:type="xsd:double"&gt;12.454135071087&lt;/D&gt;&lt;D xsi:type="xsd:double"&gt;12.1561113466553&lt;/D&gt;&lt;D xsi:type="xsd:double"&gt;13.3325771263294&lt;/D&gt;&lt;D xsi:type="xsd:double"&gt;14.8093929388689&lt;/D&gt;&lt;D xsi:type="xsd:double"&gt;13.9184894816389&lt;/D&gt;&lt;D xsi:type="xsd:double"&gt;13.0409060457734&lt;/D&gt;&lt;D xsi:type="xsd:double"&gt;13.0264011689075&lt;/D&gt;&lt;D xsi:type="xsd:double"&gt;11.5175816971213&lt;/D&gt;&lt;D xsi:type="xsd:double"&gt;11.1714422053506&lt;/D&gt;&lt;D xsi:type="xsd:double"&gt;10.907548590243&lt;/D&gt;&lt;D xsi:type="xsd:double"&gt;10.5947949305698&lt;/D&gt;&lt;D xsi:type="xsd:double"&gt;10.2449862361677&lt;/D&gt;&lt;D xsi:type="xsd:double"&gt;9.81807874324383&lt;/D&gt;&lt;D xsi:type="xsd:double"&gt;9.87929980247694&lt;/D&gt;&lt;D xsi:type="xsd:double"&gt;10.3292554349704&lt;/D&gt;&lt;D xsi:type="xsd:double"&gt;9.88559082587329&lt;/D&gt;&lt;D xsi:type="xsd:double"&gt;9.48742431593026&lt;/D&gt;&lt;D xsi:type="xsd:double"&gt;9.2556436361385&lt;/D&gt;&lt;D xsi:type="xsd:double"&gt;9.15764021742572&lt;/D&gt;&lt;D xsi:type="xsd:double"&gt;8.59170093172509&lt;/D&gt;&lt;D xsi:type="xsd:double"&gt;8.72816803446061&lt;/D&gt;&lt;D xsi:type="xsd:double"&gt;8.27726737626453&lt;/D&gt;&lt;D xsi:type="xsd:double"&gt;8.73926566291941&lt;/D&gt;&lt;D xsi:type="xsd:double"&gt;8.51729174169495&lt;/D&gt;&lt;D xsi:type="xsd:double"&gt;8.6665931065165&lt;/D&gt;&lt;D xsi:type="xsd:double"&gt;10.3753958267745&lt;/D&gt;&lt;D xsi:type="xsd:double"&gt;10.7852613966048&lt;/D&gt;&lt;D xsi:type="xsd:double"&gt;11.1551424547766&lt;/D&gt;&lt;D xsi:type="xsd:double"&gt;12.7534576508053&lt;/D&gt;&lt;D xsi:type="xsd:double"&gt;12.677170255838&lt;/D&gt;&lt;D xsi:type="xsd:double"&gt;13.8572632289896&lt;/D&gt;&lt;D xsi:type="xsd:double"&gt;13.1858856354186&lt;/D&gt;&lt;D xsi:type="xsd:double"&gt;13.0303151963015&lt;/D&gt;&lt;D xsi:type="xsd:double"&gt;11.6970367728719&lt;/D&gt;&lt;D xsi:type="xsd:double"&gt;11.6011529494364&lt;/D&gt;&lt;D xsi:type="xsd:double"&gt;11.1914017794962&lt;/D&gt;&lt;D xsi:type="xsd:double"&gt;10.1698211982598&lt;/D&gt;&lt;D xsi:type="xsd:double"&gt;10.0028401623649&lt;/D&gt;&lt;D xsi:type="xsd:double"&gt;10.1313206623695&lt;/D&gt;&lt;D xsi:type="xsd:double"&gt;9.87886979608631&lt;/D&gt;&lt;D xsi:type="xsd:double"&gt;10.4935011701875&lt;/D&gt;&lt;D xsi:type="xsd:double"&gt;10.5721842231677&lt;/D&gt;&lt;D xsi:type="xsd:double"&gt;10.3735063792423&lt;/D&gt;&lt;D xsi:type="xsd:double"&gt;9.9178922753847&lt;/D&gt;&lt;D xsi:type="xsd:double"&gt;9.57040388635206&lt;/D&gt;&lt;D xsi:type="xsd:double"&gt;9.72360776815572&lt;/D&gt;&lt;D xsi:type="xsd:double"&gt;8.39743423167247&lt;/D&gt;&lt;D xsi:type="xsd:double"&gt;7.96270795513158&lt;/D&gt;&lt;D xsi:type="xsd:double"&gt;8.2788123176955&lt;/D&gt;&lt;/FQL&gt;&lt;FQL&gt;&lt;Q&gt;DDR3512M-FDS^FG_PRICE_CHANGE(0,-1AM)&lt;/Q&gt;&lt;R&gt;1&lt;/R&gt;&lt;C&gt;1&lt;/C&gt;&lt;D xsi:type="xsd:double"&gt;-1.11606975156329&lt;/D&gt;&lt;/FQL&gt;&lt;FQL&gt;&lt;Q&gt;BRENT-FDS^FG_PRICE_MAVG(0,,,,30)&lt;/Q&gt;&lt;R&gt;1&lt;/R&gt;&lt;C&gt;1&lt;/C&gt;&lt;D xsi:type="xsd:double"&gt;85.86&lt;/D&gt;&lt;/FQL&gt;&lt;FQL&gt;&lt;Q&gt;INDA^FG_PRICE(0)&lt;/Q&gt;&lt;R&gt;1&lt;/R&gt;&lt;C&gt;1&lt;/C&gt;&lt;D xsi:type="xsd:double"&gt;57.1&lt;/D&gt;&lt;/FQL&gt;&lt;FQL&gt;&lt;Q&gt;EPHE^FG_PRICE_MAVG(0,,,,200)&lt;/Q&gt;&lt;R&gt;1&lt;/R&gt;&lt;C&gt;1&lt;/C&gt;&lt;D xsi:type="xsd:double"&gt;26.425055&lt;/D&gt;&lt;/FQL&gt;&lt;FQL&gt;&lt;Q&gt;KSA^FG_TOTAL_RETURNC(0,-3AM)&lt;/Q&gt;&lt;R&gt;1&lt;/R&gt;&lt;C&gt;1&lt;/C&gt;&lt;D xsi:type="xsd:double"&gt;1.6609669&lt;/D&gt;&lt;/FQL&gt;&lt;FQL&gt;&lt;Q&gt;SET-BKK^PERCENT_CHANGE(FMA_EPS(+1,0,,,,"PORTAGG","MEAN"),FMA_EPS(+1,-3AM,,,,"PORTAGG","MEAN"))&lt;/Q&gt;&lt;R&gt;1&lt;/R&gt;&lt;C&gt;1&lt;/C&gt;&lt;D xsi:type="xsd:double"&gt;-5.10377266876755&lt;/D&gt;&lt;/FQL&gt;&lt;FQL&gt;&lt;Q&gt;GREK^PERCENT_CHANGE(FMA_EPS(+1,0,,,,"PORTAGG","MEAN"),FMA_EPS(+1,-1AM,,,,"PORTAGG","MEAN"))&lt;/Q&gt;&lt;R&gt;1&lt;/R&gt;&lt;C&gt;1&lt;/C&gt;&lt;D xsi:type="xsd:double"&gt;1.8151835675617&lt;/D&gt;&lt;/FQL&gt;&lt;FQL&gt;&lt;Q&gt;EWY^FG_TOTAL_RETURNC(0,-12AM)&lt;/Q&gt;&lt;R&gt;1&lt;/R&gt;&lt;C&gt;1&lt;/C&gt;&lt;D xsi:type="xsd:double"&gt;10.958147&lt;/D&gt;&lt;/FQL&gt;&lt;FQL&gt;&lt;Q&gt;EPU^P_PRICE(0)/P_PRICE_HIGH_PR(0,,,,,,"PRICE","INTRA","52W")&lt;/Q&gt;&lt;R&gt;1&lt;/R&gt;&lt;C&gt;1&lt;/C&gt;&lt;D xsi:type="xsd:double"&gt;0.9657549&lt;/D&gt;&lt;/FQL&gt;&lt;FQL&gt;&lt;Q&gt;ECH^FG_TOTAL_RETURNC(0,-6AM)&lt;/Q&gt;&lt;R&gt;1&lt;/R&gt;&lt;C&gt;1&lt;/C&gt;&lt;D xsi:type="xsd:double"&gt;-1.0898292&lt;/D&gt;&lt;/FQL&gt;&lt;FQL&gt;&lt;Q&gt;EWJ^P_PRICE(0)/P_PRICE_LOW_PR(0,,,,,,"PRICE","INTRA","52W")-1&lt;/Q&gt;&lt;R&gt;1&lt;/R&gt;&lt;C&gt;1&lt;/C&gt;&lt;D xsi:type="xsd:double"&gt;0.23951054&lt;/D&gt;&lt;/FQL&gt;&lt;FQL&gt;&lt;Q&gt;URTH^FMA_COS_DOWN("EPS","1M",+1,NOW,,,"PORTAGG","MEANR")&lt;/Q&gt;&lt;R&gt;1&lt;/R&gt;&lt;C&gt;1&lt;/C&gt;&lt;D xsi:type="xsd:double"&gt;565&lt;/D&gt;&lt;/FQL&gt;&lt;FQL&gt;&lt;Q&gt;EWZ^SIZE(FG_CONSTITUENTS)&lt;/Q&gt;&lt;R&gt;1&lt;/R&gt;&lt;C&gt;1&lt;/C&gt;&lt;D xsi:type="xsd:long"&gt;55&lt;/D&gt;&lt;/FQL&gt;&lt;FQL&gt;&lt;Q&gt;TUR^FG_ROE(0)&lt;/Q&gt;&lt;R&gt;1&lt;/R&gt;&lt;C&gt;1&lt;/C&gt;&lt;D xsi:type="xsd:double"&gt;15.6792706108665&lt;/D&gt;&lt;/FQL&gt;&lt;FQL&gt;&lt;Q&gt;TRYCN10Y-FDS^FG_YIELD_NAME&lt;/Q&gt;&lt;R&gt;1&lt;/R&gt;&lt;C&gt;1&lt;/C&gt;&lt;D xsi:type="xsd:string"&gt;Treasury - China Benchmark Bond 10Y&lt;/D&gt;&lt;/FQL&gt;&lt;FQL&gt;&lt;Q&gt;REFMXTON-FDS^FG_YIELD(NOW,,,0)&lt;/Q&gt;&lt;R&gt;1&lt;/R&gt;&lt;C&gt;1&lt;/C&gt;&lt;D xsi:type="xsd:double"&gt;10.5&lt;/D&gt;&lt;/FQL&gt;&lt;FQL&gt;&lt;Q&gt;REFIDRREPO-FDS^PROPER_NAME(0,,,"SECURITY","NAME")&lt;/Q&gt;&lt;R&gt;1&lt;/R&gt;&lt;C&gt;1&lt;/C&gt;&lt;D xsi:type="xsd:string"&gt;Indonesia BI (Reverse) Repo Rate - 7 Day&lt;/D&gt;&lt;/FQL&gt;&lt;FQL&gt;&lt;Q&gt;TRYPE10Y-FDS^PCTCHG(FG_YIELD(0,,,,"YTM"),FG_YIELD(-1AM,,,,"YTM"))&lt;/Q&gt;&lt;R&gt;1&lt;/R&gt;&lt;C&gt;1&lt;/C&gt;&lt;D xsi:type="xsd:double"&gt;-0.8796274&lt;/D&gt;&lt;/FQL&gt;&lt;FQL&gt;&lt;Q&gt;TRYMX10Y-FDS^FG_YIELD(0,,,,"YTM")&lt;/Q&gt;&lt;R&gt;1&lt;/R&gt;&lt;C&gt;1&lt;/C&gt;&lt;D xsi:type="xsd:double"&gt;9.6914&lt;/D&gt;&lt;/FQL&gt;&lt;FQL&gt;&lt;Q&gt;CC_AE^IMF_IFS_RCPI_Q(0)&lt;/Q&gt;&lt;R&gt;0&lt;/R&gt;&lt;C&gt;0&lt;/C&gt;&lt;/FQL&gt;&lt;FQL&gt;&lt;Q&gt;KSA^FMA_PE(LTM,0,,,"PORTAGG","MEANR")&lt;/Q&gt;&lt;R&gt;1&lt;/R&gt;&lt;C&gt;1&lt;/C&gt;&lt;D xsi:type="xsd:double"&gt;20.320584713837&lt;/D&gt;&lt;/FQL&gt;&lt;FQL&gt;&lt;Q&gt;MCHI^FMA_EVAL_EBIT(LTMA,NOW,NOW,M,"PORTAGG","MEANR")&lt;/Q&gt;&lt;R&gt;1&lt;/R&gt;&lt;C&gt;1&lt;/C&gt;&lt;D xsi:type="xsd:double"&gt;15.4249105482282&lt;/D&gt;&lt;/FQL&gt;&lt;FQL&gt;&lt;Q&gt;GREK^JULIAN(FMA_DIV_YLD(NTMA,NOW,NOW,M,"PORTAGG","MEANR").DATES)&lt;/Q&gt;&lt;R&gt;1&lt;/R&gt;&lt;C&gt;1&lt;/C&gt;&lt;D xsi:type="xsd:long"&gt;45565&lt;/D&gt;&lt;/FQL&gt;&lt;FQL&gt;&lt;Q&gt;EWM^FG_FCF_YIELD_NTM(0)&lt;/Q&gt;&lt;R&gt;1&lt;/R&gt;&lt;C&gt;1&lt;/C&gt;&lt;D xsi:type="xsd:double"&gt;6.02980983952051&lt;/D&gt;&lt;/FQL&gt;&lt;FQL&gt;&lt;Q&gt;ECH^FMA_PE(NTMA,0,,,"PORTAGG","MEANR")&lt;/Q&gt;&lt;R&gt;1&lt;/R&gt;&lt;C&gt;1&lt;/C&gt;&lt;D xsi:type="xsd:double"&gt;9.37887020616838&lt;/D&gt;&lt;/FQL&gt;&lt;FQL&gt;&lt;Q&gt;INDA^FG_COMPANY_NAME&lt;/Q&gt;&lt;R&gt;1&lt;/R&gt;&lt;C&gt;1&lt;/C&gt;&lt;D xsi:type="xsd:string"&gt;iShares MSCI India ETF&lt;/D&gt;&lt;/FQL&gt;&lt;FQL&gt;&lt;Q&gt;EIDO^FMA_ROE(NTMA,-20AY,NOW,FY,"PORTAGG","MEANR")&lt;/Q&gt;&lt;R&gt;20&lt;/R&gt;&lt;C&gt;1&lt;/C&gt;&lt;D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xsi:type="xsd:double"&gt;14.4300103252465&lt;/D&gt;&lt;D xsi:type="xsd:double"&gt;11.4814604214712&lt;/D&gt;&lt;D xsi:type="xsd:double"&gt;13.6928560106621&lt;/D&gt;&lt;D xsi:type="xsd:double"&gt;15.6524440673878&lt;/D&gt;&lt;D xsi:type="xsd:double"&gt;14.02340332534&lt;/D&gt;&lt;/FQL&gt;&lt;FQL&gt;&lt;Q&gt;CAGDPY@MY^EE_ACTUAL_ANNUAL(MED,+1)&lt;/Q&gt;&lt;R&gt;1&lt;/R&gt;&lt;C&gt;1&lt;/C&gt;&lt;D xsi:type="xsd:double"&gt;2.35&lt;/D&gt;&lt;/FQL&gt;&lt;FQL&gt;&lt;Q&gt;USDSAR^FG_PRICE_CHANGE(0,-6AM)&lt;/Q&gt;&lt;R&gt;1&lt;/R&gt;&lt;C&gt;1&lt;/C&gt;&lt;D xsi:type="xsd:double"&gt;0.101304054&lt;/D&gt;&lt;/FQL&gt;&lt;FQL&gt;&lt;Q&gt;USDAED^FG_PRICE_CHANGE(0,-1AY)&lt;/Q&gt;&lt;R&gt;1&lt;/R&gt;&lt;C&gt;1&lt;/C&gt;&lt;D xsi:type="xsd:double"&gt;-0.004082918&lt;/D&gt;&lt;/FQL&gt;&lt;FQL&gt;&lt;Q&gt;USDINR^FG_PRICE_CHANGE(0,-3AM)&lt;/Q&gt;&lt;R&gt;1&lt;/R&gt;&lt;C&gt;1&lt;/C&gt;&lt;D xsi:type="xsd:double"&gt;0.5334616&lt;/D&gt;&lt;/FQL&gt;&lt;FQL&gt;&lt;Q&gt;USDMXN^STD(FG_PRICE_CHANGE(0,-1AY,AM))&lt;/Q&gt;&lt;R&gt;1&lt;/R&gt;&lt;C&gt;1&lt;/C&gt;&lt;D xsi:type="xsd:double"&gt;4.2028111623448&lt;/D&gt;&lt;/FQL&gt;&lt;FQL&gt;&lt;Q&gt;USDCLP^FG_PRICE_CHANGE(0,-6AM)&lt;/Q&gt;&lt;R&gt;1&lt;/R&gt;&lt;C&gt;1&lt;/C&gt;&lt;D xsi:type="xsd:double"&gt;-2.451396&lt;/D&gt;&lt;/FQL&gt;&lt;FQL&gt;&lt;Q&gt;UAE^P_PRICE_RETURNS_PR('52W',2,-10AY,0,AM)&lt;/Q&gt;&lt;R&gt;121&lt;/R&gt;&lt;C&gt;1&lt;/C&gt;&lt;D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xsi:type="xsd:double"&gt;-17.869299&lt;/D&gt;&lt;D xsi:type="xsd:double"&gt;-11.805558&lt;/D&gt;&lt;D xsi:type="xsd:double"&gt;-8.691573&lt;/D&gt;&lt;D xsi:type="xsd:double"&gt;-9.036482&lt;/D&gt;&lt;D xsi:type="xsd:double"&gt;-22.764915&lt;/D&gt;&lt;D xsi:type="xsd:double"&gt;-19.785463&lt;/D&gt;&lt;D xsi:type="xsd:double"&gt;-24.905443&lt;/D&gt;&lt;D xsi:type="xsd:double"&gt;-22.652065&lt;/D&gt;&lt;D xsi:type="xsd:double"&gt;-19.311888&lt;/D&gt;&lt;D xsi:type="xsd:double"&gt;-19.096142&lt;/D&gt;&lt;D xsi:type="xsd:double"&gt;-9.312558&lt;/D&gt;&lt;D xsi:type="xsd:double"&gt;-11.261135&lt;/D&gt;&lt;D xsi:type="xsd:double"&gt;-16.563679&lt;/D&gt;&lt;D xsi:type="xsd:double"&gt;-16.985231&lt;/D&gt;&lt;D xsi:type="xsd:double"&gt;-10.244102&lt;/D&gt;&lt;D xsi:type="xsd:double"&gt;-11.803174&lt;/D&gt;&lt;D xsi:type="xsd:double"&gt;0.5931735&lt;/D&gt;&lt;D xsi:type="xsd:double"&gt;-5.9162197&lt;/D&gt;&lt;D xsi:type="xsd:double"&gt;2.1838188&lt;/D&gt;&lt;D xsi:type="xsd:double"&gt;19.116138&lt;/D&gt;&lt;D xsi:type="xsd:double"&gt;23.235012&lt;/D&gt;&lt;D xsi:type="xsd:double"&gt;23.046135&lt;/D&gt;&lt;D xsi:type="xsd:double"&gt;5.1663756&lt;/D&gt;&lt;D xsi:type="xsd:double"&gt;5.983472&lt;/D&gt;&lt;D xsi:type="xsd:double"&gt;7.058549&lt;/D&gt;&lt;D xsi:type="xsd:double"&gt;7.4510455&lt;/D&gt;&lt;D xsi:type="xsd:double"&gt;5.063939&lt;/D&gt;&lt;D xsi:type="xsd:double"&gt;5.541885&lt;/D&gt;&lt;D xsi:type="xsd:double"&gt;7.2674513&lt;/D&gt;&lt;D xsi:type="xsd:double"&gt;11.82295&lt;/D&gt;&lt;D xsi:type="xsd:double"&gt;10.565126&lt;/D&gt;&lt;D xsi:type="xsd:double"&gt;1.5725851&lt;/D&gt;&lt;D xsi:type="xsd:double"&gt;4.650867&lt;/D&gt;&lt;D xsi:type="xsd:double"&gt;1.5177727&lt;/D&gt;&lt;D xsi:type="xsd:double"&gt;3.8503408&lt;/D&gt;&lt;D xsi:type="xsd:double"&gt;0.5256057&lt;/D&gt;&lt;D xsi:type="xsd:double"&gt;-3.2750905&lt;/D&gt;&lt;D xsi:type="xsd:double"&gt;-1.1279285&lt;/D&gt;&lt;D xsi:type="xsd:double"&gt;-3.5823762&lt;/D&gt;&lt;D xsi:type="xsd:double"&gt;-6.4466476&lt;/D&gt;&lt;D xsi:type="xsd:double"&gt;-8.69087&lt;/D&gt;&lt;D xsi:type="xsd:double"&gt;-11.502087&lt;/D&gt;&lt;D xsi:type="xsd:double"&gt;-5.9945526&lt;/D&gt;&lt;D xsi:type="xsd:double"&gt;-13.590515&lt;/D&gt;&lt;D xsi:type="xsd:double"&gt;-15.73965&lt;/D&gt;&lt;D xsi:type="xsd:double"&gt;-13.75773&lt;/D&gt;&lt;D xsi:type="xsd:double"&gt;-10.628027&lt;/D&gt;&lt;D xsi:type="xsd:double"&gt;-5.784589&lt;/D&gt;&lt;D xsi:type="xsd:double"&gt;-4.7405424&lt;/D&gt;&lt;D xsi:type="xsd:double"&gt;-11.959351&lt;/D&gt;&lt;D xsi:type="xsd:double"&gt;-6.9937468&lt;/D&gt;&lt;D xsi:type="xsd:double"&gt;-7.733017&lt;/D&gt;&lt;D xsi:type="xsd:double"&gt;-4.998541&lt;/D&gt;&lt;D xsi:type="xsd:double"&gt;-3.567326&lt;/D&gt;&lt;D xsi:type="xsd:double"&gt;-6.0552&lt;/D&gt;&lt;D xsi:type="xsd:double"&gt;2.352798&lt;/D&gt;&lt;D xsi:type="xsd:double"&gt;-5.037409&lt;/D&gt;&lt;D xsi:type="xsd:double"&gt;-4.4616404&lt;/D&gt;&lt;D xsi:type="xsd:double"&gt;-20.962603&lt;/D&gt;&lt;D xsi:type="xsd:double"&gt;-30.465872&lt;/D&gt;&lt;D xsi:type="xsd:double"&gt;-29.884153&lt;/D&gt;&lt;D xsi:type="xsd:double"&gt;-20.205194&lt;/D&gt;&lt;D xsi:type="xsd:double"&gt;-23.089386&lt;/D&gt;&lt;D xsi:type="xsd:double"&gt;-20.565636&lt;/D&gt;&lt;D xsi:type="xsd:double"&gt;-19.283121&lt;/D&gt;&lt;D xsi:type="xsd:double"&gt;-17.991215&lt;/D&gt;&lt;D xsi:type="xsd:double"&gt;-18.244202&lt;/D&gt;&lt;D xsi:type="xsd:double"&gt;-5.4550886&lt;/D&gt;&lt;D xsi:type="xsd:double"&gt;1.8040776&lt;/D&gt;&lt;D xsi:type="xsd:double"&gt;7.3355675&lt;/D&gt;&lt;D xsi:type="xsd:double"&gt;30.344654&lt;/D&gt;&lt;D xsi:type="xsd:double"&gt;40.415085&lt;/D&gt;&lt;D xsi:type="xsd:double"&gt;46.53791&lt;/D&gt;&lt;D xsi:type="xsd:double"&gt;46.249306&lt;/D&gt;&lt;D xsi:type="xsd:double"&gt;45.03589&lt;/D&gt;&lt;D xsi:type="xsd:double"&gt;42.52038&lt;/D&gt;&lt;D xsi:type="xsd:double"&gt;45.502792&lt;/D&gt;&lt;D xsi:type="xsd:double"&gt;40.825653&lt;/D&gt;&lt;D xsi:type="xsd:double"&gt;53.079033&lt;/D&gt;&lt;D xsi:type="xsd:double"&gt;48.08656&lt;/D&gt;&lt;D xsi:type="xsd:double"&gt;36.05294&lt;/D&gt;&lt;D xsi:type="xsd:double"&gt;35.27547&lt;/D&gt;&lt;D xsi:type="xsd:double"&gt;43.983505&lt;/D&gt;&lt;D xsi:type="xsd:double"&gt;50.957443&lt;/D&gt;&lt;D xsi:type="xsd:double"&gt;38.08048&lt;/D&gt;&lt;D xsi:type="xsd:double"&gt;17.319632&lt;/D&gt;&lt;D xsi:type="xsd:double"&gt;14.4849415&lt;/D&gt;&lt;D xsi:type="xsd:double"&gt;21.250893&lt;/D&gt;&lt;D xsi:type="xsd:double"&gt;5.5259466&lt;/D&gt;&lt;D xsi:type="xsd:double"&gt;7.680452&lt;/D&gt;&lt;D xsi:type="xsd:double"&gt;4.8187017&lt;/D&gt;&lt;D xsi:type="xsd:double"&gt;-8.816683&lt;/D&gt;&lt;D xsi:type="xsd:double"&gt;-5.460864&lt;/D&gt;&lt;D xsi:type="xsd:double"&gt;-8.380217&lt;/D&gt;&lt;D xsi:type="xsd:double"&gt;-18.68341&lt;/D&gt;&lt;D xsi:type="xsd:double"&gt;-23.765236&lt;/D&gt;&lt;D xsi:type="xsd:double"&gt;-14.261174&lt;/D&gt;&lt;D xsi:type="xsd:double"&gt;-8.974338&lt;/D&gt;&lt;D xsi:type="xsd:double"&gt;-1.0835052&lt;/D&gt;&lt;D xsi:type="xsd:double"&gt;-6.579542&lt;/D&gt;&lt;D xsi:type="xsd:double"&gt;-0.51243305&lt;/D&gt;&lt;D xsi:type="xsd:double"&gt;-0.04224181&lt;/D&gt;&lt;D xsi:type="xsd:double"&gt;-5.086899&lt;/D&gt;&lt;D xsi:type="xsd:double"&gt;-2.8187275&lt;/D&gt;&lt;D xsi:type="xsd:double"&gt;3.940189&lt;/D&gt;&lt;D xsi:type="xsd:double"&gt;0.42660236&lt;/D&gt;&lt;D xsi:type="xsd:double"&gt;1.5624642&lt;/D&gt;&lt;D xsi:type="xsd:double"&gt;7.658243&lt;/D&gt;&lt;D xsi:type="xsd:double"&gt;-0.8388221&lt;/D&gt;&lt;D xsi:type="xsd:double"&gt;-1.743418&lt;/D&gt;&lt;D xsi:type="xsd:double"&gt;-2.2732258&lt;/D&gt;&lt;D xsi:type="xsd:double"&gt;-1.123929&lt;/D&gt;&lt;D xsi:type="xsd:double"&gt;5.8047533&lt;/D&gt;&lt;D xsi:type="xsd:double"&gt;4.7572136&lt;/D&gt;&lt;/FQL&gt;&lt;FQL&gt;&lt;Q&gt;EIDO^FG_TOTAL_RETURNC(-10AY,0,AM)&lt;/Q&gt;&lt;R&gt;121&lt;/R&gt;&lt;C&gt;1&lt;/C&gt;&lt;D xsi:type="xsd:double"&gt;-9.232402&lt;/D&gt;&lt;D xsi:type="xsd:double"&gt;3.6632895&lt;/D&gt;&lt;D xsi:type="xsd:double"&gt;1.8045068&lt;/D&gt;&lt;D xsi:type="xsd:double"&gt;-1.3729095&lt;/D&gt;&lt;D xsi:type="xsd:double"&gt;1.8024802&lt;/D&gt;&lt;D xsi:type="xsd:double"&gt;-2.2500932&lt;/D&gt;&lt;D xsi:type="xsd:double"&gt;5.132079&lt;/D&gt;&lt;D xsi:type="xsd:double"&gt;-7.7530503&lt;/D&gt;&lt;D xsi:type="xsd:double"&gt;-6.8871617&lt;/D&gt;&lt;D xsi:type="xsd:double"&gt;-0.7574141&lt;/D&gt;&lt;D xsi:type="xsd:double"&gt;-4.1382313&lt;/D&gt;&lt;D xsi:type="xsd:double"&gt;-16.466396&lt;/D&gt;&lt;D xsi:type="xsd:double"&gt;17.314863&lt;/D&gt;&lt;D xsi:type="xsd:double"&gt;-8.17439&lt;/D&gt;&lt;D xsi:type="xsd:double"&gt;-0.6429255&lt;/D&gt;&lt;D xsi:type="xsd:double"&gt;0.43936968&lt;/D&gt;&lt;D xsi:type="xsd:double"&gt;11.022842&lt;/D&gt;&lt;D xsi:type="xsd:double"&gt;3.4883618&lt;/D&gt;&lt;D xsi:type="xsd:double"&gt;1.1235952&lt;/D&gt;&lt;D xsi:type="xsd:double"&gt;-3.2905996&lt;/D&gt;&lt;D xsi:type="xsd:double"&gt;1.237297&lt;/D&gt;&lt;D xsi:type="xsd:double"&gt;8.227944&lt;/D&gt;&lt;D xsi:type="xsd:double"&gt;8.397877&lt;/D&gt;&lt;D xsi:type="xsd:double"&gt;-6.694251&lt;/D&gt;&lt;D xsi:type="xsd:double"&gt;6.126559&lt;/D&gt;&lt;D xsi:type="xsd:double"&gt;-7.1021676&lt;/D&gt;&lt;D xsi:type="xsd:double"&gt;0.32707453&lt;/D&gt;&lt;D xsi:type="xsd:double"&gt;0.39612055&lt;/D&gt;&lt;D xsi:type="xsd:double"&gt;1.7472625&lt;/D&gt;&lt;D xsi:type="xsd:double"&gt;-1.5974522&lt;/D&gt;&lt;D xsi:type="xsd:double"&gt;6.047082&lt;/D&gt;&lt;D xsi:type="xsd:double"&gt;1.9135118&lt;/D&gt;&lt;D xsi:type="xsd:double"&gt;0.11265278&lt;/D&gt;&lt;D xsi:type="xsd:double"&gt;1.7175436&lt;/D&gt;&lt;D xsi:type="xsd:double"&gt;-1.2691319&lt;/D&gt;&lt;D xsi:type="xsd:double"&gt;1.9281626&lt;/D&gt;&lt;D xsi:type="xsd:double"&gt;-0.6676495&lt;/D&gt;&lt;D xsi:type="xsd:double"&gt;0.0746727&lt;/D&gt;&lt;D xsi:type="xsd:double"&gt;1.0820985&lt;/D&gt;&lt;D xsi:type="xsd:double"&gt;6.317675&lt;/D&gt;&lt;D xsi:type="xsd:double"&gt;-0.695169&lt;/D&gt;&lt;D xsi:type="xsd:double"&gt;-0.38502216&lt;/D&gt;&lt;D xsi:type="xsd:double"&gt;-2.5298655&lt;/D&gt;&lt;D xsi:type="xsd:double"&gt;-8.183134&lt;/D&gt;&lt;D xsi:type="xsd:double"&gt;0.15704632&lt;/D&gt;&lt;D xsi:type="xsd:double"&gt;-6.0329914&lt;/D&gt;&lt;D xsi:type="xsd:double"&gt;1.997447&lt;/D&gt;&lt;D xsi:type="xsd:double"&gt;-7.874995&lt;/D&gt;&lt;D xsi:type="xsd:double"&gt;-4.794216&lt;/D&gt;&lt;D xsi:type="xsd:double"&gt;9.168649&lt;/D&gt;&lt;D xsi:type="xsd:double"&gt;6.048739&lt;/D&gt;&lt;D xsi:type="xsd:double"&gt;9.64756&lt;/D&gt;&lt;D xsi:type="xsd:double"&gt;0.86239576&lt;/D&gt;&lt;D xsi:type="xsd:double"&gt;-6.840152&lt;/D&gt;&lt;D xsi:type="xsd:double"&gt;5.2274585&lt;/D&gt;&lt;D xsi:type="xsd:double"&gt;-7.8877506&lt;/D&gt;&lt;D xsi:type="xsd:double"&gt;5.59901&lt;/D&gt;&lt;D xsi:type="xsd:double"&gt;4.8428535&lt;/D&gt;&lt;D xsi:type="xsd:double"&gt;-5.519855&lt;/D&gt;&lt;D xsi:type="xsd:double"&gt;2.721095&lt;/D&gt;&lt;D xsi:type="xsd:double"&gt;-6.6614747&lt;/D&gt;&lt;D xsi:type="xsd:double"&gt;4.9248815&lt;/D&gt;&lt;D xsi:type="xsd:double"&gt;-0.27843714&lt;/D&gt;&lt;D xsi:type="xsd:double"&gt;4.177606&lt;/D&gt;&lt;D xsi:type="xsd:double"&gt;-5.8688107&lt;/D&gt;&lt;D xsi:type="xsd:double"&gt;-15.851677&lt;/D&gt;&lt;D xsi:type="xsd:double"&gt;-25.52058&lt;/D&gt;&lt;D xsi:type="xsd:double"&gt;6.6319823&lt;/D&gt;&lt;D xsi:type="xsd:double"&gt;16.768288&lt;/D&gt;&lt;D xsi:type="xsd:double"&gt;0.2557397&lt;/D&gt;&lt;D xsi:type="xsd:double"&gt;0.31561852&lt;/D&gt;&lt;D xsi:type="xsd:double"&gt;-8.86209&lt;/D&gt;&lt;D xsi:type="xsd:double"&gt;5.638671&lt;/D&gt;&lt;D xsi:type="xsd:double"&gt;18.409586&lt;/D&gt;&lt;D xsi:type="xsd:double"&gt;7.635689&lt;/D&gt;&lt;D xsi:type="xsd:double"&gt;5.5652857&lt;/D&gt;&lt;D xsi:type="xsd:double"&gt;-2.6508927&lt;/D&gt;&lt;D xsi:type="xsd:double"&gt;-4.10558&lt;/D&gt;&lt;D xsi:type="xsd:double"&gt;-5.3298354&lt;/D&gt;&lt;D xsi:type="xsd:double"&gt;0.69220066&lt;/D&gt;&lt;D xsi:type="xsd:double"&gt;3.2637&lt;/D&gt;&lt;D xsi:type="xsd:double"&gt;-9.200531&lt;/D&gt;&lt;D xsi:type="xsd:double"&gt;-0.44269562&lt;/D&gt;&lt;D xsi:type="xsd:double"&gt;5.583012&lt;/D&gt;&lt;D xsi:type="xsd:double"&gt;9.358919&lt;/D&gt;&lt;D xsi:type="xsd:double"&gt;1.7543912&lt;/D&gt;&lt;D xsi:type="xsd:double"&gt;-1.219517&lt;/D&gt;&lt;D xsi:type="xsd:double"&gt;-0.1508236&lt;/D&gt;&lt;D xsi:type="xsd:double"&gt;2.318585&lt;/D&gt;&lt;D xsi:type="xsd:double"&gt;2.559805&lt;/D&gt;&lt;D xsi:type="xsd:double"&gt;1.432085&lt;/D&gt;&lt;D xsi:type="xsd:double"&gt;-4.1549025&lt;/D&gt;&lt;D xsi:type="xsd:double"&gt;-0.7235944&lt;/D&gt;&lt;D xsi:type="xsd:double"&gt;-6.1908903&lt;/D&gt;&lt;D xsi:type="xsd:double"&gt;9.990835&lt;/D&gt;&lt;D xsi:type="xsd:double"&gt;1.5416741&lt;/D&gt;&lt;D xsi:type="xsd:double"&gt;-4.9651265&lt;/D&gt;&lt;D xsi:type="xsd:double"&gt;2.6338577&lt;/D&gt;&lt;D xsi:type="xsd:double"&gt;-5.427015&lt;/D&gt;&lt;D xsi:type="xsd:double"&gt;-2.4053037&lt;/D&gt;&lt;D xsi:type="xsd:double"&gt;7.7348113&lt;/D&gt;&lt;D xsi:type="xsd:double"&gt;-5.5128155&lt;/D&gt;&lt;D xsi:type="xsd:double"&gt;6.2415123&lt;/D&gt;&lt;D xsi:type="xsd:double"&gt;3.1502724&lt;/D&gt;&lt;D xsi:type="xsd:double"&gt;-1.1704087&lt;/D&gt;&lt;D xsi:type="xsd:double"&gt;-2.4296641&lt;/D&gt;&lt;D xsi:type="xsd:double"&gt;0.9174347&lt;/D&gt;&lt;D xsi:type="xsd:double"&gt;-1.6450286&lt;/D&gt;&lt;D xsi:type="xsd:double"&gt;-3.6091566&lt;/D&gt;&lt;D xsi:type="xsd:double"&gt;-4.2465744&lt;/D&gt;&lt;D xsi:type="xsd:double"&gt;3.4811735&lt;/D&gt;&lt;D xsi:type="xsd:double"&gt;3.6886573&lt;/D&gt;&lt;D xsi:type="xsd:double"&gt;0.40322542&lt;/D&gt;&lt;D xsi:type="xsd:double"&gt;2.1419048&lt;/D&gt;&lt;D xsi:type="xsd:double"&gt;-5.024028&lt;/D&gt;&lt;D xsi:type="xsd:double"&gt;-5.7957706&lt;/D&gt;&lt;D xsi:type="xsd:double"&gt;-2.9296875&lt;/D&gt;&lt;D xsi:type="xsd:double"&gt;5.078161&lt;/D&gt;&lt;D xsi:type="xsd:double"&gt;1.4866114&lt;/D&gt;&lt;D xsi:type="xsd:double"&gt;7.6171994&lt;/D&gt;&lt;D xsi:type="xsd:double"&gt;-1.7695129&lt;/D&gt;&lt;/FQL&gt;&lt;FQL&gt;&lt;Q&gt;EPU^FMA_DIV_YLD(NTMA,-10AY,0,AM,"PORTAGG","MEANR")&lt;/Q&gt;&lt;R&gt;121&lt;/R&gt;&lt;C&gt;1&lt;/C&gt;&lt;D xsi:type="xsd:double"&gt;2.31047678183396&lt;/D&gt;&lt;D xsi:type="xsd:double"&gt;2.30196237420123&lt;/D&gt;&lt;D xsi:type="xsd:double"&gt;2.01614758585431&lt;/D&gt;&lt;D xsi:type="xsd:double"&gt;2.16684507285022&lt;/D&gt;&lt;D xsi:type="xsd:double"&gt;2.21687873660009&lt;/D&gt;&lt;D xsi:type="xsd:double"&gt;2.36654077937291&lt;/D&gt;&lt;D xsi:type="xsd:double"&gt;2.37817416127278&lt;/D&gt;&lt;D xsi:type="xsd:double"&gt;1.92535442753475&lt;/D&gt;&lt;D xsi:type="xsd:double"&gt;1.95969377247337&lt;/D&gt;&lt;D xsi:type="xsd:double"&gt;1.96401313955226&lt;/D&gt;&lt;D xsi:type="xsd:double"&gt;2.10777560963434&lt;/D&gt;&lt;D xsi:type="xsd:double"&gt;2.34446106354555&lt;/D&gt;&lt;D xsi:type="xsd:double"&gt;2.33365869323427&lt;/D&gt;&lt;D xsi:type="xsd:double"&gt;2.36432258689355&lt;/D&gt;&lt;D xsi:type="xsd:double"&gt;2.5842189001789&lt;/D&gt;&lt;D xsi:type="xsd:double"&gt;2.73933495732906&lt;/D&gt;&lt;D xsi:type="xsd:double"&gt;2.59311230323959&lt;/D&gt;&lt;D xsi:type="xsd:double"&gt;2.15195140293871&lt;/D&gt;&lt;D xsi:type="xsd:double"&gt;2.16807982519392&lt;/D&gt;&lt;D xsi:type="xsd:double"&gt;1.74195853769633&lt;/D&gt;&lt;D xsi:type="xsd:double"&gt;1.79724982361217&lt;/D&gt;&lt;D xsi:type="xsd:double"&gt;1.86436487083314&lt;/D&gt;&lt;D xsi:type="xsd:double"&gt;1.61562309073968&lt;/D&gt;&lt;D xsi:type="xsd:double"&gt;1.51368070937824&lt;/D&gt;&lt;D xsi:type="xsd:double"&gt;1.5841894271138&lt;/D&gt;&lt;D xsi:type="xsd:double"&gt;1.82989636092862&lt;/D&gt;&lt;D xsi:type="xsd:double"&gt;2.09734663117796&lt;/D&gt;&lt;D xsi:type="xsd:double"&gt;2.19197199276251&lt;/D&gt;&lt;D xsi:type="xsd:double"&gt;1.94735355247382&lt;/D&gt;&lt;D xsi:type="xsd:double"&gt;2.21356124480233&lt;/D&gt;&lt;D xsi:type="xsd:double"&gt;2.03173689310349&lt;/D&gt;&lt;D xsi:type="xsd:double"&gt;2.0159528091647&lt;/D&gt;&lt;D xsi:type="xsd:double"&gt;2.23360379311499&lt;/D&gt;&lt;D xsi:type="xsd:double"&gt;2.31462709797758&lt;/D&gt;&lt;D xsi:type="xsd:double"&gt;2.34239431325531&lt;/D&gt;&lt;D xsi:type="xsd:double"&gt;2.10896157862283&lt;/D&gt;&lt;D xsi:type="xsd:double"&gt;2.24291773102689&lt;/D&gt;&lt;D xsi:type="xsd:double"&gt;2.55715722281466&lt;/D&gt;&lt;D xsi:type="xsd:double"&gt;2.88221252118145&lt;/D&gt;&lt;D xsi:type="xsd:double"&gt;2.62910573759486&lt;/D&gt;&lt;D xsi:type="xsd:double"&gt;2.69199519251079&lt;/D&gt;&lt;D xsi:type="xsd:double"&gt;2.32541775817036&lt;/D&gt;&lt;D xsi:type="xsd:double"&gt;2.09049973861498&lt;/D&gt;&lt;D xsi:type="xsd:double"&gt;1.83218644513849&lt;/D&gt;&lt;D xsi:type="xsd:double"&gt;1.8312339083637&lt;/D&gt;&lt;D xsi:type="xsd:double"&gt;2.05972755542178&lt;/D&gt;&lt;D xsi:type="xsd:double"&gt;4.3480985628079996&lt;/D&gt;&lt;D xsi:type="xsd:double"&gt;2.55188054881554&lt;/D&gt;&lt;D xsi:type="xsd:double"&gt;2.35230375519473&lt;/D&gt;&lt;D xsi:type="xsd:double"&gt;2.5598790905326&lt;/D&gt;&lt;D xsi:type="xsd:double"&gt;2.37613164690597&lt;/D&gt;&lt;D xsi:type="xsd:double"&gt;2.31722863261282&lt;/D&gt;&lt;D xsi:type="xsd:double"&gt;2.08491107314047&lt;/D&gt;&lt;D xsi:type="xsd:double"&gt;2.29495000693996&lt;/D&gt;&lt;D xsi:type="xsd:double"&gt;2.20774486474329&lt;/D&gt;&lt;D xsi:type="xsd:double"&gt;2.59696276013865&lt;/D&gt;&lt;D xsi:type="xsd:double"&gt;2.69471550654902&lt;/D&gt;&lt;D xsi:type="xsd:double"&gt;2.7269071779889&lt;/D&gt;&lt;D xsi:type="xsd:double"&gt;2.97239369643098&lt;/D&gt;&lt;D xsi:type="xsd:double"&gt;2.93240630248808&lt;/D&gt;&lt;D xsi:type="xsd:double"&gt;3.12669733585324&lt;/D&gt;&lt;D xsi:type="xsd:double"&gt;2.92698377863691&lt;/D&gt;&lt;D xsi:type="xsd:double"&gt;2.86973507287277&lt;/D&gt;&lt;D xsi:type="xsd:double"&gt;2.62102848762855&lt;/D&gt;&lt;D xsi:type="xsd:double"&gt;3.01077024624073&lt;/D&gt;&lt;D xsi:type="xsd:double"&gt;3.5175589656847&lt;/D&gt;&lt;D xsi:type="xsd:double"&gt;4.39639362875628&lt;/D&gt;&lt;D xsi:type="xsd:double"&gt;3.23198395580284&lt;/D&gt;&lt;D xsi:type="xsd:double"&gt;3.02782557503624&lt;/D&gt;&lt;D xsi:type="xsd:double"&gt;3.10347884249767&lt;/D&gt;&lt;D xsi:type="xsd:double"&gt;2.67736569107553&lt;/D&gt;&lt;D xsi:type="xsd:double"&gt;2.59048787763501&lt;/D&gt;&lt;D xsi:type="xsd:double"&gt;2.58932682924317&lt;/D&gt;&lt;D xsi:type="xsd:double"&gt;2.33175381065588&lt;/D&gt;&lt;D xsi:type="xsd:double"&gt;1.77450756712857&lt;/D&gt;&lt;D xsi:type="xsd:double"&gt;1.59718718495713&lt;/D&gt;&lt;D xsi:type="xsd:double"&gt;1.69272304068223&lt;/D&gt;&lt;D xsi:type="xsd:double"&gt;1.88421378957385&lt;/D&gt;&lt;D xsi:type="xsd:double"&gt;2.08968265612504&lt;/D&gt;&lt;D xsi:type="xsd:double"&gt;2.24043847074741&lt;/D&gt;&lt;D xsi:type="xsd:double"&gt;2.67752119823591&lt;/D&gt;&lt;D xsi:type="xsd:double"&gt;2.8324301694981&lt;/D&gt;&lt;D xsi:type="xsd:double"&gt;3.41589104941972&lt;/D&gt;&lt;D xsi:type="xsd:double"&gt;3.5732382567149&lt;/D&gt;&lt;D xsi:type="xsd:double"&gt;3.54405865977799&lt;/D&gt;&lt;D xsi:type="xsd:double"&gt;3.69524357422684&lt;/D&gt;&lt;D xsi:type="xsd:double"&gt;4.21185428848214&lt;/D&gt;&lt;D xsi:type="xsd:double"&gt;3.94152103459525&lt;/D&gt;&lt;D xsi:type="xsd:double"&gt;3.41785714313907&lt;/D&gt;&lt;D xsi:type="xsd:double"&gt;3.39481693180775&lt;/D&gt;&lt;D xsi:type="xsd:double"&gt;3.76344247289636&lt;/D&gt;&lt;D xsi:type="xsd:double"&gt;4.73346595586566&lt;/D&gt;&lt;D xsi:type="xsd:double"&gt;4.69549411983354&lt;/D&gt;&lt;D xsi:type="xsd:double"&gt;5.19331106689077&lt;/D&gt;&lt;D xsi:type="xsd:double"&gt;4.99124374636636&lt;/D&gt;&lt;D xsi:type="xsd:double"&gt;4.92411724358747&lt;/D&gt;&lt;D xsi:type="xsd:double"&gt;5.02122493151782&lt;/D&gt;&lt;D xsi:type="xsd:double"&gt;3.93465926664957&lt;/D&gt;&lt;D xsi:type="xsd:double"&gt;3.76670758963&lt;/D&gt;&lt;D xsi:type="xsd:double"&gt;3.69044473358724&lt;/D&gt;&lt;D xsi:type="xsd:double"&gt;4.09346539070512&lt;/D&gt;&lt;D xsi:type="xsd:double"&gt;4.70047498322559&lt;/D&gt;&lt;D xsi:type="xsd:double"&gt;4.87883592823793&lt;/D&gt;&lt;D xsi:type="xsd:double"&gt;4.79387379497026&lt;/D&gt;&lt;D xsi:type="xsd:double"&gt;5.04460369536801&lt;/D&gt;&lt;D xsi:type="xsd:double"&gt;4.78754586672807&lt;/D&gt;&lt;D xsi:type="xsd:double"&gt;4.33765723514459&lt;/D&gt;&lt;D xsi:type="xsd:double"&gt;4.87044325959823&lt;/D&gt;&lt;D xsi:type="xsd:double"&gt;5.08007332158606&lt;/D&gt;&lt;D xsi:type="xsd:double"&gt;4.76173952185155&lt;/D&gt;&lt;D xsi:type="xsd:double"&gt;4.0053016786651&lt;/D&gt;&lt;D xsi:type="xsd:double"&gt;3.58287089211489&lt;/D&gt;&lt;D xsi:type="xsd:double"&gt;3.58289034018422&lt;/D&gt;&lt;D xsi:type="xsd:double"&gt;3.55854833247712&lt;/D&gt;&lt;D xsi:type="xsd:double"&gt;3.30913716853387&lt;/D&gt;&lt;D xsi:type="xsd:double"&gt;3.4859430625837&lt;/D&gt;&lt;D xsi:type="xsd:double"&gt;4.01658377955078&lt;/D&gt;&lt;D xsi:type="xsd:double"&gt;3.93422423295267&lt;/D&gt;&lt;D xsi:type="xsd:double"&gt;4.30798282956447&lt;/D&gt;&lt;D xsi:type="xsd:double"&gt;4.0332231968578&lt;/D&gt;&lt;D xsi:type="xsd:double"&gt;3.73721079889076&lt;/D&gt;&lt;/FQL&gt;&lt;FQL&gt;&lt;Q&gt;EZA^FMA_PE(LTMA,-10AY,0,AM,"PORTAGG","MEANR")&lt;/Q&gt;&lt;R&gt;121&lt;/R&gt;&lt;C&gt;1&lt;/C&gt;&lt;D xsi:type="xsd:double"&gt;15.7345548524174&lt;/D&gt;&lt;D xsi:type="xsd:double"&gt;16.7536494546527&lt;/D&gt;&lt;D xsi:type="xsd:double"&gt;16.1376485373171&lt;/D&gt;&lt;D xsi:type="xsd:double"&gt;17.0447958139727&lt;/D&gt;&lt;D xsi:type="xsd:double"&gt;18.2503611045698&lt;/D&gt;&lt;D xsi:type="xsd:double"&gt;18.3646803859788&lt;/D&gt;&lt;D xsi:type="xsd:double"&gt;18.585928897326&lt;/D&gt;&lt;D xsi:type="xsd:double"&gt;18.4097314449262&lt;/D&gt;&lt;D xsi:type="xsd:double"&gt;17.9856771690236&lt;/D&gt;&lt;D xsi:type="xsd:double"&gt;17.8890221844046&lt;/D&gt;&lt;D xsi:type="xsd:double"&gt;17.7302463109501&lt;/D&gt;&lt;D xsi:type="xsd:double"&gt;16.9024577808961&lt;/D&gt;&lt;D xsi:type="xsd:double"&gt;17.7631015243582&lt;/D&gt;&lt;D xsi:type="xsd:double"&gt;17.5676789512076&lt;/D&gt;&lt;D xsi:type="xsd:double"&gt;15.8456129086307&lt;/D&gt;&lt;D xsi:type="xsd:double"&gt;15.4541872113801&lt;/D&gt;&lt;D xsi:type="xsd:double"&gt;15.5004308628469&lt;/D&gt;&lt;D xsi:type="xsd:double"&gt;15.9128166711568&lt;/D&gt;&lt;D xsi:type="xsd:double"&gt;15.9457121181905&lt;/D&gt;&lt;D xsi:type="xsd:double"&gt;15.7345979177233&lt;/D&gt;&lt;D xsi:type="xsd:double"&gt;15.9263323039028&lt;/D&gt;&lt;D xsi:type="xsd:double"&gt;15.7845103460529&lt;/D&gt;&lt;D xsi:type="xsd:double"&gt;16.6874593569243&lt;/D&gt;&lt;D xsi:type="xsd:double"&gt;16.7200311737585&lt;/D&gt;&lt;D xsi:type="xsd:double"&gt;16.7025115774438&lt;/D&gt;&lt;D xsi:type="xsd:double"&gt;16.4773086166336&lt;/D&gt;&lt;D xsi:type="xsd:double"&gt;16.6368068790883&lt;/D&gt;&lt;D xsi:type="xsd:double"&gt;17.2917502918101&lt;/D&gt;&lt;D xsi:type="xsd:double"&gt;17.9702419338284&lt;/D&gt;&lt;D xsi:type="xsd:double"&gt;18.4165409853763&lt;/D&gt;&lt;D xsi:type="xsd:double"&gt;18.2122256978532&lt;/D&gt;&lt;D xsi:type="xsd:double"&gt;18.3331027655234&lt;/D&gt;&lt;D xsi:type="xsd:double"&gt;17.7664399445468&lt;/D&gt;&lt;D xsi:type="xsd:double"&gt;17.5274971913426&lt;/D&gt;&lt;D xsi:type="xsd:double"&gt;18.1051165985576&lt;/D&gt;&lt;D xsi:type="xsd:double"&gt;17.760203659888&lt;/D&gt;&lt;D xsi:type="xsd:double"&gt;18.0691062953079&lt;/D&gt;&lt;D xsi:type="xsd:double"&gt;18.4112005601911&lt;/D&gt;&lt;D xsi:type="xsd:double"&gt;17.6702091885923&lt;/D&gt;&lt;D xsi:type="xsd:double"&gt;18.4840380270925&lt;/D&gt;&lt;D xsi:type="xsd:double"&gt;17.2447098891868&lt;/D&gt;&lt;D xsi:type="xsd:double"&gt;18.1005099085616&lt;/D&gt;&lt;D xsi:type="xsd:double"&gt;17.886729301114&lt;/D&gt;&lt;D xsi:type="xsd:double"&gt;17.6766766547689&lt;/D&gt;&lt;D xsi:type="xsd:double"&gt;17.2200980947368&lt;/D&gt;&lt;D xsi:type="xsd:double"&gt;16.9336558617417&lt;/D&gt;&lt;D xsi:type="xsd:double"&gt;16.4498378863881&lt;/D&gt;&lt;D xsi:type="xsd:double"&gt;15.8975319226721&lt;/D&gt;&lt;D xsi:type="xsd:double"&gt;14.7177419491915&lt;/D&gt;&lt;D xsi:type="xsd:double"&gt;14.8279567206638&lt;/D&gt;&lt;D xsi:type="xsd:double"&gt;14.362016878222&lt;/D&gt;&lt;D xsi:type="xsd:double"&gt;15.1445258713525&lt;/D&gt;&lt;D xsi:type="xsd:double"&gt;14.9992381055097&lt;/D&gt;&lt;D xsi:type="xsd:double"&gt;15.3245389814721&lt;/D&gt;&lt;D xsi:type="xsd:double"&gt;15.3576566564039&lt;/D&gt;&lt;D xsi:type="xsd:double"&gt;15.1689184922687&lt;/D&gt;&lt;D xsi:type="xsd:double"&gt;15.0576221903248&lt;/D&gt;&lt;D xsi:type="xsd:double"&gt;14.8496505441002&lt;/D&gt;&lt;D xsi:type="xsd:double"&gt;14.2483215635577&lt;/D&gt;&lt;D xsi:type="xsd:double"&gt;14.0716070533415&lt;/D&gt;&lt;D xsi:type="xsd:double"&gt;13.562830476232&lt;/D&gt;&lt;D xsi:type="xsd:double"&gt;13.7061710877209&lt;/D&gt;&lt;D xsi:type="xsd:double"&gt;13.7623859910931&lt;/D&gt;&lt;D xsi:type="xsd:double"&gt;14.5107502215556&lt;/D&gt;&lt;D xsi:type="xsd:double"&gt;14.059569239838&lt;/D&gt;&lt;D xsi:type="xsd:double"&gt;12.4719020366536&lt;/D&gt;&lt;D xsi:type="xsd:double"&gt;12.1086925949731&lt;/D&gt;&lt;D xsi:type="xsd:double"&gt;12.4992959416186&lt;/D&gt;&lt;D xsi:type="xsd:double"&gt;12.8321097218664&lt;/D&gt;&lt;D xsi:type="xsd:double"&gt;13.2931357617643&lt;/D&gt;&lt;D xsi:type="xsd:double"&gt;13.386721466131&lt;/D&gt;&lt;D xsi:type="xsd:double"&gt;13.67005313054&lt;/D&gt;&lt;D xsi:type="xsd:double"&gt;13.2650481479168&lt;/D&gt;&lt;D xsi:type="xsd:double"&gt;13.9189761292881&lt;/D&gt;&lt;D xsi:type="xsd:double"&gt;13.5808079562729&lt;/D&gt;&lt;D xsi:type="xsd:double"&gt;14.0825337947221&lt;/D&gt;&lt;D xsi:type="xsd:double"&gt;14.5035292742669&lt;/D&gt;&lt;D xsi:type="xsd:double"&gt;13.5996402927295&lt;/D&gt;&lt;D xsi:type="xsd:double"&gt;13.1681171557839&lt;/D&gt;&lt;D xsi:type="xsd:double"&gt;12.7360937998105&lt;/D&gt;&lt;D xsi:type="xsd:double"&gt;12.4633896050851&lt;/D&gt;&lt;D xsi:type="xsd:double"&gt;11.8887111864087&lt;/D&gt;&lt;D xsi:type="xsd:double"&gt;11.6190009194096&lt;/D&gt;&lt;D xsi:type="xsd:double"&gt;10.7958634069403&lt;/D&gt;&lt;D xsi:type="xsd:double"&gt;10.8992847053728&lt;/D&gt;&lt;D xsi:type="xsd:double"&gt;10.6723919058655&lt;/D&gt;&lt;D xsi:type="xsd:double"&gt;10.3291661251373&lt;/D&gt;&lt;D xsi:type="xsd:double"&gt;10.4867274737163&lt;/D&gt;&lt;D xsi:type="xsd:double"&gt;11.0667059313598&lt;/D&gt;&lt;D xsi:type="xsd:double"&gt;11.1639262929617&lt;/D&gt;&lt;D xsi:type="xsd:double"&gt;11.0069645872991&lt;/D&gt;&lt;D xsi:type="xsd:double"&gt;10.48742206455&lt;/D&gt;&lt;D xsi:type="xsd:double"&gt;10.2444577600038&lt;/D&gt;&lt;D xsi:type="xsd:double"&gt;10.3571800763846&lt;/D&gt;&lt;D xsi:type="xsd:double"&gt;10.3475397924681&lt;/D&gt;&lt;D xsi:type="xsd:double"&gt;10.0105823239891&lt;/D&gt;&lt;D xsi:type="xsd:double"&gt;9.52073553992043&lt;/D&gt;&lt;D xsi:type="xsd:double"&gt;10.1568059613267&lt;/D&gt;&lt;D xsi:type="xsd:double"&gt;10.2939592257986&lt;/D&gt;&lt;D xsi:type="xsd:double"&gt;10.7733472990236&lt;/D&gt;&lt;D xsi:type="xsd:double"&gt;10.5410467354174&lt;/D&gt;&lt;D xsi:type="xsd:double"&gt;10.2458200258694&lt;/D&gt;&lt;D xsi:type="xsd:double"&gt;10.2099386129461&lt;/D&gt;&lt;D xsi:type="xsd:double"&gt;10.1521968391159&lt;/D&gt;&lt;D xsi:type="xsd:double"&gt;10.1221680005208&lt;/D&gt;&lt;D xsi:type="xsd:double"&gt;10.2175882859611&lt;/D&gt;&lt;D xsi:type="xsd:double"&gt;10.7005811117972&lt;/D&gt;&lt;D xsi:type="xsd:double"&gt;10.6369428884862&lt;/D&gt;&lt;D xsi:type="xsd:double"&gt;10.7086592905106&lt;/D&gt;&lt;D xsi:type="xsd:double"&gt;10.6666016921365&lt;/D&gt;&lt;D xsi:type="xsd:double"&gt;11.0228577712199&lt;/D&gt;&lt;D xsi:type="xsd:double"&gt;11.029594135729</t>
        </r>
      </text>
    </comment>
    <comment ref="A5" authorId="0" shapeId="0" xr:uid="{3876BEEB-E06E-4C8A-8200-7E8EEBFA0F37}">
      <text>
        <r>
          <rPr>
            <b/>
            <sz val="9"/>
            <color indexed="81"/>
            <rFont val="Tahoma"/>
            <charset val="1"/>
          </rPr>
          <t>3&lt;/D&gt;&lt;D xsi:type="xsd:double"&gt;10.9208791567936&lt;/D&gt;&lt;D xsi:type="xsd:double"&gt;10.7124809531774&lt;/D&gt;&lt;D xsi:type="xsd:double"&gt;10.6723638398674&lt;/D&gt;&lt;D xsi:type="xsd:double"&gt;10.7126612568996&lt;/D&gt;&lt;D xsi:type="xsd:double"&gt;10.4406141944982&lt;/D&gt;&lt;D xsi:type="xsd:double"&gt;10.8272159335114&lt;/D&gt;&lt;D xsi:type="xsd:double"&gt;10.9498282905218&lt;/D&gt;&lt;D xsi:type="xsd:double"&gt;11.3600953283912&lt;/D&gt;&lt;D xsi:type="xsd:double"&gt;12.0400267783903&lt;/D&gt;&lt;/FQL&gt;&lt;FQL&gt;&lt;Q&gt;NI-FDS^MAX(FG_PRICE(0,-5AY))&lt;/Q&gt;&lt;R&gt;1&lt;/R&gt;&lt;C&gt;1&lt;/C&gt;&lt;D xsi:type="xsd:double"&gt;48241&lt;/D&gt;&lt;/FQL&gt;&lt;FQL&gt;&lt;Q&gt;CPALM-FDS^FG_PRICE_CHANGE(0,-3AM)&lt;/Q&gt;&lt;R&gt;1&lt;/R&gt;&lt;C&gt;1&lt;/C&gt;&lt;D xsi:type="xsd:double"&gt;8.80440220110055&lt;/D&gt;&lt;/FQL&gt;&lt;FQL&gt;&lt;Q&gt;TUR^FG_PRICE_MAVG(0,,,,60)&lt;/Q&gt;&lt;R&gt;1&lt;/R&gt;&lt;C&gt;1&lt;/C&gt;&lt;D xsi:type="xsd:double"&gt;37.959835&lt;/D&gt;&lt;/FQL&gt;&lt;FQL&gt;&lt;Q&gt;EWW^FG_PRICE_MAVG(0,,,,30)&lt;/Q&gt;&lt;R&gt;1&lt;/R&gt;&lt;C&gt;1&lt;/C&gt;&lt;D xsi:type="xsd:double"&gt;53.716667&lt;/D&gt;&lt;/FQL&gt;&lt;FQL&gt;&lt;Q&gt;EPHE^FG_PRICE_MAVG(0,,,,60)&lt;/Q&gt;&lt;R&gt;1&lt;/R&gt;&lt;C&gt;1&lt;/C&gt;&lt;D xsi:type="xsd:double"&gt;27.355417&lt;/D&gt;&lt;/FQL&gt;&lt;FQL&gt;&lt;Q&gt;UAE^FG_TOTAL_RETURNC(0,-1AM)&lt;/Q&gt;&lt;R&gt;1&lt;/R&gt;&lt;C&gt;1&lt;/C&gt;&lt;D xsi:type="xsd:double"&gt;-1.9828141&lt;/D&gt;&lt;/FQL&gt;&lt;FQL&gt;&lt;Q&gt;MCHI^PERCENT_CHANGE(FMA_EPS(+1,0,,,,"PORTAGG","MEAN"),FMA_EPS(+1,-1AM,,,,"PORTAGG","MEAN"))&lt;/Q&gt;&lt;R&gt;1&lt;/R&gt;&lt;C&gt;1&lt;/C&gt;&lt;D xsi:type="xsd:double"&gt;3.17766200743776&lt;/D&gt;&lt;/FQL&gt;&lt;FQL&gt;&lt;Q&gt;EWT^P_PRICE(0)/P_PRICE_LOW_PR(0,,,,,,"PRICE","INTRA","52W")-1&lt;/Q&gt;&lt;R&gt;1&lt;/R&gt;&lt;C&gt;1&lt;/C&gt;&lt;D xsi:type="xsd:double"&gt;0.2923442&lt;/D&gt;&lt;/FQL&gt;&lt;FQL&gt;&lt;Q&gt;EPHE^FG_TOTAL_RETURNC(0,-6AM)&lt;/Q&gt;&lt;R&gt;1&lt;/R&gt;&lt;C&gt;1&lt;/C&gt;&lt;D xsi:type="xsd:double"&gt;10.728765&lt;/D&gt;&lt;/FQL&gt;&lt;FQL&gt;&lt;Q&gt;EWJ^P_PRICE(0)/P_PRICE_HIGH_PR(0,,,,,,"PRICE","INTRA","52W")&lt;/Q&gt;&lt;R&gt;1&lt;/R&gt;&lt;C&gt;1&lt;/C&gt;&lt;D xsi:type="xsd:double"&gt;0.9680503&lt;/D&gt;&lt;/FQL&gt;&lt;FQL&gt;&lt;Q&gt;EWJ^PERCENT_CHANGE(FMA_EPS(+1,0,,,,"PORTAGG","MEAN"),FMA_EPS(+1,-1AM,,,,"PORTAGG","MEAN"))&lt;/Q&gt;&lt;R&gt;1&lt;/R&gt;&lt;C&gt;1&lt;/C&gt;&lt;D xsi:type="xsd:double"&gt;-3.56054516221228&lt;/D&gt;&lt;/FQL&gt;&lt;FQL&gt;&lt;Q&gt;SET-BKK^SIZE(FG_CONSTITUENTS)&lt;/Q&gt;&lt;R&gt;1&lt;/R&gt;&lt;C&gt;1&lt;/C&gt;&lt;D xsi:type="xsd:long"&gt;1&lt;/D&gt;&lt;/FQL&gt;&lt;FQL&gt;&lt;Q&gt;EPOL^FMA_COS_DOWN("EPS","1M",+1,NOW,,,"PORTAGG","MEANR")&lt;/Q&gt;&lt;R&gt;1&lt;/R&gt;&lt;C&gt;1&lt;/C&gt;&lt;D xsi:type="xsd:double"&gt;10&lt;/D&gt;&lt;/FQL&gt;&lt;FQL&gt;&lt;Q&gt;MCHI^FMA_RBICS_REV_CURRENT(30, LOC, "PORTAGG")&lt;/Q&gt;&lt;R&gt;1&lt;/R&gt;&lt;C&gt;1&lt;/C&gt;&lt;D xsi:type="xsd:double"&gt;24.3151658986367&lt;/D&gt;&lt;/FQL&gt;&lt;FQL&gt;&lt;Q&gt;REFCNRMB-FDS^(SUBARRAY(NOT_NA(NO_REPEAT_F(FG_YIELD(NOW,-10AY,D))),0,1)-SUBARRAY(NOT_NA(NO_REPEAT_F(FG_YIELD(NOW,-10AY,D))),1,1))*100&lt;/Q&gt;&lt;R&gt;1&lt;/R&gt;&lt;C&gt;1&lt;/C&gt;&lt;D xsi:type="xsd:double"&gt;-10&lt;/D&gt;&lt;/FQL&gt;&lt;FQL&gt;&lt;Q&gt;REFMXTON-FDS^PROPER_NAME(0,,,"SECURITY","NAME")&lt;/Q&gt;&lt;R&gt;1&lt;/R&gt;&lt;C&gt;1&lt;/C&gt;&lt;D xsi:type="xsd:string"&gt;Mexico Target Rate - Overnight&lt;/D&gt;&lt;/FQL&gt;&lt;FQL&gt;&lt;Q&gt;TRYCN10Y-FDS^PCTCHG(FG_YIELD(0,,,,"YTM"),FG_YIELD(-1AM,,,,"YTM"))&lt;/Q&gt;&lt;R&gt;1&lt;/R&gt;&lt;C&gt;1&lt;/C&gt;&lt;D xsi:type="xsd:double"&gt;1.7516698&lt;/D&gt;&lt;/FQL&gt;&lt;FQL&gt;&lt;Q&gt;TRYMX10Y-FDS^FG_YIELD_NAME&lt;/Q&gt;&lt;R&gt;1&lt;/R&gt;&lt;C&gt;1&lt;/C&gt;&lt;D xsi:type="xsd:string"&gt;Treasury - Mexico Benchmark Bond 10Y&lt;/D&gt;&lt;/FQL&gt;&lt;FQL&gt;&lt;Q&gt;VWO^FMA_EVAL_EBIT(LTMA,NOW,NOW,M,"PORTAGG","MEANR")&lt;/Q&gt;&lt;R&gt;1&lt;/R&gt;&lt;C&gt;1&lt;/C&gt;&lt;D xsi:type="xsd:double"&gt;14.5160233239417&lt;/D&gt;&lt;/FQL&gt;&lt;FQL&gt;&lt;Q&gt;TUR^FMA_DIV_YLD(NTMA,NOW,NOW,M,"PORTAGG","MEANR")&lt;/Q&gt;&lt;R&gt;1&lt;/R&gt;&lt;C&gt;1&lt;/C&gt;&lt;D xsi:type="xsd:double"&gt;4.73025616050061&lt;/D&gt;&lt;/FQL&gt;&lt;FQL&gt;&lt;Q&gt;EWY^FMA_PE(NTMA,0,,,"PORTAGG","MEANR")&lt;/Q&gt;&lt;R&gt;1&lt;/R&gt;&lt;C&gt;1&lt;/C&gt;&lt;D xsi:type="xsd:double"&gt;8.2788123176955&lt;/D&gt;&lt;/FQL&gt;&lt;FQL&gt;&lt;Q&gt;TRYPH10Y-FDS^FG_YIELD(-10AY,0,Y,,"YTM")&lt;/Q&gt;&lt;R&gt;10&lt;/R&gt;&lt;C&gt;1&lt;/C&gt;&lt;D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xsi:type="xsd:double"&gt;6.0028777&lt;/D&gt;&lt;/FQL&gt;&lt;FQL&gt;&lt;Q&gt;CAGDPY@TH^EE_ACTUAL_ANNUAL(MED,0)&lt;/Q&gt;&lt;R&gt;1&lt;/R&gt;&lt;C&gt;1&lt;/C&gt;&lt;D xsi:type="xsd:double"&gt;1.24003730608342&lt;/D&gt;&lt;/FQL&gt;&lt;FQL&gt;&lt;Q&gt;USDAED^FG_PRICE(0)&lt;/Q&gt;&lt;R&gt;1&lt;/R&gt;&lt;C&gt;1&lt;/C&gt;&lt;D xsi:type="xsd:double"&gt;3.6729&lt;/D&gt;&lt;/FQL&gt;&lt;FQL&gt;&lt;Q&gt;ECH^JULIAN(P_PRICE_RETURNS_PR('52W',2,-10AY,0,AM).DATES)&lt;/Q&gt;&lt;R&gt;121&lt;/R&gt;&lt;C&gt;1&lt;/C&gt;&lt;D xsi:type="xsd:long"&gt;41922&lt;/D&gt;&lt;D xsi:type="xsd:long"&gt;41953&lt;/D&gt;&lt;D xsi:type="xsd:long"&gt;41983&lt;/D&gt;&lt;D xsi:type="xsd:long"&gt;42013&lt;/D&gt;&lt;D xsi:type="xsd:long"&gt;42045&lt;/D&gt;&lt;D xsi:type="xsd:long"&gt;42073&lt;/D&gt;&lt;D xsi:type="xsd:long"&gt;42104&lt;/D&gt;&lt;D xsi:type="xsd:long"&gt;42132&lt;/D&gt;&lt;D xsi:type="xsd:long"&gt;42165&lt;/D&gt;&lt;D xsi:type="xsd:long"&gt;42195&lt;/D&gt;&lt;D xsi:type="xsd:long"&gt;42226&lt;/D&gt;&lt;D xsi:type="xsd:long"&gt;42257&lt;/D&gt;&lt;D xsi:type="xsd:long"&gt;42286&lt;/D&gt;&lt;D xsi:type="xsd:long"&gt;42318&lt;/D&gt;&lt;D xsi:type="xsd:long"&gt;42348&lt;/D&gt;&lt;D xsi:type="xsd:long"&gt;42377&lt;/D&gt;&lt;D xsi:type="xsd:long"&gt;42410&lt;/D&gt;&lt;D xsi:type="xsd:long"&gt;42439&lt;/D&gt;&lt;D xsi:type="xsd:long"&gt;42468&lt;/D&gt;&lt;D xsi:type="xsd:long"&gt;42500&lt;/D&gt;&lt;D xsi:type="xsd:long"&gt;42531&lt;/D&gt;&lt;D xsi:type="xsd:long"&gt;42559&lt;/D&gt;&lt;D xsi:type="xsd:long"&gt;42592&lt;/D&gt;&lt;D xsi:type="xsd:long"&gt;42622&lt;/D&gt;&lt;D xsi:type="xsd:long"&gt;42653&lt;/D&gt;&lt;D xsi:type="xsd:long"&gt;42684&lt;/D&gt;&lt;D xsi:type="xsd:long"&gt;42713&lt;/D&gt;&lt;D xsi:type="xsd:long"&gt;42745&lt;/D&gt;&lt;D xsi:type="xsd:long"&gt;42776&lt;/D&gt;&lt;D xsi:type="xsd:long"&gt;42804&lt;/D&gt;&lt;D xsi:type="xsd:long"&gt;42835&lt;/D&gt;&lt;D xsi:type="xsd:long"&gt;42865&lt;/D&gt;&lt;D xsi:type="xsd:long"&gt;42895&lt;/D&gt;&lt;D xsi:type="xsd:long"&gt;42926&lt;/D&gt;&lt;D xsi:type="xsd:long"&gt;42957&lt;/D&gt;&lt;D xsi:type="xsd:long"&gt;42986&lt;/D&gt;&lt;D xsi:type="xsd:long"&gt;43018&lt;/D&gt;&lt;D xsi:type="xsd:long"&gt;43049&lt;/D&gt;&lt;D xsi:type="xsd:long"&gt;43077&lt;/D&gt;&lt;D xsi:type="xsd:long"&gt;43110&lt;/D&gt;&lt;D xsi:type="xsd:long"&gt;43140&lt;/D&gt;&lt;D xsi:type="xsd:long"&gt;43168&lt;/D&gt;&lt;D xsi:type="xsd:long"&gt;43200&lt;/D&gt;&lt;D xsi:type="xsd:long"&gt;43230&lt;/D&gt;&lt;D xsi:type="xsd:long"&gt;43259&lt;/D&gt;&lt;D xsi:type="xsd:long"&gt;43291&lt;/D&gt;&lt;D xsi:type="xsd:long"&gt;43322&lt;/D&gt;&lt;D xsi:type="xsd:long"&gt;43353&lt;/D&gt;&lt;D xsi:type="xsd:long"&gt;43383&lt;/D&gt;&lt;D xsi:type="xsd:long"&gt;43413&lt;/D&gt;&lt;D xsi:type="xsd:long"&gt;43444&lt;/D&gt;&lt;D xsi:type="xsd:long"&gt;43475&lt;/D&gt;&lt;D xsi:type="xsd:long"&gt;43504&lt;/D&gt;&lt;D xsi:type="xsd:long"&gt;43532&lt;/D&gt;&lt;D xsi:type="xsd:long"&gt;43565&lt;/D&gt;&lt;D xsi:type="xsd:long"&gt;43595&lt;/D&gt;&lt;D xsi:type="xsd:long"&gt;43626&lt;/D&gt;&lt;D xsi:type="xsd:long"&gt;43656&lt;/D&gt;&lt;D xsi:type="xsd:long"&gt;43686&lt;/D&gt;&lt;D xsi:type="xsd:long"&gt;43718&lt;/D&gt;&lt;D xsi:type="xsd:long"&gt;43748&lt;/D&gt;&lt;D xsi:type="xsd:long"&gt;43777&lt;/D&gt;&lt;D xsi:type="xsd:long"&gt;43809&lt;/D&gt;&lt;D xsi:type="xsd:long"&gt;43840&lt;/D&gt;&lt;D xsi:type="xsd:long"&gt;43871&lt;/D&gt;&lt;D xsi:type="xsd:long"&gt;43900&lt;/D&gt;&lt;D xsi:type="xsd:long"&gt;43930&lt;/D&gt;&lt;D xsi:type="xsd:long"&gt;43959&lt;/D&gt;&lt;D xsi:type="xsd:long"&gt;43992&lt;/D&gt;&lt;D xsi:type="xsd:long"&gt;44022&lt;/D&gt;&lt;D xsi:type="xsd:long"&gt;44053&lt;/D&gt;&lt;D xsi:type="xsd:long"&gt;44084&lt;/D&gt;&lt;D xsi:type="xsd:long"&gt;44113&lt;/D&gt;&lt;D xsi:type="xsd:long"&gt;44145&lt;/D&gt;&lt;D xsi:type="xsd:long"&gt;44175&lt;/D&gt;&lt;D xsi:type="xsd:long"&gt;44204&lt;/D&gt;&lt;D xsi:type="xsd:long"&gt;44237&lt;/D&gt;&lt;D xsi:type="xsd:long"&gt;44265&lt;/D&gt;&lt;D xsi:type="xsd:long"&gt;44295&lt;/D&gt;&lt;D xsi:type="xsd:long"&gt;44326&lt;/D&gt;&lt;D xsi:type="xsd:long"&gt;44357&lt;/D&gt;&lt;D xsi:type="xsd:long"&gt;44386&lt;/D&gt;&lt;D xsi:type="xsd:long"&gt;44418&lt;/D&gt;&lt;D xsi:type="xsd:long"&gt;44449&lt;/D&gt;&lt;D xsi:type="xsd:long"&gt;44477&lt;/D&gt;&lt;D xsi:type="xsd:long"&gt;44510&lt;/D&gt;&lt;D xsi:type="xsd:long"&gt;44540&lt;/D&gt;&lt;D xsi:type="xsd:long"&gt;44571&lt;/D&gt;&lt;D xsi:type="xsd:long"&gt;44602&lt;/D&gt;&lt;D xsi:type="xsd:long"&gt;44630&lt;/D&gt;&lt;D xsi:type="xsd:long"&gt;44659&lt;/D&gt;&lt;D xsi:type="xsd:long"&gt;44691&lt;/D&gt;&lt;D xsi:type="xsd:long"&gt;44722&lt;/D&gt;&lt;D xsi:type="xsd:long"&gt;44750&lt;/D&gt;&lt;D xsi:type="xsd:long"&gt;44783&lt;/D&gt;&lt;D xsi:type="xsd:long"&gt;44813&lt;/D&gt;&lt;D xsi:type="xsd:long"&gt;44844&lt;/D&gt;&lt;D xsi:type="xsd:long"&gt;44875&lt;/D&gt;&lt;D xsi:type="xsd:long"&gt;44904&lt;/D&gt;&lt;D xsi:type="xsd:long"&gt;44936&lt;/D&gt;&lt;D xsi:type="xsd:long"&gt;44967&lt;/D&gt;&lt;D xsi:type="xsd:long"&gt;44995&lt;/D&gt;&lt;D xsi:type="xsd:long"&gt;45026&lt;/D&gt;&lt;D xsi:type="xsd:long"&gt;45056&lt;/D&gt;&lt;D xsi:type="xsd:long"&gt;45086&lt;/D&gt;&lt;D xsi:type="xsd:long"&gt;45117&lt;/D&gt;&lt;D xsi:type="xsd:long"&gt;45148&lt;/D&gt;&lt;D xsi:type="xsd:long"&gt;45177&lt;/D&gt;&lt;D xsi:type="xsd:long"&gt;45209&lt;/D&gt;&lt;D xsi:type="xsd:long"&gt;45240&lt;/D&gt;&lt;D xsi:type="xsd:long"&gt;45268&lt;/D&gt;&lt;D xsi:type="xsd:long"&gt;45301&lt;/D&gt;&lt;D xsi:type="xsd:long"&gt;45331&lt;/D&gt;&lt;D xsi:type="xsd:long"&gt;45359&lt;/D&gt;&lt;D xsi:type="xsd:long"&gt;45392&lt;/D&gt;&lt;D xsi:type="xsd:long"&gt;45422&lt;/D&gt;&lt;D xsi:type="xsd:long"&gt;45453&lt;/D&gt;&lt;D xsi:type="xsd:long"&gt;45483&lt;/D&gt;&lt;D xsi:type="xsd:long"&gt;45513&lt;/D&gt;&lt;D xsi:type="xsd:long"&gt;45545&lt;/D&gt;&lt;D xsi:type="xsd:long"&gt;45575&lt;/D&gt;&lt;/FQL&gt;&lt;FQL&gt;&lt;Q&gt;EWT^FMA_PE(NTMA,-10AY,0,AM,"PORTAGG","MEANR")&lt;/Q&gt;&lt;R&gt;121&lt;/R&gt;&lt;C&gt;1&lt;/C&gt;&lt;D xsi:type="xsd:double"&gt;13.0549382596566&lt;/D&gt;&lt;D xsi:type="xsd:double"&gt;13.1425408420118&lt;/D&gt;&lt;D xsi:type="xsd:double"&gt;12.8735142202349&lt;/D&gt;&lt;D xsi:type="xsd:double"&gt;12.880226157621&lt;/D&gt;&lt;D xsi:type="xsd:double"&gt;12.5582435629545&lt;/D&gt;&lt;D xsi:type="xsd:double"&gt;12.6314275676287&lt;/D&gt;&lt;D xsi:type="xsd:double"&gt;12.63127967121&lt;/D&gt;&lt;D xsi:type="xsd:double"&gt;12.8026516596894&lt;/D&gt;&lt;D xsi:type="xsd:double"&gt;12.5021363043711&lt;/D&gt;&lt;D xsi:type="xsd:double"&gt;11.9571683275591&lt;/D&gt;&lt;D xsi:type="xsd:double"&gt;11.7599273554498&lt;/D&gt;&lt;D xsi:type="xsd:double"&gt;11.6181441701089&lt;/D&gt;&lt;D xsi:type="xsd:double"&gt;11.9920590101648&lt;/D&gt;&lt;D xsi:type="xsd:double"&gt;12.146837437406&lt;/D&gt;&lt;D xsi:type="xsd:double"&gt;11.6591336858941&lt;/D&gt;&lt;D xsi:type="xsd:double"&gt;11.1682206286609&lt;/D&gt;&lt;D xsi:type="xsd:double"&gt;11.7674242440728&lt;/D&gt;&lt;D xsi:type="xsd:double"&gt;12.5910479549021&lt;/D&gt;&lt;D xsi:type="xsd:double"&gt;12.5215728207555&lt;/D&gt;&lt;D xsi:type="xsd:double"&gt;11.9770701515907&lt;/D&gt;&lt;D xsi:type="xsd:double"&gt;13.1935139651877&lt;/D&gt;&lt;D xsi:type="xsd:double"&gt;13.0669259055131&lt;/D&gt;&lt;D xsi:type="xsd:double"&gt;13.8752031441829&lt;/D&gt;&lt;D xsi:type="xsd:double"&gt;13.6180953215695&lt;/D&gt;&lt;D xsi:type="xsd:double"&gt;13.7213048513604&lt;/D&gt;&lt;D xsi:type="xsd:double"&gt;13.2327171183972&lt;/D&gt;&lt;D xsi:type="xsd:double"&gt;13.2603256935599&lt;/D&gt;&lt;D xsi:type="xsd:double"&gt;13.0145486541356&lt;/D&gt;&lt;D xsi:type="xsd:double"&gt;13.1259743259598&lt;/D&gt;&lt;D xsi:type="xsd:double"&gt;12.8858113550724&lt;/D&gt;&lt;D xsi:type="xsd:double"&gt;13.112646763008&lt;/D&gt;&lt;D xsi:type="xsd:double"&gt;13.317143581096&lt;/D&gt;&lt;D xsi:type="xsd:double"&gt;13.6157280120263&lt;/D&gt;&lt;D xsi:type="xsd:double"&gt;13.7725473729733&lt;/D&gt;&lt;D xsi:type="xsd:double"&gt;13.8386902818863&lt;/D&gt;&lt;D xsi:type="xsd:double"&gt;13.9274134836079&lt;/D&gt;&lt;D xsi:type="xsd:double"&gt;13.4736508432141&lt;/D&gt;&lt;D xsi:type="xsd:double"&gt;13.7748488869142&lt;/D&gt;&lt;D xsi:type="xsd:double"&gt;13.0993856695015&lt;/D&gt;&lt;D xsi:type="xsd:double"&gt;13.3925505170019&lt;/D&gt;&lt;D xsi:type="xsd:double"&gt;12.9131056418128&lt;/D&gt;&lt;D xsi:type="xsd:double"&gt;13.5121889481386&lt;/D&gt;&lt;D xsi:type="xsd:double"&gt;13.4794398373423&lt;/D&gt;&lt;D xsi:type="xsd:double"&gt;13.3945923086555&lt;/D&gt;&lt;D xsi:type="xsd:double"&gt;13.7702781625516&lt;/D&gt;&lt;D xsi:type="xsd:double"&gt;13.2280375660518&lt;/D&gt;&lt;D xsi:type="xsd:double"&gt;13.5450140796288&lt;/D&gt;&lt;D xsi:type="xsd:double"&gt;12.9879256640104&lt;/D&gt;&lt;D xsi:type="xsd:double"&gt;12.6114368826421&lt;/D&gt;&lt;D xsi:type="xsd:double"&gt;12.2221251370238&lt;/D&gt;&lt;D xsi:type="xsd:double"&gt;12.1347409113454&lt;/D&gt;&lt;D xsi:type="xsd:double"&gt;12.7252565855978&lt;/D&gt;&lt;D xsi:type="xsd:double"&gt;13.5442639121823&lt;/D&gt;&lt;D xsi:type="xsd:double"&gt;14.0593341164726&lt;/D&gt;&lt;D xsi:type="xsd:double"&gt;15.0400296846572&lt;/D&gt;&lt;D xsi:type="xsd:double"&gt;14.9186225893336&lt;/D&gt;&lt;D xsi:type="xsd:double"&gt;14.6334022894491&lt;/D&gt;&lt;D xsi:type="xsd:double"&gt;15.0606003863886&lt;/D&gt;&lt;D xsi:type="xsd:double"&gt;14.539500514497&lt;/D&gt;&lt;D xsi:type="xsd:double"&gt;15.0234275074754&lt;/D&gt;&lt;D xsi:type="xsd:double"&gt;15.1024643808248&lt;/D&gt;&lt;D xsi:type="xsd:double"&gt;15.8680754125186&lt;/D&gt;&lt;D xsi:type="xsd:double"&gt;15.385461928282&lt;/D&gt;&lt;D xsi:type="xsd:double"&gt;15.5596155302667&lt;/D&gt;&lt;D xsi:type="xsd:double"&gt;14.9117329365597&lt;/D&gt;&lt;D xsi:type="xsd:double"&gt;14.1755968073384&lt;/D&gt;&lt;D xsi:type="xsd:double"&gt;14.0582080192653&lt;/D&gt;&lt;D xsi:type="xsd:double"&gt;15.2623770007077&lt;/D&gt;&lt;D xsi:type="xsd:double"&gt;16.5303324813727&lt;/D&gt;&lt;D xsi:type="xsd:double"&gt;16.8625067528919&lt;/D&gt;&lt;D xsi:type="xsd:double"&gt;17.0726399514944&lt;/D&gt;&lt;D xsi:type="xsd:double"&gt;15.6297487491009&lt;/D&gt;&lt;D xsi:type="xsd:double"&gt;15.4346280551017&lt;/D&gt;&lt;D xsi:type="xsd:double"&gt;15.038649384572&lt;/D&gt;&lt;D xsi:type="xsd:double"&gt;15.6837299687508&lt;/D&gt;&lt;D xsi:type="xsd:double"&gt;16.6523567132018&lt;/D&gt;&lt;D xsi:type="xsd:double"&gt;15.8371412815707&lt;/D&gt;&lt;D xsi:type="xsd:double"&gt;15.2616733535074&lt;/D&gt;&lt;D xsi:type="xsd:double"&gt;15.2566869044396&lt;/D&gt;&lt;D xsi:type="xsd:double"&gt;14.3142695592194&lt;/D&gt;&lt;D xsi:type="xsd:double"&gt;13.8079437828569&lt;/D&gt;&lt;D xsi:type="xsd:double"&gt;13.7583733666125&lt;/D&gt;&lt;D xsi:type="xsd:double"&gt;13.1935096661684&lt;/D&gt;&lt;D xsi:type="xsd:double"&gt;13.2687484141942&lt;/D&gt;&lt;D xsi:type="xsd:double"&gt;12.6048162857767&lt;/D&gt;&lt;D xsi:type="xsd:double"&gt;13.1681100021857&lt;/D&gt;&lt;D xsi:type="xsd:double"&gt;13.3909895756405&lt;/D&gt;&lt;D xsi:type="xsd:double"&gt;13.5881666848737&lt;/D&gt;&lt;D xsi:type="xsd:double"&gt;13.0540354123076&lt;/D&gt;&lt;D xsi:type="xsd:double"&gt;12.3379010527153&lt;/D&gt;&lt;D xsi:type="xsd:double"&gt;12.0705132219729&lt;/D&gt;&lt;D xsi:type="xsd:double"&gt;11.2355925582651&lt;/D&gt;&lt;D xsi:type="xsd:double"&gt;11.5437751423183&lt;/D&gt;&lt;D xsi:type="xsd:double"&gt;10.1598641997809&lt;/D&gt;&lt;D xsi:type="xsd:double"&gt;10.7924250124225&lt;/D&gt;&lt;D xsi:type="xsd:double"&gt;10.7792927498889&lt;/D&gt;&lt;D xsi:type="xsd:double"&gt;10.5616315051577&lt;/D&gt;&lt;D xsi:type="xsd:double"&gt;11.318769138314&lt;/D&gt;&lt;D xsi:type="xsd:double"&gt;12.8217509618808&lt;/D&gt;&lt;D xsi:type="xsd:double"&gt;13.3501918822192&lt;/D&gt;&lt;D xsi:type="xsd:double"&gt;14.4210317528666&lt;/D&gt;&lt;D xsi:type="xsd:double"&gt;14.4740142488323&lt;/D&gt;&lt;D xsi:type="xsd:double"&gt;15.0661508600989&lt;/D&gt;&lt;D xsi:type="xsd:double"&gt;15.1974748047983&lt;/D&gt;&lt;D xsi:type="xsd:double"&gt;16.3622705795035&lt;/D&gt;&lt;D xsi:type="xsd:double"&gt;15.9174808733085&lt;/D&gt;&lt;D xsi:type="xsd:double"&gt;16.1620733439989&lt;/D&gt;&lt;D xsi:type="xsd:double"&gt;15.5916685971503&lt;/D&gt;&lt;D xsi:type="xsd:double"&gt;15.3430698479795&lt;/D&gt;&lt;D xsi:type="xsd:double"&gt;15.2754536016237&lt;/D&gt;&lt;D xsi:type="xsd:double"&gt;15.7255303591365&lt;/D&gt;&lt;D xsi:type="xsd:double"&gt;15.7229608735493&lt;/D&gt;&lt;D xsi:type="xsd:double"&gt;16.0267220779914&lt;/D&gt;&lt;D xsi:type="xsd:double"&gt;17.2914793188446&lt;/D&gt;&lt;D xsi:type="xsd:double"&gt;17.709149490818&lt;/D&gt;&lt;D xsi:type="xsd:double"&gt;17.5345229811331&lt;/D&gt;&lt;D xsi:type="xsd:double"&gt;17.6035107626802&lt;/D&gt;&lt;D xsi:type="xsd:double"&gt;18.8492231731739&lt;/D&gt;&lt;D xsi:type="xsd:double"&gt;16.1169466561804&lt;/D&gt;&lt;D xsi:type="xsd:double"&gt;15.3604500459505&lt;/D&gt;&lt;D xsi:type="xsd:double"&gt;16.0871035002959&lt;/D&gt;&lt;/FQL&gt;&lt;FQL&gt;&lt;Q&gt;TRYID10Y-FDS^FG_YIELD(-10AY,0,Y,,"YTM")&lt;/Q&gt;&lt;R&gt;10&lt;/R&gt;&lt;C&gt;1&lt;/C&gt;&lt;D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xsi:type="xsd:double"&gt;6.498571&lt;/D&gt;&lt;/FQL&gt;&lt;FQL&gt;&lt;Q&gt;CAGDPY@GR^EE_ACTUAL_ANNUAL(MED,0)&lt;/Q&gt;&lt;R&gt;1&lt;/R&gt;&lt;C&gt;1&lt;/C&gt;&lt;D xsi:type="xsd:double"&gt;-6.34148822144955&lt;/D&gt;&lt;/FQL&gt;&lt;FQL&gt;&lt;Q&gt;CAGDPY@ID^EE_ACTUAL_ANNUAL(MED,+1)&lt;/Q&gt;&lt;R&gt;1&lt;/R&gt;&lt;C&gt;1&lt;/C&gt;&lt;D xsi:type="xsd:double"&gt;-0.7&lt;/D&gt;&lt;/FQL&gt;&lt;FQL&gt;&lt;Q&gt;USDVND^FG_PRICE_CHANGE(0,-3AM)&lt;/Q&gt;&lt;R&gt;1&lt;/R&gt;&lt;C&gt;1&lt;/C&gt;&lt;D xsi:type="xsd:double"&gt;-2.252388&lt;/D&gt;&lt;/FQL&gt;&lt;FQL&gt;&lt;Q&gt;USDCNH^STD(FG_PRICE_CHANGE(0,-1AY,AM))&lt;/Q&gt;&lt;R&gt;1&lt;/R&gt;&lt;C&gt;1&lt;/C&gt;&lt;D xsi:type="xsd:double"&gt;0.795573021344477&lt;/D&gt;&lt;/FQL&gt;&lt;FQL&gt;&lt;Q&gt;USDTWD^FG_PRICE_CHANGE(0,-6AM)&lt;/Q&gt;&lt;R&gt;1&lt;/R&gt;&lt;C&gt;1&lt;/C&gt;&lt;D xsi:type="xsd:double"&gt;0.5779505&lt;/D&gt;&lt;/FQL&gt;&lt;FQL&gt;&lt;Q&gt;USDIDR^STD(FG_PRICE_CHANGE(0,-3AY,M))&lt;/Q&gt;&lt;R&gt;1&lt;/R&gt;&lt;C&gt;1&lt;/C&gt;&lt;D xsi:type="xsd:double"&gt;1.79377015211473&lt;/D&gt;&lt;/FQL&gt;&lt;FQL&gt;&lt;Q&gt;FC0000MY^FMA_EPS(NTMA,-20AY,0,CY,,"PORTAGG","MEANR")&lt;/Q&gt;&lt;R&gt;20&lt;/R&gt;&lt;C&gt;1&lt;/C&gt;&lt;D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xsi:type="xsd:double"&gt;15.6987955176462&lt;/D&gt;&lt;D xsi:type="xsd:double"&gt;16.388226203585&lt;/D&gt;&lt;D xsi:type="xsd:double"&gt;16.0082662014755&lt;/D&gt;&lt;D xsi:type="xsd:double"&gt;16.7038107598889&lt;/D&gt;&lt;D xsi:type="xsd:double"&gt;16.249616110621&lt;/D&gt;&lt;/FQL&gt;&lt;FQL&gt;&lt;Q&gt;EWY^P_PRICE_RETURNS_PR('52W',2,-10AY,0,AM)&lt;/Q&gt;&lt;R&gt;121&lt;/R&gt;&lt;C&gt;1&lt;/C&gt;&lt;D xsi:type="xsd:double"&gt;-9.717494&lt;/D&gt;&lt;D xsi:type="xsd:double"&gt;-6.6544056&lt;/D&gt;&lt;D xsi:type="xsd:double"&gt;-10.543102&lt;/D&gt;&lt;D xsi:type="xsd:double"&gt;-6.223851&lt;/D&gt;&lt;D xsi:type="xsd:double"&gt;-4.3777466&lt;/D&gt;&lt;D xsi:type="xsd:double"&gt;-8.095158&lt;/D&gt;&lt;D xsi:type="xsd:double"&gt;-4.8650146&lt;/D&gt;&lt;D xsi:type="xsd:double"&gt;-3.2666981&lt;/D&gt;&lt;D xsi:type="xsd:double"&gt;-13.318241&lt;/D&gt;&lt;D xsi:type="xsd:double"&gt;-15.984964&lt;/D&gt;&lt;D xsi:type="xsd:double"&gt;-21.41611&lt;/D&gt;&lt;D xsi:type="xsd:double"&gt;-23.140753&lt;/D&gt;&lt;D xsi:type="xsd:double"&gt;-6.212425&lt;/D&gt;&lt;D xsi:type="xsd:double"&gt;-7.454091&lt;/D&gt;&lt;D xsi:type="xsd:double"&gt;-8.76978&lt;/D&gt;&lt;D xsi:type="xsd:double"&gt;-13.91285&lt;/D&gt;&lt;D xsi:type="xsd:double"&gt;-13.743299499999999&lt;/D&gt;&lt;D xsi:type="xsd:double"&gt;-7.684189&lt;/D&gt;&lt;D xsi:type="xsd:double"&gt;-10.347909&lt;/D&gt;&lt;D xsi:type="xsd:double"&gt;-12.954437&lt;/D&gt;&lt;D xsi:type="xsd:double"&gt;-5.800647&lt;/D&gt;&lt;D xsi:type="xsd:double"&gt;2.4896264&lt;/D&gt;&lt;D xsi:type="xsd:double"&gt;15.889859&lt;/D&gt;&lt;D xsi:type="xsd:double"&gt;20.352709&lt;/D&gt;&lt;D xsi:type="xsd:double"&gt;11.595321&lt;/D&gt;&lt;D xsi:type="xsd:double"&gt;3.3453465&lt;/D&gt;&lt;D xsi:type="xsd:double"&gt;11.782467&lt;/D&gt;&lt;D xsi:type="xsd:double"&gt;17.97335&lt;/D&gt;&lt;D xsi:type="xsd:double"&gt;25.315523&lt;/D&gt;&lt;D xsi:type="xsd:double"&gt;19.156765&lt;/D&gt;&lt;D xsi:type="xsd:double"&gt;17.084621&lt;/D&gt;&lt;D xsi:type="xsd:double"&gt;28.873766&lt;/D&gt;&lt;D xsi:type="xsd:double"&gt;30.577099&lt;/D&gt;&lt;D xsi:type="xsd:double"&gt;30.013811&lt;/D&gt;&lt;D xsi:type="xsd:double"&gt;16.301954&lt;/D&gt;&lt;D xsi:type="xsd:double"&gt;16.84053&lt;/D&gt;&lt;D xsi:type="xsd:double"&gt;23.590672&lt;/D&gt;&lt;D xsi:type="xsd:double"&gt;41.80037&lt;/D&gt;&lt;D xsi:type="xsd:double"&gt;36.042274&lt;/D&gt;&lt;D xsi:type="xsd:double"&gt;44.43177&lt;/D&gt;&lt;D xsi:type="xsd:double"&gt;25.15608&lt;/D&gt;&lt;D xsi:type="xsd:double"&gt;36.623096&lt;/D&gt;&lt;D xsi:type="xsd:double"&gt;29.253197&lt;/D&gt;&lt;D xsi:type="xsd:double"&gt;18.941284&lt;/D&gt;&lt;D xsi:type="xsd:double"&gt;10.799181&lt;/D&gt;&lt;D xsi:type="xsd:double"&gt;2.421844&lt;/D&gt;&lt;D xsi:type="xsd:double"&gt;1.2658834&lt;/D&gt;&lt;D xsi:type="xsd:double"&gt;-0.6061733&lt;/D&gt;&lt;D xsi:type="xsd:double"&gt;-10.127031&lt;/D&gt;&lt;D xsi:type="xsd:double"&gt;-18.131239&lt;/D&gt;&lt;D xsi:type="xsd:double"&gt;-18.36239&lt;/D&gt;&lt;D xsi:type="xsd:double"&gt;-20.526165&lt;/D&gt;&lt;D xsi:type="xsd:double"&gt;-7.852137&lt;/D&gt;&lt;D xsi:type="xsd:double"&gt;-16.933506&lt;/D&gt;&lt;D xsi:type="xsd:double"&gt;-13.857275&lt;/D&gt;&lt;D xsi:type="xsd:double"&gt;-21.958685&lt;/D&gt;&lt;D xsi:type="xsd:double"&gt;-20.705956&lt;/D&gt;&lt;D xsi:type="xsd:double"&gt;-13.483011&lt;/D&gt;&lt;D xsi:type="xsd:double"&gt;-20.413982&lt;/D&gt;&lt;D xsi:type="xsd:double"&gt;-12.306822&lt;/D&gt;&lt;D xsi:type="xsd:double"&gt;-6.851268&lt;/D&gt;&lt;D xsi:type="xsd:double"&gt;2.0202518&lt;/D&gt;&lt;D xsi:type="xsd:double"&gt;-0.038146973&lt;/D&gt;&lt;D xsi:type="xsd:double"&gt;6.92693&lt;/D&gt;&lt;D xsi:type="xsd:double"&gt;-0.52173734&lt;/D&gt;&lt;D xsi:type="xsd:double"&gt;-7.881975&lt;/D&gt;&lt;D xsi:type="xsd:double"&gt;-20.65835&lt;/D&gt;&lt;D xsi:type="xsd:double"&gt;-10.980988&lt;/D&gt;&lt;D xsi:type="xsd:double"&gt;6.6829205&lt;/D&gt;&lt;D xsi:type="xsd:double"&gt;4.346907&lt;/D&gt;&lt;D xsi:type="xsd:double"&gt;27.837599&lt;/D&gt;&lt;D xsi:type="xsd:double"&gt;15.920186&lt;/D&gt;&lt;D xsi:type="xsd:double"&gt;23.88525&lt;/D&gt;&lt;D xsi:type="xsd:double"&gt;19.65884&lt;/D&gt;&lt;D xsi:type="xsd:double"&gt;45.681335&lt;/D&gt;&lt;D xsi:type="xsd:double"&gt;57.975685&lt;/D&gt;&lt;D xsi:type="xsd:double"&gt;53.523792&lt;/D&gt;&lt;D xsi:type="xsd:double"&gt;58.694458&lt;/D&gt;&lt;D xsi:type="xsd:double"&gt;88.02092&lt;/D&gt;&lt;D xsi:type="xsd:double"&gt;81.60472&lt;/D&gt;&lt;D xsi:type="xsd:double"&gt;55.611538&lt;/D&gt;&lt;D xsi:type="xsd:double"&gt;54.554413&lt;/D&gt;&lt;D xsi:type="xsd:double"&gt;37.491753&lt;/D&gt;&lt;D xsi:type="xsd:double"&gt;32.044792&lt;/D&gt;&lt;D xsi:type="xsd:double"&gt;16.015255&lt;/D&gt;&lt;D xsi:type="xsd:double"&gt;9.449625&lt;/D&gt;&lt;D xsi:type="xsd:double"&gt;-2.0046413&lt;/D&gt;&lt;D xsi:type="xsd:double"&gt;-18.975544&lt;/D&gt;&lt;D xsi:type="xsd:double"&gt;-19.079082&lt;/D&gt;&lt;D xsi:type="xsd:double"&gt;-19.234585&lt;/D&gt;&lt;D xsi:type="xsd:double"&gt;-23.280876&lt;/D&gt;&lt;D xsi:type="xsd:double"&gt;-29.622662&lt;/D&gt;&lt;D xsi:type="xsd:double"&gt;-30.41864&lt;/D&gt;&lt;D xsi:type="xsd:double"&gt;-33.488834&lt;/D&gt;&lt;D xsi:type="xsd:double"&gt;-29.328543&lt;/D&gt;&lt;D xsi:type="xsd:double"&gt;-31.789333&lt;/D&gt;&lt;D xsi:type="xsd:double"&gt;-36.180122&lt;/D&gt;&lt;D xsi:type="xsd:double"&gt;-23.268366&lt;/D&gt;&lt;D xsi:type="xsd:double"&gt;-26.586788&lt;/D&gt;&lt;D xsi:type="xsd:double"&gt;-18.652344&lt;/D&gt;&lt;D xsi:type="xsd:double"&gt;-14.138979&lt;/D&gt;&lt;D xsi:type="xsd:double"&gt;-14.191002&lt;/D&gt;&lt;D xsi:type="xsd:double"&gt;-10.024029&lt;/D&gt;&lt;D xsi:type="xsd:double"&gt;-3.9019287&lt;/D&gt;&lt;D xsi:type="xsd:double"&gt;4.165399&lt;/D&gt;&lt;D xsi:type="xsd:double"&gt;9.7374325&lt;/D&gt;&lt;D xsi:type="xsd:double"&gt;4.94411&lt;/D&gt;&lt;D xsi:type="xsd:double"&gt;14.376807&lt;/D&gt;&lt;D xsi:type="xsd:double"&gt;21.66531&lt;/D&gt;&lt;D xsi:type="xsd:double"&gt;4.525447&lt;/D&gt;&lt;D xsi:type="xsd:double"&gt;9.17083&lt;/D&gt;&lt;D xsi:type="xsd:double"&gt;2.7327776&lt;/D&gt;&lt;D xsi:type="xsd:double"&gt;4.169965&lt;/D&gt;&lt;D xsi:type="xsd:double"&gt;14.890039&lt;/D&gt;&lt;D xsi:type="xsd:double"&gt;6.1166167&lt;/D&gt;&lt;D xsi:type="xsd:double"&gt;9.035468&lt;/D&gt;&lt;D xsi:type="xsd:double"&gt;-1.2316287&lt;/D&gt;&lt;D xsi:type="xsd:double"&gt;11.672878&lt;/D&gt;&lt;D xsi:type="xsd:double"&gt;-0.6728649&lt;/D&gt;&lt;D xsi:type="xsd:double"&gt;1.7687082&lt;/D&gt;&lt;D xsi:type="xsd:double"&gt;10.958147&lt;/D&gt;&lt;/FQL&gt;&lt;FQL&gt;&lt;Q&gt;QAT^FMA_DIV_YLD(NTMA,-10AY,0,AM,"PORTAGG","MEANR")&lt;/Q&gt;&lt;R&gt;121&lt;/R&gt;&lt;C&gt;1&lt;/C&gt;&lt;D xsi:type="xsd:double"&gt;4.01053174278482&lt;/D&gt;&lt;D xsi:type="xsd:double"&gt;4.0152763908072&lt;/D&gt;&lt;D xsi:type="xsd:double"&gt;4.47572531164664&lt;/D&gt;&lt;D xsi:type="xsd:double"&gt;4.55040993154113&lt;/D&gt;&lt;D xsi:type="xsd:double"&gt;4.09755269091287&lt;/D&gt;&lt;D xsi:type="xsd:double"&gt;4.23475316240485&lt;/D&gt;&lt;D xsi:type="xsd:double"&gt;4.55413679837011&lt;/D&gt;&lt;D xsi:type="xsd:double"&gt;4.45303081364915&lt;/D&gt;&lt;D xsi:type="xsd:double"&gt;4.70424532614437&lt;/D&gt;&lt;D xsi:type="xsd:double"&gt;4.6993689272917&lt;/D&gt;&lt;D xsi:type="xsd:double"&gt;4.80337264767067&lt;/D&gt;&lt;D xsi:type="xsd:double"&gt;4.75866587554173&lt;/D&gt;&lt;D xsi:type="xsd:double"&gt;4.84361952501542&lt;/D&gt;&lt;D xsi:type="xsd:double"&gt;5.05787389614091&lt;/D&gt;&lt;D xsi:type="xsd:double"&gt;5.64814540838438&lt;/D&gt;&lt;D xsi:type="xsd:double"&gt;5.69894351717817&lt;/D&gt;&lt;D xsi:type="xsd:double"&gt;5.51394815217545&lt;/D&gt;&lt;D xsi:type="xsd:double"&gt;4.42670509764001&lt;/D&gt;&lt;D xsi:type="xsd:double"&gt;4.31621268089701&lt;/D&gt;&lt;D xsi:type="xsd:double"&gt;4.40166574192761&lt;/D&gt;&lt;D xsi:type="xsd:double"&gt;4.21618513652082&lt;/D&gt;&lt;D xsi:type="xsd:double"&gt;4.23960013114099&lt;/D&gt;&lt;D xsi:type="xsd:double"&gt;3.79154401214842&lt;/D&gt;&lt;D xsi:type="xsd:double"&gt;3.84992556629768&lt;/D&gt;&lt;D xsi:type="xsd:double"&gt;3.95406751996261&lt;/D&gt;&lt;D xsi:type="xsd:double"&gt;4.07805165630622&lt;/D&gt;&lt;D xsi:type="xsd:double"&gt;4.11551438719043&lt;/D&gt;&lt;D xsi:type="xsd:double"&gt;3.74539726380666&lt;/D&gt;&lt;D xsi:type="xsd:double"&gt;3.78851159798399&lt;/D&gt;&lt;D xsi:type="xsd:double"&gt;3.88880610253161&lt;/D&gt;&lt;D xsi:type="xsd:double"&gt;3.87025862803267&lt;/D&gt;&lt;D xsi:type="xsd:double"&gt;3.97853197539968&lt;/D&gt;&lt;D xsi:type="xsd:double"&gt;4.37462971522358&lt;/D&gt;&lt;D xsi:type="xsd:double"&gt;4.44703689759057&lt;/D&gt;&lt;D xsi:type="xsd:double"&gt;4.17476569641621&lt;/D&gt;&lt;D xsi:type="xsd:double"&gt;4.59634446737275&lt;/D&gt;&lt;D xsi:type="xsd:double"&gt;4.68177170513281&lt;/D&gt;&lt;D xsi:type="xsd:double"&gt;4.63689409946203&lt;/D&gt;&lt;D xsi:type="xsd:double"&gt;4.74911264293867&lt;/D&gt;&lt;D xsi:type="xsd:double"&gt;4.0588947228822&lt;/D&gt;&lt;D xsi:type="xsd:double"&gt;4.51337340837365&lt;/D&gt;&lt;D xsi:type="xsd:double"&gt;5.15173086590638&lt;/D&gt;&lt;D xsi:type="xsd:double"&gt;4.73484863717309&lt;/D&gt;&lt;D xsi:type="xsd:double"&gt;4.89018970854141&lt;/D&gt;&lt;D xsi:type="xsd:double"&gt;4.73113115009891&lt;/D&gt;&lt;D xsi:type="xsd:double"&gt;4.67880626766302&lt;/D&gt;&lt;D xsi:type="xsd:double"&gt;4.33910437308752&lt;/D&gt;&lt;D xsi:type="xsd:double"&gt;4.20755696445304&lt;/D&gt;&lt;D xsi:type="xsd:double"&gt;4.29052351228806&lt;/D&gt;&lt;D xsi:type="xsd:double"&gt;4.32504290212863&lt;/D&gt;&lt;D xsi:type="xsd:double"&gt;4.35137331136885&lt;/D&gt;&lt;D xsi:type="xsd:double"&gt;4.40300946393148&lt;/D&gt;&lt;D xsi:type="xsd:double"&gt;4.39719725766311&lt;/D&gt;&lt;D xsi:type="xsd:double"&gt;4.70590701674652&lt;/D&gt;&lt;D xsi:type="xsd:double"&gt;4.34840618942938&lt;/D&gt;&lt;D xsi:type="xsd:double"&gt;4.34657664366336&lt;/D&gt;&lt;D xsi:type="xsd:double"&gt;4.13404065648406&lt;/D&gt;&lt;D xsi:type="xsd:double"&gt;4.14405381203136&lt;/D&gt;&lt;D xsi:type="xsd:double"&gt;4.38067564449734&lt;/D&gt;&lt;D xsi:type="xsd:double"&gt;4.16273036974587&lt;/D&gt;&lt;D xsi:type="xsd:double"&gt;4.19211326150008&lt;/D&gt;&lt;D xsi:type="xsd:double"&gt;4.09624224890771&lt;/D&gt;&lt;D xsi:type="xsd:double"&gt;4.06738245740681&lt;/D&gt;&lt;D xsi:type="xsd:double"&gt;4.02567416496764&lt;/D&gt;&lt;D xsi:type="xsd:double"&gt;4.31673549548907&lt;/D&gt;&lt;D xsi:type="xsd:double"&gt;4.77920275748261&lt;/D&gt;&lt;D xsi:type="xsd:double"&gt;4.29118243727079&lt;/D&gt;&lt;D xsi:type="xsd:double"&gt;4.2562943968052&lt;/D&gt;&lt;D xsi:type="xsd:double"&gt;3.97364118343247&lt;/D&gt;&lt;D xsi:type="xsd:double"&gt;3.83501099529653&lt;/D&gt;&lt;D xsi:type="xsd:double"&gt;3.69323274737663&lt;/D&gt;&lt;D xsi:type="xsd:double"&gt;3.57725783308752&lt;/D&gt;&lt;D xsi:type="xsd:double"&gt;3.46472303666294&lt;/D&gt;&lt;D xsi:type="xsd:double"&gt;3.69864533742968&lt;/D&gt;&lt;D xsi:type="xsd:double"&gt;3.62097306961228&lt;/D&gt;&lt;D xsi:type="xsd:double"&gt;3.7727887165778&lt;/D&gt;&lt;D xsi:type="xsd:double"&gt;3.75817391934101&lt;/D&gt;&lt;D xsi:type="xsd:double"&gt;3.87714037007713&lt;/D&gt;&lt;D xsi:type="xsd:double"&gt;3.78506048884883&lt;/D&gt;&lt;D xsi:type="xsd:double"&gt;3.74248171747662&lt;/D&gt;&lt;D xsi:type="xsd:double"&gt;3.84464572737261&lt;/D&gt;&lt;D xsi:type="xsd:double"&gt;3.78345550616999&lt;/D&gt;&lt;D xsi:type="xsd:double"&gt;3.91598519355772&lt;/D&gt;&lt;D xsi:type="xsd:double"&gt;4.08314559555101&lt;/D&gt;&lt;D xsi:type="xsd:double"&gt;3.85832962271769&lt;/D&gt;&lt;D xsi:type="xsd:double"&gt;3.7587277638437&lt;/D&gt;&lt;D xsi:type="xsd:double"&gt;3.96425119586128&lt;/D&gt;&lt;D xsi:type="xsd:double"&gt;3.94007277760495&lt;/D&gt;&lt;D xsi:type="xsd:double"&gt;3.7792121337168&lt;/D&gt;&lt;D xsi:type="xsd:double"&gt;3.67525992084776&lt;/D&gt;&lt;D xsi:type="xsd:double"&gt;3.66637001152296&lt;/D&gt;&lt;D xsi:type="xsd:double"&gt;3.88186230677225&lt;/D&gt;&lt;D xsi:type="xsd:double"&gt;4.25258680661316&lt;/D&gt;&lt;D xsi:type="xsd:double"&gt;4.36625111332542&lt;/D&gt;&lt;D xsi:type="xsd:double"&gt;3.81391083527298&lt;/D&gt;&lt;D xsi:type="xsd:double"&gt;3.98725199873571&lt;/D&gt;&lt;D xsi:type="xsd:double"&gt;3.9503611891224&lt;/D&gt;&lt;D xsi:type="xsd:double"&gt;4.003230727106&lt;/D&gt;&lt;D xsi:type="xsd:double"&gt;4.47287311638234&lt;/D&gt;&lt;D xsi:type="xsd:double"&gt;4.50430769510555&lt;/D&gt;&lt;D xsi:type="xsd:double"&gt;4.73204176835953&lt;/D&gt;&lt;D xsi:type="xsd:double"&gt;4.6945841776603&lt;/D&gt;&lt;D xsi:type="xsd:double"&gt;4.84642606012474&lt;/D&gt;&lt;D xsi:type="xsd:double"&gt;4.68350980233482&lt;/D&gt;&lt;D xsi:type="xsd:double"&gt;4.68118123619296&lt;/D&gt;&lt;D xsi:type="xsd:double"&gt;4.7783431442233&lt;/D&gt;&lt;D xsi:type="xsd:double"&gt;4.50727985341458&lt;/D&gt;&lt;D xsi:type="xsd:double"&gt;4.71781761597071&lt;/D&gt;&lt;D xsi:type="xsd:double"&gt;4.90281352281251&lt;/D&gt;&lt;D xsi:type="xsd:double"&gt;4.91295350152358&lt;/D&gt;&lt;D xsi:type="xsd:double"&gt;5.00132882903537&lt;/D&gt;&lt;D xsi:type="xsd:double"&gt;4.77655312900697&lt;/D&gt;&lt;D xsi:type="xsd:double"&gt;4.88572915931723&lt;/D&gt;&lt;D xsi:type="xsd:double"&gt;4.80355283616031&lt;/D&gt;&lt;D xsi:type="xsd:double"&gt;5.65398372960292&lt;/D&gt;&lt;D xsi:type="xsd:double"&gt;5.80132855074911&lt;/D&gt;&lt;D xsi:type="xsd:double"&gt;5.7936635223492&lt;/D&gt;&lt;D xsi:type="xsd:double"&gt;5.45348956532593&lt;/D&gt;&lt;D xsi:type="xsd:double"&gt;5.54338734041026&lt;/D&gt;&lt;D xsi:type="xsd:double"&gt;5.47885317752032&lt;/D&gt;&lt;D xsi:type="xsd:double"&gt;5.40670749307367&lt;/D&gt;&lt;/FQL&gt;&lt;FQL&gt;&lt;Q&gt;CNYA^FMA_PE(NTMA,-10AY,0,AM,"PORTAGG","MEANR")&lt;/Q&gt;&lt;R&gt;121&lt;/R&gt;&lt;C&gt;1&lt;/C&gt;&lt;D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xsi:type="xsd:double"&gt;13.5904341010651&lt;/D&gt;&lt;D xsi:type="xsd:double"&gt;13.61163681084&lt;/D&gt;&lt;D xsi:type="xsd:double"&gt;13.9614366192349&lt;/D&gt;&lt;D xsi:type="xsd:double"&gt;13.6637489973113&lt;/D&gt;&lt;D xsi:type="xsd:double"&gt;13.9226589129233&lt;/D&gt;&lt;D xsi:type="xsd:double"&gt;14.077812651666&lt;/D&gt;&lt;D xsi:type="xsd:double"&gt;13.2536590530792&lt;/D&gt;&lt;D xsi:type="xsd:double"&gt;13.1438069035952&lt;/D&gt;&lt;D xsi:type="xsd:double"&gt;13.1598145373475&lt;/D&gt;&lt;D xsi:type="xsd:double"&gt;13.5535091964615&lt;/D&gt;&lt;D xsi:type="xsd:double"&gt;13.0044021407117&lt;/D&gt;&lt;D xsi:type="xsd:double"&gt;14.0065740728599&lt;/D&gt;&lt;D xsi:type="xsd:double"&gt;14.0975774033618&lt;/D&gt;&lt;D xsi:type="xsd:double"&gt;13.9191206072995&lt;/D&gt;&lt;D xsi:type="xsd:double"&gt;14.3561224409546&lt;/D&gt;&lt;D xsi:type="xsd:double"&gt;14.3615591664816&lt;/D&gt;&lt;D xsi:type="xsd:double"&gt;14.8170124960107&lt;/D&gt;&lt;D xsi:type="xsd:double"&gt;13.8146790587916&lt;/D&gt;&lt;D xsi:type="xsd:double"&gt;14.2923588380727&lt;/D&gt;&lt;D xsi:type="xsd:double"&gt;12.7366006564586&lt;/D&gt;&lt;D xsi:type="xsd:double"&gt;13.4586478616494&lt;/D&gt;&lt;D xsi:type="xsd:double"&gt;12.7908332889248&lt;/D&gt;&lt;D xsi:type="xsd:double"&gt;11.9686203674899&lt;/D&gt;&lt;D xsi:type="xsd:double"&gt;11.7195480958429&lt;/D&gt;&lt;D xsi:type="xsd:double"&gt;10.6644032074457&lt;/D&gt;&lt;D xsi:type="xsd:double"&gt;10.2454370020658&lt;/D&gt;&lt;D xsi:type="xsd:double"&gt;9.94857317269391&lt;/D&gt;&lt;D xsi:type="xsd:double"&gt;10.0503120818354&lt;/D&gt;&lt;D xsi:type="xsd:double"&gt;9.77769415651691&lt;/D&gt;&lt;D xsi:type="xsd:double"&gt;9.80614466164795&lt;/D&gt;&lt;D xsi:type="xsd:double"&gt;9.61906171698485&lt;/D&gt;&lt;D xsi:type="xsd:double"&gt;10.2145521305833&lt;/D&gt;&lt;D xsi:type="xsd:double"&gt;11.2410625595516&lt;/D&gt;&lt;D xsi:type="xsd:double"&gt;12.3304708667216&lt;/D&gt;&lt;D xsi:type="xsd:double"&gt;11.2189854612145&lt;/D&gt;&lt;D xsi:type="xsd:double"&gt;11.2159206554229&lt;/D&gt;&lt;D xsi:type="xsd:double"&gt;11.5801013168903&lt;/D&gt;&lt;D xsi:type="xsd:double"&gt;11.0060162491688&lt;/D&gt;&lt;D xsi:type="xsd:double"&gt;12.0463293978195&lt;/D&gt;&lt;D xsi:type="xsd:double"&gt;11.6547740638764&lt;/D&gt;&lt;D xsi:type="xsd:double"&gt;11.8159066082689&lt;/D&gt;&lt;D xsi:type="xsd:double"&gt;12.2316336806363&lt;/D&gt;&lt;D xsi:type="xsd:double"&gt;12.9231978802213&lt;/D&gt;&lt;D xsi:type="xsd:double"&gt;12.2697017214511&lt;/D&gt;&lt;D xsi:type="xsd:double"&gt;12.8400690876235&lt;/D&gt;&lt;D xsi:type="xsd:double"&gt;12.2436042137779&lt;/D&gt;&lt;D xsi:type="xsd:double"&gt;13.3145347584891&lt;/D&gt;&lt;D xsi:type="xsd:double"&gt;13.8332068736687&lt;/D&gt;&lt;D xsi:type="xsd:double"&gt;16.2828625533441&lt;/D&gt;&lt;D xsi:type="xsd:double"&gt;16.0294876744191&lt;/D&gt;&lt;D xsi:type="xsd:double"&gt;15.7134346799058&lt;/D&gt;&lt;D xsi:type="xsd:double"&gt;15.9494993344234&lt;/D&gt;&lt;D xsi:type="xsd:double"&gt;16.3543673174854&lt;/D&gt;&lt;D xsi:type="xsd:double"&gt;16.3757577591441&lt;/D&gt;&lt;D xsi:type="xsd:double"&gt;18.2497749380948&lt;/D&gt;&lt;D xsi:type="xsd:double"&gt;19.0225810491091&lt;/D&gt;&lt;D xsi:type="xsd:double"&gt;16.0091123496657&lt;/D&gt;&lt;D xsi:type="xsd:double"&gt;16.0545324604648&lt;/D&gt;&lt;D xsi:type="xsd:double"&gt;15.7118735996313&lt;/D&gt;&lt;D xsi:type="xsd:double"&gt;16.7948641315213&lt;/D&gt;&lt;D xsi:type="xsd:double"&gt;16.1123437037311&lt;/D&gt;&lt;D xsi:type="xsd:double"&gt;15.7466705710716&lt;/D&gt;&lt;D xsi:type="xsd:double"&gt;15.8147465786971&lt;/D&gt;&lt;D xsi:type="xsd:double"&gt;15.3135465740331&lt;/D&gt;&lt;D xsi:type="xsd:double"&gt;15.0987050465102&lt;/D&gt;&lt;D xsi:type="xsd:double"&gt;15.8632754509202&lt;/D&gt;&lt;D xsi:type="xsd:double"&gt;14.8650951897162&lt;/D&gt;&lt;D xsi:type="xsd:double"&gt;13.919422536767&lt;/D&gt;&lt;D xsi:type="xsd:double"&gt;12.9698232137085&lt;/D&gt;&lt;D xsi:type="xsd:double"&gt;12.8030836847709&lt;/D&gt;&lt;D xsi:type="xsd:double"&gt;12.23861450844&lt;/D&gt;&lt;D xsi:type="xsd:double"&gt;13.1387597075619&lt;/D&gt;&lt;D xsi:type="xsd:double"&gt;13.5757413520101&lt;/D&gt;&lt;D xsi:type="xsd:double"&gt;12.6081776636174&lt;/D&gt;&lt;D xsi:type="xsd:double"&gt;12.6142394771869&lt;/D&gt;&lt;D xsi:type="xsd:double"&gt;11.3314000022456&lt;/D&gt;&lt;D xsi:type="xsd:double"&gt;11.5435566577459&lt;/D&gt;&lt;D xsi:type="xsd:double"&gt;12.3452348695811&lt;/D&gt;&lt;D xsi:type="xsd:double"&gt;12.2008967358887&lt;/D&gt;&lt;D xsi:type="xsd:double"&gt;12.406350945797&lt;/D&gt;&lt;D xsi:type="xsd:double"&gt;11.8798699786432&lt;/D&gt;&lt;D xsi:type="xsd:double"&gt;12.3803739417348&lt;/D&gt;&lt;D xsi:type="xsd:double"&gt;12.1691654250907&lt;/D&gt;&lt;D xsi:type="xsd:double"&gt;11.8270930913118&lt;/D&gt;&lt;D xsi:type="xsd:double"&gt;11.7702866500034&lt;/D&gt;&lt;D xsi:type="xsd:double"&gt;12.1734351763285&lt;/D&gt;&lt;D xsi:type="xsd:double"&gt;11.8743192597495&lt;/D&gt;&lt;D xsi:type="xsd:double"&gt;11.5074458787361&lt;/D&gt;&lt;D xsi:type="xsd:double"&gt;11.6501723868491&lt;/D&gt;&lt;D xsi:type="xsd:double"&gt;11.3080648891142&lt;/D&gt;&lt;D xsi:type="xsd:double"&gt;10.786150293005&lt;/D&gt;&lt;D xsi:type="xsd:double"&gt;11.0709808537331&lt;/D&gt;&lt;D xsi:type="xsd:double"&gt;11.6144231789002&lt;/D&gt;&lt;D xsi:type="xsd:double"&gt;12.0579265309106&lt;/D&gt;&lt;D xsi:type="xsd:double"&gt;12.9668715627909&lt;/D&gt;&lt;D xsi:type="xsd:double"&gt;12.4646599253949&lt;/D&gt;&lt;D xsi:type="xsd:double"&gt;11.8383166433739&lt;/D&gt;&lt;D xsi:type="xsd:double"&gt;11.3576691219431&lt;/D&gt;&lt;D xsi:type="xsd:double"&gt;11.1239848928331&lt;/D&gt;&lt;D xsi:type="xsd:double"&gt;13.9100777580498&lt;/D&gt;&lt;/FQL&gt;&lt;FQL&gt;&lt;Q&gt;EIDO^FMA_PE(LTMA,-10AY,0,AM,"PORTAGG","MEANR")&lt;/Q&gt;&lt;R&gt;121&lt;/R&gt;&lt;C&gt;1&lt;/C&gt;&lt;D xsi:type="xsd:double"&gt;15.4827939502074&lt;/D&gt;&lt;D xsi:type="xsd:double"&gt;15.4866802926051&lt;/D&gt;&lt;D xsi:type="xsd:double"&gt;16.5227982719622&lt;/D&gt;&lt;D xsi:type="xsd:double"&gt;16.8532648135505&lt;/D&gt;&lt;D xsi:type="xsd:double"&gt;17.4170635324541&lt;/D&gt;&lt;D xsi:type="xsd:double"&gt;17.9630614809568&lt;/D&gt;&lt;D xsi:type="xsd:double"&gt;17.8955088096998&lt;/D&gt;&lt;D xsi:type="xsd:double"&gt;17.4869344364231&lt;/D&gt;&lt;D xsi:type="xsd:double"&gt;17.0121246644447&lt;/D&gt;&lt;D xsi:type="xsd:double"&gt;16.8339094559741&lt;/D&gt;&lt;D xsi:type="xsd:double"&gt;16.8072386033559&lt;/D&gt;&lt;D xsi:type="xsd:double"&gt;15.7787554788839&lt;/D&gt;&lt;D xsi:type="xsd:double"&gt;16.5441921809857&lt;/D&gt;&lt;D xsi:type="xsd:double"&gt;15.9573242921609&lt;/D&gt;&lt;D xsi:type="xsd:double"&gt;15.8874761500704&lt;/D&gt;&lt;D xsi:type="xsd:double"&gt;16.0187152169132&lt;/D&gt;&lt;D xsi:type="xsd:double"&gt;16.7032317643503&lt;/D&gt;&lt;D xsi:type="xsd:double"&gt;16.8052226463756&lt;/D&gt;&lt;D xsi:type="xsd:double"&gt;16.7021413887767&lt;/D&gt;&lt;D xsi:type="xsd:double"&gt;16.3968355597657&lt;/D&gt;&lt;D xsi:type="xsd:double"&gt;16.5200196835604&lt;/D&gt;&lt;D xsi:type="xsd:double"&gt;16.8359546627514&lt;/D&gt;&lt;D xsi:type="xsd:double"&gt;18.0583452885548&lt;/D&gt;&lt;D xsi:type="xsd:double"&gt;17.5972505244895&lt;/D&gt;&lt;D xsi:type="xsd:double"&gt;18.0492280030731&lt;/D&gt;&lt;D xsi:type="xsd:double"&gt;18.1095572444084&lt;/D&gt;&lt;D xsi:type="xsd:double"&gt;17.7200630288475&lt;/D&gt;&lt;D xsi:type="xsd:double"&gt;17.95298544413&lt;/D&gt;&lt;D xsi:type="xsd:double"&gt;17.5965285651598&lt;/D&gt;&lt;D xsi:type="xsd:double"&gt;17.459468408455&lt;/D&gt;&lt;D xsi:type="xsd:double"&gt;17.4280488380163&lt;/D&gt;&lt;D xsi:type="xsd:double"&gt;17.4050548382111&lt;/D&gt;&lt;D xsi:type="xsd:double"&gt;17.1927515232499&lt;/D&gt;&lt;D xsi:type="xsd:double"&gt;17.2565702375539&lt;/D&gt;&lt;D xsi:type="xsd:double"&gt;17.3046485475119&lt;/D&gt;&lt;D xsi:type="xsd:double"&gt;17.2173305634787&lt;/D&gt;&lt;D xsi:type="xsd:double"&gt;17.3303385191427&lt;/D&gt;&lt;D xsi:type="xsd:double"&gt;17.2311807824082&lt;/D&gt;&lt;D xsi:type="xsd:double"&gt;17.0778110555459&lt;/D&gt;&lt;D xsi:type="xsd:double"&gt;18.1015866705633&lt;/D&gt;&lt;D xsi:type="xsd:double"&gt;17.628562054457&lt;/D&gt;&lt;D xsi:type="xsd:double"&gt;17.5534322103645&lt;/D&gt;&lt;D xsi:type="xsd:double"&gt;17.341016577222&lt;/D&gt;&lt;D xsi:type="xsd:double"&gt;16.6866113238732&lt;/D&gt;&lt;D xsi:type</t>
        </r>
      </text>
    </comment>
    <comment ref="A6" authorId="0" shapeId="0" xr:uid="{2B65ED0B-CB09-4A81-848B-8A2053015262}">
      <text>
        <r>
          <rPr>
            <b/>
            <sz val="9"/>
            <color indexed="81"/>
            <rFont val="Tahoma"/>
            <charset val="1"/>
          </rPr>
          <t>="xsd:double"&gt;16.3271650411386&lt;/D&gt;&lt;D xsi:type="xsd:double"&gt;15.7641011384356&lt;/D&gt;&lt;D xsi:type="xsd:double"&gt;16.1974836355422&lt;/D&gt;&lt;D xsi:type="xsd:double"&gt;15.4472927129653&lt;/D&gt;&lt;D xsi:type="xsd:double"&gt;15.3221235229846&lt;/D&gt;&lt;D xsi:type="xsd:double"&gt;15.2717421842018&lt;/D&gt;&lt;D xsi:type="xsd:double"&gt;15.5530297702068&lt;/D&gt;&lt;D xsi:type="xsd:double"&gt;16.0896771367062&lt;/D&gt;&lt;D xsi:type="xsd:double"&gt;16.3643310514202&lt;/D&gt;&lt;D xsi:type="xsd:double"&gt;15.860835182017&lt;/D&gt;&lt;D xsi:type="xsd:double"&gt;15.756492596796&lt;/D&gt;&lt;D xsi:type="xsd:double"&gt;15.3394758398587&lt;/D&gt;&lt;D xsi:type="xsd:double"&gt;15.4816253490557&lt;/D&gt;&lt;D xsi:type="xsd:double"&gt;15.6724500689273&lt;/D&gt;&lt;D xsi:type="xsd:double"&gt;15.8708865971577&lt;/D&gt;&lt;D xsi:type="xsd:double"&gt;16.0583535463194&lt;/D&gt;&lt;D xsi:type="xsd:double"&gt;15.4109968453435&lt;/D&gt;&lt;D xsi:type="xsd:double"&gt;16.0620408007096&lt;/D&gt;&lt;D xsi:type="xsd:double"&gt;16.3377889891097&lt;/D&gt;&lt;D xsi:type="xsd:double"&gt;17.1866257321229&lt;/D&gt;&lt;D xsi:type="xsd:double"&gt;16.745254016082&lt;/D&gt;&lt;D xsi:type="xsd:double"&gt;14.8954376210161&lt;/D&gt;&lt;D xsi:type="xsd:double"&gt;14.3071305599318&lt;/D&gt;&lt;D xsi:type="xsd:double"&gt;14.3841162467721&lt;/D&gt;&lt;D xsi:type="xsd:double"&gt;16.0884094419654&lt;/D&gt;&lt;D xsi:type="xsd:double"&gt;17.0921860441994&lt;/D&gt;&lt;D xsi:type="xsd:double"&gt;17.8887507050998&lt;/D&gt;&lt;D xsi:type="xsd:double"&gt;17.9073184552204&lt;/D&gt;&lt;D xsi:type="xsd:double"&gt;19.0302614981012&lt;/D&gt;&lt;D xsi:type="xsd:double"&gt;21.7977104300914&lt;/D&gt;&lt;D xsi:type="xsd:double"&gt;24.6262285977269&lt;/D&gt;&lt;D xsi:type="xsd:double"&gt;25.6420765690538&lt;/D&gt;&lt;D xsi:type="xsd:double"&gt;24.5040899145107&lt;/D&gt;&lt;D xsi:type="xsd:double"&gt;23.8754709581966&lt;/D&gt;&lt;D xsi:type="xsd:double"&gt;23.0956354700029&lt;/D&gt;&lt;D xsi:type="xsd:double"&gt;22.3250181841957&lt;/D&gt;&lt;D xsi:type="xsd:double"&gt;21.8387943372144&lt;/D&gt;&lt;D xsi:type="xsd:double"&gt;20.5408834286458&lt;/D&gt;&lt;D xsi:type="xsd:double"&gt;19.8884723413223&lt;/D&gt;&lt;D xsi:type="xsd:double"&gt;19.5439569951494&lt;/D&gt;&lt;D xsi:type="xsd:double"&gt;19.3754936515556&lt;/D&gt;&lt;D xsi:type="xsd:double"&gt;18.3490290102197&lt;/D&gt;&lt;D xsi:type="xsd:double"&gt;17.4198720745189&lt;/D&gt;&lt;D xsi:type="xsd:double"&gt;16.8733407038248&lt;/D&gt;&lt;D xsi:type="xsd:double"&gt;17.2636120347817&lt;/D&gt;&lt;D xsi:type="xsd:double"&gt;17.3745557220708&lt;/D&gt;&lt;D xsi:type="xsd:double"&gt;17.1735747047113&lt;/D&gt;&lt;D xsi:type="xsd:double"&gt;16.4345756398586&lt;/D&gt;&lt;D xsi:type="xsd:double"&gt;15.864151776372&lt;/D&gt;&lt;D xsi:type="xsd:double"&gt;15.0771967690472&lt;/D&gt;&lt;D xsi:type="xsd:double"&gt;14.990822239294&lt;/D&gt;&lt;D xsi:type="xsd:double"&gt;14.7215359817747&lt;/D&gt;&lt;D xsi:type="xsd:double"&gt;13.8651438746688&lt;/D&gt;&lt;D xsi:type="xsd:double"&gt;13.4507756531093&lt;/D&gt;&lt;D xsi:type="xsd:double"&gt;12.6306585267371&lt;/D&gt;&lt;D xsi:type="xsd:double"&gt;11.8677430643952&lt;/D&gt;&lt;D xsi:type="xsd:double"&gt;12.4620333617972&lt;/D&gt;&lt;D xsi:type="xsd:double"&gt;12.0070002167364&lt;/D&gt;&lt;D xsi:type="xsd:double"&gt;12.0959561837007&lt;/D&gt;&lt;D xsi:type="xsd:double"&gt;12.1555040906051&lt;/D&gt;&lt;D xsi:type="xsd:double"&gt;13.0208537260427&lt;/D&gt;&lt;D xsi:type="xsd:double"&gt;13.0266473918395&lt;/D&gt;&lt;D xsi:type="xsd:double"&gt;13.4668835599122&lt;/D&gt;&lt;D xsi:type="xsd:double"&gt;13.5286868671179&lt;/D&gt;&lt;D xsi:type="xsd:double"&gt;13.3875692378341&lt;/D&gt;&lt;D xsi:type="xsd:double"&gt;13.1149431256698&lt;/D&gt;&lt;D xsi:type="xsd:double"&gt;13.4418417794735&lt;/D&gt;&lt;D xsi:type="xsd:double"&gt;14.006627101815&lt;/D&gt;&lt;D xsi:type="xsd:double"&gt;14.1641625885035&lt;/D&gt;&lt;D xsi:type="xsd:double"&gt;14.2329781326074&lt;/D&gt;&lt;D xsi:type="xsd:double"&gt;14.0013159325514&lt;/D&gt;&lt;D xsi:type="xsd:double"&gt;13.5833080144429&lt;/D&gt;&lt;D xsi:type="xsd:double"&gt;13.5974325576444&lt;/D&gt;&lt;D xsi:type="xsd:double"&gt;13.5994778201039&lt;/D&gt;&lt;D xsi:type="xsd:double"&gt;13.5915409688853&lt;/D&gt;&lt;D xsi:type="xsd:double"&gt;14.3447086990268&lt;/D&gt;&lt;D xsi:type="xsd:double"&gt;14.2216593979655&lt;/D&gt;&lt;/FQL&gt;&lt;FQL&gt;&lt;Q&gt;PLATI-FDS^FG_PRICE_CHANGE(0,-1AY)&lt;/Q&gt;&lt;R&gt;1&lt;/R&gt;&lt;C&gt;1&lt;/C&gt;&lt;D xsi:type="xsd:double"&gt;7.50279955207167&lt;/D&gt;&lt;/FQL&gt;&lt;FQL&gt;&lt;Q&gt;COPP-FDS^FG_PRICE(0)&lt;/Q&gt;&lt;R&gt;1&lt;/R&gt;&lt;C&gt;1&lt;/C&gt;&lt;D xsi:type="xsd:double"&gt;4.385&lt;/D&gt;&lt;/FQL&gt;&lt;FQL&gt;&lt;Q&gt;FC0000AE^FG_PRICE(0)&lt;/Q&gt;&lt;R&gt;1&lt;/R&gt;&lt;C&gt;1&lt;/C&gt;&lt;D xsi:type="xsd:double"&gt;146.89354&lt;/D&gt;&lt;/FQL&gt;&lt;FQL&gt;&lt;Q&gt;KSA^FG_PRICE_MAVG(0,,,,30)&lt;/Q&gt;&lt;R&gt;1&lt;/R&gt;&lt;C&gt;1&lt;/C&gt;&lt;D xsi:type="xsd:double"&gt;42.001335&lt;/D&gt;&lt;/FQL&gt;&lt;FQL&gt;&lt;Q&gt;QAT^FG_PRICE_MAVG(0,,,,60)&lt;/Q&gt;&lt;R&gt;1&lt;/R&gt;&lt;C&gt;1&lt;/C&gt;&lt;D xsi:type="xsd:double"&gt;17.709532&lt;/D&gt;&lt;/FQL&gt;&lt;FQL&gt;&lt;Q&gt;EWM^FG_PRICE(0)&lt;/Q&gt;&lt;R&gt;1&lt;/R&gt;&lt;C&gt;1&lt;/C&gt;&lt;D xsi:type="xsd:double"&gt;25.95&lt;/D&gt;&lt;/FQL&gt;&lt;FQL&gt;&lt;Q&gt;VNM^FG_TOTAL_RETURNC(0,-3AM)&lt;/Q&gt;&lt;R&gt;1&lt;/R&gt;&lt;C&gt;1&lt;/C&gt;&lt;D xsi:type="xsd:double"&gt;0.16026497&lt;/D&gt;&lt;/FQL&gt;&lt;FQL&gt;&lt;Q&gt;INDA^PERCENT_CHANGE(FMA_EPS(+1,0,,,,"PORTAGG","MEAN"),FMA_EPS(+1,-1AM,,,,"PORTAGG","MEAN"))&lt;/Q&gt;&lt;R&gt;1&lt;/R&gt;&lt;C&gt;1&lt;/C&gt;&lt;D xsi:type="xsd:double"&gt;-0.0319410812195241&lt;/D&gt;&lt;/FQL&gt;&lt;FQL&gt;&lt;Q&gt;EWW^FG_TOTAL_RETURNC(0,-12AM)&lt;/Q&gt;&lt;R&gt;1&lt;/R&gt;&lt;C&gt;1&lt;/C&gt;&lt;D xsi:type="xsd:double"&gt;-0.77234507&lt;/D&gt;&lt;/FQL&gt;&lt;FQL&gt;&lt;Q&gt;EPOL^P_PRICE(0)/P_PRICE_HIGH_PR(0,,,,,,"PRICE","INTRA","52W")&lt;/Q&gt;&lt;R&gt;1&lt;/R&gt;&lt;C&gt;1&lt;/C&gt;&lt;D xsi:type="xsd:double"&gt;0.90456116&lt;/D&gt;&lt;/FQL&gt;&lt;FQL&gt;&lt;Q&gt;EIDO^FG_TOTAL_RETURNC(0,-6AM)&lt;/Q&gt;&lt;R&gt;1&lt;/R&gt;&lt;C&gt;1&lt;/C&gt;&lt;D xsi:type="xsd:double"&gt;3.0874968&lt;/D&gt;&lt;/FQL&gt;&lt;FQL&gt;&lt;Q&gt;VWO^FG_TOTAL_RETURNC(0,-6AM)&lt;/Q&gt;&lt;R&gt;1&lt;/R&gt;&lt;C&gt;1&lt;/C&gt;&lt;D xsi:type="xsd:double"&gt;13.854778&lt;/D&gt;&lt;/FQL&gt;&lt;FQL&gt;&lt;Q&gt;KSA^FMA_COS_DOWN("EPS","1M",+1,NOW,,,"PORTAGG","MEANR")&lt;/Q&gt;&lt;R&gt;1&lt;/R&gt;&lt;C&gt;1&lt;/C&gt;&lt;D xsi:type="xsd:double"&gt;42&lt;/D&gt;&lt;/FQL&gt;&lt;FQL&gt;&lt;Q&gt;INDA^SIZE(FG_CONSTITUENTS)&lt;/Q&gt;&lt;R&gt;1&lt;/R&gt;&lt;C&gt;1&lt;/C&gt;&lt;D xsi:type="xsd:long"&gt;153&lt;/D&gt;&lt;/FQL&gt;&lt;FQL&gt;&lt;Q&gt;ECH^FMA_COS_UP("EPS","1M",+1,NOW,,,"PORTAGG","MEANR")&lt;/Q&gt;&lt;R&gt;1&lt;/R&gt;&lt;C&gt;1&lt;/C&gt;&lt;D xsi:type="xsd:double"&gt;16&lt;/D&gt;&lt;/FQL&gt;&lt;FQL&gt;&lt;Q&gt;EWW^FG_ROE(0)&lt;/Q&gt;&lt;R&gt;1&lt;/R&gt;&lt;C&gt;1&lt;/C&gt;&lt;D xsi:type="xsd:double"&gt;11.001852852001&lt;/D&gt;&lt;/FQL&gt;&lt;FQL&gt;&lt;Q&gt;TRYKR10Y-FDS^FG_YIELD_NAME&lt;/Q&gt;&lt;R&gt;1&lt;/R&gt;&lt;C&gt;1&lt;/C&gt;&lt;D xsi:type="xsd:string"&gt;South Korea Benchmark Bond - 10 Year&lt;/D&gt;&lt;/FQL&gt;&lt;FQL&gt;&lt;Q&gt;REFZAREPO-FDS^FG_YIELD(NOW,,,0)&lt;/Q&gt;&lt;R&gt;1&lt;/R&gt;&lt;C&gt;1&lt;/C&gt;&lt;D xsi:type="xsd:double"&gt;8&lt;/D&gt;&lt;/FQL&gt;&lt;FQL&gt;&lt;Q&gt;TRYVN10Y-FDS^PCTCHG(FG_YIELD(0,,,,"YTM"),FG_YIELD(-3AM,,,,"YTM"))&lt;/Q&gt;&lt;R&gt;1&lt;/R&gt;&lt;C&gt;1&lt;/C&gt;&lt;D xsi:type="xsd:double"&gt;4.6580205&lt;/D&gt;&lt;/FQL&gt;&lt;FQL&gt;&lt;Q&gt;TRYBR10Y-FDS^PCTCHG(FG_YIELD(0,,,,"YTM"),FG_YIELD(-1AM,,,,"YTM"))&lt;/Q&gt;&lt;R&gt;1&lt;/R&gt;&lt;C&gt;1&lt;/C&gt;&lt;D xsi:type="xsd:double"&gt;4.836586&lt;/D&gt;&lt;/FQL&gt;&lt;FQL&gt;&lt;Q&gt;TRYIN10Y-FDS^FG_YIELD_NAME&lt;/Q&gt;&lt;R&gt;1&lt;/R&gt;&lt;C&gt;1&lt;/C&gt;&lt;D xsi:type="xsd:string"&gt;India Benchmark Bond - 10 Year&lt;/D&gt;&lt;/FQL&gt;&lt;FQL&gt;&lt;Q&gt;CC_KR^IMF_IFS_RCPI_Q(0)&lt;/Q&gt;&lt;R&gt;0&lt;/R&gt;&lt;C&gt;0&lt;/C&gt;&lt;/FQL&gt;&lt;FQL&gt;&lt;Q&gt;SET-BKK^FMA_PE(LTM,0,,,"PORTAGG","MEANR")&lt;/Q&gt;&lt;R&gt;1&lt;/R&gt;&lt;C&gt;1&lt;/C&gt;&lt;D xsi:type="xsd:double"&gt;17.2059341476174&lt;/D&gt;&lt;/FQL&gt;&lt;FQL&gt;&lt;Q&gt;EWZ^FMA_EVAL_EBITDA(NTMA,0,,,"PORTAGG","MEANR")&lt;/Q&gt;&lt;R&gt;1&lt;/R&gt;&lt;C&gt;1&lt;/C&gt;&lt;D xsi:type="xsd:double"&gt;4.65176255216064&lt;/D&gt;&lt;/FQL&gt;&lt;FQL&gt;&lt;Q&gt;EPU^FMA_PE(NTMA,0,,,"PORTAGG","MEANR")&lt;/Q&gt;&lt;R&gt;1&lt;/R&gt;&lt;C&gt;1&lt;/C&gt;&lt;D xsi:type="xsd:double"&gt;11.4993770604732&lt;/D&gt;&lt;/FQL&gt;&lt;FQL&gt;&lt;Q&gt;EIDO^FG_FCF_YIELD_NTM(0)&lt;/Q&gt;&lt;R&gt;0&lt;/R&gt;&lt;C&gt;0&lt;/C&gt;&lt;/FQL&gt;&lt;FQL&gt;&lt;Q&gt;EPU^FG_COMPANY_NAME&lt;/Q&gt;&lt;R&gt;1&lt;/R&gt;&lt;C&gt;1&lt;/C&gt;&lt;D xsi:type="xsd:string"&gt;iShares MSCI Peru and Global Exposure ETF&lt;/D&gt;&lt;/FQL&gt;&lt;FQL&gt;&lt;Q&gt;EZA^FMA_ROE(NTMA,-20AY,NOW,FY,"PORTAGG","MEANR")&lt;/Q&gt;&lt;R&gt;20&lt;/R&gt;&lt;C&gt;1&lt;/C&gt;&lt;D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xsi:type="xsd:double"&gt;13.6163542594029&lt;/D&gt;&lt;D xsi:type="xsd:double"&gt;16.7115371927188&lt;/D&gt;&lt;D xsi:type="xsd:double"&gt;16.932589581546&lt;/D&gt;&lt;D xsi:type="xsd:double"&gt;16.8118349535848&lt;/D&gt;&lt;D xsi:type="xsd:double"&gt;14.5722752976358&lt;/D&gt;&lt;/FQL&gt;&lt;FQL&gt;&lt;Q&gt;TRYGR10Y-FDS^FG_YIELD(-10AY,0,Y,,"YTM")&lt;/Q&gt;&lt;R&gt;10&lt;/R&gt;&lt;C&gt;1&lt;/C&gt;&lt;D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xsi:type="xsd:long"&gt;45289&lt;/D&gt;&lt;/FQL&gt;&lt;FQL&gt;&lt;Q&gt;CAGDPY@ID^EE_ACTUAL_ANNUAL(MED,0)&lt;/Q&gt;&lt;R&gt;1&lt;/R&gt;&lt;C&gt;1&lt;/C&gt;&lt;D xsi:type="xsd:double"&gt;-0.14&lt;/D&gt;&lt;/FQL&gt;&lt;FQL&gt;&lt;Q&gt;CC_MY^FG_COMPANY_NAME&lt;/Q&gt;&lt;R&gt;1&lt;/R&gt;&lt;C&gt;1&lt;/C&gt;&lt;D xsi:type="xsd:string"&gt;Malaysia&lt;/D&gt;&lt;/FQL&gt;&lt;FQL&gt;&lt;Q&gt;USDTRY^FG_COMPANY_NAME&lt;/Q&gt;&lt;R&gt;1&lt;/R&gt;&lt;C&gt;1&lt;/C&gt;&lt;D xsi:type="xsd:string"&gt;Turkish New Lira per U.S. Dollar&lt;/D&gt;&lt;/FQL&gt;&lt;FQL&gt;&lt;Q&gt;USDEUR^FG_PRICE_CHANGE(0,-1AM)&lt;/Q&gt;&lt;R&gt;1&lt;/R&gt;&lt;C&gt;1&lt;/C&gt;&lt;D xsi:type="xsd:double"&gt;0.86972713&lt;/D&gt;&lt;/FQL&gt;&lt;FQL&gt;&lt;Q&gt;USDKRW^STD(FG_PRICE_CHANGE(0,-3AY,M))&lt;/Q&gt;&lt;R&gt;1&lt;/R&gt;&lt;C&gt;1&lt;/C&gt;&lt;D xsi:type="xsd:double"&gt;3.07096174020402&lt;/D&gt;&lt;/FQL&gt;&lt;FQL&gt;&lt;Q&gt;USDPEN^FG_PRICE(0)&lt;/Q&gt;&lt;R&gt;1&lt;/R&gt;&lt;C&gt;1&lt;/C&gt;&lt;D xsi:type="xsd:double"&gt;3.768&lt;/D&gt;&lt;/FQL&gt;&lt;FQL&gt;&lt;Q&gt;USDCNH^FG_PRICE_CHANGE(0,-3AM)&lt;/Q&gt;&lt;R&gt;1&lt;/R&gt;&lt;C&gt;1&lt;/C&gt;&lt;D xsi:type="xsd:double"&gt;-2.707225&lt;/D&gt;&lt;/FQL&gt;&lt;FQL&gt;&lt;Q&gt;EPU^FMA_EPS(NTMA,-20AY,0,CY,,"PORTAGG","MEANR")&lt;/Q&gt;&lt;R&gt;20&lt;/R&gt;&lt;C&gt;1&lt;/C&gt;&lt;D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xsi:type="xsd:double"&gt;2.43807412939472&lt;/D&gt;&lt;D xsi:type="xsd:double"&gt;2.41140994722734&lt;/D&gt;&lt;D xsi:type="xsd:double"&gt;2.94854985296631&lt;/D&gt;&lt;D xsi:type="xsd:double"&gt;3.11609664224018&lt;/D&gt;&lt;D xsi:type="xsd:double"&gt;2.96006697337354&lt;/D&gt;&lt;/FQL&gt;&lt;FQL&gt;&lt;Q&gt;EZA^FG_TOTAL_RETURNC(-10AY,0,AM)&lt;/Q&gt;&lt;R&gt;121&lt;/R&gt;&lt;C&gt;1&lt;/C&gt;&lt;D xsi:type="xsd:double"&gt;-10.099268&lt;/D&gt;&lt;D xsi:type="xsd:double"&gt;7.553208&lt;/D&gt;&lt;D xsi:type="xsd:double"&gt;-6.4722479999999996&lt;/D&gt;&lt;D xsi:type="xsd:double"&gt;5.544615&lt;/D&gt;&lt;D xsi:type="xsd:double"&gt;4.550314&lt;/D&gt;&lt;D xsi:type="xsd:double"&gt;-8.105743&lt;/D&gt;&lt;D xsi:type="xsd:double"&gt;12.0629425&lt;/D&gt;&lt;D xsi:type="xsd:double"&gt;-2.0848095&lt;/D&gt;&lt;D xsi:type="xsd:double"&gt;-7.3435664&lt;/D&gt;&lt;D xsi:type="xsd:double"&gt;0.50860643&lt;/D&gt;&lt;D xsi:type="xsd:double"&gt;-1.662749&lt;/D&gt;&lt;D xsi:type="xsd:double"&gt;-13.335455&lt;/D&gt;&lt;D xsi:type="xsd:double"&gt;9.7736&lt;/D&gt;&lt;D xsi:type="xsd:double"&gt;-8.4171715&lt;/D&gt;&lt;D xsi:type="xsd:double"&gt;-16.788721&lt;/D&gt;&lt;D xsi:type="xsd:double"&gt;-7.5829744&lt;/D&gt;&lt;D xsi:type="xsd:double"&gt;5.0642133&lt;/D&gt;&lt;D xsi:type="xsd:double"&gt;12.476933&lt;/D&gt;&lt;D xsi:type="xsd:double"&gt;5.3106427&lt;/D&gt;&lt;D xsi:type="xsd:double"&gt;-2.2001565&lt;/D&gt;&lt;D xsi:type="xsd:double"&gt;3.802514&lt;/D&gt;&lt;D xsi:type="xsd:double"&gt;3.193748&lt;/D&gt;&lt;D xsi:type="xsd:double"&gt;14.017618&lt;/D&gt;&lt;D xsi:type="xsd:double"&gt;-9.439039&lt;/D&gt;&lt;D xsi:type="xsd:double"&gt;2.0771623&lt;/D&gt;&lt;D xsi:type="xsd:double"&gt;-6.849563&lt;/D&gt;&lt;D xsi:type="xsd:double"&gt;2.984202&lt;/D&gt;&lt;D xsi:type="xsd:double"&gt;2.9214382&lt;/D&gt;&lt;D xsi:type="xsd:double"&gt;3.8132548&lt;/D&gt;&lt;D xsi:type="xsd:double"&gt;0.05375147&lt;/D&gt;&lt;D xsi:type="xsd:double"&gt;-3.3130348&lt;/D&gt;&lt;D xsi:type="xsd:double"&gt;9.0942745&lt;/D&gt;&lt;D xsi:type="xsd:double"&gt;-0.25467277&lt;/D&gt;&lt;D xsi:type="xsd:double"&gt;-4.747015&lt;/D&gt;&lt;D xsi:type="xsd:double"&gt;6.252253&lt;/D&gt;&lt;D xsi:type="xsd:double"&gt;4.5785904&lt;/D&gt;&lt;D xsi:type="xsd:double"&gt;-2.2052824&lt;/D&gt;&lt;D xsi:type="xsd:double"&gt;-2.1057904&lt;/D&gt;&lt;D xsi:type="xsd:double"&gt;4.0819764&lt;/D&gt;&lt;D xsi:type="xsd:double"&gt;13.748371&lt;/D&gt;&lt;D xsi:type="xsd:double"&gt;-4.24549&lt;/D&gt;&lt;D xsi:type="xsd:double"&gt;12.185192&lt;/D&gt;&lt;D xsi:type="xsd:double"&gt;-8.186579&lt;/D&gt;&lt;D xsi:type="xsd:double"&gt;-1.0980964&lt;/D&gt;&lt;D xsi:type="xsd:double"&gt;-8.068103&lt;/D&gt;&lt;D xsi:type="xsd:double"&gt;-1.1562884&lt;/D&gt;&lt;D xsi:type="xsd:double"&gt;-7.344919&lt;/D&gt;&lt;D xsi:type="xsd:double"&gt;-9.748257&lt;/D&gt;&lt;D xsi:type="xsd:double"&gt;-4.708213&lt;/D&gt;&lt;D xsi:type="xsd:double"&gt;7.7018976&lt;/D&gt;&lt;D xsi:type="xsd:double"&gt;-4.1249037&lt;/D&gt;&lt;D xsi:type="xsd:double"&gt;12.881517&lt;/D&gt;&lt;D xsi:type="xsd:double"&gt;-1.3282359&lt;/D&gt;&lt;D xsi:type="xsd:double"&gt;-4.2411923&lt;/D&gt;&lt;D xsi:type="xsd:double"&gt;10.340845&lt;/D&gt;&lt;D xsi:type="xsd:double"&gt;-1.7801046&lt;/D&gt;&lt;D xsi:type="xsd:double"&gt;-4.6197534&lt;/D&gt;&lt;D xsi:type="xsd:double"&gt;4.0705323&lt;/D&gt;&lt;D xsi:type="xsd:double"&gt;-12.864751&lt;/D&gt;&lt;D xsi:type="xsd:double"&gt;5.475998&lt;/D&gt;&lt;D xsi:type="xsd:double"&gt;-2.3562312&lt;/D&gt;&lt;D xsi:type="xsd:double"&gt;4.519427&lt;/D&gt;&lt;D xsi:type="xsd:double"&gt;-4.852277&lt;/D&gt;&lt;D xsi:type="xsd:double"&gt;8.867979&lt;/D&gt;&lt;D xsi:type="xsd:double"&gt;-5.1516414&lt;/D&gt;&lt;D xsi:type="xsd:double"&gt;-15.374506&lt;/D&gt;&lt;D xsi:type="xsd:double"&gt;-21.169775&lt;/D&gt;&lt;D xsi:type="xsd:double"&gt;7.2882533&lt;/D&gt;&lt;D xsi:type="xsd:double"&gt;17.16646&lt;/D&gt;&lt;D xsi:type="xsd:double"&gt;0.47692059999999997&lt;/D&gt;&lt;D xsi:type="xsd:double"&gt;-3.864479&lt;/D&gt;&lt;D xsi:type="xsd:double"&gt;4.4603467&lt;/D&gt;&lt;D xsi:type="xsd:double"&gt;1.0542989&lt;/D&gt;&lt;D xsi:type="xsd:double"&gt;11.032867&lt;/D&gt;&lt;D xsi:type="xsd:double"&gt;3.7115335&lt;/D&gt;&lt;D xsi:type="xsd:double"&gt;4.685521&lt;/D&gt;&lt;D xsi:type="xsd:double"&gt;8.40658&lt;/D&gt;&lt;D xsi:type="xsd:double"&gt;2.4324417&lt;/D&gt;&lt;D xsi:type="xsd:double"&gt;0.9336233&lt;/D&gt;&lt;D xsi:type="xsd:double"&gt;3.5189986&lt;/D&gt;&lt;D xsi:type="xsd:double"&gt;4.645455&lt;/D&gt;&lt;D xsi:type="xsd:double"&gt;-8.448863&lt;/D&gt;&lt;D xsi:type="xsd:double"&gt;-2.1894813&lt;/D&gt;&lt;D xsi:type="xsd:double"&gt;-1.0041833&lt;/D&gt;&lt;D xsi:type="xsd:double"&gt;1.9019485&lt;/D&gt;&lt;D xsi:type="xsd:double"&gt;-2.5922835&lt;/D&gt;&lt;D xsi:type="xsd:double"&gt;-3.236109&lt;/D&gt;&lt;D xsi:type="xsd:double"&gt;6.100917&lt;/D&gt;&lt;D xsi:type="xsd:double"&gt;7.395768&lt;/D&gt;&lt;D xsi:type="xsd:double"&gt;3.2188892&lt;/D&gt;&lt;D xsi:type="xsd:double"&gt;3.7611127&lt;/D&gt;&lt;D xsi:type="xsd:double"&gt;-20.072859&lt;/D&gt;&lt;D xsi:type="xsd:double"&gt;1.796484&lt;/D&gt;&lt;D xsi:type="xsd:double"&gt;-2.8610647&lt;/D&gt;&lt;D xsi:type="xsd:double"&gt;5.278039&lt;/D&gt;&lt;D xsi:type="xsd:double"&gt;-8.236349&lt;/D&gt;&lt;D xsi:type="xsd:double"&gt;-8.975613&lt;/D&gt;&lt;D xsi:type="xsd:double"&gt;15.916395&lt;/D&gt;&lt;D xsi:type="xsd:double"&gt;-0.32362342&lt;/D&gt;&lt;D xsi:type="xsd:double"&gt;8.073509&lt;/D&gt;&lt;D xsi:type="xsd:double"&gt;-5.9695005&lt;/D&gt;&lt;D xsi:type="xsd:double"&gt;-6.047267&lt;/D&gt;&lt;D xsi:type="xsd:double"&gt;3.304565&lt;/D&gt;&lt;D xsi:type="xsd:double"&gt;-2.6736677&lt;/D&gt;&lt;D xsi:type="xsd:double"&gt;1.161325&lt;/D&gt;&lt;D xsi:type="xsd:double"&gt;-3.9467275&lt;/D&gt;&lt;D xsi:type="xsd:double"&gt;5.6497216&lt;/D&gt;&lt;D xsi:type="xsd:double"&gt;-6.587261&lt;/D&gt;&lt;D xsi:type="xsd:double"&gt;0.46838522&lt;/D&gt;&lt;D xsi:type="xsd:double"&gt;0.20719767&lt;/D&gt;&lt;D xsi:type="xsd:double"&gt;1.3698697&lt;/D&gt;&lt;D xsi:type="xsd:double"&gt;0.7834196&lt;/D&gt;&lt;D xsi:type="xsd:double"&gt;-1.7674267&lt;/D&gt;&lt;D xsi:type="xsd:double"&gt;1.5384674&lt;/D&gt;&lt;D xsi:type="xsd:double"&gt;3.0816674&lt;/D&gt;&lt;D xsi:type="xsd:double"&gt;5.9541583&lt;/D&gt;&lt;D xsi:type="xsd:double"&gt;-5.454975&lt;/D&gt;&lt;D xsi:type="xsd:double"&gt;12.078035&lt;/D&gt;&lt;D xsi:type="xsd:double"&gt;-0.4958272&lt;/D&gt;&lt;D xsi:type="xsd:double"&gt;3.0351043&lt;/D&gt;&lt;D xsi:type="xsd:double"&gt;8.353483&lt;/D&gt;&lt;/FQL&gt;&lt;FQL&gt;&lt;Q&gt;UAE^FMA_PE(NTMA,-10AY,0,AM,"PORTAGG","MEANR")&lt;/Q&gt;&lt;R&gt;121&lt;/R&gt;&lt;C&gt;1&lt;/C&gt;&lt;D xsi:type="xsd:double"&gt;14.6369126801991&lt;/D&gt;&lt;D xsi:type="xsd:double"&gt;14.2515697070018&lt;/D&gt;&lt;D xsi:type="xsd:double"&gt;12.5351286835929&lt;/D&gt;&lt;D xsi:type="xsd:double"&gt;11.6026497367347&lt;/D&gt;&lt;D xsi:type="xsd:double"&gt;12.703721346584&lt;/D&gt;&lt;D xsi:type="xsd:double"&gt;12.56377394047&lt;/D&gt;&lt;D xsi:type="xsd:double"&gt;12.691366647372&lt;/D&gt;&lt;D xsi:type="xsd:double"&gt;13.8202352583142&lt;/D&gt;&lt;D xsi:type="xsd:double"&gt;13.2201408648984&lt;/D&gt;&lt;D xsi:type="xsd:double"&gt;12.6386191957512&lt;/D&gt;&lt;D xsi:type="xsd:double"&gt;12.6219237303729&lt;/D&gt;&lt;D xsi:type="xsd:double"&gt;11.8920717537709&lt;/D&gt;&lt;D xsi:type="xsd:double"&gt;12.275477505113&lt;/D&gt;&lt;D xsi:type="xsd:double"&gt;10.7592143447282&lt;/D&gt;&lt;D xsi:type="xsd:double"&gt;9.43424454072841&lt;/D&gt;&lt;D xsi:type="xsd:double"&gt;11.2220468853781&lt;/D&gt;&lt;D xsi:type="xsd:double"&gt;10.7875109659054&lt;/D&gt;&lt;D xsi:type="xsd:double"&gt;12.5954185105846&lt;/D&gt;&lt;D xsi:type="xsd:double"&gt;12.3185637717484&lt;/D&gt;&lt;D xsi:type="xsd:double"&gt;12.6683115457498&lt;/D&gt;&lt;D xsi:type="xsd:double"&gt;12.5075656872189&lt;/D&gt;&lt;D xsi:type="xsd:double"&gt;12.7551470695034&lt;/D&gt;&lt;D xsi:type="xsd:double"&gt;12.5554077791002&lt;/D&gt;&lt;D xsi:type="xsd:double"&gt;12.0576207129953&lt;/D&gt;&lt;D xsi:type="xsd:double"&gt;12.6282820424187&lt;/D&gt;&lt;D xsi:type="xsd:double"&gt;11.5020175809337&lt;/D&gt;&lt;D xsi:type="xsd:double"&gt;11.7785506056165&lt;/D&gt;&lt;D xsi:type="xsd:double"&gt;12.2700040798036&lt;/D&gt;&lt;D xsi:type="xsd:double"&gt;12.2668397635151&lt;/D&gt;&lt;D xsi:type="xsd:double"&gt;11.8166183268501&lt;/D&gt;&lt;D xsi:type="xsd:double"&gt;12.1660373378695&lt;/D&gt;&lt;D xsi:type="xsd:double"&gt;11.8996359891073&lt;/D&gt;&lt;D xsi:type="xsd:double"&gt;11.2477127249637&lt;/D&gt;&lt;D xsi:type="xsd:double"&gt;11.141552557661&lt;/D&gt;&lt;D xsi:type="xsd:double"&gt;11.8751427311533&lt;/D&gt;&lt;D xsi:type="xsd:double"&gt;11.4305532367092&lt;/D&gt;&lt;D xsi:type="xsd:double"&gt;11.2867359457952&lt;/D&gt;&lt;D xsi:type="xsd:double"&gt;10.8651960489231&lt;/D&gt;&lt;D xsi:type="xsd:double"&gt;10.747643143359&lt;/D&gt;&lt;D xsi:type="xsd:double"&gt;11.5167987038948&lt;/D&gt;&lt;D xsi:type="xsd:double"&gt;11.2640769597506&lt;/D&gt;&lt;D xsi:type="xsd:double"&gt;11.1967117106629&lt;/D&gt;&lt;D xsi:type="xsd:double"&gt;11.3751664028375&lt;/D&gt;&lt;D xsi:type="xsd:double"&gt;10.5892266596366&lt;/D&gt;&lt;D xsi:type="xsd:double"&gt;11.0649849717152&lt;/D&gt;&lt;D xsi:type="xsd:double"&gt;11.0555246603685&lt;/D&gt;&lt;D xsi:type="xsd:double"&gt;11.142660166472&lt;/D&gt;&lt;D xsi:type="xsd:double"&gt;12.3509787699635&lt;/D&gt;&lt;D xsi:type="xsd:double"&gt;11.8423550719022&lt;/D&gt;&lt;D xsi:type="xsd:double"&gt;12.1149891117176&lt;/D&gt;&lt;D xsi:type="xsd:double"&gt;10.8531606826711&lt;/D&gt;&lt;D xsi:type="xsd:double"&gt;11.0125045506154&lt;/D&gt;&lt;D xsi:type="xsd:double"&gt;11.0228954499121&lt;/D&gt;&lt;D xsi:type="xsd:double"&gt;11.6038510561587&lt;/D&gt;&lt;D xsi:type="xsd:double"&gt;11.7757094475312&lt;/D&gt;&lt;D xsi:type="xsd:double"&gt;11.2955849666067&lt;/D&gt;&lt;D xsi:type="xsd:double"&gt;11.8374474764527&lt;/D&gt;&lt;D xsi:type="xsd:double"&gt;12.3344327073232&lt;/D&gt;&lt;D xsi:type="xsd:double"&gt;12.2894191784438&lt;/D&gt;&lt;D xsi:type="xsd:double"&gt;12.8405794338018&lt;/D&gt;&lt;D xsi:type="xsd:double"&gt;12.844153710731&lt;/D&gt;&lt;D xsi:type="xsd:double"&gt;13.2044289210597&lt;/D&gt;&lt;D xsi:type="xsd:double"&gt;12.7410943030266&lt;/D&gt;&lt;D xsi:type="xsd:double"&gt;13.5364292710033&lt;/D&gt;&lt;D xsi:type="xsd:double"&gt;12.8225664217066&lt;/D&gt;&lt;D xsi:type="xsd:double"&gt;10.7657094340146&lt;/D&gt;&lt;D xsi:type="xsd:double"&gt;11.1516190503077&lt;/D&gt;&lt;D xsi:type="xsd:double"&gt;15.9938425879331&lt;/D&gt;&lt;D xsi:type="xsd:double"&gt;14.7965011565909&lt;/D&gt;&lt;D xsi:type="xsd:double"&gt;16.5276645195681&lt;/D&gt;&lt;D xsi:type="xsd:double"&gt;12.9553552888241&lt;/D&gt;&lt;D xsi:type="xsd:double"&gt;13.2202723846043&lt;/D&gt;&lt;D xsi:type="xsd:double"&gt;12.4023500124278&lt;/D&gt;&lt;D xsi:type="xsd:double"&gt;15.3645927030418&lt;/D&gt;&lt;D xsi:type="xsd:double"&gt;15.7066306439906&lt;/D&gt;&lt;D xsi:type="xsd:double"&gt;15.2330758333541&lt;/D&gt;&lt;D xsi:type="xsd:double"&gt;15.43714161048&lt;/D&gt;&lt;D xsi:type="xsd:double"&gt;14.5930483203092&lt;/D&gt;&lt;D xsi:type="xsd:double"&gt;14.0713279461199&lt;/D&gt;&lt;D xsi:type="xsd:double"&gt;13.8070678918185&lt;/D&gt;&lt;D xsi:type="xsd:double"&gt;15.1808989966623&lt;/D&gt;&lt;D xsi:type="xsd:double"&gt;14.3962027314333&lt;/D&gt;&lt;D xsi:type="xsd:double"&gt;14.4481181764886&lt;/D&gt;&lt;D xsi:type="xsd:double"&gt;14.5703290483271&lt;/D&gt;&lt;D xsi:type="xsd:double"&gt;14.5207209629299&lt;/D&gt;&lt;D xsi:type="xsd:double"&gt;15.3334906266963&lt;/D&gt;&lt;D xsi:type="xsd:double"&gt;16.5029960215007&lt;/D&gt;&lt;D xsi:type="xsd:double"&gt;15.37672313284&lt;/D&gt;&lt;D xsi:type="xsd:double"&gt;16.1319597247898&lt;/D&gt;&lt;D xsi:type="xsd:double"&gt;16.275910926354&lt;/D&gt;&lt;D xsi:type="xsd:double"&gt;16.7827262897814&lt;/D&gt;&lt;D xsi:type="xsd:double"&gt;15.4654172237528&lt;/D&gt;&lt;D xsi:type="xsd:double"&gt;13.9844840095367&lt;/D&gt;&lt;D xsi:type="xsd:double"&gt;12.6129191868058&lt;/D&gt;&lt;D xsi:type="xsd:double"&gt;13.5505446485816&lt;/D&gt;&lt;D xsi:type="xsd:double"&gt;12.736293423138&lt;/D&gt;&lt;D xsi:type="xsd:double"&gt;12.4599612953668&lt;/D&gt;&lt;D xsi:type="xsd:double"&gt;12.6704504888172&lt;/D&gt;&lt;D xsi:type="xsd:double"&gt;11.7489613713641&lt;/D&gt;&lt;D xsi:type="xsd:double"&gt;12.048464655042&lt;/D&gt;&lt;D xsi:type="xsd:double"&gt;12.2738931862839&lt;/D&gt;&lt;D xsi:type="xsd:double"&gt;11.3264315892194&lt;/D&gt;&lt;D xsi:type="xsd:double"&gt;10.9612938234612&lt;/D&gt;&lt;D xsi:type="xsd:double"&gt;11.3071895742994&lt;/D&gt;&lt;D xsi:type="xsd:double"&gt;10.9815718578071&lt;/D&gt;&lt;D xsi:type="xsd:double"&gt;11.2487980182546&lt;/D&gt;&lt;D xsi:type="xsd:double"&gt;11.5613666707712&lt;/D&gt;&lt;D xsi:type="xsd:double"&gt;10.8523063860954&lt;/D&gt;&lt;D xsi:type="xsd:double"&gt;10.7379587211096&lt;/D&gt;&lt;D xsi:type="xsd:double"&gt;10.3067487433349&lt;/D&gt;&lt;D xsi:type="xsd:double"&gt;10.1787344841672&lt;/D&gt;&lt;D xsi:type="xsd:double"&gt;10.7665579302893&lt;/D&gt;&lt;D xsi:type="xsd:double"&gt;10.0622192344478&lt;/D&gt;&lt;D xsi:type="xsd:double"&gt;9.71956147671867&lt;/D&gt;&lt;D xsi:type="xsd:double"&gt;9.50977196203405&lt;/D&gt;&lt;D xsi:type="xsd:double"&gt;8.98260582007613&lt;/D&gt;&lt;D xsi:type="xsd:double"&gt;8.42838066778092&lt;/D&gt;&lt;D xsi:type="xsd:double"&gt;8.67378625584074&lt;/D&gt;&lt;D xsi:type="xsd:double"&gt;8.87728004998823&lt;/D&gt;&lt;D xsi:type="xsd:double"&gt;9.54240154274202&lt;/D&gt;&lt;D xsi:type="xsd:double"&gt;9.45786690683383&lt;/D&gt;&lt;/FQL&gt;&lt;FQL&gt;&lt;Q&gt;ECH^JULIAN(FMA_DIV_YLD(NTMA,-10AY,0,AM,"PORTAGG","MEANR").DATES)&lt;/Q&gt;&lt;R&gt;121&lt;/R&gt;&lt;C&gt;1&lt;/C&gt;&lt;D xsi:type="xsd:long"&gt;41922&lt;/D&gt;&lt;D xsi:type="xsd:long"&gt;41953&lt;/D&gt;&lt;D xsi:type="xsd:long"&gt;41983&lt;/D&gt;&lt;D xsi:type="xsd:long"&gt;42013&lt;/D&gt;&lt;D xsi:type="xsd:long"&gt;42045&lt;/D&gt;&lt;D xsi:type="xsd:long"&gt;42073&lt;/D&gt;&lt;D xsi:type="xsd:long"&gt;42104&lt;/D&gt;&lt;D xsi:type="xsd:long"&gt;42132&lt;/D&gt;&lt;D xsi:type="xsd:long"&gt;42165&lt;/D&gt;&lt;D xsi:type="xsd:long"&gt;42195&lt;/D&gt;&lt;D xsi:type="xsd:long"&gt;42226&lt;/D&gt;&lt;D xsi:type="xsd:long"&gt;42257&lt;/D&gt;&lt;D xsi:type="xsd:long"&gt;42286&lt;/D&gt;&lt;D xsi:type="xsd:long"&gt;42318&lt;/D&gt;&lt;D xsi:type="xsd:long"&gt;42348&lt;/D&gt;&lt;D xsi:type="xsd:long"&gt;42377&lt;/D&gt;&lt;D xsi:type="xsd:long"&gt;42410&lt;/D&gt;&lt;D xsi:type="xsd:long"&gt;42439&lt;/D&gt;&lt;D xsi:type="xsd:long"&gt;42468&lt;/D&gt;&lt;D xsi:type="xsd:long"&gt;42500&lt;/D&gt;&lt;D xsi:type="xsd:long"&gt;42531&lt;/D&gt;&lt;D xsi:type="xsd:long"&gt;42559&lt;/D&gt;&lt;D xsi:type="xsd:long"&gt;42592&lt;/D&gt;&lt;D xsi:type="xsd:long"&gt;42622&lt;/D&gt;&lt;D xsi:type="xsd:long"&gt;42653&lt;/D&gt;&lt;D xsi:type="xsd:long"&gt;42684&lt;/D&gt;&lt;D xsi:type="xsd:long"&gt;42713&lt;/D&gt;&lt;D xsi:type="xsd:long"&gt;42745&lt;/D&gt;&lt;D xsi:type="xsd:long"&gt;42776&lt;/D&gt;&lt;D xsi:type="xsd:long"&gt;42804&lt;/D&gt;&lt;D xsi:type="xsd:long"&gt;42835&lt;/D&gt;&lt;D xsi:type="xsd:long"&gt;42865&lt;/D&gt;&lt;D xsi:type="xsd:long"&gt;42895&lt;/D&gt;&lt;D xsi:type="xsd:long"&gt;42926&lt;/D&gt;&lt;D xsi:type="xsd:long"&gt;42957&lt;/D&gt;&lt;D xsi:type="xsd:long"&gt;42986&lt;/D&gt;&lt;D xsi:type="xsd:long"&gt;43018&lt;/D&gt;&lt;D xsi:type="xsd:long"&gt;43049&lt;/D&gt;&lt;D xsi:type="xsd:long"&gt;43077&lt;/D&gt;&lt;D xsi:type="xsd:long"&gt;43110&lt;/D&gt;&lt;D xsi:type="xsd:long"&gt;43140&lt;/D&gt;&lt;D xsi:type="xsd:long"&gt;43168&lt;/D&gt;&lt;D xsi:type="xsd:long"&gt;43200&lt;/D&gt;&lt;D xsi:type="xsd:long"&gt;43230&lt;/D&gt;&lt;D xsi:type="xsd:long"&gt;43259&lt;/D&gt;&lt;D xsi:type="xsd:long"&gt;43291&lt;/D&gt;&lt;D xsi:type="xsd:long"&gt;43322&lt;/D&gt;&lt;D xsi:type="xsd:long"&gt;43353&lt;/D&gt;&lt;D xsi:type="xsd:long"&gt;43383&lt;/D&gt;&lt;D xsi:type="xsd:long"&gt;43413&lt;/D&gt;&lt;D xsi:type="xsd:long"&gt;43444&lt;/D&gt;&lt;D xsi:type="xsd:long"&gt;43475&lt;/D&gt;&lt;D xsi:type="xsd:long"&gt;43504&lt;/D&gt;&lt;D xsi:type="xsd:long"&gt;43532&lt;/D&gt;&lt;D xsi:type="xsd:long"&gt;43565&lt;/D&gt;&lt;D xsi:type="xsd:long"&gt;43595&lt;/D&gt;&lt;D xsi:type="xsd:long"&gt;43626&lt;/D&gt;&lt;D xsi:type="xsd:long"&gt;43656&lt;/D&gt;&lt;D xsi:type="xsd:long"&gt;43686&lt;/D&gt;&lt;D xsi:type="xsd:long"&gt;43718&lt;/D&gt;&lt;D xsi:type="xsd:long"&gt;43748&lt;/D&gt;&lt;D xsi:type="xsd:long"&gt;43777&lt;/D&gt;&lt;D xsi:type="xsd:long"&gt;43809&lt;/D&gt;&lt;D xsi:type="xsd:long"&gt;43840&lt;/D&gt;&lt;D xsi:type="xsd:long"&gt;43871&lt;/D&gt;&lt;D xsi:type="xsd:long"&gt;43900&lt;/D&gt;&lt;D xsi:type="xsd:long"&gt;43930&lt;/D&gt;&lt;D xsi:type="xsd:long"&gt;43959&lt;/D&gt;&lt;D xsi:type="xsd:long"&gt;43992&lt;/D&gt;&lt;D xsi:type="xsd:long"&gt;44022&lt;/D&gt;&lt;D xsi:type="xsd:long"&gt;44053&lt;/D&gt;&lt;D xsi:type="xsd:long"&gt;44084&lt;/D&gt;&lt;D xsi:type="xsd:long"&gt;44113&lt;/D&gt;&lt;D xsi:type="xsd:long"&gt;44145&lt;/D&gt;&lt;D xsi:type="xsd:long"&gt;44175&lt;/D&gt;&lt;D xsi:type="xsd:long"&gt;44204&lt;/D&gt;&lt;D xsi:type="xsd:long"&gt;44237&lt;/D&gt;&lt;D xsi:type="xsd:long"&gt;44265&lt;/D&gt;&lt;D xsi:type="xsd:long"&gt;44295&lt;/D&gt;&lt;D xsi:type="xsd:long"&gt;44326&lt;/D&gt;&lt;D xsi:type="xsd:long"&gt;44357&lt;/D&gt;&lt;D xsi:type="xsd:long"&gt;44386&lt;/D&gt;&lt;D xsi:type="xsd:long"&gt;44418&lt;/D&gt;&lt;D xsi:type="xsd:long"&gt;44449&lt;/D&gt;&lt;D xsi:type="xsd:long"&gt;44477&lt;/D&gt;&lt;D xsi:type="xsd:long"&gt;44510&lt;/D&gt;&lt;D xsi:type="xsd:long"&gt;44540&lt;/D&gt;&lt;D xsi:type="xsd:long"&gt;44571&lt;/D&gt;&lt;D xsi:type="xsd:long"&gt;44602&lt;/D&gt;&lt;D xsi:type="xsd:long"&gt;44630&lt;/D&gt;&lt;D xsi:type="xsd:long"&gt;44659&lt;/D&gt;&lt;D xsi:type="xsd:long"&gt;44691&lt;/D&gt;&lt;D xsi:type="xsd:long"&gt;44722&lt;/D&gt;&lt;D xsi:type="xsd:long"&gt;44750&lt;/D&gt;&lt;D xsi:type="xsd:long"&gt;44783&lt;/D&gt;&lt;D xsi:type="xsd:long"&gt;44813&lt;/D&gt;&lt;D xsi:type="xsd:long"&gt;44844&lt;/D&gt;&lt;D xsi:type="xsd:long"&gt;44875&lt;/D&gt;&lt;D xsi:type="xsd:long"&gt;44904&lt;/D&gt;&lt;D xsi:type="xsd:long"&gt;44936&lt;/D&gt;&lt;D xsi:type="xsd:long"&gt;44967&lt;/D&gt;&lt;D xsi:type="xsd:long"&gt;44995&lt;/D&gt;&lt;D xsi:type="xsd:long"&gt;45026&lt;/D&gt;&lt;D xsi:type="xsd:long"&gt;45056&lt;/D&gt;&lt;D xsi:type="xsd:long"&gt;45086&lt;/D&gt;&lt;D xsi:type="xsd:long"&gt;45117&lt;/D&gt;&lt;D xsi:type="xsd:long"&gt;45148&lt;/D&gt;&lt;D xsi:type="xsd:long"&gt;45177&lt;/D&gt;&lt;D xsi:type="xsd:long"&gt;45209&lt;/D&gt;&lt;D xsi:type="xsd:long"&gt;45240&lt;/D&gt;&lt;D xsi:type="xsd:long"&gt;45268&lt;/D&gt;&lt;D xsi:type="xsd:long"&gt;45301&lt;/D&gt;&lt;D xsi:type="xsd:long"&gt;45331&lt;/D&gt;&lt;D xsi:type="xsd:long"&gt;45359&lt;/D&gt;&lt;D xsi:type="xsd:long"&gt;45392&lt;/D&gt;&lt;D xsi:type="xsd:long"&gt;45422&lt;/D&gt;&lt;D xsi:type="xsd:long"&gt;45453&lt;/D&gt;&lt;D xsi:type="xsd:long"&gt;45483&lt;/D&gt;&lt;D xsi:type="xsd:long"&gt;45513&lt;/D&gt;&lt;D xsi:type="xsd:long"&gt;45545&lt;/D&gt;&lt;D xsi:type="xsd:long"&gt;45573&lt;/D&gt;&lt;/FQL&gt;&lt;FQL&gt;&lt;Q&gt;WL-FDS^FG_PRICE(0)&lt;/Q&gt;&lt;R&gt;1&lt;/R&gt;&lt;C&gt;1&lt;/C&gt;&lt;D xsi:type="xsd:double"&gt;566.7&lt;/D&gt;&lt;/FQL&gt;&lt;FQL&gt;&lt;Q&gt;W-FDS^FG_PRICE_CHANGE(0,-1AM)&lt;/Q&gt;&lt;R&gt;1&lt;/R&gt;&lt;C&gt;1&lt;/C&gt;&lt;D xsi:type="xsd:double"&gt;8.05369127516777&lt;/D&gt;&lt;/FQL&gt;&lt;FQL&gt;&lt;Q&gt;FC0000IN^FG_PRICE(0)&lt;/Q&gt;&lt;R&gt;1&lt;/R&gt;&lt;C&gt;1&lt;/C&gt;&lt;D xsi:type="xsd:double"&gt;1470.4678&lt;/D&gt;&lt;/FQL&gt;&lt;FQL&gt;&lt;Q&gt;FC0000PH^FG_PRICE(0)&lt;/Q&gt;&lt;R&gt;1&lt;/R&gt;&lt;C&gt;1&lt;/C&gt;&lt;D xsi:type="xsd:double"&gt;367.92252&lt;/D&gt;&lt;/FQL&gt;&lt;FQL&gt;&lt;Q&gt;QAT^FG_PRICE_MAVG(0,,,,30)&lt;/Q&gt;&lt;R&gt;1&lt;/R&gt;&lt;C&gt;1&lt;/C&gt;&lt;D xsi:type="xsd:double"&gt;18.099333&lt;/D&gt;&lt;/FQL&gt;&lt;FQL&gt;&lt;Q&gt;EWZ^FG_PRICE_MAVG(0,,,,60)&lt;/Q&gt;&lt;R&gt;1&lt;/R&gt;&lt;C&gt;1&lt;/C&gt;&lt;D xsi:type="xsd:double"&gt;29.1755&lt;/D&gt;&lt;/FQL&gt;&lt;FQL&gt;&lt;Q&gt;ECH^FG_PRICE(0)&lt;/Q&gt;&lt;R&gt;1&lt;/R&gt;&lt;C&gt;1&lt;/C&gt;&lt;D xsi:type="xsd:double"&gt;26.59&lt;/D&gt;&lt;/FQL&gt;&lt;FQL&gt;&lt;Q&gt;TUR^FG_TOTAL_RETURNC(0,-1AM)&lt;/Q&gt;&lt;R&gt;1&lt;/R&gt;&lt;C&gt;1&lt;/C&gt;&lt;D xsi:type="xsd:double"&gt;-6.751174&lt;/D&gt;&lt;/FQL&gt;&lt;FQL&gt;&lt;Q&gt;QAT^PERCENT_CHANGE(FMA_EPS(+1,0,,,,"PORTAGG","MEAN"),FMA_EPS(+1,-1AM,,,,"PORTAGG","MEAN"))&lt;/Q&gt;&lt;R&gt;1&lt;/R&gt;&lt;C&gt;1&lt;/C&gt;&lt;D xsi:type="xsd:double"&gt;-0.111098115866379&lt;/D&gt;&lt;/FQL&gt;&lt;FQL&gt;&lt;Q&gt;EWZ^FG_TOTAL_RETURNC(0,-12AM)&lt;/Q&gt;&lt;R&gt;1&lt;/R&gt;&lt;C&gt;1&lt;/C&gt;&lt;D xsi:type="xsd:double"&gt;-0.32554865&lt;/D&gt;&lt;/FQL&gt;&lt;FQL&gt;&lt;Q&gt;EWM^P_PRICE(0)/P_PRICE_LOW_PR(0,,,,,,"PRICE","INTRA","52W")-1&lt;/Q&gt;&lt;R&gt;1&lt;/R&gt;&lt;C&gt;1&lt;/C&gt;&lt;D xsi:type="xsd:double"&gt;0.27706695&lt;/D&gt;&lt;/FQL&gt;&lt;FQL&gt;&lt;Q&gt;EPOL^FG_TOTAL_RETURNC(0,-6AM)&lt;/Q&gt;&lt;R&gt;1&lt;/R&gt;&lt;C&gt;1&lt;/C&gt;&lt;D xsi:type="xsd:double"&gt;-0.5665064&lt;/D&gt;&lt;/FQL&gt;&lt;FQL&gt;&lt;Q&gt;CNYA^FG_TOTAL_RETURNC(0,-1AM)&lt;/Q&gt;&lt;R&gt;1&lt;/R&gt;&lt;C&gt;1&lt;/C&gt;&lt;D xsi:type="xsd:double"&gt;26.61661&lt;/D&gt;&lt;/FQL&gt;&lt;FQL&gt;&lt;Q&gt;VGK^PERCENT_CHANGE(FMA_EPS(+1,0,,,,"PORTAGG","MEAN"),FMA_EPS(+1,-1AM,,,,"PORTAGG","MEAN"))&lt;/Q&gt;&lt;R&gt;1&lt;/R&gt;&lt;C&gt;1&lt;/C&gt;&lt;D xsi:type="xsd:double"&gt;0&lt;/D&gt;&lt;/FQL&gt;&lt;FQL&gt;&lt;Q&gt;KSA^FMA_COS_UP("EPS","1M",+1,NOW,,,"PORTAGG","MEANR")&lt;/Q&gt;&lt;R&gt;1&lt;/R&gt;&lt;C&gt;1&lt;/C&gt;&lt;D xsi:type="xsd:double"&gt;28&lt;/D&gt;&lt;/FQL&gt;&lt;FQL&gt;&lt;Q&gt;EWT^FMA_COS_DOWN("EPS","1M",+1,NOW,,,"PORTAGG","MEANR")&lt;/Q&gt;&lt;R&gt;1&lt;/R&gt;&lt;C&gt;1&lt;/C&gt;&lt;D xsi:type="xsd:double"&gt;15&lt;/D&gt;&lt;/FQL&gt;&lt;FQL&gt;&lt;Q&gt;EPU^FMA_RBICS_REV_CURRENT(30, LOC, "PORTAGG")&lt;/Q&gt;&lt;R&gt;1&lt;/R&gt;&lt;C&gt;1&lt;/C&gt;&lt;D xsi:type="xsd:double"&gt;29.8040222376735&lt;/D&gt;&lt;/FQL&gt;&lt;FQL&gt;&lt;Q&gt;TRYAE10Y-FDS^FG_YIELD(-10AY,0,Y,,"YTM")&lt;/Q&gt;&lt;R&gt;10&lt;/R&gt;&lt;C&gt;1&lt;/C&gt;&lt;D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xsi:type="xsd:string"&gt;@NA&lt;/D&gt;&lt;/FQL&gt;&lt;FQL&gt;&lt;Q&gt;CAGDPY@ZA^EE_ACTUAL_ANNUAL(MED,+1)&lt;/Q&gt;&lt;R&gt;1&lt;/R&gt;&lt;C&gt;1&lt;/C&gt;&lt;D xsi:type="xsd:double"&gt;-1.8&lt;/D&gt;&lt;/FQL&gt;&lt;FQL&gt;&lt;Q&gt;CAGDPY@CL^EE_ACTUAL_ANNUAL(MED,+1)&lt;/Q&gt;&lt;R&gt;1&lt;/R&gt;&lt;C&gt;1&lt;/C&gt;&lt;D xsi:type="xsd:double"&gt;-3&lt;/D&gt;&lt;/FQL&gt;&lt;FQL&gt;&lt;Q&gt;USDVND^FG_PRICE_CHANGE(0,-1AY)&lt;/Q&gt;&lt;R&gt;1&lt;/R&gt;&lt;C&gt;1&lt;/C&gt;&lt;D xsi:type="xsd:double"&gt;1.8049955&lt;/D&gt;&lt;/FQL&gt;&lt;FQL&gt;&lt;Q&gt;USDCNH^FG_PRICE_CHANGE(0,-6AM)&lt;/Q&gt;&lt;R&gt;1&lt;/R&gt;&lt;C&gt;1&lt;/C&gt;&lt;D xsi:type="xsd:double"&gt;-2.2157252&lt;/D&gt;&lt;/FQL&gt;&lt;FQL&gt;&lt;Q&gt;USDEUR^FG_PRICE_CHANGE(0,-1AY)&lt;/Q&gt;&lt;R&gt;1&lt;/R&gt;&lt;C&gt;1&lt;/C&gt;&lt;D xsi:type="xsd:double"&gt;-2.979952&lt;/D&gt;&lt;/FQL&gt;&lt;FQL&gt;&lt;Q&gt;USDTWD^FG_PRICE_CHANGE(0,-3AM)&lt;/Q&gt;&lt;R&gt;1&lt;/R&gt;&lt;C&gt;1&lt;/C&gt;&lt;D xsi:type="xsd:double"&gt;-1.2483954&lt;/D&gt;&lt;/FQL&gt;&lt;FQL&gt;&lt;Q&gt;USDIDR^STD(FG_PRICE_CHANGE(0,-1AY,AM))&lt;/Q&gt;&lt;R&gt;1&lt;/R&gt;&lt;C&gt;1&lt;/C&gt;&lt;D xsi:type="xsd:double"&gt;1.5722895826651&lt;/D&gt;&lt;/FQL&gt;&lt;FQL&gt;&lt;Q&gt;EWW^P_PRICE_RETURNS_PR('52W',2,-10AY,0,AM)&lt;/Q&gt;&lt;R&gt;121&lt;/R&gt;&lt;C&gt;1&lt;/C&gt;&lt;D xsi:type="xsd:double"&gt;4.181969&lt;/D&gt;&lt;D xsi:type="xsd:double"&gt;8.07693&lt;/D&gt;&lt;D xsi:type="xsd:double"&gt;-13.731027&lt;/D&gt;&lt;D xsi:type="xsd:double"&gt;-8.450871&lt;/D&gt;&lt;D xsi:type="xsd:double"&gt;-5.3247213&lt;/D&gt;&lt;D xsi:type="xsd:double"&gt;-6.796491&lt;/D&gt;&lt;D xsi:type="xsd:double"&gt;-5.0339937&lt;/D&gt;&lt;D xsi:type="xsd:double"&gt;-7.838851&lt;/D&gt;&lt;D xsi:type="xsd:double"&gt;-13.416565&lt;/D&gt;&lt;D xsi:type="xsd:double"&gt;-15.388781&lt;/D&gt;&lt;D xsi:type="xsd:double"&gt;-16.119368&lt;/D&gt;&lt;D xsi:type="xsd:double"&gt;-25.816757&lt;/D&gt;&lt;D xsi:type="xsd:double"&gt;-17.266262&lt;/D&gt;&lt;D xsi:type="xsd:double"&gt;-18.467993&lt;/D&gt;&lt;D xsi:type="xsd:double"&gt;-11.946524&lt;/D&gt;&lt;D xsi:type="xsd:double"&gt;-21.328045&lt;/D&gt;&lt;D xsi:type="xsd:double"&gt;-20.198334&lt;/D&gt;&lt;D xsi:type="xsd:double"&gt;-7.6419888&lt;/D&gt;&lt;D xsi:type="xsd:double"&gt;-14.113056&lt;/D&gt;&lt;D xsi:type="xsd:double"&gt;-12.181234&lt;/D&gt;&lt;D xsi:type="xsd:double"&gt;-13.373113&lt;/D&gt;&lt;D xsi:type="xsd:double"&gt;-9.45319&lt;/D&gt;&lt;D xsi:type="xsd:double"&gt;-6.095415&lt;/D&gt;&lt;D xsi:type="xsd:double"&gt;-2.2061348&lt;/D&gt;&lt;D xsi:type="xsd:double"&gt;-4.9166083&lt;/D&gt;&lt;D xsi:type="xsd:double"&gt;-15.497607&lt;/D&gt;&lt;D xsi:type="xsd:double"&gt;-7.4503717&lt;/D&gt;&lt;D xsi:type="xsd:double"&gt;-6.0082674&lt;/D&gt;&lt;D xsi:type="xsd:double"&gt;4.4763446&lt;/D&gt;&lt;D xsi:type="xsd:double"&gt;-4.0786448&lt;/D&gt;&lt;D xsi:type="xsd:double"&gt;3.3366442&lt;/D&gt;&lt;D xsi:type="xsd:double"&gt;2.6163697&lt;/D&gt;&lt;D xsi:type="xsd:double"&gt;6.983423&lt;/D&gt;&lt;D xsi:type="xsd:double"&gt;12.930679&lt;/D&gt;&lt;D xsi:type="xsd:double"&gt;8.579397&lt;/D&gt;&lt;D xsi:type="xsd:double"&gt;11.836803&lt;/D&gt;&lt;D xsi:type="xsd:double"&gt;4.897094&lt;/D&gt;&lt;D xsi:type="xsd:double"&gt;14.319277&lt;/D&gt;&lt;D xsi:type="xsd:double"&gt;11.555445&lt;/D&gt;&lt;D xsi:type="xsd:double"&gt;20.449602&lt;/D&gt;&lt;D xsi:type="xsd:double"&gt;12.024153&lt;/D&gt;&lt;D xsi:type="xsd:double"&gt;12.655508&lt;/D&gt;&lt;D xsi:type="xsd:double"&gt;3.8303018&lt;/D&gt;&lt;D xsi:type="xsd:double"&gt;-4.6685815&lt;/D&gt;&lt;D xsi:type="xsd:double"&gt;-13.980311&lt;/D&gt;&lt;D xsi:type="xsd:double"&gt;-5.7048264&lt;/D&gt;&lt;D xsi:type="xsd:double"&gt;-8.639842&lt;/D&gt;&lt;D xsi:type="xsd:double"&gt;-9.68402&lt;/D&gt;&lt;D xsi:type="xsd:double"&gt;-5.313599&lt;/D&gt;&lt;D xsi:type="xsd:double"&gt;-13.851833&lt;/D&gt;&lt;D xsi:type="xsd:double"&gt;-17.834408&lt;/D&gt;&lt;D xsi:type="xsd:double"&gt;-8.158523&lt;/D&gt;&lt;D xsi:type="xsd:double"&gt;-8.311033&lt;/D&gt;&lt;D xsi:type="xsd:double"&gt;-16.473133&lt;/D&gt;&lt;D xsi:type="xsd:double"&gt;-9.98975&lt;/D&gt;&lt;D xsi:type="xsd:double"&gt;-6.123781&lt;/D&gt;&lt;D xsi:type="xsd:double"&gt;2.0977855&lt;/D&gt;&lt;D xsi:type="xsd:double"&gt;-12.690812&lt;/D&gt;&lt;D xsi:type="xsd:double"&gt;-18.832773&lt;/D&gt;&lt;D xsi:type="xsd:double"&gt;-11.239147&lt;/D&gt;&lt;D xsi:type="xsd:double"&gt;-7.955265&lt;/D&gt;&lt;D xsi:type="xsd:double"&gt;8.811688&lt;/D&gt;&lt;D xsi:type="xsd:double"&gt;12.421501&lt;/D&gt;&lt;D xsi:type="xsd:double"&gt;7.503283&lt;/D&gt;&lt;D xsi:type="xsd:double"&gt;7.0879936&lt;/D&gt;&lt;D xsi:type="xsd:double"&gt;-7.4232635&lt;/D&gt;&lt;D xsi:type="xsd:double"&gt;-37.492073&lt;/D&gt;&lt;D xsi:type="xsd:double"&gt;-28.45344&lt;/D&gt;&lt;D xsi:type="xsd:double"&gt;-21.286238&lt;/D&gt;&lt;D xsi:type="xsd:double"&gt;-25.90233&lt;/D&gt;&lt;D xsi:type="xsd:double"&gt;-16.152382&lt;/D&gt;&lt;D xsi:type="xsd:double"&gt;-21.442837&lt;/D&gt;&lt;D xsi:type="xsd:double"&gt;-14.835&lt;/D&gt;&lt;D xsi:type="xsd:double"&gt;-12.465066&lt;/D&gt;&lt;D xsi:type="xsd:double"&gt;-1.4636219&lt;/D&gt;&lt;D xsi:type="xsd:double"&gt;-0.7001817&lt;/D&gt;&lt;D xsi:type="xsd:double"&gt;-6.126446&lt;/D&gt;&lt;D xsi:type="xsd:double"&gt;16.99879&lt;/D&gt;&lt;D xsi:type="xsd:double"&gt;62.164772&lt;/D&gt;&lt;D xsi:type="xsd:double"&gt;56.300724&lt;/D&gt;&lt;D xsi:type="xsd:double"&gt;47.45221&lt;/D&gt;&lt;D xsi:type="xsd:double"&gt;54.72785&lt;/D&gt;&lt;D xsi:type="xsd:double"&gt;48.30992&lt;/D&gt;&lt;D xsi:type="xsd:double"&gt;54.79033&lt;/D&gt;&lt;D xsi:type="xsd:double"&gt;38.584457&lt;/D&gt;&lt;D xsi:type="xsd:double"&gt;27.804829&lt;/D&gt;&lt;D xsi:type="xsd:double"&gt;14.962935&lt;/D&gt;&lt;D xsi:type="xsd:double"&gt;14.338684&lt;/D&gt;&lt;D xsi:type="xsd:double"&gt;19.062841&lt;/D&gt;&lt;D xsi:type="xsd:double"&gt;15.757799&lt;/D&gt;&lt;D xsi:type="xsd:double"&gt;18.584574&lt;/D&gt;&lt;D xsi:type="xsd:double"&gt;2.4909139&lt;/D&gt;&lt;D xsi:type="xsd:double"&gt;-1.1559069&lt;/D&gt;&lt;D xsi:type="xsd:double"&gt;0.22448301&lt;/D&gt;&lt;D xsi:type="xsd:double"&gt;-0.40674806&lt;/D&gt;&lt;D xsi:type="xsd:double"&gt;-3.6558926&lt;/D&gt;&lt;D xsi:type="xsd:double"&gt;-2.6854157&lt;/D&gt;&lt;D xsi:type="xsd:double"&gt;12.223816&lt;/D&gt;&lt;D xsi:type="xsd:double"&gt;10.661781&lt;/D&gt;&lt;D xsi:type="xsd:double"&gt;11.932921&lt;/D&gt;&lt;D xsi:type="xsd:double"&gt;17.299402&lt;/D&gt;&lt;D xsi:type="xsd:double"&gt;19.949066&lt;/D&gt;&lt;D xsi:type="xsd:double"&gt;15.171528&lt;/D&gt;&lt;D xsi:type="xsd:double"&gt;36.809765&lt;/D&gt;&lt;D xsi:type="xsd:double"&gt;31.685555&lt;/D&gt;&lt;D xsi:type="xsd:double"&gt;40.068604&lt;/D&gt;&lt;D xsi:type="xsd:double"&gt;36.875107&lt;/D&gt;&lt;D xsi:type="xsd:double"&gt;33.052956&lt;/D&gt;&lt;D xsi:type="xsd:double"&gt;27.29881&lt;/D&gt;&lt;D xsi:type="xsd:double"&gt;14.1809225&lt;/D&gt;&lt;D xsi:type="xsd:double"&gt;25.01856&lt;/D&gt;&lt;D xsi:type="xsd:double"&gt;23.02053&lt;/D&gt;&lt;D xsi:type="xsd:double"&gt;22.95822&lt;/D&gt;&lt;D xsi:type="xsd:double"&gt;12.935984&lt;/D&gt;&lt;D xsi:type="xsd:double"&gt;18.481434&lt;/D&gt;&lt;D xsi:type="xsd:double"&gt;11.37122&lt;/D&gt;&lt;D xsi:type="xsd:double"&gt;-6.6550074&lt;/D&gt;&lt;D xsi:type="xsd:double"&gt;-1.4137805&lt;/D&gt;&lt;D xsi:type="xsd:double"&gt;-9.593046&lt;/D&gt;&lt;D xsi:type="xsd:double"&gt;-12.037182&lt;/D&gt;&lt;D xsi:type="xsd:double"&gt;-0.77234507&lt;/D&gt;&lt;/FQL&gt;&lt;FQL&gt;&lt;Q&gt;MCHI^FMA_DIV_YLD(NTMA,-10AY,0,AM,"PORTAGG","MEANR")&lt;/Q&gt;&lt;R&gt;121&lt;/R&gt;&lt;C&gt;1&lt;/C&gt;&lt;D xsi:type="xsd:double"&gt;3.76808597581336&lt;/D&gt;&lt;D xsi:type="xsd:double"&gt;3.66055653856922&lt;/D&gt;&lt;D xsi:type="xsd:double"&gt;3.48918256978047&lt;/D&gt;&lt;D xsi:type="xsd:double"&gt;3.25130021706908&lt;/D&gt;&lt;D xsi:type="xsd:double"&gt;3.17377223303333&lt;/D&gt;&lt;D xsi:type="xsd:double"&gt;3.2033103719337&lt;/D&gt;&lt;D xsi:type="xsd:double"&gt;2.58643546120093&lt;/D&gt;&lt;D xsi:type="xsd:double"&gt;2.58204325348382&lt;/D&gt;&lt;D xsi:type="xsd:double"&gt;2.73234113926656&lt;/D&gt;&lt;D xsi:type="xsd:double"&gt;3.09940417403877&lt;/D&gt;&lt;D xsi:type="xsd:double"&gt;3.20202958918336&lt;/D&gt;&lt;D xsi:type="xsd:double"&gt;3.48013567198944&lt;/D&gt;&lt;D xsi:type="xsd:double"&gt;3.25679969270919&lt;/D&gt;&lt;D xsi:type="xsd:double"&gt;3.22556096971033&lt;/D&gt;&lt;D xsi:type="xsd:double"&gt;3.31645031721078&lt;/D&gt;&lt;D xsi:type="xsd:double"&gt;3.09562653168862&lt;/D&gt;&lt;D xsi:type="xsd:double"&gt;3.29781297464618&lt;/D&gt;&lt;D xsi:type="xsd:double"&gt;3.15110305886439&lt;/D&gt;&lt;D xsi:type="xsd:double"&gt;2.95290043131607&lt;/D&gt;&lt;D xsi:type="xsd:double"&gt;3.03450696360683&lt;/D&gt;&lt;D xsi:type="xsd:double"&gt;2.60943513156555&lt;/D&gt;&lt;D xsi:type="xsd:double"&gt;2.60047116939613&lt;/D&gt;&lt;D xsi:typ</t>
        </r>
      </text>
    </comment>
    <comment ref="A7" authorId="0" shapeId="0" xr:uid="{55705CC2-34D1-491C-A9DA-A43F2AAF2798}">
      <text>
        <r>
          <rPr>
            <b/>
            <sz val="9"/>
            <color indexed="81"/>
            <rFont val="Tahoma"/>
            <charset val="1"/>
          </rPr>
          <t>e="xsd:double"&gt;2.41270459024442&lt;/D&gt;&lt;D xsi:type="xsd:double"&gt;2.21589859380336&lt;/D&gt;&lt;D xsi:type="xsd:double"&gt;2.21660342701358&lt;/D&gt;&lt;D xsi:type="xsd:double"&gt;2.33133111752447&lt;/D&gt;&lt;D xsi:type="xsd:double"&gt;2.32618711571808&lt;/D&gt;&lt;D xsi:type="xsd:double"&gt;2.33750116295656&lt;/D&gt;&lt;D xsi:type="xsd:double"&gt;2.26930888870702&lt;/D&gt;&lt;D xsi:type="xsd:double"&gt;2.27678892006502&lt;/D&gt;&lt;D xsi:type="xsd:double"&gt;2.27521022762792&lt;/D&gt;&lt;D xsi:type="xsd:double"&gt;2.23726177733843&lt;/D&gt;&lt;D xsi:type="xsd:double"&gt;2.14912492921067&lt;/D&gt;&lt;D xsi:type="xsd:double"&gt;2.22135284503184&lt;/D&gt;&lt;D xsi:type="xsd:double"&gt;2.14390319529283&lt;/D&gt;&lt;D xsi:type="xsd:double"&gt;2.18694375712801&lt;/D&gt;&lt;D xsi:type="xsd:double"&gt;2.05630243412599&lt;/D&gt;&lt;D xsi:type="xsd:double"&gt;2.00942121594139&lt;/D&gt;&lt;D xsi:type="xsd:double"&gt;2.10061556718683&lt;/D&gt;&lt;D xsi:type="xsd:double"&gt;1.96988300787468&lt;/D&gt;&lt;D xsi:type="xsd:double"&gt;2.23259555171081&lt;/D&gt;&lt;D xsi:type="xsd:double"&gt;2.09239865232515&lt;/D&gt;&lt;D xsi:type="xsd:double"&gt;2.24800568702753&lt;/D&gt;&lt;D xsi:type="xsd:double"&gt;2.24673368239777&lt;/D&gt;&lt;D xsi:type="xsd:double"&gt;2.24640508084949&lt;/D&gt;&lt;D xsi:type="xsd:double"&gt;2.43171461711153&lt;/D&gt;&lt;D xsi:type="xsd:double"&gt;2.4605045038203&lt;/D&gt;&lt;D xsi:type="xsd:double"&gt;2.70697890815421&lt;/D&gt;&lt;D xsi:type="xsd:double"&gt;2.83818545060414&lt;/D&gt;&lt;D xsi:type="xsd:double"&gt;2.83747540563692&lt;/D&gt;&lt;D xsi:type="xsd:double"&gt;2.77315877778399&lt;/D&gt;&lt;D xsi:type="xsd:double"&gt;2.74965213320929&lt;/D&gt;&lt;D xsi:type="xsd:double"&gt;2.57372076938702&lt;/D&gt;&lt;D xsi:type="xsd:double"&gt;2.50785010303225&lt;/D&gt;&lt;D xsi:type="xsd:double"&gt;2.31677246772336&lt;/D&gt;&lt;D xsi:type="xsd:double"&gt;2.47466278515771&lt;/D&gt;&lt;D xsi:type="xsd:double"&gt;2.57219311142568&lt;/D&gt;&lt;D xsi:type="xsd:double"&gt;2.50984410879791&lt;/D&gt;&lt;D xsi:type="xsd:double"&gt;2.64229771710735&lt;/D&gt;&lt;D xsi:type="xsd:double"&gt;2.4848845980761&lt;/D&gt;&lt;D xsi:type="xsd:double"&gt;2.56071430365891&lt;/D&gt;&lt;D xsi:type="xsd:double"&gt;2.43155424499809&lt;/D&gt;&lt;D xsi:type="xsd:double"&gt;2.39159154028536&lt;/D&gt;&lt;D xsi:type="xsd:double"&gt;2.20375355224113&lt;/D&gt;&lt;D xsi:type="xsd:double"&gt;2.28655493826068&lt;/D&gt;&lt;D xsi:type="xsd:double"&gt;2.32807836465452&lt;/D&gt;&lt;D xsi:type="xsd:double"&gt;2.27230766654359&lt;/D&gt;&lt;D xsi:type="xsd:double"&gt;2.17878432548793&lt;/D&gt;&lt;D xsi:type="xsd:double"&gt;1.93947346297397&lt;/D&gt;&lt;D xsi:type="xsd:double"&gt;1.72831626601686&lt;/D&gt;&lt;D xsi:type="xsd:double"&gt;1.81797259878897&lt;/D&gt;&lt;D xsi:type="xsd:double"&gt;1.80871322462988&lt;/D&gt;&lt;D xsi:type="xsd:double"&gt;1.74235091926382&lt;/D&gt;&lt;D xsi:type="xsd:double"&gt;1.70921976482726&lt;/D&gt;&lt;D xsi:type="xsd:double"&gt;1.69870061341292&lt;/D&gt;&lt;D xsi:type="xsd:double"&gt;1.58526326402455&lt;/D&gt;&lt;D xsi:type="xsd:double"&gt;1.32493846692051&lt;/D&gt;&lt;D xsi:type="xsd:double"&gt;1.50432917454588&lt;/D&gt;&lt;D xsi:type="xsd:double"&gt;1.60279879115573&lt;/D&gt;&lt;D xsi:type="xsd:double"&gt;1.7066352304126&lt;/D&gt;&lt;D xsi:type="xsd:double"&gt;1.62522682416864&lt;/D&gt;&lt;D xsi:type="xsd:double"&gt;1.69753903911687&lt;/D&gt;&lt;D xsi:type="xsd:double"&gt;1.82085129553113&lt;/D&gt;&lt;D xsi:type="xsd:double"&gt;1.84170789376832&lt;/D&gt;&lt;D xsi:type="xsd:double"&gt;1.938084821372&lt;/D&gt;&lt;D xsi:type="xsd:double"&gt;1.97895819031145&lt;/D&gt;&lt;D xsi:type="xsd:double"&gt;2.06549070091953&lt;/D&gt;&lt;D xsi:type="xsd:double"&gt;2.17012018522201&lt;/D&gt;&lt;D xsi:type="xsd:double"&gt;2.14955002862729&lt;/D&gt;&lt;D xsi:type="xsd:double"&gt;2.64599193983089&lt;/D&gt;&lt;D xsi:type="xsd:double"&gt;2.55583777349976&lt;/D&gt;&lt;D xsi:type="xsd:double"&gt;2.75474070965827&lt;/D&gt;&lt;D xsi:type="xsd:double"&gt;2.38148288789138&lt;/D&gt;&lt;D xsi:type="xsd:double"&gt;2.34747580269967&lt;/D&gt;&lt;D xsi:type="xsd:double"&gt;2.61337052515467&lt;/D&gt;&lt;D xsi:type="xsd:double"&gt;2.53484109724115&lt;/D&gt;&lt;D xsi:type="xsd:double"&gt;2.85290236121161&lt;/D&gt;&lt;D xsi:type="xsd:double"&gt;2.91243571428056&lt;/D&gt;&lt;D xsi:type="xsd:double"&gt;2.43149398848427&lt;/D&gt;&lt;D xsi:type="xsd:double"&gt;2.25535032010789&lt;/D&gt;&lt;D xsi:type="xsd:double"&gt;2.30507320099443&lt;/D&gt;&lt;D xsi:type="xsd:double"&gt;2.51238246635664&lt;/D&gt;&lt;D xsi:type="xsd:double"&gt;2.42257704240481&lt;/D&gt;&lt;D xsi:type="xsd:double"&gt;2.55065296190176&lt;/D&gt;&lt;D xsi:type="xsd:double"&gt;2.50645812933331&lt;/D&gt;&lt;D xsi:type="xsd:double"&gt;2.53633257972724&lt;/D&gt;&lt;D xsi:type="xsd:double"&gt;2.38315767544981&lt;/D&gt;&lt;D xsi:type="xsd:double"&gt;2.48855465911513&lt;/D&gt;&lt;D xsi:type="xsd:double"&gt;2.56255471983094&lt;/D&gt;&lt;D xsi:type="xsd:double"&gt;2.6249430782388&lt;/D&gt;&lt;D xsi:type="xsd:double"&gt;2.75719056752047&lt;/D&gt;&lt;D xsi:type="xsd:double"&gt;2.82865872443884&lt;/D&gt;&lt;D xsi:type="xsd:double"&gt;3.00543811191512&lt;/D&gt;&lt;D xsi:type="xsd:double"&gt;2.97741495594707&lt;/D&gt;&lt;D xsi:type="xsd:double"&gt;2.96315300637413&lt;/D&gt;&lt;D xsi:type="xsd:double"&gt;2.70750752565082&lt;/D&gt;&lt;D xsi:type="xsd:double"&gt;2.82210862804811&lt;/D&gt;&lt;D xsi:type="xsd:double"&gt;2.92876753670683&lt;/D&gt;&lt;D xsi:type="xsd:double"&gt;3.06417730607748&lt;/D&gt;&lt;D xsi:type="xsd:double"&gt;3.14189141377283&lt;/D&gt;&lt;D xsi:type="xsd:double"&gt;2.47227088825363&lt;/D&gt;&lt;/FQL&gt;&lt;FQL&gt;&lt;Q&gt;KSA^FMA_PE(LTMA,-10AY,0,AM,"PORTAGG","MEANR")&lt;/Q&gt;&lt;R&gt;121&lt;/R&gt;&lt;C&gt;1&lt;/C&gt;&lt;D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xsi:type="xsd:double"&gt;12.3375741369545&lt;/D&gt;&lt;D xsi:type="xsd:double"&gt;10.9029653360132&lt;/D&gt;&lt;D xsi:type="xsd:double"&gt;11.7765180842464&lt;/D&gt;&lt;D xsi:type="xsd:double"&gt;11.8490637375493&lt;/D&gt;&lt;D xsi:type="xsd:double"&gt;12.2967219505777&lt;/D&gt;&lt;D xsi:type="xsd:double"&gt;12.7610668196411&lt;/D&gt;&lt;D xsi:type="xsd:double"&gt;12.7644215936281&lt;/D&gt;&lt;D xsi:type="xsd:double"&gt;12.93625756883&lt;/D&gt;&lt;D xsi:type="xsd:double"&gt;12.8779620940361&lt;/D&gt;&lt;D xsi:type="xsd:double"&gt;12.3474593342629&lt;/D&gt;&lt;D xsi:type="xsd:double"&gt;13.9435473116356&lt;/D&gt;&lt;D xsi:type="xsd:double"&gt;14.8138907815599&lt;/D&gt;&lt;D xsi:type="xsd:double"&gt;14.9193706918238&lt;/D&gt;&lt;D xsi:type="xsd:double"&gt;15.0063560129&lt;/D&gt;&lt;D xsi:type="xsd:double"&gt;15.3129363764617&lt;/D&gt;&lt;D xsi:type="xsd:double"&gt;15.2713744998559&lt;/D&gt;&lt;D xsi:type="xsd:double"&gt;15.00286395685&lt;/D&gt;&lt;D xsi:type="xsd:double"&gt;15.049932015786&lt;/D&gt;&lt;D xsi:type="xsd:double"&gt;15.3172725252645&lt;/D&gt;&lt;D xsi:type="xsd:double"&gt;15.2364370957457&lt;/D&gt;&lt;D xsi:type="xsd:double"&gt;15.1982963183546&lt;/D&gt;&lt;D xsi:type="xsd:double"&gt;14.5991674578237&lt;/D&gt;&lt;D xsi:type="xsd:double"&gt;14.395162032846&lt;/D&gt;&lt;D xsi:type="xsd:double"&gt;14.4177963337359&lt;/D&gt;&lt;D xsi:type="xsd:double"&gt;14.6350435454011&lt;/D&gt;&lt;D xsi:type="xsd:double"&gt;14.7917182647336&lt;/D&gt;&lt;D xsi:type="xsd:double"&gt;15.0563432305174&lt;/D&gt;&lt;D xsi:type="xsd:double"&gt;15.246981277368&lt;/D&gt;&lt;D xsi:type="xsd:double"&gt;15.1643868421307&lt;/D&gt;&lt;D xsi:type="xsd:double"&gt;15.5404523510237&lt;/D&gt;&lt;D xsi:type="xsd:double"&gt;15.5751632631478&lt;/D&gt;&lt;D xsi:type="xsd:double"&gt;15.1907366986642&lt;/D&gt;&lt;D xsi:type="xsd:double"&gt;14.6634212759962&lt;/D&gt;&lt;D xsi:type="xsd:double"&gt;14.8712704551105&lt;/D&gt;&lt;D xsi:type="xsd:double"&gt;14.7864925894896&lt;/D&gt;&lt;D xsi:type="xsd:double"&gt;15.3653025952348&lt;/D&gt;&lt;D xsi:type="xsd:double"&gt;16.2960972879072&lt;/D&gt;&lt;D xsi:type="xsd:double"&gt;17.5035365745066&lt;/D&gt;&lt;D xsi:type="xsd:double"&gt;17.2052588140147&lt;/D&gt;&lt;D xsi:type="xsd:double"&gt;17.4564801935127&lt;/D&gt;&lt;D xsi:type="xsd:double"&gt;17.3056816176546&lt;/D&gt;&lt;D xsi:type="xsd:double"&gt;17.3728706635439&lt;/D&gt;&lt;D xsi:type="xsd:double"&gt;17.3061523013505&lt;/D&gt;&lt;D xsi:type="xsd:double"&gt;17.5992596486951&lt;/D&gt;&lt;D xsi:type="xsd:double"&gt;17.9937450339384&lt;/D&gt;&lt;D xsi:type="xsd:double"&gt;17.7542360626483&lt;/D&gt;&lt;D xsi:type="xsd:double"&gt;18.2823248449397&lt;/D&gt;&lt;D xsi:type="xsd:double"&gt;18.8743722331189&lt;/D&gt;&lt;D xsi:type="xsd:double"&gt;19.945310115742&lt;/D&gt;&lt;D xsi:type="xsd:double"&gt;18.6214268933262&lt;/D&gt;&lt;D xsi:type="xsd:double"&gt;17.2802361937705&lt;/D&gt;&lt;D xsi:type="xsd:double"&gt;17.5246162952888&lt;/D&gt;&lt;D xsi:type="xsd:double"&gt;17.9922116982176&lt;/D&gt;&lt;D xsi:type="xsd:double"&gt;19.3993749678292&lt;/D&gt;&lt;D xsi:type="xsd:double"&gt;19.6184040334845&lt;/D&gt;&lt;D xsi:type="xsd:double"&gt;20.3213840491598&lt;/D&gt;&lt;D xsi:type="xsd:double"&gt;23.7114293963455&lt;/D&gt;&lt;D xsi:type="xsd:double"&gt;25.4749737428684&lt;/D&gt;&lt;D xsi:type="xsd:double"&gt;27.1275553863821&lt;/D&gt;&lt;D xsi:type="xsd:double"&gt;27.899690470797&lt;/D&gt;&lt;D xsi:type="xsd:double"&gt;28.9357855395097&lt;/D&gt;&lt;D xsi:type="xsd:double"&gt;26.3383260160579&lt;/D&gt;&lt;D xsi:type="xsd:double"&gt;26.4700597979683&lt;/D&gt;&lt;D xsi:type="xsd:double"&gt;25.9156269858492&lt;/D&gt;&lt;D xsi:type="xsd:double"&gt;25.1802428244331&lt;/D&gt;&lt;D xsi:type="xsd:double"&gt;24.6435232962685&lt;/D&gt;&lt;D xsi:type="xsd:double"&gt;23.8910219405229&lt;/D&gt;&lt;D xsi:type="xsd:double"&gt;23.354541641208&lt;/D&gt;&lt;D xsi:type="xsd:double"&gt;22.8841409173942&lt;/D&gt;&lt;D xsi:type="xsd:double"&gt;22.1474266112788&lt;/D&gt;&lt;D xsi:type="xsd:double"&gt;21.645688461826&lt;/D&gt;&lt;D xsi:type="xsd:double"&gt;19.3018341984445&lt;/D&gt;&lt;D xsi:type="xsd:double"&gt;20.1460703714197&lt;/D&gt;&lt;D xsi:type="xsd:double"&gt;20.8855952818002&lt;/D&gt;&lt;D xsi:type="xsd:double"&gt;21.4447845289406&lt;/D&gt;&lt;D xsi:type="xsd:double"&gt;21.2613353838191&lt;/D&gt;&lt;D xsi:type="xsd:double"&gt;21.0177899085979&lt;/D&gt;&lt;D xsi:type="xsd:double"&gt;19.9997124824754&lt;/D&gt;&lt;D xsi:type="xsd:double"&gt;19.008954462522&lt;/D&gt;&lt;D xsi:type="xsd:double"&gt;19.1029367651063&lt;/D&gt;&lt;D xsi:type="xsd:double"&gt;18.1360338411994&lt;/D&gt;&lt;D xsi:type="xsd:double"&gt;17.3898071143233&lt;/D&gt;&lt;D xsi:type="xsd:double"&gt;16.8492883352118&lt;/D&gt;&lt;D xsi:type="xsd:double"&gt;15.4014694496582&lt;/D&gt;&lt;D xsi:type="xsd:double"&gt;15.8031242863197&lt;/D&gt;&lt;D xsi:type="xsd:double"&gt;15.2726142482743&lt;/D&gt;&lt;D xsi:type="xsd:double"&gt;15.3472936567091&lt;/D&gt;&lt;D xsi:type="xsd:double"&gt;15.574367062684&lt;/D&gt;&lt;D xsi:type="xsd:double"&gt;16.0107373312705&lt;/D&gt;&lt;D xsi:type="xsd:double"&gt;16.5143583397824&lt;/D&gt;&lt;D xsi:type="xsd:double"&gt;17.0569648756282&lt;/D&gt;&lt;D xsi:type="xsd:double"&gt;17.5400747900124&lt;/D&gt;&lt;D xsi:type="xsd:double"&gt;17.6044319920139&lt;/D&gt;&lt;D xsi:type="xsd:double"&gt;17.3071806749984&lt;/D&gt;&lt;D xsi:type="xsd:double"&gt;18.0023531568932&lt;/D&gt;&lt;D xsi:type="xsd:double"&gt;19.1361580348484&lt;/D&gt;&lt;D xsi:type="xsd:double"&gt;21.3786312933018&lt;/D&gt;&lt;D xsi:type="xsd:double"&gt;21.378778980551&lt;/D&gt;&lt;D xsi:type="xsd:double"&gt;21.7386234456114&lt;/D&gt;&lt;D xsi:type="xsd:double"&gt;21.4888666067175&lt;/D&gt;&lt;D xsi:type="xsd:double"&gt;20.8956175275477&lt;/D&gt;&lt;D xsi:type="xsd:double"&gt;20.4923779030439&lt;/D&gt;&lt;D xsi:type="xsd:double"&gt;20.1151829824183&lt;/D&gt;&lt;D xsi:type="xsd:double"&gt;19.6424880726818&lt;/D&gt;&lt;D xsi:type="xsd:double"&gt;19.8052613043528&lt;/D&gt;&lt;D xsi:type="xsd:double"&gt;19.5165679043585&lt;/D&gt;&lt;/FQL&gt;&lt;FQL&gt;&lt;Q&gt;ECH^FMA_PE(LTMA,-10AY,0,AM,"PORTAGG","MEANR")&lt;/Q&gt;&lt;R&gt;121&lt;/R&gt;&lt;C&gt;1&lt;/C&gt;&lt;D xsi:type="xsd:double"&gt;15.8541983521485&lt;/D&gt;&lt;D xsi:type="xsd:double"&gt;15.7802457439082&lt;/D&gt;&lt;D xsi:type="xsd:double"&gt;16.5898527331269&lt;/D&gt;&lt;D xsi:type="xsd:double"&gt;16.4183802065121&lt;/D&gt;&lt;D xsi:type="xsd:double"&gt;16.3767142351212&lt;/D&gt;&lt;D xsi:type="xsd:double"&gt;16.5321000771221&lt;/D&gt;&lt;D xsi:type="xsd:double"&gt;16.4342603631332&lt;/D&gt;&lt;D xsi:type="xsd:double"&gt;16.4603952457952&lt;/D&gt;&lt;D xsi:type="xsd:double"&gt;16.14118450867&lt;/D&gt;&lt;D xsi:type="xsd:double"&gt;15.5597267753482&lt;/D&gt;&lt;D xsi:type="xsd:double"&gt;15.2358901363348&lt;/D&gt;&lt;D xsi:type="xsd:double"&gt;15.2412163620712&lt;/D&gt;&lt;D xsi:type="xsd:double"&gt;15.4302829827103&lt;/D&gt;&lt;D xsi:type="xsd:double"&gt;15.9050515560193&lt;/D&gt;&lt;D xsi:type="xsd:double"&gt;15.7822911696111&lt;/D&gt;&lt;D xsi:type="xsd:double"&gt;15.4436065325434&lt;/D&gt;&lt;D xsi:type="xsd:double"&gt;15.4890156909773&lt;/D&gt;&lt;D xsi:type="xsd:double"&gt;15.5258263057274&lt;/D&gt;&lt;D xsi:type="xsd:double"&gt;15.3854635766741&lt;/D&gt;&lt;D xsi:type="xsd:double"&gt;15.3370938775904&lt;/D&gt;&lt;D xsi:type="xsd:double"&gt;15.0659871488982&lt;/D&gt;&lt;D xsi:type="xsd:double"&gt;15.3671968992524&lt;/D&gt;&lt;D xsi:type="xsd:double"&gt;16.0135706797049&lt;/D&gt;&lt;D xsi:type="xsd:double"&gt;16.0421822080188&lt;/D&gt;&lt;D xsi:type="xsd:double"&gt;16.3758355241343&lt;/D&gt;&lt;D xsi:type="xsd:double"&gt;16.6211867572475&lt;/D&gt;&lt;D xsi:type="xsd:double"&gt;16.8486381294236&lt;/D&gt;&lt;D xsi:type="xsd:double"&gt;15.5470260403447&lt;/D&gt;&lt;D xsi:type="xsd:double"&gt;16.61496771401&lt;/D&gt;&lt;D xsi:type="xsd:double"&gt;16.8042791573619&lt;/D&gt;&lt;D xsi:type="xsd:double"&gt;17.1451205748926&lt;/D&gt;&lt;D xsi:type="xsd:double"&gt;17.2475894531346&lt;/D&gt;&lt;D xsi:type="xsd:double"&gt;17.1516790367475&lt;/D&gt;&lt;D xsi:type="xsd:double"&gt;17.6448021530505&lt;/D&gt;&lt;D xsi:type="xsd:double"&gt;18.0604987977565&lt;/D&gt;&lt;D xsi:type="xsd:double"&gt;19.3697067159419&lt;/D&gt;&lt;D xsi:type="xsd:double"&gt;17.9374448088408&lt;/D&gt;&lt;D xsi:type="xsd:double"&gt;18.2564085430675&lt;/D&gt;&lt;D xsi:type="xsd:double"&gt;15.950047666151&lt;/D&gt;&lt;D xsi:type="xsd:double"&gt;18.2675966726484&lt;/D&gt;&lt;D xsi:type="xsd:double"&gt;17.4951899440889&lt;/D&gt;&lt;D xsi:type="xsd:double"&gt;17.5259416523953&lt;/D&gt;&lt;D xsi:type="xsd:double"&gt;17.1076408754544&lt;/D&gt;&lt;D xsi:type="xsd:double"&gt;16.7352821531789&lt;/D&gt;&lt;D xsi:type="xsd:double"&gt;15.994003277034&lt;/D&gt;&lt;D xsi:type="xsd:double"&gt;15.3336481480196&lt;/D&gt;&lt;D xsi:type="xsd:double"&gt;15.1808838796315&lt;/D&gt;&lt;D xsi:type="xsd:double"&gt;14.956373897335&lt;/D&gt;&lt;D xsi:type="xsd:double"&gt;17.2522136526118&lt;/D&gt;&lt;D xsi:type="xsd:double"&gt;17.1150332343812&lt;/D&gt;&lt;D xsi:type="xsd:double"&gt;16.5209022823085&lt;/D&gt;&lt;D xsi:type="xsd:double"&gt;12.3901156080542&lt;/D&gt;&lt;D xsi:type="xsd:double"&gt;12.5036367595624&lt;/D&gt;&lt;D xsi:type="xsd:double"&gt;11.2306103975733&lt;/D&gt;&lt;D xsi:type="xsd:double"&gt;10.9581013508379&lt;/D&gt;&lt;D xsi:type="xsd:double"&gt;11.0321405195403&lt;/D&gt;&lt;D xsi:type="xsd:double"&gt;10.5973193326355&lt;/D&gt;&lt;D xsi:type="xsd:double"&gt;11.1104802163076&lt;/D&gt;&lt;D xsi:type="xsd:double"&gt;11.1694170223434&lt;/D&gt;&lt;D xsi:type="xsd:double"&gt;11.7611329164834&lt;/D&gt;&lt;D xsi:type="xsd:double"&gt;12.192085895003&lt;/D&gt;&lt;D xsi:type="xsd:double"&gt;11.2049615083919&lt;/D&gt;&lt;D xsi:type="xsd:double"&gt;12.0660144502508&lt;/D&gt;&lt;D xsi:type="xsd:double"&gt;12.8843468136168&lt;/D&gt;&lt;D xsi:type="xsd:double"&gt;11.5759454862909&lt;/D&gt;&lt;D xsi:type="xsd:double"&gt;11.5083439793735&lt;/D&gt;&lt;D xsi:type="xsd:double"&gt;11.2394578280007&lt;/D&gt;&lt;D xsi:type="xsd:double"&gt;72.88460212073&lt;/D&gt;&lt;D xsi:type="xsd:double"&gt;14.0868787922507&lt;/D&gt;&lt;D xsi:type="xsd:double"&gt;15.3246193062742&lt;/D&gt;&lt;D xsi:type="xsd:double"&gt;17.3810332614221&lt;/D&gt;&lt;D xsi:type="xsd:double"&gt;17.8323116772933&lt;/D&gt;&lt;D xsi:type="xsd:double"&gt;18.5489719351305&lt;/D&gt;&lt;D xsi:type="xsd:double"&gt;21.3005646263214&lt;/D&gt;&lt;D xsi:type="xsd:double"&gt;23.4078009970028&lt;/D&gt;&lt;D xsi:type="xsd:double"&gt;24.9315203522419&lt;/D&gt;&lt;D xsi:type="xsd:double"&gt;26.4916730431195&lt;/D&gt;&lt;D xsi:type="xsd:double"&gt;32.0424614449146&lt;/D&gt;&lt;D xsi:type="xsd:double"&gt;30.0819693539968&lt;/D&gt;&lt;D xsi:type="xsd:double"&gt;27.7179446303039&lt;/D&gt;&lt;D xsi:type="xsd:double"&gt;25.1219680513048&lt;/D&gt;&lt;D xsi:type="xsd:double"&gt;22.8835877804761&lt;/D&gt;&lt;D xsi:type="xsd:double"&gt;20.3145969820573&lt;/D&gt;&lt;D xsi:type="xsd:double"&gt;18.2329022407408&lt;/D&gt;&lt;D xsi:type="xsd:double"&gt;15.8218779000071&lt;/D&gt;&lt;D xsi:type="xsd:double"&gt;13.5938604535624&lt;/D&gt;&lt;D xsi:type="xsd:double"&gt;10.7851561326897&lt;/D&gt;&lt;D xsi:type="xsd:double"&gt;9.85175329272517&lt;/D&gt;&lt;D xsi:type="xsd:double"&gt;9.79359685249733&lt;/D&gt;&lt;D xsi:type="xsd:double"&gt;9.82235332184996&lt;/D&gt;&lt;D xsi:type="xsd:double"&gt;9.81624402940356&lt;/D&gt;&lt;D xsi:type="xsd:double"&gt;9.3368506009093&lt;/D&gt;&lt;D xsi:type="xsd:double"&gt;8.48512949642842&lt;/D&gt;&lt;D xsi:type="xsd:double"&gt;7.85460131840449&lt;/D&gt;&lt;D xsi:type="xsd:double"&gt;7.52909001461712&lt;/D&gt;&lt;D xsi:type="xsd:double"&gt;7.21713176301919&lt;/D&gt;&lt;D xsi:type="xsd:double"&gt;7.22418934398102&lt;/D&gt;&lt;D xsi:type="xsd:double"&gt;7.38976300218331&lt;/D&gt;&lt;D xsi:type="xsd:double"&gt;5.66139367215522&lt;/D&gt;&lt;D xsi:type="xsd:double"&gt;5.45069675280702&lt;/D&gt;&lt;D xsi:type="xsd:double"&gt;6.01072618887884&lt;/D&gt;&lt;D xsi:type="xsd:double"&gt;5.90125798613029&lt;/D&gt;&lt;D xsi:type="xsd:double"&gt;5.92068146818597&lt;/D&gt;&lt;D xsi:type="xsd:double"&gt;6.5230654468936&lt;/D&gt;&lt;D xsi:type="xsd:double"&gt;6.68535448642208&lt;/D&gt;&lt;D xsi:type="xsd:double"&gt;7.34631671762898&lt;/D&gt;&lt;D xsi:type="xsd:double"&gt;7.91222959345878&lt;/D&gt;&lt;D xsi:type="xsd:double"&gt;7.7252795348915&lt;/D&gt;&lt;D xsi:type="xsd:double"&gt;7.92958065212828&lt;/D&gt;&lt;D xsi:type="xsd:double"&gt;7.81188049145882&lt;/D&gt;&lt;D xsi:type="xsd:double"&gt;8.90205932087053&lt;/D&gt;&lt;D xsi:type="xsd:double"&gt;9.55099093605086&lt;/D&gt;&lt;D xsi:type="xsd:double"&gt;9.95516397724469&lt;/D&gt;&lt;D xsi:type="xsd:double"&gt;10.9452862798441&lt;/D&gt;&lt;D xsi:type="xsd:double"&gt;10.906045678222&lt;/D&gt;&lt;D xsi:type="xsd:double"&gt;10.9473077167705&lt;/D&gt;&lt;D xsi:type="xsd:double"&gt;10.8945784983774&lt;/D&gt;&lt;D xsi:type="xsd:double"&gt;11.0261834976504&lt;/D&gt;&lt;D xsi:type="xsd:double"&gt;10.7899194751863&lt;/D&gt;&lt;D xsi:type="xsd:double"&gt;11.0194918203738&lt;/D&gt;&lt;D xsi:type="xsd:double"&gt;11.3011781846951&lt;/D&gt;&lt;/FQL&gt;&lt;FQL&gt;&lt;Q&gt;PLATI-FDS^FG_PRICE_CHANGE(0,-6AM)&lt;/Q&gt;&lt;R&gt;1&lt;/R&gt;&lt;C&gt;1&lt;/C&gt;&lt;D xsi:type="xsd:double"&gt;-1.43737166324436&lt;/D&gt;&lt;/FQL&gt;&lt;FQL&gt;&lt;Q&gt;TIOS-FDS^MAX(FG_PRICE(0,-5AY))&lt;/Q&gt;&lt;R&gt;1&lt;/R&gt;&lt;C&gt;1&lt;/C&gt;&lt;D xsi:type="xsd:double"&gt;219.77&lt;/D&gt;&lt;/FQL&gt;&lt;FQL&gt;&lt;Q&gt;FC0000TR^FG_PRICE(0)&lt;/Q&gt;&lt;R&gt;1&lt;/R&gt;&lt;C&gt;1&lt;/C&gt;&lt;D xsi:type="xsd:double"&gt;209.4287&lt;/D&gt;&lt;/FQL&gt;&lt;FQL&gt;&lt;Q&gt;KSA^FG_PRICE(0)&lt;/Q&gt;&lt;R&gt;1&lt;/R&gt;&lt;C&gt;1&lt;/C&gt;&lt;D xsi:type="xsd:double"&gt;41.62&lt;/D&gt;&lt;/FQL&gt;&lt;FQL&gt;&lt;Q&gt;QAT^FG_PRICE(0)&lt;/Q&gt;&lt;R&gt;1&lt;/R&gt;&lt;C&gt;1&lt;/C&gt;&lt;D xsi:type="xsd:double"&gt;18.26&lt;/D&gt;&lt;/FQL&gt;&lt;FQL&gt;&lt;Q&gt;EPU^FG_PRICE_MAVG(0,,,,60)&lt;/Q&gt;&lt;R&gt;1&lt;/R&gt;&lt;C&gt;1&lt;/C&gt;&lt;D xsi:type="xsd:double"&gt;40.788548&lt;/D&gt;&lt;/FQL&gt;&lt;FQL&gt;&lt;Q&gt;VNM^FG_TOTAL_RETURNC(0,-1AM)&lt;/Q&gt;&lt;R&gt;1&lt;/R&gt;&lt;C&gt;1&lt;/C&gt;&lt;D xsi:type="xsd:double"&gt;0.40160418&lt;/D&gt;&lt;/FQL&gt;&lt;FQL&gt;&lt;Q&gt;TUR^PERCENT_CHANGE(FMA_EPS(+1,0,,,,"PORTAGG","MEAN"),FMA_EPS(+1,-3AM,,,,"PORTAGG","MEAN"))&lt;/Q&gt;&lt;R&gt;1&lt;/R&gt;&lt;C&gt;1&lt;/C&gt;&lt;D xsi:type="xsd:double"&gt;-24.8419848830277&lt;/D&gt;&lt;/FQL&gt;&lt;FQL&gt;&lt;Q&gt;INDA^FMA_PCT_ABOVE_MAVG(200,0,,,,"PORTAGG")&lt;/Q&gt;&lt;R&gt;1&lt;/R&gt;&lt;C&gt;1&lt;/C&gt;&lt;D xsi:type="xsd:double"&gt;74.3421052631579&lt;/D&gt;&lt;/FQL&gt;&lt;FQL&gt;&lt;Q&gt;EWW^P_PRICE(0)/P_PRICE_LOW_PR(0,,,,,,"PRICE","INTRA","52W")-1&lt;/Q&gt;&lt;R&gt;1&lt;/R&gt;&lt;C&gt;1&lt;/C&gt;&lt;D xsi:type="xsd:double"&gt;0.073060274&lt;/D&gt;&lt;/FQL&gt;&lt;FQL&gt;&lt;Q&gt;EIDO^FG_TOTAL_RETURNC(0,-3AM)&lt;/Q&gt;&lt;R&gt;1&lt;/R&gt;&lt;C&gt;1&lt;/C&gt;&lt;D xsi:type="xsd:double"&gt;7.2844386&lt;/D&gt;&lt;/FQL&gt;&lt;FQL&gt;&lt;Q&gt;VWO^FG_TOTAL_RETURNC(0,-3AM)&lt;/Q&gt;&lt;R&gt;1&lt;/R&gt;&lt;C&gt;1&lt;/C&gt;&lt;D xsi:type="xsd:double"&gt;6.4887404&lt;/D&gt;&lt;/FQL&gt;&lt;FQL&gt;&lt;Q&gt;VNM^SIZE(FG_CONSTITUENTS)&lt;/Q&gt;&lt;R&gt;1&lt;/R&gt;&lt;C&gt;1&lt;/C&gt;&lt;D xsi:type="xsd:long"&gt;47&lt;/D&gt;&lt;/FQL&gt;&lt;FQL&gt;&lt;Q&gt;INDA^FMA_COS_DOWN("EPS","1M",+1,NOW,,,"PORTAGG","MEANR")&lt;/Q&gt;&lt;R&gt;1&lt;/R&gt;&lt;C&gt;1&lt;/C&gt;&lt;D xsi:type="xsd:double"&gt;62&lt;/D&gt;&lt;/FQL&gt;&lt;FQL&gt;&lt;Q&gt;CNYA^SIZE(FG_CONSTITUENTS)&lt;/Q&gt;&lt;R&gt;1&lt;/R&gt;&lt;C&gt;1&lt;/C&gt;&lt;D xsi:type="xsd:long"&gt;433&lt;/D&gt;&lt;/FQL&gt;&lt;FQL&gt;&lt;Q&gt;EWT^FG_ROE(0)&lt;/Q&gt;&lt;R&gt;1&lt;/R&gt;&lt;C&gt;1&lt;/C&gt;&lt;D xsi:type="xsd:double"&gt;11.0394995338802&lt;/D&gt;&lt;/FQL&gt;&lt;FQL&gt;&lt;Q&gt;REFZAREPO-FDS^PROPER_NAME(0,,,"SECURITY","NAME")&lt;/Q&gt;&lt;R&gt;1&lt;/R&gt;&lt;C&gt;1&lt;/C&gt;&lt;D xsi:type="xsd:string"&gt;South Africa Repo Rate&lt;/D&gt;&lt;/FQL&gt;&lt;FQL&gt;&lt;Q&gt;TRYVN10Y-FDS^PCTCHG(FG_YIELD(0,,,,"YTM"),FG_YIELD(-1AM,,,,"YTM"))&lt;/Q&gt;&lt;R&gt;1&lt;/R&gt;&lt;C&gt;1&lt;/C&gt;&lt;D xsi:type="xsd:double"&gt;7.141849&lt;/D&gt;&lt;/FQL&gt;&lt;FQL&gt;&lt;Q&gt;TRYKR10Y-FDS^PCTCHG(FG_YIELD(0,,,,"YTM"),FG_YIELD(-1AM,,,,"YTM"))&lt;/Q&gt;&lt;R&gt;1&lt;/R&gt;&lt;C&gt;1&lt;/C&gt;&lt;D xsi:type="xsd:double"&gt;2.657038&lt;/D&gt;&lt;/FQL&gt;&lt;FQL&gt;&lt;Q&gt;TRYGR10Y-FDS^FG_YIELD_NAME&lt;/Q&gt;&lt;R&gt;1&lt;/R&gt;&lt;C&gt;1&lt;/C&gt;&lt;D xsi:type="xsd:string"&gt;Greece Benchmark Bond - 10 Year&lt;/D&gt;&lt;/FQL&gt;&lt;FQL&gt;&lt;Q&gt;CC_MX^IMF_IFS_RCPI_Q(0)&lt;/Q&gt;&lt;R&gt;0&lt;/R&gt;&lt;C&gt;0&lt;/C&gt;&lt;/FQL&gt;&lt;FQL&gt;&lt;Q&gt;VGK^FMA_DIV_YLD(NTMA,NOW,NOW,M,"PORTAGG","MEANR")&lt;/Q&gt;&lt;R&gt;1&lt;/R&gt;&lt;C&gt;1&lt;/C&gt;&lt;D xsi:type="xsd:double"&gt;3.48221003272562&lt;/D&gt;&lt;/FQL&gt;&lt;FQL&gt;&lt;Q&gt;SET-BKK^JULIAN(FMA_DIV_YLD(NTMA,NOW,NOW,M,"PORTAGG","MEANR").DATES)&lt;/Q&gt;&lt;R&gt;1&lt;/R&gt;&lt;C&gt;1&lt;/C&gt;&lt;D xsi:type="xsd:long"&gt;45565&lt;/D&gt;&lt;/FQL&gt;&lt;FQL&gt;&lt;Q&gt;EWZ^FG_FCF_YIELD_NTM(0)&lt;/Q&gt;&lt;R&gt;1&lt;/R&gt;&lt;C&gt;1&lt;/C&gt;&lt;D xsi:type="xsd:double"&gt;9.30464123658194&lt;/D&gt;&lt;/FQL&gt;&lt;FQL&gt;&lt;Q&gt;EIDO^FMA_DIV_YLD(NTMA,NOW,NOW,M,"PORTAGG","MEANR")&lt;/Q&gt;&lt;R&gt;1&lt;/R&gt;&lt;C&gt;1&lt;/C&gt;&lt;D xsi:type="xsd:double"&gt;4.11782638530422&lt;/D&gt;&lt;/FQL&gt;&lt;FQL&gt;&lt;Q&gt;KSA^FG_COMPANY_NAME&lt;/Q&gt;&lt;R&gt;1&lt;/R&gt;&lt;C&gt;1&lt;/C&gt;&lt;D xsi:type="xsd:string"&gt;iShares MSCI Saudi Arabia ETF&lt;/D&gt;&lt;/FQL&gt;&lt;FQL&gt;&lt;Q&gt;EPOL^FG_COMPANY_NAME&lt;/Q&gt;&lt;R&gt;1&lt;/R&gt;&lt;C&gt;1&lt;/C&gt;&lt;D xsi:type="xsd:string"&gt;iShares MSCI Poland ETF&lt;/D&gt;&lt;/FQL&gt;&lt;FQL&gt;&lt;Q&gt;EWZ^FMA_ROE(NTMA,-20AY,NOW,FY,"PORTAGG","MEANR")&lt;/Q&gt;&lt;R&gt;20&lt;/R&gt;&lt;C&gt;1&lt;/C&gt;&lt;D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xsi:type="xsd:double"&gt;14.5227361539118&lt;/D&gt;&lt;D xsi:type="xsd:double"&gt;16.6192198265802&lt;/D&gt;&lt;D xsi:type="xsd:double"&gt;20.4560772449861&lt;/D&gt;&lt;D xsi:type="xsd:double"&gt;19.4075515639097&lt;/D&gt;&lt;D xsi:type="xsd:double"&gt;18.6067332701542&lt;/D&gt;&lt;/FQL&gt;&lt;FQL&gt;&lt;Q&gt;TRYCH10Y-FDS^FG_YIELD(-10AY,0,Y,,"YTM")&lt;/Q&gt;&lt;R&gt;10&lt;/R&gt;&lt;C&gt;1&lt;/C&gt;&lt;D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xsi:type="xsd:double"&gt;0.703&lt;/D&gt;&lt;/FQL&gt;&lt;FQL&gt;&lt;Q&gt;CAGDPY@SA^EE_ACTUAL_ANNUAL(MED,+1)&lt;/Q&gt;&lt;R&gt;1&lt;/R&gt;&lt;C&gt;1&lt;/C&gt;&lt;D xsi:type="xsd:double"&gt;1.8&lt;/D&gt;&lt;/FQL&gt;&lt;FQL&gt;&lt;Q&gt;CC_PE^FG_COMPANY_NAME&lt;/Q&gt;&lt;R&gt;1&lt;/R&gt;&lt;C&gt;1&lt;/C&gt;&lt;D xsi:type="xsd:string"&gt;Peru&lt;/D&gt;&lt;/FQL&gt;&lt;FQL&gt;&lt;Q&gt;USDTHB^STD(FG_PRICE_CHANGE(0,-3AY,M))&lt;/Q&gt;&lt;R&gt;1&lt;/R&gt;&lt;C&gt;1&lt;/C&gt;&lt;D xsi:type="xsd:double"&gt;3.11462645092391&lt;/D&gt;&lt;/FQL&gt;&lt;FQL&gt;&lt;Q&gt;USDEUR^FG_PRICE(0)&lt;/Q&gt;&lt;R&gt;1&lt;/R&gt;&lt;C&gt;1&lt;/C&gt;&lt;D xsi:type="xsd:double"&gt;0.9154994&lt;/D&gt;&lt;/FQL&gt;&lt;FQL&gt;&lt;Q&gt;USDKRW^STD(FG_PRICE_CHANGE(0,-1AY,AM))&lt;/Q&gt;&lt;R&gt;1&lt;/R&gt;&lt;C&gt;1&lt;/C&gt;&lt;D xsi:type="xsd:double"&gt;1.38707729548526&lt;/D&gt;&lt;/FQL&gt;&lt;FQL&gt;&lt;Q&gt;USDPEN^FG_COMPANY_NAME&lt;/Q&gt;&lt;R&gt;1&lt;/R&gt;&lt;C&gt;1&lt;/C&gt;&lt;D xsi:type="xsd:string"&gt;Peruvian New Sol per U.S. Dollar&lt;/D&gt;&lt;/FQL&gt;&lt;FQL&gt;&lt;Q&gt;USDCNH^FG_PRICE_CHANGE(0,-1AM)&lt;/Q&gt;&lt;R&gt;1&lt;/R&gt;&lt;C&gt;1&lt;/C&gt;&lt;D xsi:type="xsd:double"&gt;-0.5641639&lt;/D&gt;&lt;/FQL&gt;&lt;FQL&gt;&lt;Q&gt;FC0000PL^FMA_EPS(NTMA,-20AY,0,CY,,"PORTAGG","MEANR")&lt;/Q&gt;&lt;R&gt;20&lt;/R&gt;&lt;C&gt;1&lt;/C&gt;&lt;D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xsi:type="xsd:double"&gt;17.0889243836624&lt;/D&gt;&lt;D xsi:type="xsd:double"&gt;23.3955887248491&lt;/D&gt;&lt;/FQL&gt;&lt;FQL&gt;&lt;Q&gt;EWZ^FG_TOTAL_RETURNC(-10AY,0,AM)&lt;/Q&gt;&lt;R&gt;121&lt;/R&gt;&lt;C&gt;1&lt;/C&gt;&lt;D xsi:type="xsd:double"&gt;-10.1204815&lt;/D&gt;&lt;D xsi:type="xsd:double"&gt;-9.361034&lt;/D&gt;&lt;D xsi:type="xsd:double"&gt;-8.25733&lt;/D&gt;&lt;D xsi:type="xsd:double"&gt;-1.6602278&lt;/D&gt;&lt;D xsi:type="xsd:double"&gt;-6.441796&lt;/D&gt;&lt;D xsi:type="xsd:double"&gt;-9.988183&lt;/D&gt;&lt;D xsi:type="xsd:double"&gt;13.099157&lt;/D&gt;&lt;D xsi:type="xsd:double"&gt;7.9535484&lt;/D&gt;&lt;D xsi:type="xsd:double"&gt;-9.572458&lt;/D&gt;&lt;D xsi:type="xsd:double"&gt;-2.8814256&lt;/D&gt;&lt;D xsi:type="xsd:double"&gt;-13.474739&lt;/D&gt;&lt;D xsi:type="xsd:double"&gt;-16.546505&lt;/D&gt;&lt;D xsi:type="xsd:double"&gt;9.071279&lt;/D&gt;&lt;D xsi:type="xsd:double"&gt;-5.821782&lt;/D&gt;&lt;D xsi:type="xsd:double"&gt;-3.7426472&lt;/D&gt;&lt;D xsi:type="xsd:double"&gt;-15.665567&lt;/D&gt;&lt;D xsi:type="xsd:double"&gt;3.3263445&lt;/D&gt;&lt;D xsi:type="xsd:double"&gt;31.660318&lt;/D&gt;&lt;D xsi:type="xsd:double"&gt;2.2718549&lt;/D&gt;&lt;D xsi:type="xsd:double"&gt;9.111452&lt;/D&gt;&lt;D xsi:type="xsd:double"&gt;-6.107664&lt;/D&gt;&lt;D xsi:type="xsd:double"&gt;12.519741&lt;/D&gt;&lt;D xsi:type="xsd:double"&gt;12.273777&lt;/D&gt;&lt;D xsi:type="xsd:double"&gt;-3.0480564&lt;/D&gt;&lt;D xsi:type="xsd:double"&gt;8.434093&lt;/D&gt;&lt;D xsi:type="xsd:double"&gt;-6.746578&lt;/D&gt;&lt;D xsi:type="xsd:double"&gt;-1.8834114&lt;/D&gt;&lt;D xsi:type="xsd:double"&gt;8.760881&lt;/D&gt;&lt;D xsi:type="xsd:double"&gt;8.567381&lt;/D&gt;&lt;D xsi:type="xsd:double"&gt;-3.0049682&lt;/D&gt;&lt;D xsi:type="xsd:double"&gt;-0.0538826&lt;/D&gt;&lt;D xsi:type="xsd:double"&gt;3.9892316&lt;/D&gt;&lt;D xsi:type="xsd:double"&gt;-11.2493515&lt;/D&gt;&lt;D xsi:type="xsd:double"&gt;2.0801306&lt;/D&gt;&lt;D xsi:type="xsd:double"&gt;8.511257&lt;/D&gt;&lt;D xsi:type="xsd:double"&gt;11.459708&lt;/D&gt;&lt;D xsi:type="xsd:double"&gt;2.1469474&lt;/D&gt;&lt;D xsi:type="xsd:double"&gt;-9.318071&lt;/D&gt;&lt;D xsi:type="xsd:double"&gt;0.46354532&lt;/D&gt;&lt;D xsi:type="xsd:double"&gt;9.617782&lt;/D&gt;&lt;D xsi:type="xsd:double"&gt;2.0089746&lt;/D&gt;&lt;D xsi:type="xsd:double"&gt;6.5569997&lt;/D&gt;&lt;D xsi:type="xsd:double"&gt;-6.892806&lt;/D&gt;&lt;D xsi:type="xsd:double"&gt;-2.2419393&lt;/D&gt;&lt;D xsi:type="xsd:double"&gt;-18.442429&lt;/D&gt;&lt;D xsi:type="xsd:double"&gt;0.28316975&lt;/D&gt;&lt;D xsi:type="xsd:double"&gt;0.44523478&lt;/D&gt;&lt;D xsi:type="xsd:double"&gt;-5.0236406&lt;/D&gt;&lt;D xsi:type="xsd:double"&gt;18.606102&lt;/D&gt;&lt;D xsi:type="xsd:double"&gt;3.5152197&lt;/D&gt;&lt;D xsi:type="xsd:double"&gt;-4.6376047&lt;/D&gt;&lt;D xsi:type="xsd:double"&gt;15.743673&lt;/D&gt;&lt;D xsi:type="xsd:double"&gt;0.3962636&lt;/D&gt;&lt;D xsi:type="xsd:double"&gt;-3.2505274&lt;/D&gt;&lt;D xsi:type="xsd:double"&gt;1.3918877&lt;/D&gt;&lt;D xsi:type="xsd:double"&gt;-4.7337294&lt;/D&gt;&lt;D xsi:type="xsd:double"&gt;5.0186396&lt;/D&gt;&lt;D xsi:type="xsd:double"&gt;11.95904&lt;/D&gt;&lt;D xsi:type="xsd:double"&gt;-5.863464&lt;/D&gt;&lt;D xsi:type="xsd:double"&gt;-4.501033&lt;/D&gt;&lt;D xsi:type="xsd:double"&gt;-1.9995272&lt;/D&gt;&lt;D xsi:type="xsd:double"&gt;4.4935703&lt;/D&gt;&lt;D xsi:type="xsd:double"&gt;3.2310486&lt;/D&gt;&lt;D xsi:type="xsd:double"&gt;5.726111&lt;/D&gt;&lt;D xsi:type="xsd:double"&gt;-7.0888224&lt;/D&gt;&lt;D xsi:type="xsd:double"&gt;-23.679924&lt;/D&gt;&lt;D xsi:type="xsd:double"&gt;-21.82262&lt;/D&gt;&lt;D xsi:type="xsd:double"&gt;-8.693957&lt;/D&gt;&lt;D xsi:type="xsd:double"&gt;35.695995&lt;/D&gt;&lt;D xsi:type="xsd:double"&gt;-1.9426107&lt;/D&gt;&lt;D xsi:type="xsd:double"&gt;1.2341619&lt;/D&gt;&lt;D xsi:type="xsd:double"&gt;-3.047806&lt;/D&gt;&lt;D xsi:type="xsd:double"&gt;-4.169422&lt;/D&gt;&lt;D xsi:type="xsd:double"&gt;9.599447&lt;/D&gt;&lt;D xsi:type="xsd:double"&gt;17.80088&lt;/D&gt;&lt;D xsi:type="xsd:double"&gt;1.5979528&lt;/D&gt;&lt;D xsi:type="xsd:double"&gt;-5.30504&lt;/D&gt;&lt;D xsi:type="xsd:double"&gt;-9.439773&lt;/D&gt;&lt;D xsi:type="xsd:double"&gt;3.8045168&lt;/D&gt;&lt;D xsi:type="xsd:double"&gt;12.932062&lt;/D&gt;&lt;D xsi:type="xsd:double"&gt;9.541059&lt;/D&gt;&lt;D xsi:type="xsd:double"&gt;-5.5514812&lt;/D&gt;&lt;D xsi:type="xsd:double"&gt;-2.6670098&lt;/D&gt;&lt;D xsi:type="xsd:double"&gt;-7.9542456&lt;/D&gt;&lt;D xsi:type="xsd:double"&gt;-6.1271667&lt;/D&gt;&lt;D xsi:type="xsd:double"&gt;-6.3115716&lt;/D&gt;&lt;D xsi:type="xsd:double"&gt;0.82155466&lt;/D&gt;&lt;D xsi:type="xsd:double"&gt;-5.341035&lt;/D&gt;&lt;D xsi:type="xsd:double"&gt;20.15562&lt;/D&gt;&lt;D xsi:type="xsd:double"&gt;5.5812597&lt;/D&gt;&lt;D xsi:type="xsd:double"&gt;10.572422&lt;/D&gt;&lt;D xsi:type="xsd:double"&gt;-19.968307&lt;/D&gt;&lt;D xsi:type="xsd:double"&gt;5.55737&lt;/D&gt;&lt;D xsi:type="xsd:double"&gt;-9.793645&lt;/D&gt;&lt;D xsi:type="xsd:double"&gt;14.052284&lt;/D&gt;&lt;D xsi:type="xsd:double"&gt;0.25469065&lt;/D&gt;&lt;D xsi:type="xsd:double"&gt;3.0485868&lt;/D&gt;&lt;D xsi:type="xsd:double"&gt;-8.751928&lt;/D&gt;&lt;D xsi:type="xsd:double"&gt;1.1144876&lt;/D&gt;&lt;D xsi:type="xsd:double"&gt;3.602922&lt;/D&gt;&lt;D xsi:type="xsd:double"&gt;-2.4982631&lt;/D&gt;&lt;D xsi:type="xsd:double"&gt;-3.8434148&lt;/D&gt;&lt;D xsi:type="xsd:double"&gt;1.221323&lt;/D&gt;&lt;D xsi:type="xsd:double"&gt;7.3126197&lt;/D&gt;&lt;D xsi:type="xsd:double"&gt;10.308731&lt;/D&gt;&lt;D xsi:type="xsd:double"&gt;0.2215147&lt;/D&gt;&lt;D xsi:type="xsd:double"&gt;0.37890673&lt;/D&gt;&lt;D xsi:type="xsd:double"&gt;-3.8062334&lt;/D&gt;&lt;D xsi:type="xsd:double"&gt;0.098109245&lt;/D&gt;&lt;D xsi:type="xsd:double"&gt;5.847764&lt;/D&gt;&lt;D xsi:type="xsd:double"&gt;4.4752955&lt;/D&gt;&lt;D xsi:type="xsd:double"&gt;4.043019&lt;/D&gt;&lt;D xsi:type="xsd:double"&gt;-3.1185687&lt;/D&gt;&lt;D xsi:type="xsd:double"&gt;-1.8220425&lt;/D&gt;&lt;D xsi:type="xsd:double"&gt;-0.7732749&lt;/D&gt;&lt;D xsi:type="xsd:double"&gt;-1.4650881&lt;/D&gt;&lt;D xsi:type="xsd:double"&gt;-9.490669&lt;/D&gt;&lt;D xsi:type="xsd:double"&gt;4.0412664&lt;/D&gt;&lt;D xsi:type="xsd:double"&gt;1.2491345&lt;/D&gt;&lt;D xsi:type="xsd:double"&gt;-0.5825937&lt;/D&gt;&lt;D xsi:type="xsd:double"&gt;-1.7235458&lt;/D&gt;&lt;/FQL&gt;&lt;FQL&gt;&lt;Q&gt;TUR^FMA_PE(NTMA,-10AY,0,AM,"PORTAGG","MEANR")&lt;/Q&gt;&lt;R&gt;121&lt;/R&gt;&lt;C&gt;1&lt;/C&gt;&lt;D xsi:type="xsd:double"&gt;9.25772920408251&lt;/D&gt;&lt;D xsi:type="xsd:double"&gt;9.71059045737226&lt;/D&gt;&lt;D xsi:type="xsd:double"&gt;10.3632203615197&lt;/D&gt;&lt;D xsi:type="xsd:double"&gt;10.7346640027314&lt;/D&gt;&lt;D xsi:type="xsd:double"&gt;10.1479090012522&lt;/D&gt;&lt;D xsi:type="xsd:double"&gt;9.55521998869362&lt;/D&gt;&lt;D xsi:type="xsd:double"&gt;10.0369986262866&lt;/D&gt;&lt;D xsi:type="xsd:double"&gt;10.3081748953305&lt;/D&gt;&lt;D xsi:type="xsd:double"&gt;9.69956230488488&lt;/D&gt;&lt;D xsi:type="xsd:double"&gt;10.0412616213313&lt;/D&gt;&lt;D xsi:type="xsd:double"&gt;9.28120073589291&lt;/D&gt;&lt;D xsi:type="xsd:double"&gt;8.49422903521666&lt;/D&gt;&lt;D xsi:type="xsd:double"&gt;9.34199826886111&lt;/D&gt;&lt;D xsi:type="xsd:double"&gt;9.52662820874305&lt;/D&gt;&lt;D xsi:type="xsd:double"&gt;8.28620413743734&lt;/D&gt;&lt;D xsi:type="xsd:double"&gt;7.95817230717621&lt;/D&gt;&lt;D xsi:type="xsd:double"&gt;8.0862756559668&lt;/D&gt;&lt;D xsi:type="xsd:double"&gt;8.80389707192081&lt;/D&gt;&lt;D xsi:type="xsd:double"&gt;8.99447090378398&lt;/D&gt;&lt;D xsi:type="xsd:double"&gt;8.60182602612423&lt;/D&gt;&lt;D xsi:type="xsd:double"&gt;8.3630144731322&lt;/D&gt;&lt;D xsi:type="xsd:double"&gt;8.39298229157331&lt;/D&gt;&lt;D xsi:type="xsd:double"&gt;8.34746625987894&lt;/D&gt;&lt;D xsi:type="xsd:double"&gt;8.40770986865114&lt;/D&gt;&lt;D xsi:type="xsd:double"&gt;8.34704979695951&lt;/D&gt;&lt;D xsi:type="xsd:double"&gt;7.82523842372255&lt;/D&gt;&lt;D xsi:type="xsd:double"&gt;7.50778960978856&lt;/D&gt;&lt;D xsi:type="xsd:double"&gt;7.5739223027041&lt;/D&gt;&lt;D xsi:type="xsd:double"&gt;8.49940923022702&lt;/D&gt;&lt;D xsi:type="xsd:double"&gt;8.49941116184729&lt;/D&gt;&lt;D xsi:type="xsd:double"&gt;8.4909970562534&lt;/D&gt;&lt;D xsi:type="xsd:double"&gt;8.74104927447643&lt;/D&gt;&lt;D xsi:type="xsd:double"&gt;8.67109422923268&lt;/D&gt;&lt;D xsi:type="xsd:double"&gt;8.60642020955719&lt;/D&gt;&lt;D xsi:type="xsd:double"&gt;8.69218746452904&lt;/D&gt;&lt;D xsi:type="xsd:double"&gt;8.52458322049212&lt;/D&gt;&lt;D xsi:type="xsd:double"&gt;7.97316484986774&lt;/D&gt;&lt;D xsi:type="xsd:double"&gt;8.22204843955991&lt;/D&gt;&lt;D xsi:type="xsd:double"&gt;8.06236495340148&lt;/D&gt;&lt;D xsi:type="xsd:double"&gt;8.0375627654466&lt;/D&gt;&lt;D xsi:type="xsd:double"&gt;7.83583709857051&lt;/D&gt;&lt;D xsi:type="xsd:double"&gt;7.96587214662789&lt;/D&gt;&lt;D xsi:type="xsd:double"&gt;7.3936276099911&lt;/D&gt;&lt;D xsi:type="xsd:double"&gt;6.73853449583513&lt;/D&gt;&lt;D xsi:type="xsd:double"&gt;6.26241572707067&lt;/D&gt;&lt;D xsi:type="xsd:double"&gt;6.27222866273511&lt;/D&gt;&lt;D xsi:type="xsd:double"&gt;6.08862477627734&lt;/D&gt;&lt;D xsi:type="xsd:double"&gt;5.82852566514688&lt;/D&gt;&lt;D xsi:type="xsd:double"&gt;5.95074976012089&lt;/D&gt;&lt;D xsi:type="xsd:double"&gt;5.68227045951175&lt;/D&gt;&lt;D xsi:type="xsd:double"&gt;5.96544877557944&lt;/D&gt;&lt;D xsi:type="xsd:double"&gt;6.03025551661309&lt;/D&gt;&lt;D xsi:type="xsd:double"&gt;7.07854625359696&lt;/D&gt;&lt;D xsi:type="xsd:double"&gt;7.17623584581326&lt;/D&gt;&lt;D xsi:type="xsd:double"&gt;6.33211869540613&lt;/D&gt;&lt;D xsi:type="xsd:double"&gt;5.73617572916522&lt;/D&gt;&lt;D xsi:type="xsd:double"&gt;6.16207535510496&lt;/D&gt;&lt;D xsi:type="xsd:double"&gt;6.40383636583471&lt;/D&gt;&lt;D xsi:type="xsd:double"&gt;6.42293181199658&lt;/D&gt;&lt;D xsi:type="xsd:double"&gt;6.37484862992282&lt;/D&gt;&lt;D xsi:type="xsd:double"&gt;6.12404809528275&lt;/D&gt;&lt;D xsi:type="xsd:double"&gt;6.28908267564606&lt;/D&gt;&lt;D xsi:type="xsd:double"&gt;6.20320733348209&lt;/D&gt;&lt;D xsi:type="xsd:double"&gt;6.63338500109747&lt;/D&gt;&lt;D xsi:type="xsd:double"&gt;6.54398885118982&lt;/D&gt;&lt;D xsi:type="xsd:double"&gt;5.68500144367906&lt;/D&gt;&lt;D xsi:type="xsd:double"&gt;5.58824276698309&lt;/D&gt;&lt;D xsi:type="xsd:double"&gt;6.4001865258938&lt;/D&gt;&lt;D xsi:type="xsd:double"&gt;8.06400095864191&lt;/D&gt;&lt;D xsi:type="xsd:double"&gt;8.29335135616294&lt;/D&gt;&lt;D xsi:type="xsd:double"&gt;7.42809279335919&lt;/D&gt;&lt;D xsi:type="xsd:double"&gt;7.54132285641704&lt;/D&gt;&lt;D xsi:type="xsd:double"&gt;7.63537265161447&lt;/D&gt;&lt;D xsi:type="xsd:double"&gt;7.92708377791386&lt;/D&gt;&lt;D xsi:type="xsd:double"&gt;7.69987666367995&lt;/D&gt;&lt;D xsi:type="xsd:double"&gt;8.09236153437202&lt;/D&gt;&lt;D xsi:type="xsd:double"&gt;7.56378569423131&lt;/D&gt;&lt;D xsi:type="xsd:double"&gt;7.32577763649972&lt;/D&gt;&lt;D xsi:type="xsd:double"&gt;6.3479917566726&lt;/D&gt;&lt;D xsi:type="xsd:double"&gt;6.39257727663484&lt;/D&gt;&lt;D xsi:type="xsd:double"&gt;6.18028157265374&lt;/D&gt;&lt;D xsi:type="xsd:double"&gt;5.66610957763667&lt;/D&gt;&lt;D xsi:type="xsd:double"&gt;5.62053262704841&lt;/D&gt;&lt;D xsi:type="xsd:double"&gt;5.3313864763967&lt;/D&gt;&lt;D xsi:type="xsd:double"&gt;5.10761164404184&lt;/D&gt;&lt;D xsi:type="xsd:double"&gt;5.5802190916866&lt;/D&gt;&lt;D xsi:type="xsd:double"&gt;6.45604169197929&lt;/D&gt;&lt;D xsi:type="xsd:double"&gt;5.95131830881464&lt;/D&gt;&lt;D xsi:type="xsd:double"&gt;4.65153027766986&lt;/D&gt;&lt;D xsi:type="xsd:double"&gt;4.41244207710546&lt;/D&gt;&lt;D xsi:type="xsd:double"&gt;4.95875955567096&lt;/D&gt;&lt;D xsi:type="xsd:double"&gt;4.54233888110979&lt;/D&gt;&lt;D xsi:type="xsd:double"&gt;4.75196714412436&lt;/D&gt;&lt;D xsi:type="xsd:double"&gt;4.23031208289849&lt;/D&gt;&lt;D xsi:type="xsd:double"&gt;4.44173019510527&lt;/D&gt;&lt;D xsi:type="xsd:double"&gt;4.96715529891111&lt;/D&gt;&lt;D xsi:type="xsd:double"&gt;4.71387007935379&lt;/D&gt;&lt;D xsi:type="xsd:double"&gt;5.36297710785084&lt;/D&gt;&lt;D xsi:type="xsd:double"&gt;5.44102217564041&lt;/D&gt;&lt;D xsi:type="xsd:double"&gt;5.22902338850085&lt;/D&gt;&lt;D xsi:type="xsd:double"&gt;4.51369483956024&lt;/D&gt;&lt;D xsi:type="xsd:double"&gt;5.20396633017314&lt;/D&gt;&lt;D xsi:type="xsd:double"&gt;4.8109834340931&lt;/D&gt;&lt;D xsi:type="xsd:double"&gt;4.13994529422153&lt;/D&gt;&lt;D xsi:type="xsd:double"&gt;5.01023595919471&lt;/D&gt;&lt;D xsi:type="xsd:double"&gt;5.44024979243629&lt;/D&gt;&lt;D xsi:type="xsd:double"&gt;5.92820733925386&lt;/D&gt;&lt;D xsi:type="xsd:double"&gt;6.32377200631537&lt;/D&gt;&lt;D xsi:type="xsd:double"&gt;6.01176069145707&lt;/D&gt;&lt;D xsi:type="xsd:double"&gt;4.80981933250636&lt;/D&gt;&lt;D xsi:type="xsd:double"&gt;4.74662195300258&lt;/D&gt;&lt;D xsi:type="xsd:double"&gt;4.63156667808676&lt;/D&gt;&lt;D xsi:type="xsd:double"&gt;5.26354216580297&lt;/D&gt;&lt;D xsi:type="xsd:double"&gt;5.18994637070409&lt;/D&gt;&lt;D xsi:type="xsd:double"&gt;5.59186420980253&lt;/D&gt;&lt;D xsi:type="xsd:double"&gt;5.67392950224&lt;/D&gt;&lt;D xsi:type="xsd:double"&gt;5.55662052226664&lt;/D&gt;&lt;D xsi:type="xsd:double"&gt;6.14157175391869&lt;/D&gt;&lt;D xsi:type="xsd:double"&gt;5.64713231393972&lt;/D&gt;&lt;D xsi:type="xsd:double"&gt;5.77930642587443&lt;/D&gt;&lt;D xsi:type="xsd:double"&gt;5.44856405552616&lt;/D&gt;&lt;/FQL&gt;&lt;FQL&gt;&lt;Q&gt;VNM^FMA_PE(LTMA,-10AY,0,AM,"PORTAGG","MEANR")&lt;/Q&gt;&lt;R&gt;121&lt;/R&gt;&lt;C&gt;1&lt;/C&gt;&lt;D xsi:type="xsd:double"&gt;13.2996127718321&lt;/D&gt;&lt;D xsi:type="xsd:double"&gt;13.3515576536881&lt;/D&gt;&lt;D xsi:type="xsd:double"&gt;13.0088941648517&lt;/D&gt;&lt;D xsi:type="xsd:double"&gt;12.4234587064885&lt;/D&gt;&lt;D xsi:type="xsd:double"&gt;12.4023954824371&lt;/D&gt;&lt;D xsi:type="xsd:double"&gt;16.8342719427625&lt;/D&gt;&lt;D xsi:type="xsd:double"&gt;16.6227323922065&lt;/D&gt;&lt;D xsi:type="xsd:double"&gt;16.7545316189997&lt;/D&gt;&lt;D xsi:type="xsd:double"&gt;16.6019308390308&lt;/D&gt;&lt;D xsi:type="xsd:double"&gt;17.2711323352485&lt;/D&gt;&lt;D xsi:type="xsd:double"&gt;17.0611275314339&lt;/D&gt;&lt;D xsi:type="xsd:double"&gt;17.6568538660225&lt;/D&gt;&lt;D xsi:type="xsd:double"&gt;19.3254413481735&lt;/D&gt;&lt;D xsi:type="xsd:double"&gt;20.8355877380775&lt;/D&gt;&lt;D xsi:type="xsd:double"&gt;23.1172436754002&lt;/D&gt;&lt;D xsi:type="xsd:double"&gt;33.155498142528&lt;/D&gt;&lt;D xsi:type="xsd:double"&gt;19.0565573632534&lt;/D&gt;&lt;D xsi:type="xsd:double"&gt;-5.08009518695797&lt;/D&gt;&lt;D xsi:type="xsd:double"&gt;-3.82928689930894&lt;/D&gt;&lt;D xsi:type="xsd:double"&gt;-1.84249470337237&lt;/D&gt;&lt;D xsi:type="xsd:double"&gt;0.300473710697276&lt;/D&gt;&lt;D xsi:type="xsd:double"&gt;1.7668766276775&lt;/D&gt;&lt;D xsi:type="xsd:double"&gt;3.57741664163216&lt;/D&gt;&lt;D xsi:type="xsd:double"&gt;5.35848915133393&lt;/D&gt;&lt;D xsi:type="xsd:double"&gt;10.1158769985974&lt;/</t>
        </r>
      </text>
    </comment>
    <comment ref="A8" authorId="0" shapeId="0" xr:uid="{986DB7C2-C02C-402E-BFE9-7CCBFDC7F3A7}">
      <text>
        <r>
          <rPr>
            <b/>
            <sz val="9"/>
            <color indexed="81"/>
            <rFont val="Tahoma"/>
            <charset val="1"/>
          </rPr>
          <t>D&gt;&lt;D xsi:type="xsd:double"&gt;11.3771347276674&lt;/D&gt;&lt;D xsi:type="xsd:double"&gt;12.8855429861965&lt;/D&gt;&lt;D xsi:type="xsd:double"&gt;14.9311758551269&lt;/D&gt;&lt;D xsi:type="xsd:double"&gt;15.3417454380471&lt;/D&gt;&lt;D xsi:type="xsd:double"&gt;15.536791518233&lt;/D&gt;&lt;D xsi:type="xsd:double"&gt;15.7060316587457&lt;/D&gt;&lt;D xsi:type="xsd:double"&gt;15.9727978904117&lt;/D&gt;&lt;D xsi:type="xsd:double"&gt;15.7534481511605&lt;/D&gt;&lt;D xsi:type="xsd:double"&gt;16.6241722080648&lt;/D&gt;&lt;D xsi:type="xsd:double"&gt;17.4115586718&lt;/D&gt;&lt;D xsi:type="xsd:double"&gt;17.7422820245235&lt;/D&gt;&lt;D xsi:type="xsd:double"&gt;18.0429142073319&lt;/D&gt;&lt;D xsi:type="xsd:double"&gt;18.8628638558591&lt;/D&gt;&lt;D xsi:type="xsd:double"&gt;20.9416085839788&lt;/D&gt;&lt;D xsi:type="xsd:double"&gt;24.2940780663239&lt;/D&gt;&lt;D xsi:type="xsd:double"&gt;23.2628818047975&lt;/D&gt;&lt;D xsi:type="xsd:double"&gt;24.5614445993209&lt;/D&gt;&lt;D xsi:type="xsd:double"&gt;24.619006958378&lt;/D&gt;&lt;D xsi:type="xsd:double"&gt;23.9224985750205&lt;/D&gt;&lt;D xsi:type="xsd:double"&gt;23.9835446598726&lt;/D&gt;&lt;D xsi:type="xsd:double"&gt;21.4714883497627&lt;/D&gt;&lt;D xsi:type="xsd:double"&gt;21.9454476514239&lt;/D&gt;&lt;D xsi:type="xsd:double"&gt;21.8494783939906&lt;/D&gt;&lt;D xsi:type="xsd:double"&gt;20.7882090538221&lt;/D&gt;&lt;D xsi:type="xsd:double"&gt;19.644458453765&lt;/D&gt;&lt;D xsi:type="xsd:double"&gt;19.5698855712575&lt;/D&gt;&lt;D xsi:type="xsd:double"&gt;17.9290171850424&lt;/D&gt;&lt;D xsi:type="xsd:double"&gt;18.0142620262685&lt;/D&gt;&lt;D xsi:type="xsd:double"&gt;19.6696252695469&lt;/D&gt;&lt;D xsi:type="xsd:double"&gt;19.7536356934051&lt;/D&gt;&lt;D xsi:type="xsd:double"&gt;19.5039497719128&lt;/D&gt;&lt;D xsi:type="xsd:double"&gt;19.3555165841179&lt;/D&gt;&lt;D xsi:type="xsd:double"&gt;19.1432615501469&lt;/D&gt;&lt;D xsi:type="xsd:double"&gt;18.4361351675985&lt;/D&gt;&lt;D xsi:type="xsd:double"&gt;17.373311576349&lt;/D&gt;&lt;D xsi:type="xsd:double"&gt;17.3021191871215&lt;/D&gt;&lt;D xsi:type="xsd:double"&gt;17.4688406079819&lt;/D&gt;&lt;D xsi:type="xsd:double"&gt;17.5354212987871&lt;/D&gt;&lt;D xsi:type="xsd:double"&gt;16.5328098375576&lt;/D&gt;&lt;D xsi:type="xsd:double"&gt;15.191600843637&lt;/D&gt;&lt;D xsi:type="xsd:double"&gt;14.9763690746836&lt;/D&gt;&lt;D xsi:type="xsd:double"&gt;15.0236397794408&lt;/D&gt;&lt;D xsi:type="xsd:double"&gt;15.6638600939224&lt;/D&gt;&lt;D xsi:type="xsd:double"&gt;16.5563378159804&lt;/D&gt;&lt;D xsi:type="xsd:double"&gt;16.3079683402293&lt;/D&gt;&lt;D xsi:type="xsd:double"&gt;16.6947402656119&lt;/D&gt;&lt;D xsi:type="xsd:double"&gt;18.0701947581229&lt;/D&gt;&lt;D xsi:type="xsd:double"&gt;18.5622744334914&lt;/D&gt;&lt;D xsi:type="xsd:double"&gt;18.9800701767484&lt;/D&gt;&lt;D xsi:type="xsd:double"&gt;20.7169857451622&lt;/D&gt;&lt;D xsi:type="xsd:double"&gt;24.208256040296&lt;/D&gt;&lt;D xsi:type="xsd:double"&gt;23.9927750487625&lt;/D&gt;&lt;D xsi:type="xsd:double"&gt;24.24823942772&lt;/D&gt;&lt;D xsi:type="xsd:double"&gt;23.5646544623634&lt;/D&gt;&lt;D xsi:type="xsd:double"&gt;22.9284823882667&lt;/D&gt;&lt;D xsi:type="xsd:double"&gt;22.8680073597429&lt;/D&gt;&lt;D xsi:type="xsd:double"&gt;21.9963875107924&lt;/D&gt;&lt;D xsi:type="xsd:double"&gt;21.4459241112905&lt;/D&gt;&lt;D xsi:type="xsd:double"&gt;20.5433996677037&lt;/D&gt;&lt;D xsi:type="xsd:double"&gt;20.1349634328168&lt;/D&gt;&lt;D xsi:type="xsd:double"&gt;20.0710791842875&lt;/D&gt;&lt;D xsi:type="xsd:double"&gt;19.4065807005205&lt;/D&gt;&lt;D xsi:type="xsd:double"&gt;18.1278887143777&lt;/D&gt;&lt;D xsi:type="xsd:double"&gt;17.078362179673&lt;/D&gt;&lt;D xsi:type="xsd:double"&gt;16.3916118846683&lt;/D&gt;&lt;D xsi:type="xsd:double"&gt;16.2542680138685&lt;/D&gt;&lt;D xsi:type="xsd:double"&gt;15.5296096405095&lt;/D&gt;&lt;D xsi:type="xsd:double"&gt;15.3047447781887&lt;/D&gt;&lt;D xsi:type="xsd:double"&gt;14.0355893235981&lt;/D&gt;&lt;D xsi:type="xsd:double"&gt;13.8993173246267&lt;/D&gt;&lt;D xsi:type="xsd:double"&gt;13.636064538419&lt;/D&gt;&lt;D xsi:type="xsd:double"&gt;12.6549854552731&lt;/D&gt;&lt;D xsi:type="xsd:double"&gt;11.2012095312319&lt;/D&gt;&lt;D xsi:type="xsd:double"&gt;13.2626176529622&lt;/D&gt;&lt;D xsi:type="xsd:double"&gt;11.870646078215&lt;/D&gt;&lt;D xsi:type="xsd:double"&gt;12.1299313096816&lt;/D&gt;&lt;D xsi:type="xsd:double"&gt;12.4172939223735&lt;/D&gt;&lt;D xsi:type="xsd:double"&gt;12.8357220201183&lt;/D&gt;&lt;D xsi:type="xsd:double"&gt;13.0178636274999&lt;/D&gt;&lt;D xsi:type="xsd:double"&gt;13.4784575643776&lt;/D&gt;&lt;D xsi:type="xsd:double"&gt;13.5351301005627&lt;/D&gt;&lt;D xsi:type="xsd:double"&gt;14.3797895032079&lt;/D&gt;&lt;D xsi:type="xsd:double"&gt;15.5623218594442&lt;/D&gt;&lt;D xsi:type="xsd:double"&gt;15.510618465673&lt;/D&gt;&lt;D xsi:type="xsd:double"&gt;15.5336369277563&lt;/D&gt;&lt;D xsi:type="xsd:double"&gt;16.429699342366&lt;/D&gt;&lt;D xsi:type="xsd:double"&gt;16.8698763268097&lt;/D&gt;&lt;D xsi:type="xsd:double"&gt;16.8409236634704&lt;/D&gt;&lt;D xsi:type="xsd:double"&gt;18.7610295958569&lt;/D&gt;&lt;D xsi:type="xsd:double"&gt;18.4471211371849&lt;/D&gt;&lt;D xsi:type="xsd:double"&gt;18.085251189219&lt;/D&gt;&lt;D xsi:type="xsd:double"&gt;18.0244015134569&lt;/D&gt;&lt;D xsi:type="xsd:double"&gt;17.22064354508&lt;/D&gt;&lt;D xsi:type="xsd:double"&gt;16.4095676587651&lt;/D&gt;&lt;D xsi:type="xsd:double"&gt;15.9171565300525&lt;/D&gt;&lt;D xsi:type="xsd:double"&gt;15.781261970792&lt;/D&gt;&lt;/FQL&gt;&lt;FQL&gt;&lt;Q&gt;PASP-FDS^FG_PRICE(0)/MAX(FG_PRICE(0,-1AY))&lt;/Q&gt;&lt;R&gt;1&lt;/R&gt;&lt;C&gt;1&lt;/C&gt;&lt;D xsi:type="xsd:double"&gt;0.848412698412698&lt;/D&gt;&lt;/FQL&gt;&lt;FQL&gt;&lt;Q&gt;W-FDS^FG_PRICE_MAVG(0,,,,30)&lt;/Q&gt;&lt;R&gt;1&lt;/R&gt;&lt;C&gt;1&lt;/C&gt;&lt;D xsi:type="xsd:double"&gt;5.753667&lt;/D&gt;&lt;/FQL&gt;&lt;FQL&gt;&lt;Q&gt;TIOS-FDS^FG_PRICE(0)/MAX(FG_PRICE(0,-1AY))&lt;/Q&gt;&lt;R&gt;1&lt;/R&gt;&lt;C&gt;1&lt;/C&gt;&lt;D xsi:type="xsd:double"&gt;0.733976137624861&lt;/D&gt;&lt;/FQL&gt;&lt;FQL&gt;&lt;Q&gt;EWZ^FG_PRICE_MAVG(0,,,,30)&lt;/Q&gt;&lt;R&gt;1&lt;/R&gt;&lt;C&gt;1&lt;/C&gt;&lt;D xsi:type="xsd:double"&gt;29.474&lt;/D&gt;&lt;/FQL&gt;&lt;FQL&gt;&lt;Q&gt;CNYA^FG_PRICE_MAVG(0,,,,200)&lt;/Q&gt;&lt;R&gt;1&lt;/R&gt;&lt;C&gt;1&lt;/C&gt;&lt;D xsi:type="xsd:double"&gt;25.897463&lt;/D&gt;&lt;/FQL&gt;&lt;FQL&gt;&lt;Q&gt;TUR^PERCENT_CHANGE(FMA_EPS(+1,0,,,,"PORTAGG","MEAN"),FMA_EPS(+1,-1AM,,,,"PORTAGG","MEAN"))&lt;/Q&gt;&lt;R&gt;1&lt;/R&gt;&lt;C&gt;1&lt;/C&gt;&lt;D xsi:type="xsd:double"&gt;-12.1351897452939&lt;/D&gt;&lt;/FQL&gt;&lt;FQL&gt;&lt;Q&gt;QAT^FMA_PCT_ABOVE_MAVG(200,0,,,,"PORTAGG")&lt;/Q&gt;&lt;R&gt;1&lt;/R&gt;&lt;C&gt;1&lt;/C&gt;&lt;D xsi:type="xsd:double"&gt;57.1428571428571&lt;/D&gt;&lt;/FQL&gt;&lt;FQL&gt;&lt;Q&gt;EWZ^P_PRICE(0)/P_PRICE_LOW_PR(0,,,,,,"PRICE","INTRA","52W")-1&lt;/Q&gt;&lt;R&gt;1&lt;/R&gt;&lt;C&gt;1&lt;/C&gt;&lt;D xsi:type="xsd:double"&gt;0.08692336&lt;/D&gt;&lt;/FQL&gt;&lt;FQL&gt;&lt;Q&gt;EWM^P_PRICE(0)/P_PRICE_HIGH_PR(0,,,,,,"PRICE","INTRA","52W")&lt;/Q&gt;&lt;R&gt;1&lt;/R&gt;&lt;C&gt;1&lt;/C&gt;&lt;D xsi:type="xsd:double"&gt;0.9439797&lt;/D&gt;&lt;/FQL&gt;&lt;FQL&gt;&lt;Q&gt;EPOL^FG_TOTAL_RETURNC(0,-3AM)&lt;/Q&gt;&lt;R&gt;1&lt;/R&gt;&lt;C&gt;1&lt;/C&gt;&lt;D xsi:type="xsd:double"&gt;-5.675459&lt;/D&gt;&lt;/FQL&gt;&lt;FQL&gt;&lt;Q&gt;CNYA^PERCENT_CHANGE(FMA_EPS(+1,0,,,,"PORTAGG","MEAN"),FMA_EPS(+1,-3AM,,,,"PORTAGG","MEAN"))&lt;/Q&gt;&lt;R&gt;1&lt;/R&gt;&lt;C&gt;1&lt;/C&gt;&lt;D xsi:type="xsd:double"&gt;23.1781349206524&lt;/D&gt;&lt;/FQL&gt;&lt;FQL&gt;&lt;Q&gt;VGK^FMA_PCT_ABOVE_MAVG(200,0,,,,"PORTAGG")&lt;/Q&gt;&lt;R&gt;1&lt;/R&gt;&lt;C&gt;1&lt;/C&gt;&lt;D xsi:type="xsd:double"&gt;63.370253164557&lt;/D&gt;&lt;/FQL&gt;&lt;FQL&gt;&lt;Q&gt;VNM^FMA_COS_DOWN("EPS","1M",+1,NOW,,,"PORTAGG","MEANR")&lt;/Q&gt;&lt;R&gt;1&lt;/R&gt;&lt;C&gt;1&lt;/C&gt;&lt;D xsi:type="xsd:double"&gt;9&lt;/D&gt;&lt;/FQL&gt;&lt;FQL&gt;&lt;Q&gt;EWM^SIZE(FG_CONSTITUENTS)&lt;/Q&gt;&lt;R&gt;1&lt;/R&gt;&lt;C&gt;1&lt;/C&gt;&lt;D xsi:type="xsd:long"&gt;34&lt;/D&gt;&lt;/FQL&gt;&lt;FQL&gt;&lt;Q&gt;EPOL^FMA_RBICS_REV_CURRENT(30, LOC, "PORTAGG")&lt;/Q&gt;&lt;R&gt;1&lt;/R&gt;&lt;C&gt;1&lt;/C&gt;&lt;D xsi:type="xsd:double"&gt;46.6463334180527&lt;/D&gt;&lt;/FQL&gt;&lt;FQL&gt;&lt;Q&gt;EWM^FG_ROE(0)&lt;/Q&gt;&lt;R&gt;1&lt;/R&gt;&lt;C&gt;1&lt;/C&gt;&lt;D xsi:type="xsd:double"&gt;8.36118476941151&lt;/D&gt;&lt;/FQL&gt;&lt;FQL&gt;&lt;Q&gt;REFTR1WREPO-FDS^FG_YIELD(NOW,,,0)&lt;/Q&gt;&lt;R&gt;1&lt;/R&gt;&lt;C&gt;1&lt;/C&gt;&lt;D xsi:type="xsd:double"&gt;50&lt;/D&gt;&lt;/FQL&gt;&lt;FQL&gt;&lt;Q&gt;REFPL7D-FDS^(SUBARRAY(NOT_NA(NO_REPEAT_F(FG_YIELD(NOW,-10AY,D))),0,1)-SUBARRAY(NOT_NA(NO_REPEAT_F(FG_YIELD(NOW,-10AY,D))),1,1))*100&lt;/Q&gt;&lt;R&gt;1&lt;/R&gt;&lt;C&gt;1&lt;/C&gt;&lt;D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xsi:type="xsd:double"&gt;-25&lt;/D&gt;&lt;/FQL&gt;&lt;FQL&gt;&lt;Q&gt;TRYUS10Y-FDS^FG_YIELD(0,,,,"YTM")&lt;/Q&gt;&lt;R&gt;1&lt;/R&gt;&lt;C&gt;1&lt;/C&gt;&lt;D xsi:type="xsd:double"&gt;4.0755&lt;/D&gt;&lt;/FQL&gt;&lt;FQL&gt;&lt;Q&gt;TRYID10Y-FDS^FG_YIELD(0,,,,"YTM")&lt;/Q&gt;&lt;R&gt;1&lt;/R&gt;&lt;C&gt;1&lt;/C&gt;&lt;D xsi:type="xsd:double"&gt;6.747519&lt;/D&gt;&lt;/FQL&gt;&lt;FQL&gt;&lt;Q&gt;VGK^FG_PE_NTM(0,,,90,0)&lt;/Q&gt;&lt;R&gt;1&lt;/R&gt;&lt;C&gt;1&lt;/C&gt;&lt;D xsi:type="xsd:double"&gt;13.3519132854373&lt;/D&gt;&lt;/FQL&gt;&lt;FQL&gt;&lt;Q&gt;UAE^FG_FCF_YIELD_NTM(0)&lt;/Q&gt;&lt;R&gt;1&lt;/R&gt;&lt;C&gt;1&lt;/C&gt;&lt;D xsi:type="xsd:double"&gt;10.7149546603306&lt;/D&gt;&lt;/FQL&gt;&lt;FQL&gt;&lt;Q&gt;INDA^FMA_PE(LTM,0,,,"PORTAGG","MEANR")&lt;/Q&gt;&lt;R&gt;1&lt;/R&gt;&lt;C&gt;1&lt;/C&gt;&lt;D xsi:type="xsd:double"&gt;27.4010712750906&lt;/D&gt;&lt;/FQL&gt;&lt;FQL&gt;&lt;Q&gt;EWT^FMA_EVAL_EBIT(LTMA,NOW,NOW,M,"PORTAGG","MEANR")&lt;/Q&gt;&lt;R&gt;1&lt;/R&gt;&lt;C&gt;1&lt;/C&gt;&lt;D xsi:type="xsd:double"&gt;18.1623404418621&lt;/D&gt;&lt;/FQL&gt;&lt;FQL&gt;&lt;Q&gt;TRYMY10Y-FDS^FG_YIELD(-10AY,0,Y,,"YTM")&lt;/Q&gt;&lt;R&gt;10&lt;/R&gt;&lt;C&gt;1&lt;/C&gt;&lt;D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xsi:type="xsd:double"&gt;3.727505&lt;/D&gt;&lt;/FQL&gt;&lt;FQL&gt;&lt;Q&gt;CAGDPY@ZA^EE_ACTUAL_ANNUAL(MED,0)&lt;/Q&gt;&lt;R&gt;1&lt;/R&gt;&lt;C&gt;1&lt;/C&gt;&lt;D xsi:type="xsd:double"&gt;-1.6&lt;/D&gt;&lt;/FQL&gt;&lt;FQL&gt;&lt;Q&gt;CAGDPY@CL^EE_ACTUAL_ANNUAL(MED,0)&lt;/Q&gt;&lt;R&gt;1&lt;/R&gt;&lt;C&gt;1&lt;/C&gt;&lt;D xsi:type="xsd:double"&gt;-3.68653581083686&lt;/D&gt;&lt;/FQL&gt;&lt;FQL&gt;&lt;Q&gt;USDVND^FG_PRICE(0)&lt;/Q&gt;&lt;R&gt;1&lt;/R&gt;&lt;C&gt;1&lt;/C&gt;&lt;D xsi:type="xsd:double"&gt;24845&lt;/D&gt;&lt;/FQL&gt;&lt;FQL&gt;&lt;Q&gt;USDEUR^FG_COMPANY_NAME&lt;/Q&gt;&lt;R&gt;1&lt;/R&gt;&lt;C&gt;1&lt;/C&gt;&lt;D xsi:type="xsd:string"&gt;Euro per U.S. Dollar&lt;/D&gt;&lt;/FQL&gt;&lt;FQL&gt;&lt;Q&gt;USDTWD^FG_PRICE_CHANGE(0,-1AY)&lt;/Q&gt;&lt;R&gt;1&lt;/R&gt;&lt;C&gt;1&lt;/C&gt;&lt;D xsi:type="xsd:double"&gt;-0.17673373&lt;/D&gt;&lt;/FQL&gt;&lt;FQL&gt;&lt;Q&gt;USDIDR^FG_PRICE_CHANGE(0,-6AM)&lt;/Q&gt;&lt;R&gt;1&lt;/R&gt;&lt;C&gt;1&lt;/C&gt;&lt;D xsi:type="xsd:double"&gt;-1.1360049&lt;/D&gt;&lt;/FQL&gt;&lt;FQL&gt;&lt;Q&gt;USDCNH^FG_PRICE_CHANGE(0,-1AY)&lt;/Q&gt;&lt;R&gt;1&lt;/R&gt;&lt;C&gt;1&lt;/C&gt;&lt;D xsi:type="xsd:double"&gt;-2.7225614&lt;/D&gt;&lt;/FQL&gt;&lt;FQL&gt;&lt;Q&gt;EWT^P_PRICE_RETURNS_PR('52W',2,-10AY,0,AM)&lt;/Q&gt;&lt;R&gt;121&lt;/R&gt;&lt;C&gt;1&lt;/C&gt;&lt;D xsi:type="xsd:double"&gt;4.383683&lt;/D&gt;&lt;D xsi:type="xsd:double"&gt;14.049351&lt;/D&gt;&lt;D xsi:type="xsd:double"&gt;7.2357416&lt;/D&gt;&lt;D xsi:type="xsd:double"&gt;9.263945&lt;/D&gt;&lt;D xsi:type="xsd:double"&gt;16.655731&lt;/D&gt;&lt;D xsi:type="xsd:double"&gt;10.531891&lt;/D&gt;&lt;D xsi:type="xsd:double"&gt;10.998308&lt;/D&gt;&lt;D xsi:type="xsd:double"&gt;12.746882&lt;/D&gt;&lt;D xsi:type="xsd:double"&gt;3.9585948&lt;/D&gt;&lt;D xsi:type="xsd:double"&gt;-4.752475&lt;/D&gt;&lt;D xsi:type="xsd:double"&gt;-6.009799&lt;/D&gt;&lt;D xsi:type="xsd:double"&gt;-14.881617&lt;/D&gt;&lt;D xsi:type="xsd:double"&gt;-5.428517&lt;/D&gt;&lt;D xsi:type="xsd:double"&gt;-11.147701&lt;/D&gt;&lt;D xsi:type="xsd:double"&gt;-11.465227&lt;/D&gt;&lt;D xsi:type="xsd:double"&gt;-19.399464&lt;/D&gt;&lt;D xsi:type="xsd:double"&gt;-19.391125&lt;/D&gt;&lt;D xsi:type="xsd:double"&gt;-10.048562&lt;/D&gt;&lt;D xsi:type="xsd:double"&gt;-13.57193&lt;/D&gt;&lt;D xsi:type="xsd:double"&gt;-20.73943&lt;/D&gt;&lt;D xsi:type="xsd:double"&gt;-10.974622&lt;/D&gt;&lt;D xsi:type="xsd:double"&gt;-3.3413172&lt;/D&gt;&lt;D xsi:type="xsd:double"&gt;11.709332&lt;/D&gt;&lt;D xsi:type="xsd:double"&gt;14.509392&lt;/D&gt;&lt;D xsi:type="xsd:double"&gt;15.602171&lt;/D&gt;&lt;D xsi:type="xsd:double"&gt;12.429929&lt;/D&gt;&lt;D xsi:type="xsd:double"&gt;22.549974&lt;/D&gt;&lt;D xsi:type="xsd:double"&gt;32.856728&lt;/D&gt;&lt;D xsi:type="xsd:double"&gt;36.327316&lt;/D&gt;&lt;D xsi:type="xsd:double"&gt;22.129572&lt;/D&gt;&lt;D xsi:type="xsd:double"&gt;27.656878&lt;/D&gt;&lt;D xsi:type="xsd:double"&gt;39.020466&lt;/D&gt;&lt;D xsi:type="xsd:double"&gt;28.260242&lt;/D&gt;&lt;D xsi:type="xsd:double"&gt;28.925192&lt;/D&gt;&lt;D xsi:type="xsd:double"&gt;17.388512&lt;/D&gt;&lt;D xsi:type="xsd:double"&gt;22.532427&lt;/D&gt;&lt;D xsi:type="xsd:double"&gt;18.736279&lt;/D&gt;&lt;D xsi:type="xsd:double"&gt;28.298283&lt;/D&gt;&lt;D xsi:type="xsd:double"&gt;17.794573&lt;/D&gt;&lt;D xsi:type="xsd:double"&gt;24.973179&lt;/D&gt;&lt;D xsi:type="xsd:double"&gt;16.290415&lt;/D&gt;&lt;D xsi:type="xsd:double"&gt;23.639511&lt;/D&gt;&lt;D xsi:type="xsd:double"&gt;18.730402&lt;/D&gt;&lt;D xsi:type="xsd:double"&gt;11.099052&lt;/D&gt;&lt;D xsi:type="xsd:double"&gt;9.952712&lt;/D&gt;&lt;D xsi:type="xsd:double"&gt;4.968703&lt;/D&gt;&lt;D xsi:type="xsd:double"&gt;6.778431&lt;/D&gt;&lt;D xsi:type="xsd:double"&gt;0.52393675&lt;/D&gt;&lt;D xsi:type="xsd:double"&gt;-4.8725605&lt;/D&gt;&lt;D xsi:type="xsd:double"&gt;-9.371656&lt;/D&gt;&lt;D xsi:type="xsd:double"&gt;-8.201206&lt;/D&gt;&lt;D xsi:type="xsd:double"&gt;-11.030364&lt;/D&gt;&lt;D xsi:type="xsd:double"&gt;-3.8232446&lt;/D&gt;&lt;D xsi:type="xsd:double"&gt;-9.811216&lt;/D&gt;&lt;D xsi:type="xsd:double"&gt;-4.1088104&lt;/D&gt;&lt;D xsi:type="xsd:double"&gt;-2.4975002&lt;/D&gt;&lt;D xsi:type="xsd:double"&gt;-7.832247&lt;/D&gt;&lt;D xsi:type="xsd:double"&gt;0.99213123&lt;/D&gt;&lt;D xsi:type="xsd:double"&gt;-6.7729893&lt;/D&gt;&lt;D xsi:type="xsd:double"&gt;1.1208773&lt;/D&gt;&lt;D xsi:type="xsd:double"&gt;12.685394&lt;/D&gt;&lt;D xsi:type="xsd:double"&gt;22.596954&lt;/D&gt;&lt;D xsi:type="xsd:double"&gt;27.75197&lt;/D&gt;&lt;D xsi:type="xsd:double"&gt;32.190144&lt;/D&gt;&lt;D xsi:type="xsd:double"&gt;24.209929&lt;/D&gt;&lt;D xsi:type="xsd:double"&gt;17.703224&lt;/D&gt;&lt;D xsi:type="xsd:double"&gt;-0.51629543&lt;/D&gt;&lt;D xsi:type="xsd:double"&gt;7.7328324&lt;/D&gt;&lt;D xsi:type="xsd:double"&gt;23.369907&lt;/D&gt;&lt;D xsi:type="xsd:double"&gt;21.706867&lt;/D&gt;&lt;D xsi:type="xsd:double"&gt;36.741673&lt;/D&gt;&lt;D xsi:type="xsd:double"&gt;26.543129&lt;/D&gt;&lt;D xsi:type="xsd:double"&gt;30.132889&lt;/D&gt;&lt;D xsi:type="xsd:double"&gt;20.880795&lt;/D&gt;&lt;D xsi:type="xsd:double"&gt;33.77378&lt;/D&gt;&lt;D xsi:type="xsd:double"&gt;41.190304&lt;/D&gt;&lt;D xsi:type="xsd:double"&gt;50.5522&lt;/D&gt;&lt;D xsi:type="xsd:double"&gt;54.557564&lt;/D&gt;&lt;D xsi:type="xsd:double"&gt;81.13023&lt;/D&gt;&lt;D xsi:type="xsd:double"&gt;72.342094&lt;/D&gt;&lt;D xsi:type="xsd:double"&gt;59.739113&lt;/D&gt;&lt;D xsi:type="xsd:double"&gt;53.571976&lt;/D&gt;&lt;D xsi:type="xsd:double"&gt;42.86622&lt;/D&gt;&lt;D xsi:type="xsd:double"&gt;49.97971&lt;/D&gt;&lt;D xsi:type="xsd:double"&gt;34.493374&lt;/D&gt;&lt;D xsi:type="xsd:double"&gt;38.79579&lt;/D&gt;&lt;D xsi:type="xsd:double"&gt;30.23405&lt;/D&gt;&lt;D xsi:type="xsd:double"&gt;21.050215&lt;/D&gt;&lt;D xsi:type="xsd:double"&gt;15.326071&lt;/D&gt;&lt;D xsi:type="xsd:double"&gt;10.031021&lt;/D&gt;&lt;D xsi:type="xsd:double"&gt;0.5678296&lt;/D&gt;&lt;D xsi:type="xsd:double"&gt;-12.023765&lt;/D&gt;&lt;D xsi:type="xsd:double"&gt;-11.197728&lt;/D&gt;&lt;D xsi:type="xsd:double"&gt;-19.849438&lt;/D&gt;&lt;D xsi:type="xsd:double"&gt;-16.048002&lt;/D&gt;&lt;D xsi:type="xsd:double"&gt;-21.326023&lt;/D&gt;&lt;D xsi:type="xsd:double"&gt;-28.30953&lt;/D&gt;&lt;D xsi:type="xsd:double"&gt;-25.806326&lt;/D&gt;&lt;D xsi:type="xsd:double"&gt;-23.736578&lt;/D&gt;&lt;D xsi:type="xsd:double"&gt;-23.4267&lt;/D&gt;&lt;D xsi:type="xsd:double"&gt;-19.649685&lt;/D&gt;&lt;D xsi:type="xsd:double"&gt;-16.378397&lt;/D&gt;&lt;D xsi:type="xsd:double"&gt;-11.351776&lt;/D&gt;&lt;D xsi:type="xsd:double"&gt;-3.7043393&lt;/D&gt;&lt;D xsi:type="xsd:double"&gt;1.3486624&lt;/D&gt;&lt;D xsi:type="xsd:double"&gt;9.979212&lt;/D&gt;&lt;D xsi:type="xsd:double"&gt;4.567027&lt;/D&gt;&lt;D xsi:type="xsd:double"&gt;9.416998&lt;/D&gt;&lt;D xsi:type="xsd:double"&gt;26.58428&lt;/D&gt;&lt;D xsi:type="xsd:double"&gt;17.15864&lt;/D&gt;&lt;D xsi:type="xsd:double"&gt;15.661597&lt;/D&gt;&lt;D xsi:type="xsd:double"&gt;15.137423&lt;/D&gt;&lt;D xsi:type="xsd:double"&gt;16.5969&lt;/D&gt;&lt;D xsi:type="xsd:double"&gt;21.881067&lt;/D&gt;&lt;D xsi:type="xsd:double"&gt;23.562313&lt;/D&gt;&lt;D xsi:type="xsd:double"&gt;26.54189&lt;/D&gt;&lt;D xsi:type="xsd:double"&gt;22.127903&lt;/D&gt;&lt;D xsi:type="xsd:double"&gt;38.69488&lt;/D&gt;&lt;D xsi:type="xsd:double"&gt;24.852478&lt;/D&gt;&lt;D xsi:type="xsd:double"&gt;26.832533&lt;/D&gt;&lt;D xsi:type="xsd:double"&gt;33.933033&lt;/D&gt;&lt;/FQL&gt;&lt;FQL&gt;&lt;Q&gt;INDA^FMA_DIV_YLD(NTMA,-10AY,0,AM,"PORTAGG","MEANR")&lt;/Q&gt;&lt;R&gt;121&lt;/R&gt;&lt;C&gt;1&lt;/C&gt;&lt;D xsi:type="xsd:double"&gt;1.61273533440135&lt;/D&gt;&lt;D xsi:type="xsd:double"&gt;1.54977831156262&lt;/D&gt;&lt;D xsi:type="xsd:double"&gt;1.5645428878698&lt;/D&gt;&lt;D xsi:type="xsd:double"&gt;1.58532868332783&lt;/D&gt;&lt;D xsi:type="xsd:double"&gt;1.51990178769331&lt;/D&gt;&lt;D xsi:type="xsd:double"&gt;1.49678786576314&lt;/D&gt;&lt;D xsi:type="xsd:double"&gt;1.50485808655573&lt;/D&gt;&lt;D xsi:type="xsd:double"&gt;1.67231611656434&lt;/D&gt;&lt;D xsi:type="xsd:double"&gt;1.70085099431927&lt;/D&gt;&lt;D xsi:type="xsd:double"&gt;1.58725079262214&lt;/D&gt;&lt;D xsi:type="xsd:double"&gt;1.54756801664198&lt;/D&gt;&lt;D xsi:type="xsd:double"&gt;1.6934084512154&lt;/D&gt;&lt;D xsi:type="xsd:double"&gt;1.63444208116162&lt;/D&gt;&lt;D xsi:type="xsd:double"&gt;1.7415024363982&lt;/D&gt;&lt;D xsi:type="xsd:double"&gt;1.76564874501005&lt;/D&gt;&lt;D xsi:type="xsd:double"&gt;1.75149118770914&lt;/D&gt;&lt;D xsi:type="xsd:double"&gt;1.84020101685301&lt;/D&gt;&lt;D xsi:type="xsd:double"&gt;1.75951345751827&lt;/D&gt;&lt;D xsi:type="xsd:double"&gt;1.78334704634986&lt;/D&gt;&lt;D xsi:type="xsd:double"&gt;1.68979814241452&lt;/D&gt;&lt;D xsi:type="xsd:double"&gt;1.61314686988943&lt;/D&gt;&lt;D xsi:type="xsd:double"&gt;1.58303728904601&lt;/D&gt;&lt;D xsi:type="xsd:double"&gt;1.54962754877407&lt;/D&gt;&lt;D xsi:type="xsd:double"&gt;1.50809593862481&lt;/D&gt;&lt;D xsi:type="xsd:double"&gt;1.53223211030893&lt;/D&gt;&lt;D xsi:type="xsd:double"&gt;1.62091283803285&lt;/D&gt;&lt;D xsi:type="xsd:double"&gt;1.65768798392064&lt;/D&gt;&lt;D xsi:type="xsd:double"&gt;1.67187590006984&lt;/D&gt;&lt;D xsi:type="xsd:double"&gt;1.60039411522956&lt;/D&gt;&lt;D xsi:type="xsd:double"&gt;1.58406928884569&lt;/D&gt;&lt;D xsi:type="xsd:double"&gt;1.55474827086518&lt;/D&gt;&lt;D xsi:type="xsd:double"&gt;1.55405594478761&lt;/D&gt;&lt;D xsi:type="xsd:double"&gt;1.5974742293594&lt;/D&gt;&lt;D xsi:type="xsd:double"&gt;1.58589166431888&lt;/D&gt;&lt;D xsi:type="xsd:double"&gt;1.56656364969328&lt;/D&gt;&lt;D xsi:type="xsd:double"&gt;1.53599243602201&lt;/D&gt;&lt;D xsi:type="xsd:double"&gt;1.54590468906945&lt;/D&gt;&lt;D xsi:type="xsd:double"&gt;1.52470188789031&lt;/D&gt;&lt;D xsi:type="xsd:double"&gt;1.52844044893946&lt;/D&gt;&lt;D xsi:type="xsd:double"&gt;1.4865497997207&lt;/D&gt;&lt;D xsi:type="xsd:double"&gt;1.55591038203351&lt;/D&gt;&lt;D xsi:type="xsd:double"&gt;1.59672765461408&lt;/D&gt;&lt;D xsi:type="xsd:double"&gt;1.58255450422539&lt;/D&gt;&lt;D xsi:type="xsd:double"&gt;1.60728006575409&lt;/D&gt;&lt;D xsi:type="xsd:double"&gt;1.59487260510635&lt;/D&gt;&lt;D xsi:type="xsd:double"&gt;1.58769395446837&lt;/D&gt;&lt;D xsi:type="xsd:double"&gt;1.51125576802699&lt;/D&gt;&lt;D xsi:type="xsd:double"&gt;1.4932915664585&lt;/D&gt;&lt;D xsi:type="xsd:double"&gt;1.6650124841394&lt;/D&gt;&lt;D xsi:type="xsd:double"&gt;1.65182961761708&lt;/D&gt;&lt;D xsi:type="xsd:double"&gt;1.69991293335752&lt;/D&gt;&lt;D xsi:type="xsd:double"&gt;1.65460421586028&lt;/D&gt;&lt;D xsi:type="xsd:double"&gt;1.62799527258746&lt;/D&gt;&lt;D xsi:type="xsd:double"&gt;1.6298308208019&lt;/D&gt;&lt;D xsi:type="xsd:double"&gt;1.57896728853369&lt;/D&gt;&lt;D xsi:type="xsd:double"&gt;1.71348395794302&lt;/D&gt;&lt;D xsi:type="xsd:double"&gt;1.6614777612259&lt;/D&gt;&lt;D xsi:type="xsd:double"&gt;1.75463446912708&lt;/D&gt;&lt;D xsi:type="xsd:double"&gt;1.80802524675065&lt;/D&gt;&lt;D xsi:type="xsd:double"&gt;1.80920942440053&lt;/D&gt;&lt;D xsi:type="xsd:double"&gt;1.81728802191021&lt;/D&gt;&lt;D xsi:type="xsd:double"&gt;1.75609031717847&lt;/D&gt;&lt;D xsi:type="xsd:double"&gt;1.70374483395881&lt;/D&gt;&lt;D xsi:type="xsd:double"&gt;1.66205086001126&lt;/D&gt;&lt;D xsi:type="xsd:double"&gt;1.66620318354656&lt;/D&gt;&lt;D xsi:type="xsd:double"&gt;1.93118860627458&lt;/D&gt;&lt;D xsi:type="xsd:double"&gt;2.13482546900386&lt;/D&gt;&lt;D xsi:type="xsd:double"&gt;1.96476264885191&lt;/D&gt;&lt;D xsi:type="xsd:double"&gt;1.69866425132429&lt;/D&gt;&lt;D xsi:type="xsd:double"&gt;1.58140625368301&lt;/D&gt;&lt;D xsi:type="xsd:double"&gt;1.51580662617507&lt;/D&gt;&lt;D xsi:type="xsd:double"&gt;1.53009283811813&lt;/D&gt;&lt;D xsi:type="xsd:double"&gt;1.48375005387212&lt;/D&gt;&lt;D xsi:type="xsd:double"&gt;1.48354821299618&lt;/D&gt;&lt;D xsi:type="xsd:double"&gt;1.35835525120045&lt;/D&gt;&lt;D xsi:type="xsd:double"&gt;1.29814671945447&lt;/D&gt;&lt;D xsi:type="xsd:double"&gt;1.31830319662086&lt;/D&gt;&lt;D xsi:type="xsd:double"&gt;1.32761119738565&lt;/D&gt;&lt;D xsi:type="xsd:double"&gt;1.36436163616374&lt;/D&gt;&lt;D xsi:type="xsd:double"&gt;1.40167339538063&lt;/D&gt;&lt;D xsi:type="xsd:double"&gt;1.38695684663575&lt;/D&gt;&lt;D xsi:type="xsd:double"&gt;1.40144961940541&lt;/D&gt;&lt;D xsi:type="xsd:double"&gt;1.3638015106797&lt;/D&gt;&lt;D xsi:type="xsd:double"&gt;1.28354337029819&lt;/D&gt;&lt;D xsi:type="xsd:double"&gt;1.27958245294998&lt;/D&gt;&lt;D xsi:type="xsd:double"&gt;1.3241651642729&lt;/D&gt;&lt;D xsi:type="xsd:double"&gt;1.34946722258927&lt;/D&gt;&lt;D xsi:type="xsd:double"&gt;1.33038332475691&lt;/D&gt;&lt;D xsi:type="xsd:double"&gt;1.40674028395142&lt;/D&gt;&lt;D xsi:type="xsd:double"&gt;1.51597059403468&lt;/D&gt;&lt;D xsi:type="xsd:double"&gt;1.43142700333609&lt;/D&gt;&lt;D xsi:type="xsd:double"&gt;1.64689354875828&lt;/D&gt;&lt;D xsi:type="xsd:double"&gt;1.63897817017324&lt;/D&gt;&lt;D xsi:type="xsd:double"&gt;1.64596092423152&lt;/D&gt;&lt;D xsi:type="xsd:double"&gt;1.48182456888113&lt;/D&gt;&lt;D xsi:type="xsd:double"&gt;1.47649208018396&lt;/D&gt;&lt;D xsi:type="xsd:double"&gt;1.55008774866271&lt;/D&gt;&lt;D xsi:type="xsd:double"&gt;1.50849444508138&lt;/D&gt;&lt;D xsi:type="xsd:double"&gt;1.44886841750701&lt;/D&gt;&lt;D xsi:type="xsd:double"&gt;1.49797759943707&lt;/D&gt;&lt;D xsi:type="xsd:double"&gt;1.53879553587857&lt;/D&gt;&lt;D xsi:type="xsd:double"&gt;1.59994879739713&lt;/D&gt;&lt;D xsi:type="xsd:double"&gt;1.60084891369997&lt;/D&gt;&lt;D xsi:type="xsd:double"&gt;1.58547863042203&lt;/D&gt;&lt;D xsi:type="xsd:double"&gt;1.55394488613616&lt;/D&gt;&lt;D xsi:type="xsd:double"&gt;1.5029832705443&lt;/D&gt;&lt;D xsi:type="xsd:double"&gt;1.49327285669323&lt;/D&gt;&lt;D xsi:type="xsd:double"&gt;1.49886620238146&lt;/D&gt;&lt;D xsi:type="xsd:double"&gt;1.52369182267742&lt;/D&gt;&lt;D xsi:type="xsd:double"&gt;1.53456000391377&lt;/D&gt;&lt;D xsi:type="xsd:double"&gt;1.41732551789097&lt;/D&gt;&lt;D xsi:type="xsd:double"&gt;1.37622872506875&lt;/D&gt;&lt;D xsi:type="xsd:double"&gt;1.36391608390396&lt;/D&gt;&lt;D xsi:type="xsd:double"&gt;1.32793703447603&lt;/D&gt;&lt;D xsi:type="xsd:double"&gt;1.31155014154372&lt;/D&gt;&lt;D xsi:type="xsd:double"&gt;1.36782248843258&lt;/D&gt;&lt;D xsi:type="xsd:double"&gt;1.30409681327397&lt;/D&gt;&lt;D xsi:type="xsd:double"&gt;1.24902841158946&lt;/D&gt;&lt;D xsi:type="xsd:double"&gt;1.26433019335878&lt;/D&gt;&lt;D xsi:type="xsd:double"&gt;1.23993110768112&lt;/D&gt;&lt;D xsi:type="xsd:double"&gt;1.2697990374991&lt;/D&gt;&lt;/FQL&gt;&lt;FQL&gt;&lt;Q&gt;CNYA^FMA_PE(LTMA,-10AY,0,AM,"PORTAGG","MEANR")&lt;/Q&gt;&lt;R&gt;121&lt;/R&gt;&lt;C&gt;1&lt;/C&gt;&lt;D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xsi:type="xsd:double"&gt;15.0737997678699&lt;/D&gt;&lt;D xsi:type="xsd:double"&gt;15.0822114490405&lt;/D&gt;&lt;D xsi:type="xsd:double"&gt;15.1735201518739&lt;/D&gt;&lt;D xsi:type="xsd:double"&gt;15.1355282562301&lt;/D&gt;&lt;D xsi:type="xsd:double"&gt;14.8477563953864&lt;/D&gt;&lt;D xsi:type="xsd:double"&gt;15.2024128108944&lt;/D&gt;&lt;D xsi:type="xsd:double"&gt;15.2776501643349&lt;/D&gt;&lt;D xsi:type="xsd:double"&gt;15.2073182647561&lt;/D&gt;&lt;D xsi:type="xsd:double"&gt;15.6342857470793&lt;/D&gt;&lt;D xsi:type="xsd:double"&gt;15.8147612140546&lt;/D&gt;&lt;D xsi:type="xsd:double"&gt;16.4812105031748&lt;/D&gt;&lt;D xsi:type="xsd:double"&gt;15.7402374483344&lt;/D&gt;&lt;D xsi:type="xsd:double"&gt;16.5440032842459&lt;/D&gt;&lt;D xsi:type="xsd:double"&gt;14.7150949069387&lt;/D&gt;&lt;D xsi:type="xsd:double"&gt;15.3200930822509&lt;/D&gt;&lt;D xsi:type="xsd:double"&gt;15.0089632984513&lt;/D&gt;&lt;D xsi:type="xsd:double"&gt;14.5475903908973&lt;/D&gt;&lt;D xsi:type="xsd:double"&gt;14.2373883460125&lt;/D&gt;&lt;D xsi:type="xsd:double"&gt;13.4338983570478&lt;/D&gt;&lt;D xsi:type="xsd:double"&gt;12.8573934789719&lt;/D&gt;&lt;D xsi:type="xsd:double"&gt;12.3528460155639&lt;/D&gt;&lt;D xsi:type="xsd:double"&gt;12.148322428329&lt;/D&gt;&lt;D xsi:type="xsd:double"&gt;11.5849600189015&lt;/D&gt;&lt;D xsi:type="xsd:double"&gt;11.3051056395682&lt;/D&gt;&lt;D xsi:type="xsd:double"&gt;10.8103426465716&lt;/D&gt;&lt;D xsi:type="xsd:double"&gt;11.4474751813165&lt;/D&gt;&lt;D xsi:type="xsd:double"&gt;12.6588723728344&lt;/D&gt;&lt;D xsi:type="xsd:double"&gt;12.8596732770335&lt;/D&gt;&lt;D xsi:type="xsd:double"&gt;12.4728239225888&lt;/D&gt;&lt;D xsi:type="xsd:double"&gt;12.4353790979092&lt;/D&gt;&lt;D xsi:type="xsd:double"&gt;12.6092786395488&lt;/D&gt;&lt;D xsi:type="xsd:double"&gt;12.2475845027517&lt;/D&gt;&lt;D xsi:type="xsd:double"&gt;13.0168600672224&lt;/D&gt;&lt;D xsi:type="xsd:double"&gt;12.8197719768597&lt;/D&gt;&lt;D xsi:type="xsd:double"&gt;13.1107958169605&lt;/D&gt;&lt;D xsi:type="xsd:double"&gt;13.916762910023&lt;/D&gt;&lt;D xsi:type="xsd:double"&gt;14.9101859436454&lt;/D&gt;&lt;D xsi:type="xsd:double"&gt;14.1903248358423&lt;/D&gt;&lt;D xsi:type="xsd:double"&gt;14.3296738481721&lt;/D&gt;&lt;D xsi:type="xsd:double"&gt;14.0753317819724&lt;/D&gt;&lt;D xsi:type="xsd:double"&gt;14.3836357718542&lt;/D&gt;&lt;D xsi:type="xsd:double"&gt;14.6616100020003&lt;/D&gt;&lt;D xsi:type="xsd:double"&gt;16.1636156214644&lt;/D&gt;&lt;D xsi:type="xsd:double"&gt;16.3825034826826&lt;/D&gt;&lt;D xsi:type="xsd:double"&gt;16.6203341311988&lt;/D&gt;&lt;D xsi:type="xsd:double"&gt;17.2354854567953&lt;/D&gt;&lt;D xsi:type="xsd:double"&gt;18.160009787625&lt;/D&gt;&lt;D xsi:type="xsd:double"&gt;18.8334720508728&lt;/D&gt;&lt;D xsi:type="xsd:double"&gt;21.3677690799382&lt;/D&gt;&lt;D xsi:type="xsd:double"&gt;22.2930265944517&lt;/D&gt;&lt;D xsi:type="xsd:double"&gt;19.8555904727872&lt;/D&gt;&lt;D xsi:type="xsd:double"&gt;19.5582589391075&lt;/D&gt;&lt;D xsi:type="xsd:double"&gt;19.1490119184457&lt;/D&gt;&lt;D xsi:type="xsd:double"&gt;19.3910811867052&lt;/D&gt;&lt;D xsi:type="xsd:double"&gt;18.8322254471504&lt;/D&gt;&lt;D xsi:type="xsd:double"&gt;18.3853529237041&lt;/D&gt;&lt;D xsi:type="xsd:double"&gt;18.3788079808622&lt;/D&gt;&lt;D xsi:type="xsd:double"&gt;17.8549313980501&lt;/D&gt;&lt;D xsi:type="xsd:double"&gt;17.731017586039&lt;/D&gt;&lt;D xsi:type="xsd:double"&gt;18.7381999797744&lt;/D&gt;&lt;D xsi:type="xsd:double"&gt;17.6613764764623&lt;/D&gt;&lt;D xsi:type="xsd:double"&gt;16.7417725027322&lt;/D&gt;&lt;D xsi:type="xsd:double"&gt;16.4170012492149&lt;/D&gt;&lt;D xsi:type="xsd:double"&gt;16.111586850207&lt;/D&gt;&lt;D xsi:type="xsd:double"&gt;15.6378951364948&lt;/D&gt;&lt;D xsi:type="xsd:double"&gt;15.7821459078457&lt;/D&gt;&lt;D xsi:type="xsd:double"&gt;15.8910181352922&lt;/D&gt;&lt;D xsi:type="xsd:double"&gt;15.1764015951909&lt;/D&gt;&lt;D xsi:type="xsd:double"&gt;15.0978754629455&lt;/D&gt;&lt;D xsi:type="xsd:double"&gt;13.8611198000295&lt;/D&gt;&lt;D xsi:type="xsd:double"&gt;13.9132057688501&lt;/D&gt;&lt;D xsi:type="xsd:double"&gt;14.7445560460483&lt;/D&gt;&lt;D xsi:type="xsd:double"&gt;14.5298875442306&lt;/D&gt;&lt;D xsi:type="xsd:double"&gt;14.7947131036499&lt;/D&gt;&lt;D xsi:type="xsd:double"&gt;14.4932743018027&lt;/D&gt;&lt;D xsi:type="xsd:double"&gt;14.4366823542037&lt;/D&gt;&lt;D xsi:type="xsd:double"&gt;14.2440220551165&lt;/D&gt;&lt;D xsi:type="xsd:double"&gt;13.9816966855731&lt;/D&gt;&lt;D xsi:type="xsd:double"&gt;13.834910874831&lt;/D&gt;&lt;D xsi:type="xsd:double"&gt;14.0146246071245&lt;/D&gt;&lt;D xsi:type="xsd:double"&gt;13.8492852837209&lt;/D&gt;&lt;D xsi:type="xsd:double"&gt;13.5365123648389&lt;/D&gt;&lt;D xsi:type="xsd:double"&gt;13.6582888419792&lt;/D&gt;&lt;D xsi:type="xsd:double"&gt;13.2820997113278&lt;/D&gt;&lt;D xsi:type="xsd:double"&gt;12.7041851772585&lt;/D&gt;&lt;D xsi:type="xsd:double"&gt;13.0113491302055&lt;/D&gt;&lt;D xsi:type="xsd:double"&gt;13.5770451803504&lt;/D&gt;&lt;D xsi:type="xsd:double"&gt;13.55325365316&lt;/D&gt;&lt;D xsi:type="xsd:double"&gt;13.8197540526487&lt;/D&gt;&lt;D xsi:type="xsd:double"&gt;13.6168899718968&lt;/D&gt;&lt;D xsi:type="xsd:double"&gt;13.2808812936111&lt;/D&gt;&lt;D xsi:type="xsd:double"&gt;12.919640053677&lt;/D&gt;&lt;D xsi:type="xsd:double"&gt;12.7262962154911&lt;/D&gt;&lt;D xsi:type="xsd:double"&gt;15.0619555551486&lt;/D&gt;&lt;/FQL&gt;&lt;FQL&gt;&lt;Q&gt;PLATI-FDS^FG_PRICE_CHANGE(0,-3AM)&lt;/Q&gt;&lt;R&gt;1&lt;/R&gt;&lt;C&gt;1&lt;/C&gt;&lt;D xsi:type="xsd:double"&gt;-4.09590409590409&lt;/D&gt;&lt;/FQL&gt;&lt;FQL&gt;&lt;Q&gt;TIOS-FDS^FG_PRICE_CHANGE(0,-1AY)&lt;/Q&gt;&lt;R&gt;1&lt;/R&gt;&lt;C&gt;1&lt;/C&gt;&lt;D xsi:type="xsd:double"&gt;-9.87223168654174&lt;/D&gt;&lt;/FQL&gt;&lt;FQL&gt;&lt;Q&gt;VNM^FG_PRICE_MAVG(0,,,,200)&lt;/Q&gt;&lt;R&gt;1&lt;/R&gt;&lt;C&gt;1&lt;/C&gt;&lt;D xsi:type="xsd:double"&gt;12.711375&lt;/D&gt;&lt;/FQL&gt;&lt;FQL&gt;&lt;Q&gt;MCHI^FG_PRICE_MAVG(0,,,,200)&lt;/Q&gt;&lt;R&gt;1&lt;/R&gt;&lt;C&gt;1&lt;/C&gt;&lt;D xsi:type="xsd:double"&gt;41.912674&lt;/D&gt;&lt;/FQL&gt;&lt;FQL&gt;&lt;Q&gt;EPU^FG_PRICE_MAVG(0,,,,30)&lt;/Q&gt;&lt;R&gt;1&lt;/R&gt;&lt;C&gt;1&lt;/C&gt;&lt;D xsi:type="xsd:double"&gt;41.42331&lt;/D&gt;&lt;/FQL&gt;&lt;FQL&gt;&lt;Q&gt;VNM^PERCENT_CHANGE(FMA_EPS(+1,0,,,,"PORTAGG","MEAN"),FMA_EPS(+1,-3AM,,,,"PORTAGG","MEAN"))&lt;/Q&gt;&lt;R&gt;1&lt;/R&gt;&lt;C&gt;1&lt;/C&gt;&lt;D xsi:type="xsd:double"&gt;4.62691205493781&lt;/D&gt;&lt;/FQL&gt;&lt;FQL&gt;&lt;Q&gt;TUR^FMA_PCT_ABOVE_MAVG(200,0,,,,"PORTAGG")&lt;/Q&gt;&lt;R&gt;1&lt;/R&gt;&lt;C&gt;1&lt;/C&gt;&lt;D xsi:type="xsd:double"&gt;25&lt;/D&gt;&lt;/FQL&gt;&lt;FQL&gt;&lt;Q&gt;GREK^P_PRICE(0)/P_PRICE_LOW_PR(0,,,,,,"PRICE","INTRA","52W")-1&lt;/Q&gt;&lt;R&gt;1&lt;/R&gt;&lt;C&gt;1&lt;/C&gt;&lt;D xsi:type="xsd:double"&gt;0.26868486&lt;/D&gt;&lt;/FQL&gt;&lt;FQL&gt;&lt;Q&gt;EWW^P_PRICE(0)/P_PRICE_HIGH_PR(0,,,,,,"PRICE","INTRA","52W")&lt;/Q&gt;&lt;R&gt;1&lt;/R&gt;&lt;C&gt;1&lt;/C&gt;&lt;D xsi:type="xsd:double"&gt;0.76616985&lt;/D&gt;&lt;/FQL&gt;&lt;FQL&gt;&lt;Q&gt;EWM^FG_TOTAL_RETURNC(0,-6AM)&lt;/Q&gt;&lt;R&gt;1&lt;/R&gt;&lt;C&gt;1&lt;/C&gt;&lt;D xsi:type="xsd:double"&gt;21.27713&lt;/D&gt;&lt;/FQL&gt;&lt;FQL&gt;&lt;Q&gt;EIDO^FG_TOTAL_RETURNC(0,-1AM)&lt;/Q&gt;&lt;R&gt;1&lt;/R&gt;&lt;C&gt;1&lt;/C&gt;&lt;D xsi:type="xsd:double"&gt;-1.7695129&lt;/D&gt;&lt;/FQL&gt;&lt;FQL&gt;&lt;Q&gt;VGK^P_PRICE(0)/P_PRICE_LOW_PR(0,,,,,,"PRICE","INTRA","52W")-1&lt;/Q&gt;&lt;R&gt;1&lt;/R&gt;&lt;C&gt;1&lt;/C&gt;&lt;D xsi:type="xsd:double"&gt;0.25753713&lt;/D&gt;&lt;/FQL&gt;&lt;FQL&gt;&lt;Q&gt;INDA^FMA_COS_UP("EPS","1M",+1,NOW,,,"PORTAGG","MEANR")&lt;/Q&gt;&lt;R&gt;1&lt;/R&gt;&lt;C&gt;1&lt;/C&gt;&lt;D xsi:type="xsd:double"&gt;43&lt;/D&gt;&lt;/FQL&gt;&lt;FQL&gt;&lt;Q&gt;CNYA^FMA_COS_DOWN("EPS","1M",+1,NOW,,,"PORTAGG","MEANR")&lt;/Q&gt;&lt;R&gt;1&lt;/R&gt;&lt;C&gt;1&lt;/C&gt;&lt;D xsi:type="xsd:double"&gt;115&lt;/D&gt;&lt;/FQL&gt;&lt;FQL&gt;&lt;Q&gt;EPU^FG_ROE(0)&lt;/Q&gt;&lt;R&gt;1&lt;/R&gt;&lt;C&gt;1&lt;/C&gt;&lt;D xsi:type="xsd:double"&gt;10.9266057483758&lt;/D&gt;&lt;/FQL&gt;&lt;FQL&gt;&lt;Q&gt;TRYTW10Y-FDS^FG_YIELD_NAME&lt;/Q&gt;&lt;R&gt;1&lt;/R&gt;&lt;C&gt;1&lt;/C&gt;&lt;D xsi:type="xsd:string"&gt;Taiwan China Benchmark Bond - 10 Year&lt;/D&gt;&lt;/FQL&gt;&lt;FQL&gt;&lt;Q&gt;REFBRSELIC-FDS^(SUBARRAY(NOT_NA(NO_REPEAT_F(FG_YIELD(NOW,-10AY,D))),0,1)-SUBARRAY(NOT_NA(NO_REPEAT_F(FG_YIELD(NOW,-10AY,D))),1,1))*100&lt;/Q&gt;&lt;R&gt;1&lt;/R&gt;&lt;C&gt;1&lt;/C&gt;&lt;D xsi:type="xsd:double"&gt;25&lt;/D&gt;&lt;/FQL&gt;&lt;FQL&gt;&lt;Q&gt;TRYAE10Y-FDS^PCTCHG(FG_YIELD(0,,,,"YTM"),FG_YIELD(-3AM,,,,"YTM"))&lt;/Q&gt;&lt;R&gt;0&lt;/R&gt;&lt;C&gt;0&lt;/C&gt;&lt;/FQL&gt;&lt;FQL&gt;&lt;Q&gt;TRYMX10Y-FDS^PCTCHG(FG_YIELD(0,,,,"YTM"),FG_YIELD(-3AM,,,,"YTM"))&lt;/Q&gt;&lt;R&gt;1&lt;/R&gt;&lt;C&gt;1&lt;/C&gt;&lt;D xsi:type="xsd:double"&gt;-1.9515865&lt;/D&gt;&lt;/FQL&gt;&lt;FQL&gt;&lt;Q&gt;TRYZA10Y-FDS^FG_YIELD(0,,,,"YTM")&lt;/Q&gt;&lt;R&gt;1&lt;/R&gt;&lt;C&gt;1&lt;/C&gt;&lt;D xsi:type="xsd:double"&gt;10.403542&lt;/D&gt;&lt;/FQL&gt;&lt;FQL&gt;&lt;Q&gt;CC_TW^IMF_IFS_RCPI_Q(0)&lt;/Q&gt;&lt;R&gt;0&lt;/R&gt;&lt;C&gt;0&lt;/C&gt;&lt;/FQL&gt;&lt;FQL&gt;&lt;Q&gt;VGK^FG_PE(0)&lt;/Q&gt;&lt;R&gt;1&lt;/R&gt;&lt;C&gt;1&lt;/C&gt;&lt;D xsi:type="xsd:double"&gt;15.5204531278484&lt;/D&gt;&lt;/FQL&gt;&lt;FQL&gt;&lt;Q&gt;QAT^FMA_EVAL_EBITDA(NTMA,0,,,"PORTAGG","MEANR")&lt;/Q&gt;&lt;R&gt;1&lt;/R&gt;&lt;C&gt;1&lt;/C&gt;&lt;D xsi:type="xsd:double"&gt;9.44726508048446&lt;/D&gt;&lt;/FQL&gt;&lt;FQL&gt;&lt;Q&gt;EWZ^FMA_DIV_YLD(NTMA,NOW,NOW,M,"PORTAGG","MEANR")&lt;/Q&gt;&lt;R&gt;1&lt;/R&gt;&lt;C&gt;1&lt;/C&gt;&lt;D xsi:type="xsd:double"&gt;5.71439846687238&lt;/D&gt;&lt;/FQL&gt;&lt;FQL&gt;&lt;Q&gt;EWT^FMA_EVAL_EBITDA(NTMA,0,,,"PORTAGG","MEANR")&lt;/Q&gt;&lt;R&gt;1&lt;/R&gt;&lt;C&gt;1&lt;/C&gt;&lt;D xsi:type="xsd:double"&gt;9.52086732649585&lt;/D&gt;&lt;/FQL&gt;&lt;FQL&gt;&lt;Q&gt;EIDO^FMA_PE(NTMA,0,,,"PORTAGG","MEANR")&lt;/Q&gt;&lt;R&gt;1&lt;/R&gt;&lt;C&gt;1&lt;/C&gt;&lt;D xsi:type="xsd:double"&gt;13.2483683562215&lt;/D&gt;&lt;/FQL&gt;&lt;FQL&gt;&lt;Q&gt;VNM^FG_COMPANY_NAME&lt;/Q&gt;&lt;R&gt;1&lt;/R&gt;&lt;C&gt;1&lt;/C&gt;&lt;D xsi:type="xsd:string"&gt;VanEck Vietnam ETF&lt;/D&gt;&lt;/FQL&gt;&lt;FQL&gt;&lt;Q&gt;EPHE^FG_COMPANY_NAME&lt;/Q&gt;&lt;R&gt;1&lt;/R&gt;&lt;C&gt;1&lt;/C&gt;&lt;D xsi:type="xsd:string"&gt;iShares MSCI Philippines ETF&lt;/D&gt;&lt;/FQL&gt;&lt;FQL&gt;&lt;Q&gt;EWY^FMA_ROE(NTMA,-20AY,NOW,FY,"PORTAGG","MEANR")&lt;/Q&gt;&lt;R&gt;20&lt;/R&gt;&lt;C&gt;1&lt;/C&gt;&lt;D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xsi:type="xsd:double"&gt;7.67642726059775&lt;/D&gt;&lt;D xsi:type="xsd:double"&gt;8.30740233680115&lt;/D&gt;&lt;D xsi:type="xsd:double"&gt;10.1463868925066&lt;/D&gt;&lt;D xsi:type="xsd:double"&gt;7.5109716795443&lt;/D&gt;&lt;D xsi:type="xsd:double"&gt;8.9059619435427&lt;/D&gt;&lt;/FQL&gt;&lt;FQL&gt;&lt;Q&gt;TRYEU10Y-FDS^FG_YIELD(-10AY,0,Y,,"YTM")&lt;/Q&gt;&lt;R&gt;10&lt;/R&gt;&lt;C&gt;1&lt;/C&gt;&lt;D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xsi:type="xsd:double"&gt;2.004&lt;/D&gt;&lt;/FQL&gt;&lt;FQL&gt;&lt;Q&gt;CAGDPY@SA^EE_ACTUAL_ANNUAL(MED,0)&lt;/Q&gt;&lt;R&gt;1&lt;/R&gt;&lt;C&gt;1&lt;/C&gt;&lt;D xsi:type="xsd:double"&gt;3.1913656694847&lt;/D&gt;&lt;/FQL&gt;&lt;FQL&gt;&lt;Q&gt;CAGDPY@BR^EE_ACTUAL_ANNUAL(MED,+1)&lt;/Q&gt;&lt;R&gt;1&lt;/R&gt;&lt;C&gt;1&lt;/C&gt;&lt;D xsi:type="xsd:double"&gt;-1.65&lt;/D&gt;&lt;/FQL&gt;&lt;FQL&gt;&lt;Q&gt;CC_PL^FG_COMPANY_NAME&lt;/Q&gt;&lt;R&gt;1&lt;/R&gt;&lt;C&gt;1&lt;/C&gt;&lt;D xsi:type="xsd:string"&gt;Poland&lt;/D&gt;&lt;/FQL&gt;&lt;FQL&gt;&lt;Q&gt;USDTHB^STD(FG_PRICE_CHANGE(0,-1AY,AM))&lt;/Q&gt;&lt;R&gt;1&lt;/R&gt;&lt;C&gt;1&lt;/C&gt;&lt;D xsi:type="xsd:double"&gt;2.33509681919553&lt;/D&gt;&lt;/FQL&gt;&lt;FQL&gt;&lt;Q&gt;USDKRW^FG_PRICE_CHANGE(0,-6AM)&lt;/Q&gt;&lt;R&gt;1&lt;/R&gt;&lt;C&gt;1&lt;/C&gt;&lt;D xsi:type="xsd:double"&gt;-0.3358245&lt;/D&gt;&lt;/FQL&gt;&lt;FQL&gt;&lt;Q&gt;USDPLN^STD(FG_PRICE_CHANGE(0,-3AY,M))&lt;/Q&gt;&lt;R&gt;1&lt;/R&gt;&lt;C&gt;1&lt;/C&gt;&lt;D xsi:type="xsd:double"&gt;3.22726190601712&lt;/D&gt;&lt;/FQL&gt;&lt;FQL&gt;&lt;Q&gt;USDCNH^FG_PRICE(0)&lt;/Q&gt;&lt;R&gt;1&lt;/R&gt;&lt;C&gt;1&lt;/C&gt;&lt;D xsi:type="xsd:double"&gt;7.0942&lt;/D&gt;&lt;/FQL&gt;&lt;FQL&gt;&lt;Q&gt;FC0000PH^FMA_EPS(NTMA,-20AY,0,CY,,"PORTAGG","MEANR")&lt;/Q&gt;&lt;R&gt;20&lt;/R&gt;&lt;C&gt;1&lt;/C&gt;&lt;D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xsi:type="xsd:double"&gt;33.7587102374388&lt;/D&gt;&lt;D xsi:type="xsd:double"&gt;25.625710924974&lt;/D&gt;&lt;D xsi:type="xsd:double"&gt;24.8900071648497&lt;/D&gt;&lt;D xsi:type="xsd:double"&gt;26.8368786703138&lt;/D&gt;&lt;D xsi:type="xsd:double"&gt;30.8315679687197&lt;/D&gt;&lt;/FQL&gt;&lt;FQL&gt;&lt;Q&gt;EWY^FG_TOTAL_RETURNC(-10AY,0,AM)&lt;/Q&gt;&lt;R&gt;121&lt;/R&gt;&lt;C&gt;1&lt;/C&gt;&lt;D xsi:type="xsd:double"&gt;-11.572188&lt;/D&gt;&lt;D xsi:type="xsd:double"&gt;1.8770933&lt;/D&gt;&lt;D xsi:type="xsd:double"&gt;-2.4335086&lt;/D&gt;&lt;D xsi:type="xsd:double"&gt;1.1104941&lt;/D&gt;&lt;D xsi:type="xsd:double"&gt;-0.65977573&lt;/D&gt;&lt;D xsi:type="xsd:double"&gt;-1.3283014&lt;/D&gt;&lt;D xsi:type="xsd:double"&gt;8.422768&lt;/D&gt;&lt;D xsi:type="xsd:double"&gt;0.6375909&lt;/D&gt;&lt;D xsi:type="xsd:double"&gt;-6.235409&lt;/D&gt;&lt;D xsi:type="xsd:double"&gt;-4.7297297&lt;/D&gt;&lt;D xsi:type="xsd:double"&gt;-5.5804434&lt;/D&gt;&lt;D xsi:type="xsd:double"&gt;-4.1312513&lt;/D&gt;&lt;D xsi:type="xsd:double"&gt;10.082472&lt;/D&gt;&lt;D xsi:type="xsd:double"&gt;-1.4609456&lt;/D&gt;&lt;D xsi:type="xsd:double"&gt;-3.8205683&lt;/D&gt;&lt;D xsi:type="xsd:double"&gt;-5.4572525&lt;/D&gt;&lt;D xsi:type="xsd:double"&gt;0.44938326&lt;/D&gt;&lt;D xsi:type="xsd:double"&gt;5.602896&lt;/D&gt;&lt;D xsi:type="xsd:double"&gt;3.7926197&lt;/D&gt;&lt;D xsi:type="xsd:double"&gt;-0.87463856&lt;/D&gt;&lt;D xsi:type="xsd:double"&gt;1.4705896&lt;/D&gt;&lt;D xsi:type="xsd:double"&gt;1.3719797&lt;/D&gt;&lt;D xsi:type="xsd:double"&gt;9.1689&lt;/D&gt;&lt;D xsi:type="xsd:double"&gt;-1.5889645&lt;/D&gt;&lt;D xsi:type="xsd:double"&gt;3.2647252&lt;/D&gt;&lt;D xsi:type="xsd:double"&gt;-8.745707&lt;/D&gt;&lt;D xsi:type="xsd:double"&gt;3.5586476&lt;/D&gt;&lt;D xsi:type="xsd:double"&gt;0.23444891&lt;/D&gt;&lt;D xsi:type="xsd:double"&gt;6.700933&lt;/D&gt;&lt;D xsi:type="xsd:double"&gt;0.41294098&lt;/D&gt;&lt;D xsi:type="xsd:double"&gt;1.9876599&lt;/D&gt;&lt;D xsi:type="xsd:double"&gt;9.106183&lt;/D&gt;&lt;D xsi:type="xsd:double"&gt;4.619646&lt;/D&gt;&lt;D xsi:type="xsd:double"&gt;-0.8095443&lt;/D&gt;&lt;D xsi:type="xsd:double"&gt;-2.3445666&lt;/D&gt;&lt;D xsi:type="xsd:double"&gt;2.3400664&lt;/D&gt;&lt;D xsi:type="xsd:double"&gt;5.5233836&lt;/D&gt;&lt;D xsi:type="xsd:double"&gt;4.6995997&lt;/D&gt;&lt;D xsi:type="xsd:double"&gt;0.09406805&lt;/D&gt;&lt;D xsi:type="xsd:double"&gt;5.6283355&lt;/D&gt;&lt;D xsi:type="xsd:double"&gt;-7.618797&lt;/D&gt;&lt;D xsi:type="xsd:double"&gt;7.977891&lt;/D&gt;&lt;D xsi:type="xsd:double"&gt;-1.968503&lt;/D&gt;&lt;D xsi:type="xsd:double"&gt;0.4016161&lt;/D&gt;&lt;D xsi:type="xsd:double"&gt;-2.0399988&lt;/D&gt;&lt;D xsi:type="xsd:double"&gt;-8.779102&lt;/D&gt;&lt;D xsi:type="xsd:double"&gt;-3.446728&lt;/D&gt;&lt;D xsi:type="xsd:double"&gt;0.4481554&lt;/D&gt;&lt;D xsi:type="xsd:double"&gt;-4.5846167&lt;/D&gt;&lt;D xsi:type="xsd:double"&gt;-4.2405663&lt;/D&gt;&lt;D xsi:type="xsd:double"&gt;-0.58932304&lt;/D&gt;&lt;D xsi:type="xsd:double"&gt;2.8286934&lt;/D&gt;&lt;D xsi:type="xsd:double"&gt;4.6243668&lt;/D&gt;&lt;D xsi:type="xsd:double"&gt;-3.1594038&lt;/D&gt;&lt;D xsi:type="xsd:double"&gt;4.613614&lt;/D&gt;&lt;D xsi:type="xsd:double"&gt;-9.040796&lt;/D&gt;&lt;D xsi:type="xsd:double"&gt;-0.46753287&lt;/D&gt;&lt;D xsi:type="xsd:double"&gt;-0.46973228&lt;/D&gt;&lt;D xsi:type="xsd:double"&gt;-8.862084&lt;/D&gt;&lt;D xsi:type="xsd:double"&gt;7.86345&lt;/D&gt;&lt;D xsi:type="xsd:double"&gt;1.3513446&lt;/D&gt;&lt;D xsi:type="xsd:double"&gt;7.1929812&lt;/D&gt;&lt;D xsi:type="xsd:double"&gt;-4.6972156&lt;/D&gt;&lt;D xsi:type="xsd:double"&gt;9.993529&lt;/D&gt;&lt;D xsi:type="xsd:double"&gt;-2.6638985&lt;/D&gt;&lt;D xsi:type="xsd:double"&gt;-10.324484&lt;/D&gt;&lt;D xsi:type="xsd:double"&gt;-10.562873&lt;/D&gt;&lt;D xsi:type="xsd:double"&gt;5.8234572&lt;/D&gt;&lt;D xsi:type="xsd:double"&gt;15.891099&lt;/</t>
        </r>
      </text>
    </comment>
    <comment ref="A9" authorId="0" shapeId="0" xr:uid="{DB84ABA3-EE86-4150-B131-D3F51E0D0264}">
      <text>
        <r>
          <rPr>
            <b/>
            <sz val="9"/>
            <color indexed="81"/>
            <rFont val="Tahoma"/>
            <charset val="1"/>
          </rPr>
          <t>D&gt;&lt;D xsi:type="xsd:double"&gt;-2.6491165&lt;/D&gt;&lt;D xsi:type="xsd:double"&gt;11.654973&lt;/D&gt;&lt;D xsi:type="xsd:double"&gt;-2.1919012&lt;/D&gt;&lt;D xsi:type="xsd:double"&gt;7.0991874&lt;/D&gt;&lt;D xsi:type="xsd:double"&gt;4.7117352&lt;/D&gt;&lt;D xsi:type="xsd:double"&gt;16.028511&lt;/D&gt;&lt;D xsi:type="xsd:double"&gt;16.783667&lt;/D&gt;&lt;D xsi:type="xsd:double"&gt;-3.388071&lt;/D&gt;&lt;D xsi:type="xsd:double"&gt;-7.3042154&lt;/D&gt;&lt;D xsi:type="xsd:double"&gt;5.9649467&lt;/D&gt;&lt;D xsi:type="xsd:double"&gt;2.2122502&lt;/D&gt;&lt;D xsi:type="xsd:double"&gt;-0.69645643&lt;/D&gt;&lt;D xsi:type="xsd:double"&gt;-2.6650846&lt;/D&gt;&lt;D xsi:type="xsd:double"&gt;-1.3302267&lt;/D&gt;&lt;D xsi:type="xsd:double"&gt;-6.0667334&lt;/D&gt;&lt;D xsi:type="xsd:double"&gt;-6.769532&lt;/D&gt;&lt;D xsi:type="xsd:double"&gt;-0.2950549&lt;/D&gt;&lt;D xsi:type="xsd:double"&gt;3.885734&lt;/D&gt;&lt;D xsi:type="xsd:double"&gt;-3.441&lt;/D&gt;&lt;D xsi:type="xsd:double"&gt;-3.5115302&lt;/D&gt;&lt;D xsi:type="xsd:double"&gt;-7.48235&lt;/D&gt;&lt;D xsi:type="xsd:double"&gt;1.1301994&lt;/D&gt;&lt;D xsi:type="xsd:double"&gt;-6.67634&lt;/D&gt;&lt;D xsi:type="xsd:double"&gt;-1.8195987&lt;/D&gt;&lt;D xsi:type="xsd:double"&gt;-7.650882&lt;/D&gt;&lt;D xsi:type="xsd:double"&gt;5.6260824&lt;/D&gt;&lt;D xsi:type="xsd:double"&gt;-9.304976&lt;/D&gt;&lt;D xsi:type="xsd:double"&gt;-12.802142&lt;/D&gt;&lt;D xsi:type="xsd:double"&gt;19.876802&lt;/D&gt;&lt;D xsi:type="xsd:double"&gt;-0.582391&lt;/D&gt;&lt;D xsi:type="xsd:double"&gt;6.96851&lt;/D&gt;&lt;D xsi:type="xsd:double"&gt;1.8418908&lt;/D&gt;&lt;D xsi:type="xsd:double"&gt;-7.5384083&lt;/D&gt;&lt;D xsi:type="xsd:double"&gt;6.041193&lt;/D&gt;&lt;D xsi:type="xsd:double"&gt;-0.32647252&lt;/D&gt;&lt;D xsi:type="xsd:double"&gt;9.204054&lt;/D&gt;&lt;D xsi:type="xsd:double"&gt;-5.18896&lt;/D&gt;&lt;D xsi:type="xsd:double"&gt;1.0123372&lt;/D&gt;&lt;D xsi:type="xsd:double"&gt;-3.2414675&lt;/D&gt;&lt;D xsi:type="xsd:double"&gt;-5.2435694&lt;/D&gt;&lt;D xsi:type="xsd:double"&gt;2.9888988&lt;/D&gt;&lt;D xsi:type="xsd:double"&gt;3.0845761&lt;/D&gt;&lt;D xsi:type="xsd:double"&gt;1.3940692&lt;/D&gt;&lt;D xsi:type="xsd:double"&gt;3.6633015&lt;/D&gt;&lt;D xsi:type="xsd:double"&gt;4.08355&lt;/D&gt;&lt;D xsi:type="xsd:double"&gt;-4.4062138&lt;/D&gt;&lt;D xsi:type="xsd:double"&gt;2.4151564&lt;/D&gt;&lt;D xsi:type="xsd:double"&gt;-1.0789096&lt;/D&gt;&lt;D xsi:type="xsd:double"&gt;7.1985126&lt;/D&gt;&lt;D xsi:type="xsd:double"&gt;-9.563959&lt;/D&gt;&lt;D xsi:type="xsd:double"&gt;-1.5107751&lt;/D&gt;&lt;D xsi:type="xsd:double"&gt;3.3126712&lt;/D&gt;&lt;/FQL&gt;&lt;FQL&gt;&lt;Q&gt;SET-BKK^FMA_PE(NTMA,-10AY,0,AM,"PORTAGG","MEANR")&lt;/Q&gt;&lt;R&gt;121&lt;/R&gt;&lt;C&gt;1&lt;/C&gt;&lt;D xsi:type="xsd:double"&gt;15.3911044261688&lt;/D&gt;&lt;D xsi:type="xsd:double"&gt;15.5423189319995&lt;/D&gt;&lt;D xsi:type="xsd:double"&gt;15.3323113983379&lt;/D&gt;&lt;D xsi:type="xsd:double"&gt;15.0867989043975&lt;/D&gt;&lt;D xsi:type="xsd:double"&gt;16.1945196858536&lt;/D&gt;&lt;D xsi:type="xsd:double"&gt;15.164183736907&lt;/D&gt;&lt;D xsi:type="xsd:double"&gt;15.2990998843432&lt;/D&gt;&lt;D xsi:type="xsd:double"&gt;15.650974277738&lt;/D&gt;&lt;D xsi:type="xsd:double"&gt;15.2774162705513&lt;/D&gt;&lt;D xsi:type="xsd:double"&gt;15.1793910055899&lt;/D&gt;&lt;D xsi:type="xsd:double"&gt;14.4660475724192&lt;/D&gt;&lt;D xsi:type="xsd:double"&gt;14.319144871113&lt;/D&gt;&lt;D xsi:type="xsd:double"&gt;14.4091910656371&lt;/D&gt;&lt;D xsi:type="xsd:double"&gt;13.799138745331&lt;/D&gt;&lt;D xsi:type="xsd:double"&gt;12.6702716445173&lt;/D&gt;&lt;D xsi:type="xsd:double"&gt;11.4990344180763&lt;/D&gt;&lt;D xsi:type="xsd:double"&gt;13.4026188718904&lt;/D&gt;&lt;D xsi:type="xsd:double"&gt;14.4258052600797&lt;/D&gt;&lt;D xsi:type="xsd:double"&gt;14.1267596209692&lt;/D&gt;&lt;D xsi:type="xsd:double"&gt;14.2073353023257&lt;/D&gt;&lt;D xsi:type="xsd:double"&gt;14.5771875680236&lt;/D&gt;&lt;D xsi:type="xsd:double"&gt;14.8575512005326&lt;/D&gt;&lt;D xsi:type="xsd:double"&gt;15.4635065261843&lt;/D&gt;&lt;D xsi:type="xsd:double"&gt;14.2043694234945&lt;/D&gt;&lt;D xsi:type="xsd:double"&gt;14.1977654830347&lt;/D&gt;&lt;D xsi:type="xsd:double"&gt;14.8758433950868&lt;/D&gt;&lt;D xsi:type="xsd:double"&gt;14.8087457228845&lt;/D&gt;&lt;D xsi:type="xsd:double"&gt;15.153745530344&lt;/D&gt;&lt;D xsi:type="xsd:double"&gt;15.1806637463492&lt;/D&gt;&lt;D xsi:type="xsd:double"&gt;14.6924455121093&lt;/D&gt;&lt;D xsi:type="xsd:double"&gt;15.0122158774552&lt;/D&gt;&lt;D xsi:type="xsd:double"&gt;14.6502036398006&lt;/D&gt;&lt;D xsi:type="xsd:double"&gt;14.6908815421703&lt;/D&gt;&lt;D xsi:type="xsd:double"&gt;14.6245556068467&lt;/D&gt;&lt;D xsi:type="xsd:double"&gt;14.6910499068305&lt;/D&gt;&lt;D xsi:type="xsd:double"&gt;15.2196367101205&lt;/D&gt;&lt;D xsi:type="xsd:double"&gt;15.734995703344&lt;/D&gt;&lt;D xsi:type="xsd:double"&gt;15.4942410544767&lt;/D&gt;&lt;D xsi:type="xsd:double"&gt;15.5649104491132&lt;/D&gt;&lt;D xsi:type="xsd:double"&gt;16.2396971088432&lt;/D&gt;&lt;D xsi:type="xsd:double"&gt;15.9121348568116&lt;/D&gt;&lt;D xsi:type="xsd:double"&gt;15.4005923445238&lt;/D&gt;&lt;D xsi:type="xsd:double"&gt;15.1059590569435&lt;/D&gt;&lt;D xsi:type="xsd:double"&gt;14.9014818045783&lt;/D&gt;&lt;D xsi:type="xsd:double"&gt;15.0090933356184&lt;/D&gt;&lt;D xsi:type="xsd:double"&gt;14.2519177723743&lt;/D&gt;&lt;D xsi:type="xsd:double"&gt;14.7854511924201&lt;/D&gt;&lt;D xsi:type="xsd:double"&gt;14.5129893013191&lt;/D&gt;&lt;D xsi:type="xsd:double"&gt;14.7113119097822&lt;/D&gt;&lt;D xsi:type="xsd:double"&gt;14.3089884513547&lt;/D&gt;&lt;D xsi:type="xsd:double"&gt;14.2170962510584&lt;/D&gt;&lt;D xsi:type="xsd:double"&gt;13.7912696787179&lt;/D&gt;&lt;D xsi:type="xsd:double"&gt;14.6389209207477&lt;/D&gt;&lt;D xsi:type="xsd:double"&gt;14.786144288659&lt;/D&gt;&lt;D xsi:type="xsd:double"&gt;14.9837240844819&lt;/D&gt;&lt;D xsi:type="xsd:double"&gt;14.9031365922999&lt;/D&gt;&lt;D xsi:type="xsd:double"&gt;15.1902601374017&lt;/D&gt;&lt;D xsi:type="xsd:double"&gt;15.9070569649666&lt;/D&gt;&lt;D xsi:type="xsd:double"&gt;15.146410465552&lt;/D&gt;&lt;D xsi:type="xsd:double"&gt;15.6390037295288&lt;/D&gt;&lt;D xsi:type="xsd:double"&gt;15.1748521023183&lt;/D&gt;&lt;D xsi:type="xsd:double"&gt;15.8462535761616&lt;/D&gt;&lt;D xsi:type="xsd:double"&gt;15.1183079945252&lt;/D&gt;&lt;D xsi:type="xsd:double"&gt;15.5527950544528&lt;/D&gt;&lt;D xsi:type="xsd:double"&gt;15.3130483785944&lt;/D&gt;&lt;D xsi:type="xsd:double"&gt;13.518041359665&lt;/D&gt;&lt;D xsi:type="xsd:double"&gt;14.640933532973&lt;/D&gt;&lt;D xsi:type="xsd:double"&gt;16.5742491028473&lt;/D&gt;&lt;D xsi:type="xsd:double"&gt;19.9935560251547&lt;/D&gt;&lt;D xsi:type="xsd:double"&gt;19.4112081528222&lt;/D&gt;&lt;D xsi:type="xsd:double"&gt;19.1796246988954&lt;/D&gt;&lt;D xsi:type="xsd:double"&gt;18.8300788831481&lt;/D&gt;&lt;D xsi:type="xsd:double"&gt;18.4395962695712&lt;/D&gt;&lt;D xsi:type="xsd:double"&gt;18.4144788687924&lt;/D&gt;&lt;D xsi:type="xsd:double"&gt;19.7648671753345&lt;/D&gt;&lt;D xsi:type="xsd:double"&gt;20.4181793498731&lt;/D&gt;&lt;D xsi:type="xsd:double"&gt;19.3856691933888&lt;/D&gt;&lt;D xsi:type="xsd:double"&gt;19.7974667851897&lt;/D&gt;&lt;D xsi:type="xsd:double"&gt;19.0915969540571&lt;/D&gt;&lt;D xsi:type="xsd:double"&gt;18.6575111276833&lt;/D&gt;&lt;D xsi:type="xsd:double"&gt;18.0365362745048&lt;/D&gt;&lt;D xsi:type="xsd:double"&gt;16.9052699307871&lt;/D&gt;&lt;D xsi:type="xsd:double"&gt;16.6389387371616&lt;/D&gt;&lt;D xsi:type="xsd:double"&gt;17.7132010719353&lt;/D&gt;&lt;D xsi:type="xsd:double"&gt;17.4677272319025&lt;/D&gt;&lt;D xsi:type="xsd:double"&gt;17.3584418883345&lt;/D&gt;&lt;D xsi:type="xsd:double"&gt;16.9336677405325&lt;/D&gt;&lt;D xsi:type="xsd:double"&gt;17.2777274065935&lt;/D&gt;&lt;D xsi:type="xsd:double"&gt;17.442072750536&lt;/D&gt;&lt;D xsi:type="xsd:double"&gt;16.8135932976285&lt;/D&gt;&lt;D xsi:type="xsd:double"&gt;16.8587737620474&lt;/D&gt;&lt;D xsi:type="xsd:double"&gt;16.0691517498041&lt;/D&gt;&lt;D xsi:type="xsd:double"&gt;15.8191162399902&lt;/D&gt;&lt;D xsi:type="xsd:double"&gt;15.1164697673684&lt;/D&gt;&lt;D xsi:type="xsd:double"&gt;15.4252686418624&lt;/D&gt;&lt;D xsi:type="xsd:double"&gt;15.6735798287311&lt;/D&gt;&lt;D xsi:type="xsd:double"&gt;14.9229499584159&lt;/D&gt;&lt;D xsi:type="xsd:double"&gt;15.519766448505&lt;/D&gt;&lt;D xsi:type="xsd:double"&gt;15.5378803192368&lt;/D&gt;&lt;D xsi:type="xsd:double"&gt;16.2184341161518&lt;/D&gt;&lt;D xsi:type="xsd:double"&gt;15.9231782865377&lt;/D&gt;&lt;D xsi:type="xsd:double"&gt;15.6855310035895&lt;/D&gt;&lt;D xsi:type="xsd:double"&gt;15.7885412624162&lt;/D&gt;&lt;D xsi:type="xsd:double"&gt;15.697225003029&lt;/D&gt;&lt;D xsi:type="xsd:double"&gt;15.8040472473553&lt;/D&gt;&lt;D xsi:type="xsd:double"&gt;15.3844825893339&lt;/D&gt;&lt;D xsi:type="xsd:double"&gt;15.7813817610721&lt;/D&gt;&lt;D xsi:type="xsd:double"&gt;15.9266800799411&lt;/D&gt;&lt;D xsi:type="xsd:double"&gt;14.6516512519524&lt;/D&gt;&lt;D xsi:type="xsd:double"&gt;14.2551266245645&lt;/D&gt;&lt;D xsi:type="xsd:double"&gt;14.2507899255232&lt;/D&gt;&lt;D xsi:type="xsd:double"&gt;14.5456380573121&lt;/D&gt;&lt;D xsi:type="xsd:double"&gt;14.3528073798789&lt;/D&gt;&lt;D xsi:type="xsd:double"&gt;14.3814848174454&lt;/D&gt;&lt;D xsi:type="xsd:double"&gt;14.5918871988849&lt;/D&gt;&lt;D xsi:type="xsd:double"&gt;14.2142788056337&lt;/D&gt;&lt;D xsi:type="xsd:double"&gt;13.5487940624583&lt;/D&gt;&lt;D xsi:type="xsd:double"&gt;13.5741005021804&lt;/D&gt;&lt;D xsi:type="xsd:double"&gt;13.43983091119&lt;/D&gt;&lt;D xsi:type="xsd:double"&gt;14.751789856083&lt;/D&gt;&lt;D xsi:type="xsd:double"&gt;14.8727028271949&lt;/D&gt;&lt;/FQL&gt;&lt;FQL&gt;&lt;Q&gt;UAE^FMA_PE(LTMA,-10AY,0,AM,"PORTAGG","MEANR")&lt;/Q&gt;&lt;R&gt;121&lt;/R&gt;&lt;C&gt;1&lt;/C&gt;&lt;D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xsi:type="xsd:double"&gt;11.2670300717434&lt;/D&gt;&lt;D xsi:type="xsd:double"&gt;12.7137895981138&lt;/D&gt;&lt;D xsi:type="xsd:double"&gt;13.0678052625933&lt;/D&gt;&lt;D xsi:type="xsd:double"&gt;13.1561068720303&lt;/D&gt;&lt;D xsi:type="xsd:double"&gt;13.6514133678031&lt;/D&gt;&lt;D xsi:type="xsd:double"&gt;13.5826869805823&lt;/D&gt;&lt;D xsi:type="xsd:double"&gt;13.4591470400128&lt;/D&gt;&lt;D xsi:type="xsd:double"&gt;13.5111039893936&lt;/D&gt;&lt;D xsi:type="xsd:double"&gt;13.4302992707421&lt;/D&gt;&lt;D xsi:type="xsd:double"&gt;13.6814640952861&lt;/D&gt;&lt;D xsi:type="xsd:double"&gt;12.4870212965007&lt;/D&gt;&lt;D xsi:type="xsd:double"&gt;11.0655386444089&lt;/D&gt;&lt;D xsi:type="xsd:double"&gt;12.8245747838818&lt;/D&gt;&lt;D xsi:type="xsd:double"&gt;12.110921440583&lt;/D&gt;&lt;D xsi:type="xsd:double"&gt;13.0913242374055&lt;/D&gt;&lt;D xsi:type="xsd:double"&gt;13.0252980725559&lt;/D&gt;&lt;D xsi:type="xsd:double"&gt;13.1953818336375&lt;/D&gt;&lt;D xsi:type="xsd:double"&gt;13.2136623320351&lt;/D&gt;&lt;D xsi:type="xsd:double"&gt;13.4531025385278&lt;/D&gt;&lt;D xsi:type="xsd:double"&gt;13.4801295102928&lt;/D&gt;&lt;D xsi:type="xsd:double"&gt;13.2330234486535&lt;/D&gt;&lt;D xsi:type="xsd:double"&gt;13.9381452732277&lt;/D&gt;&lt;D xsi:type="xsd:double"&gt;12.6966478513484&lt;/D&gt;&lt;D xsi:type="xsd:double"&gt;12.9581948771025&lt;/D&gt;&lt;D xsi:type="xsd:double"&gt;13.5307569393038&lt;/D&gt;&lt;D xsi:type="xsd:double"&gt;13.5362650383298&lt;/D&gt;&lt;D xsi:type="xsd:double"&gt;13.3406048980856&lt;/D&gt;&lt;D xsi:type="xsd:double"&gt;13.3562647066098&lt;/D&gt;&lt;D xsi:type="xsd:double"&gt;13.2198555401962&lt;/D&gt;&lt;D xsi:type="xsd:double"&gt;12.9067504448381&lt;/D&gt;&lt;D xsi:type="xsd:double"&gt;12.7887685927577&lt;/D&gt;&lt;D xsi:type="xsd:double"&gt;13.1759762646782&lt;/D&gt;&lt;D xsi:type="xsd:double"&gt;12.5849189787621&lt;/D&gt;&lt;D xsi:type="xsd:double"&gt;12.2441965876829&lt;/D&gt;&lt;D xsi:type="xsd:double"&gt;11.934344274739&lt;/D&gt;&lt;D xsi:type="xsd:double"&gt;11.3898775197161&lt;/D&gt;&lt;D xsi:type="xsd:double"&gt;12.3024009354962&lt;/D&gt;&lt;D xsi:type="xsd:double"&gt;12.024264151658&lt;/D&gt;&lt;D xsi:type="xsd:double"&gt;12.4223886116138&lt;/D&gt;&lt;D xsi:type="xsd:double"&gt;12.4323239636334&lt;/D&gt;&lt;D xsi:type="xsd:double"&gt;12.0136213635015&lt;/D&gt;&lt;D xsi:type="xsd:double"&gt;12.1245484900473&lt;/D&gt;&lt;D xsi:type="xsd:double"&gt;12.1039393521325&lt;/D&gt;&lt;D xsi:type="xsd:double"&gt;12.2032898104177&lt;/D&gt;&lt;D xsi:type="xsd:double"&gt;13.116223402757&lt;/D&gt;&lt;D xsi:type="xsd:double"&gt;12.7774590035376&lt;/D&gt;&lt;D xsi:type="xsd:double"&gt;13.0468058027086&lt;/D&gt;&lt;D xsi:type="xsd:double"&gt;11.7919973383695&lt;/D&gt;&lt;D xsi:type="xsd:double"&gt;12.0195760371115&lt;/D&gt;&lt;D xsi:type="xsd:double"&gt;12.0689996533698&lt;/D&gt;&lt;D xsi:type="xsd:double"&gt;12.7232714865908&lt;/D&gt;&lt;D xsi:type="xsd:double"&gt;12.7247788848125&lt;/D&gt;&lt;D xsi:type="xsd:double"&gt;12.5533620062707&lt;/D&gt;&lt;D xsi:type="xsd:double"&gt;12.8462042560141&lt;/D&gt;&lt;D xsi:type="xsd:double"&gt;13.3463948107704&lt;/D&gt;&lt;D xsi:type="xsd:double"&gt;13.6097947607434&lt;/D&gt;&lt;D xsi:type="xsd:double"&gt;14.4095124304762&lt;/D&gt;&lt;D xsi:type="xsd:double"&gt;13.8015773909925&lt;/D&gt;&lt;D xsi:type="xsd:double"&gt;14.3617492218192&lt;/D&gt;&lt;D xsi:type="xsd:double"&gt;14.3378905723999&lt;/D&gt;&lt;D xsi:type="xsd:double"&gt;15.8013363362197&lt;/D&gt;&lt;D xsi:type="xsd:double"&gt;15.3108829449692&lt;/D&gt;&lt;D xsi:type="xsd:double"&gt;14.3497484859829&lt;/D&gt;&lt;D xsi:type="xsd:double"&gt;14.1568187533726&lt;/D&gt;&lt;D xsi:type="xsd:double"&gt;16.1911008467051&lt;/D&gt;&lt;D xsi:type="xsd:double"&gt;15.9193830697216&lt;/D&gt;&lt;D xsi:type="xsd:double"&gt;17.9469178263124&lt;/D&gt;&lt;D xsi:type="xsd:double"&gt;15.2913115169658&lt;/D&gt;&lt;D xsi:type="xsd:double"&gt;16.2876836196649&lt;/D&gt;&lt;D xsi:type="xsd:double"&gt;15.9476239564527&lt;/D&gt;&lt;D xsi:type="xsd:double"&gt;22.9174852758193&lt;/D&gt;&lt;D xsi:type="xsd:double"&gt;24.4180191465914&lt;/D&gt;&lt;D xsi:type="xsd:double"&gt;25.025806952429&lt;/D&gt;&lt;D xsi:type="xsd:double"&gt;22.4052341326664&lt;/D&gt;&lt;D xsi:type="xsd:double"&gt;27.0736339253576&lt;/D&gt;&lt;D xsi:type="xsd:double"&gt;25.7793450715408&lt;/D&gt;&lt;D xsi:type="xsd:double"&gt;24.4506394617915&lt;/D&gt;&lt;D xsi:type="xsd:double"&gt;23.8763083672953&lt;/D&gt;&lt;D xsi:type="xsd:double"&gt;22.5446615229977&lt;/D&gt;&lt;D xsi:type="xsd:double"&gt;21.4456757858724&lt;/D&gt;&lt;D xsi:type="xsd:double"&gt;20.4754922054593&lt;/D&gt;&lt;D xsi:type="xsd:double"&gt;19.3078697502288&lt;/D&gt;&lt;D xsi:type="xsd:double"&gt;18.7631269624576&lt;/D&gt;&lt;D xsi:type="xsd:double"&gt;18.090348486021&lt;/D&gt;&lt;D xsi:type="xsd:double"&gt;16.422813449565&lt;/D&gt;&lt;D xsi:type="xsd:double"&gt;17.177421141551&lt;/D&gt;&lt;D xsi:type="xsd:double"&gt;17.3173096583973&lt;/D&gt;&lt;D xsi:type="xsd:double"&gt;17.4663269419367&lt;/D&gt;&lt;D xsi:type="xsd:double"&gt;17.0899207329502&lt;/D&gt;&lt;D xsi:type="xsd:double"&gt;16.3235639769806&lt;/D&gt;&lt;D xsi:type="xsd:double"&gt;15.4179227113685&lt;/D&gt;&lt;D xsi:type="xsd:double"&gt;15.6385707478775&lt;/D&gt;&lt;D xsi:type="xsd:double"&gt;14.8530597072748&lt;/D&gt;&lt;D xsi:type="xsd:double"&gt;14.3637713295169&lt;/D&gt;&lt;D xsi:type="xsd:double"&gt;14.2580257958074&lt;/D&gt;&lt;D xsi:type="xsd:double"&gt;12.9674945230652&lt;/D&gt;&lt;D xsi:type="xsd:double"&gt;12.4686169049656&lt;/D&gt;&lt;D xsi:type="xsd:double"&gt;12.7588590960451&lt;/D&gt;&lt;D xsi:type="xsd:double"&gt;12.2287694764289&lt;/D&gt;&lt;D xsi:type="xsd:double"&gt;12.0402320344005&lt;/D&gt;&lt;D xsi:type="xsd:double"&gt;12.027188095833&lt;/D&gt;&lt;D xsi:type="xsd:double"&gt;11.7592854685267&lt;/D&gt;&lt;D xsi:type="xsd:double"&gt;11.729937853186&lt;/D&gt;&lt;D xsi:type="xsd:double"&gt;11.7103837677211&lt;/D&gt;&lt;D xsi:type="xsd:double"&gt;11.0839388614811&lt;/D&gt;&lt;D xsi:type="xsd:double"&gt;10.905076713663&lt;/D&gt;&lt;D xsi:type="xsd:double"&gt;10.4276618683112&lt;/D&gt;&lt;D xsi:type="xsd:double"&gt;9.93891461667711&lt;/D&gt;&lt;D xsi:type="xsd:double"&gt;10.3532806304557&lt;/D&gt;&lt;D xsi:type="xsd:double"&gt;9.32383128989873&lt;/D&gt;&lt;D xsi:type="xsd:double"&gt;9.41212073842248&lt;/D&gt;&lt;D xsi:type="xsd:double"&gt;9.40183675418039&lt;/D&gt;&lt;D xsi:type="xsd:double"&gt;9.24231553981786&lt;/D&gt;&lt;D xsi:type="xsd:double"&gt;8.98631135317175&lt;/D&gt;&lt;D xsi:type="xsd:double"&gt;9.07854867818543&lt;/D&gt;&lt;D xsi:type="xsd:double"&gt;9.14712240833132&lt;/D&gt;&lt;D xsi:type="xsd:double"&gt;9.65434064399665&lt;/D&gt;&lt;D xsi:type="xsd:double"&gt;9.6289991268041&lt;/D&gt;&lt;/FQL&gt;&lt;FQL&gt;&lt;Q&gt;PASP-FDS^FG_PRICE_CHANGE(0,-1AY)&lt;/Q&gt;&lt;R&gt;1&lt;/R&gt;&lt;C&gt;1&lt;/C&gt;&lt;D xsi:type="xsd:double"&gt;-6.22807017543859&lt;/D&gt;&lt;/FQL&gt;&lt;FQL&gt;&lt;Q&gt;W-FDS^FG_PRICE(0)&lt;/Q&gt;&lt;R&gt;1&lt;/R&gt;&lt;C&gt;1&lt;/C&gt;&lt;D xsi:type="xsd:double"&gt;6.0375&lt;/D&gt;&lt;/FQL&gt;&lt;FQL&gt;&lt;Q&gt;TIOS-FDS^FG_PRICE_CHANGE(0,-6AM)&lt;/Q&gt;&lt;R&gt;1&lt;/R&gt;&lt;C&gt;1&lt;/C&gt;&lt;D xsi:type="xsd:double"&gt;1.72082291866948&lt;/D&gt;&lt;/FQL&gt;&lt;FQL&gt;&lt;Q&gt;VNM^FG_PRICE_MAVG(0,,,,60)&lt;/Q&gt;&lt;R&gt;1&lt;/R&gt;&lt;C&gt;1&lt;/C&gt;&lt;D xsi:type="xsd:double"&gt;12.30025&lt;/D&gt;&lt;/FQL&gt;&lt;FQL&gt;&lt;Q&gt;EWZ^FG_PRICE(0)&lt;/Q&gt;&lt;R&gt;1&lt;/R&gt;&lt;C&gt;1&lt;/C&gt;&lt;D xsi:type="xsd:double"&gt;28.51&lt;/D&gt;&lt;/FQL&gt;&lt;FQL&gt;&lt;Q&gt;CNYA^FG_PRICE_MAVG(0,,,,60)&lt;/Q&gt;&lt;R&gt;1&lt;/R&gt;&lt;C&gt;1&lt;/C&gt;&lt;D xsi:type="xsd:double"&gt;26.1387&lt;/D&gt;&lt;/FQL&gt;&lt;FQL&gt;&lt;Q&gt;MCHI^FG_TOTAL_RETURNC(0,-12AM)&lt;/Q&gt;&lt;R&gt;1&lt;/R&gt;&lt;C&gt;1&lt;/C&gt;&lt;D xsi:type="xsd:double"&gt;22.77639&lt;/D&gt;&lt;/FQL&gt;&lt;FQL&gt;&lt;Q&gt;EWZ^P_PRICE(0)/P_PRICE_HIGH_PR(0,,,,,,"PRICE","INTRA","52W")&lt;/Q&gt;&lt;R&gt;1&lt;/R&gt;&lt;C&gt;1&lt;/C&gt;&lt;D xsi:type="xsd:double"&gt;0.79770565&lt;/D&gt;&lt;/FQL&gt;&lt;FQL&gt;&lt;Q&gt;EWM^FG_TOTAL_RETURNC(0,-3AM)&lt;/Q&gt;&lt;R&gt;1&lt;/R&gt;&lt;C&gt;1&lt;/C&gt;&lt;D xsi:type="xsd:double"&gt;12.532532&lt;/D&gt;&lt;/FQL&gt;&lt;FQL&gt;&lt;Q&gt;EPOL^FG_TOTAL_RETURNC(0,-1AM)&lt;/Q&gt;&lt;R&gt;1&lt;/R&gt;&lt;C&gt;1&lt;/C&gt;&lt;D xsi:type="xsd:double"&gt;0.12727976&lt;/D&gt;&lt;/FQL&gt;&lt;FQL&gt;&lt;Q&gt;CNYA^PERCENT_CHANGE(FMA_EPS(+1,0,,,,"PORTAGG","MEAN"),FMA_EPS(+1,-1AM,,,,"PORTAGG","MEAN"))&lt;/Q&gt;&lt;R&gt;1&lt;/R&gt;&lt;C&gt;1&lt;/C&gt;&lt;D xsi:type="xsd:double"&gt;25.1275275417805&lt;/D&gt;&lt;/FQL&gt;&lt;FQL&gt;&lt;Q&gt;SPY^SIZE(FG_CONSTITUENTS)&lt;/Q&gt;&lt;R&gt;1&lt;/R&gt;&lt;C&gt;1&lt;/C&gt;&lt;D xsi:type="xsd:long"&gt;503&lt;/D&gt;&lt;/FQL&gt;&lt;FQL&gt;&lt;Q&gt;VNM^FMA_COS_UP("EPS","1M",+1,NOW,,,"PORTAGG","MEANR")&lt;/Q&gt;&lt;R&gt;1&lt;/R&gt;&lt;C&gt;1&lt;/C&gt;&lt;D xsi:type="xsd:double"&gt;6&lt;/D&gt;&lt;/FQL&gt;&lt;FQL&gt;&lt;Q&gt;EWM^FMA_COS_DOWN("EPS","1M",+1,NOW,,,"PORTAGG","MEANR")&lt;/Q&gt;&lt;R&gt;1&lt;/R&gt;&lt;C&gt;1&lt;/C&gt;&lt;D xsi:type="xsd:double"&gt;14&lt;/D&gt;&lt;/FQL&gt;&lt;FQL&gt;&lt;Q&gt;EPHE^FMA_RBICS_REV_CURRENT(30, LOC, "PORTAGG")&lt;/Q&gt;&lt;R&gt;1&lt;/R&gt;&lt;C&gt;1&lt;/C&gt;&lt;D xsi:type="xsd:double"&gt;40.9605534444298&lt;/D&gt;&lt;/FQL&gt;&lt;FQL&gt;&lt;Q&gt;EPOL^FG_ROE(0)&lt;/Q&gt;&lt;R&gt;1&lt;/R&gt;&lt;C&gt;1&lt;/C&gt;&lt;D xsi:type="xsd:double"&gt;12.8586569512063&lt;/D&gt;&lt;/FQL&gt;&lt;FQL&gt;&lt;Q&gt;REFTHREPO-FDS^(SUBARRAY(NOT_NA(NO_REPEAT_F(FG_YIELD(NOW,-10AY,D))),0,1)-SUBARRAY(NOT_NA(NO_REPEAT_F(FG_YIELD(NOW,-10AY,D))),1,1))*100&lt;/Q&gt;&lt;R&gt;1&lt;/R&gt;&lt;C&gt;1&lt;/C&gt;&lt;D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xsi:type="xsd:double"&gt;25&lt;/D&gt;&lt;/FQL&gt;&lt;FQL&gt;&lt;Q&gt;REFPL7D-FDS^FG_YIELD(NOW,,,0)&lt;/Q&gt;&lt;R&gt;1&lt;/R&gt;&lt;C&gt;1&lt;/C&gt;&lt;D xsi:type="xsd:double"&gt;5.75&lt;/D&gt;&lt;/FQL&gt;&lt;FQL&gt;&lt;Q&gt;TRYAE10Y-FDS^PCTCHG(FG_YIELD(0,,,,"YTM"),FG_YIELD(-1AM,,,,"YTM"))&lt;/Q&gt;&lt;R&gt;0&lt;/R&gt;&lt;C&gt;0&lt;/C&gt;&lt;/FQL&gt;&lt;FQL&gt;&lt;Q&gt;TRYUS10Y-FDS^FG_YIELD_NAME&lt;/Q&gt;&lt;R&gt;1&lt;/R&gt;&lt;C&gt;1&lt;/C&gt;&lt;D xsi:type="xsd:string"&gt;US Benchmark Bond - 10 Year&lt;/D&gt;&lt;/FQL&gt;&lt;FQL&gt;&lt;Q&gt;TRYID10Y-FDS^FG_YIELD_NAME&lt;/Q&gt;&lt;R&gt;1&lt;/R&gt;&lt;C&gt;1&lt;/C&gt;&lt;D xsi:type="xsd:string"&gt;Treasury - Indonesia Benchmark Bond 10Y&lt;/D&gt;&lt;/FQL&gt;&lt;FQL&gt;&lt;Q&gt;UAE^FMA_DIV_YLD(NTMA,NOW,NOW,M,"PORTAGG","MEANR")&lt;/Q&gt;&lt;R&gt;1&lt;/R&gt;&lt;C&gt;1&lt;/C&gt;&lt;D xsi:type="xsd:double"&gt;5.21806431474157&lt;/D&gt;&lt;/FQL&gt;&lt;FQL&gt;&lt;Q&gt;INDA^JULIAN(FMA_DIV_YLD(NTMA,NOW,NOW,M,"PORTAGG","MEANR").DATES)&lt;/Q&gt;&lt;R&gt;1&lt;/R&gt;&lt;C&gt;1&lt;/C&gt;&lt;D xsi:type="xsd:long"&gt;45565&lt;/D&gt;&lt;/FQL&gt;&lt;FQL&gt;&lt;Q&gt;EWT^FG_FCF_YIELD_NTM(0)&lt;/Q&gt;&lt;R&gt;1&lt;/R&gt;&lt;C&gt;1&lt;/C&gt;&lt;D xsi:type="xsd:double"&gt;4.23015481520877&lt;/D&gt;&lt;/FQL&gt;&lt;FQL&gt;&lt;Q&gt;EPOL^FMA_EVAL_EBIT(LTMA,NOW,NOW,M,"PORTAGG","MEANR")&lt;/Q&gt;&lt;R&gt;1&lt;/R&gt;&lt;C&gt;1&lt;/C&gt;&lt;D xsi:type="xsd:double"&gt;8.47360350246904&lt;/D&gt;&lt;/FQL&gt;&lt;FQL&gt;&lt;Q&gt;TRYTR7Y-FDS^FG_YIELD(-10AY,0,Y,,"YTM")&lt;/Q&gt;&lt;R&gt;10&lt;/R&gt;&lt;C&gt;1&lt;/C&gt;&lt;D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xsi:type="xsd:double"&gt;21.984322&lt;/D&gt;&lt;/FQL&gt;&lt;FQL&gt;&lt;Q&gt;USDTHB^FG_PRICE_CHANGE(0,-3AM)&lt;/Q&gt;&lt;R&gt;1&lt;/R&gt;&lt;C&gt;1&lt;/C&gt;&lt;D xsi:type="xsd:double"&gt;-7.7197847&lt;/D&gt;&lt;/FQL&gt;&lt;FQL&gt;&lt;Q&gt;USDINR^FG_COMPANY_NAME&lt;/Q&gt;&lt;R&gt;1&lt;/R&gt;&lt;C&gt;1&lt;/C&gt;&lt;D xsi:type="xsd:string"&gt;Indian Rupee per U.S. Dollar&lt;/D&gt;&lt;/FQL&gt;&lt;FQL&gt;&lt;Q&gt;USDKRW^FG_PRICE_CHANGE(0,-3AM)&lt;/Q&gt;&lt;R&gt;1&lt;/R&gt;&lt;C&gt;1&lt;/C&gt;&lt;D xsi:type="xsd:double"&gt;-2.4842858&lt;/D&gt;&lt;/FQL&gt;&lt;FQL&gt;&lt;Q&gt;USDMYR^FG_COMPANY_NAME&lt;/Q&gt;&lt;R&gt;1&lt;/R&gt;&lt;C&gt;1&lt;/C&gt;&lt;D xsi:type="xsd:string"&gt;Malaysian Ringgit per U.S. Dollar&lt;/D&gt;&lt;/FQL&gt;&lt;FQL&gt;&lt;Q&gt;EPU^FG_TOTAL_RETURNC(-10AY,0,AM)&lt;/Q&gt;&lt;R&gt;121&lt;/R&gt;&lt;C&gt;1&lt;/C&gt;&lt;D xsi:type="xsd:double"&gt;-7.5782957&lt;/D&gt;&lt;D xsi:type="xsd:double"&gt;-0.51436424&lt;/D&gt;&lt;D xsi:type="xsd:double"&gt;0.19466877&lt;/D&gt;&lt;D xsi:type="xsd:double"&gt;-2.8415263&lt;/D&gt;&lt;D xsi:type="xsd:double"&gt;-4.927808&lt;/D&gt;&lt;D xsi:type="xsd:double"&gt;-6.99901&lt;/D&gt;&lt;D xsi:type="xsd:double"&gt;3.9048672&lt;/D&gt;&lt;D xsi:type="xsd:double"&gt;4.8172235&lt;/D&gt;&lt;D xsi:type="xsd:double"&gt;-3.5874784&lt;/D&gt;&lt;D xsi:type="xsd:double"&gt;-2.349335&lt;/D&gt;&lt;D xsi:type="xsd:double"&gt;-8.054394&lt;/D&gt;&lt;D xsi:type="xsd:double"&gt;-13.045126&lt;/D&gt;&lt;D xsi:type="xsd:double"&gt;5.5385947&lt;/D&gt;&lt;D xsi:type="xsd:double"&gt;-6.662631&lt;/D&gt;&lt;D xsi:type="xsd:double"&gt;-6.7665577&lt;/D&gt;&lt;D xsi:type="xsd:double"&gt;-8.316499&lt;/D&gt;&lt;D xsi:type="xsd:double"&gt;5.4830313&lt;/D&gt;&lt;D xsi:type="xsd:double"&gt;21.930683&lt;/D&gt;&lt;D xsi:type="xsd:double"&gt;1.8270493&lt;/D&gt;&lt;D xsi:type="xsd:double"&gt;17.783092&lt;/D&gt;&lt;D xsi:type="xsd:double"&gt;1.5572071&lt;/D&gt;&lt;D xsi:type="xsd:double"&gt;7.6350927&lt;/D&gt;&lt;D xsi:type="xsd:double"&gt;9.411037&lt;/D&gt;&lt;D xsi:type="xsd:double"&gt;-4.927367&lt;/D&gt;&lt;D xsi:type="xsd:double"&gt;-4.044342&lt;/D&gt;&lt;D xsi:type="xsd:double"&gt;5.526066&lt;/D&gt;&lt;D xsi:type="xsd:double"&gt;-2.455616&lt;/D&gt;&lt;D xsi:type="xsd:double"&gt;3.9911985&lt;/D&gt;&lt;D xsi:type="xsd:double"&gt;6.4346313&lt;/D&gt;&lt;D xsi:type="xsd:double"&gt;-10.140144&lt;/D&gt;&lt;D xsi:type="xsd:double"&gt;4.831803&lt;/D&gt;&lt;D xsi:type="xsd:double"&gt;-0.67094564&lt;/D&gt;&lt;D xsi:type="xsd:double"&gt;2.6725411&lt;/D&gt;&lt;D xsi:type="xsd:double"&gt;-1.4056325&lt;/D&gt;&lt;D xsi:type="xsd:double"&gt;5.642855&lt;/D&gt;&lt;D xsi:type="xsd:double"&gt;6.683457&lt;/D&gt;&lt;D xsi:type="xsd:double"&gt;6.23852&lt;/D&gt;&lt;D xsi:type="xsd:double"&gt;2.072537&lt;/D&gt;&lt;D xsi:type="xsd:double"&gt;-4.447669&lt;/D&gt;&lt;D xsi:type="xsd:double"&gt;9.0814705&lt;/D&gt;&lt;D xsi:type="xsd:double"&gt;-4.8936186&lt;/D&gt;&lt;D xsi:type="xsd:double"&gt;4.623413&lt;/D&gt;&lt;D xsi:type="xsd:double"&gt;3.183651&lt;/D&gt;&lt;D xsi:type="xsd:double"&gt;0.13815165&lt;/D&gt;&lt;D xsi:type="xsd:double"&gt;-1.4486134&lt;/D&gt;&lt;D xsi:type="xsd:double"&gt;-7.4338317&lt;/D&gt;&lt;D xsi:type="xsd:double"&gt;-1.2977064&lt;/D&gt;&lt;D xsi:type="xsd:double"&gt;-9.538544&lt;/D&gt;&lt;D xsi:type="xsd:double"&gt;2.7928114&lt;/D&gt;&lt;D xsi:type="xsd:double"&gt;-1.9961238&lt;/D&gt;&lt;D xsi:type="xsd:double"&gt;-0.27948022&lt;/D&gt;&lt;D xsi:type="xsd:double"&gt;4.0339947&lt;/D&gt;&lt;D xsi:type="xsd:double"&gt;3.9167404&lt;/D&gt;&lt;D xsi:type="xsd:double"&gt;1.4496684&lt;/D&gt;&lt;D xsi:type="xsd:double"&gt;2.6240587&lt;/D&gt;&lt;D xsi:type="xsd:double"&gt;-7.417721&lt;/D&gt;&lt;D xsi:type="xsd:double"&gt;-0.4922092&lt;/D&gt;&lt;D xsi:type="xsd:double"&gt;4.6417713&lt;/D&gt;&lt;D xsi:type="xsd:double"&gt;-8.453721&lt;/D&gt;&lt;D xsi:type="xsd:double"&gt;-0.17533898&lt;/D&gt;&lt;D xsi:type="xsd:double"&gt;-0.7025838&lt;/D&gt;&lt;D xsi:type="xsd:double"&gt;2.7417421&lt;/D&gt;&lt;D xsi:type="xsd:double"&gt;-1.2051582&lt;/D&gt;&lt;D xsi:type="xsd:double"&gt;7.294631&lt;/D&gt;&lt;D xsi:type="xsd:double"&gt;-6.2568245&lt;/D&gt;&lt;D xsi:type="xsd:double"&gt;-12.474501&lt;/D&gt;&lt;D xsi:type="xsd:double"&gt;-19.647026&lt;/D&gt;&lt;D xsi:type="xsd:double"&gt;10.104025&lt;/D&gt;&lt;D xsi:type="xsd:double"&gt;14.079666&lt;/D&gt;&lt;D xsi:type="xsd:double"&gt;-3.6219537&lt;/D&gt;&lt;D xsi:type="xsd:double"&gt;7.7688813&lt;/D&gt;&lt;D xsi:type="xsd:double"&gt;-1.9443154&lt;/D&gt;&lt;D xsi:type="xsd:double"&gt;-1.1857748&lt;/D&gt;&lt;D xsi:type="xsd:double"&gt;-0.3666699&lt;/D&gt;&lt;D xsi:type="xsd:double"&gt;15.122116&lt;/D&gt;&lt;D xsi:type="xsd:double"&gt;5.7781696&lt;/D&gt;&lt;D xsi:type="xsd:double"&gt;4.171264&lt;/D&gt;&lt;D xsi:type="xsd:double"&gt;-2.996546&lt;/D&gt;&lt;D xsi:type="xsd:double"&gt;-0.9226382&lt;/D&gt;&lt;D xsi:type="xsd:double"&gt;-3.704214&lt;/D&gt;&lt;D xsi:type="xsd:double"&gt;-11.002988&lt;/D&gt;&lt;D xsi:type="xsd:double"&gt;-5.5194798&lt;/D&gt;&lt;D xsi:type="xsd:double"&gt;-9.965634&lt;/D&gt;&lt;D xsi:type="xsd:double"&gt;4.5038104&lt;/D&gt;&lt;D xsi:type="xsd:double"&gt;1.7531157&lt;/D&gt;&lt;D xsi:type="xsd:double"&gt;6.640339&lt;/D&gt;&lt;D xsi:type="xsd:double"&gt;-3.4331799&lt;/D&gt;&lt;D xsi:type="xsd:double"&gt;12.79335&lt;/D&gt;&lt;D xsi:type="xsd:double"&gt;8.351791&lt;/D&gt;&lt;D xsi:type="xsd:double"&gt;8.204389&lt;/D&gt;&lt;D xsi:type="xsd:double"&gt;-1.8078864&lt;/D&gt;&lt;D xsi:type="xsd:double"&gt;-22.25886&lt;/D&gt;&lt;D xsi:type="xsd:double"&gt;7.2087407&lt;/D&gt;&lt;D xsi:type="xsd:double"&gt;-13.709402&lt;/D&gt;&lt;D xsi:type="xsd:double"&gt;6.022191&lt;/D&gt;&lt;D xsi:type="xsd:double"&gt;-2.4289966&lt;/D&gt;&lt;D xsi:type="xsd:double"&gt;-2.5660694&lt;/D&gt;&lt;D xsi:type="xsd:double"&gt;13.128937&lt;/D&gt;&lt;D xsi:type="xsd:double"&gt;2.9881835&lt;/D&gt;&lt;D xsi:type="xsd:double"&gt;7.148373&lt;/D&gt;&lt;D xsi:type="xsd:double"&gt;-4.6139&lt;/D&gt;&lt;D xsi:type="xsd:double"&gt;-2.082634&lt;/D&gt;&lt;D xsi:type="xsd:double"&gt;4.288161&lt;/D&gt;&lt;D xsi:type="xsd:double"&gt;2.4671078&lt;/D&gt;&lt;D xsi:type="xsd:double"&gt;-0.061792135&lt;/D&gt;&lt;D xsi:type="xsd:double"&gt;2.3870468&lt;/D&gt;&lt;D xsi:type="xsd:double"&gt;7.0612907&lt;/D&gt;&lt;D xsi:type="xsd:double"&gt;-6.720674&lt;/D&gt;&lt;D xsi:type="xsd:double"&gt;-5.6931496&lt;/D&gt;&lt;D xsi:type="xsd:double"&gt;-0.2387464&lt;/D&gt;&lt;D xsi:type="xsd:double"&gt;4.905987&lt;/D&gt;&lt;D xsi:type="xsd:double"&gt;12.460339&lt;/D&gt;&lt;D xsi:type="xsd:double"&gt;-0.802654&lt;/D&gt;&lt;D xsi:type="xsd:double"&gt;10.617172&lt;/D&gt;&lt;D xsi:type="xsd:double"&gt;8.659018&lt;/D&gt;&lt;D xsi:type="xsd:double"&gt;5.682385&lt;/D&gt;&lt;D xsi:type="xsd:double"&gt;-1.3162732&lt;/D&gt;&lt;D xsi:type="xsd:double"&gt;2.703154&lt;/D&gt;&lt;D xsi:type="xsd:double"&gt;-6.5748873&lt;/D&gt;&lt;D xsi:type="xsd:double"&gt;-1.8292725&lt;/D&gt;&lt;D xsi:type="xsd:double"&gt;12.396479&lt;/D&gt;&lt;/FQL&gt;&lt;FQL&gt;&lt;Q&gt;QAT^FMA_PE(LTMA,-10AY,0,AM,"PORTAGG","MEANR")&lt;/Q&gt;&lt;R&gt;121&lt;/R&gt;&lt;C&gt;1&lt;/C&gt;&lt;D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xsi:type="xsd:double"&gt;15.1767181351022&lt;/D&gt;&lt;D xsi:type="xsd:double"&gt;15.2666927499893&lt;/D&gt;&lt;D xsi:type="xsd:double"&gt;15.0184615438815&lt;/D&gt;&lt;D xsi:type="xsd:double"&gt;14.821574281719&lt;/D&gt;&lt;D xsi:type="xsd:double"&gt;14.891671307752&lt;/D&gt;&lt;D xsi:type="xsd:double"&gt;14.5200915678505&lt;/D&gt;&lt;D xsi:type="xsd:double"&gt;14.462463273515&lt;/D&gt;&lt;D xsi:type="xsd:double"&gt;14.3970182682931&lt;/D&gt;&lt;D xsi:type="xsd:double"&gt;14.4129445817466&lt;/D&gt;&lt;D xsi:type="xsd:double"&gt;14.085834049733&lt;/D&gt;&lt;D xsi:type="xsd:double"&gt;13.1545169454644&lt;/D&gt;&lt;D xsi:type="xsd:double"&gt;11.9725119518372&lt;/D&gt;&lt;D xsi:type="xsd:double"&gt;11.5713196066494&lt;/D&gt;&lt;D xsi:type="xsd:double"&gt;11.9104933559183&lt;/D&gt;&lt;D xsi:type="xsd:double"&gt;12.1123826981864&lt;/D&gt;&lt;D xsi:type="xsd:double"&gt;12.0978290290109&lt;/D&gt;&lt;D xsi:type="xsd:double"&gt;12.1674210015142&lt;/D&gt;&lt;D xsi:type="xsd:double"&gt;12.2539148515918&lt;/D&gt;&lt;D xsi:type="xsd:double"&gt;12.2877449966344&lt;/D&gt;&lt;D xsi:type="xsd:double"&gt;13.1867434651965&lt;/D&gt;&lt;D xsi:type="xsd:double"&gt;13.0636349670536&lt;/D&gt;&lt;D xsi:type="xsd:double"&gt;13.3095934120675&lt;/D&gt;&lt;D xsi:type="xsd:double"&gt;13.1369973772448&lt;/D&gt;&lt;D xsi:type="xsd:double"&gt;13.5248542717417&lt;/D&gt;&lt;D xsi:type="xsd:double"&gt;14.794930207515&lt;/D&gt;&lt;D xsi:type="xsd:double"&gt;14.5857171295782&lt;/D&gt;&lt;D xsi:type="xsd:double"&gt;14.8016153356777&lt;/D&gt;&lt;D xsi:type="xsd:double"&gt;14.6462264756958&lt;/D&gt;&lt;D xsi:type="xsd:double"&gt;14.523644275889&lt;/D&gt;&lt;D xsi:type="xsd:double"&gt;14.1671053383338&lt;/D&gt;&lt;D xsi:type="xsd:double"&gt;13.8268847858239&lt;/D&gt;&lt;D xsi:type="xsd:double"&gt;14.1086228564069&lt;/D&gt;&lt;D xsi:type="xsd:double"&gt;13.2263327019452&lt;/D&gt;&lt;D xsi:type="xsd:double"&gt;12.6290596151024&lt;/D&gt;&lt;D xsi:type="xsd:double"&gt;12.4814660894642&lt;/D&gt;&lt;D xsi:type="xsd:double"&gt;12.3860717792664&lt;/D&gt;&lt;D xsi:type="xsd:double"&gt;13.5426281324461&lt;/D&gt;&lt;D xsi:type="xsd:double"&gt;13.2550946604651&lt;/D&gt;&lt;D xsi:type="xsd:double"&gt;12.6774727100469&lt;/D&gt;&lt;D xsi:type="xsd:double"&gt;12.7721056778636&lt;/D&gt;&lt;D xsi:type="xsd:double"&gt;12.5073787783878&lt;/D&gt;&lt;D xsi:type="xsd:double"&gt;12.678455861631999&lt;/D&gt;&lt;D xsi:type="xsd:double"&gt;12.5942466177941&lt;/D&gt;&lt;D xsi:type="xsd:double"&gt;13.1891877387983&lt;/D&gt;&lt;D xsi:type="xsd:double"&gt;13.235302843768&lt;/D&gt;&lt;D xsi:type="xsd:double"&gt;13.323263434058&lt;/D&gt;&lt;D xsi:type="xsd:double"&gt;13.735609739817&lt;/D&gt;&lt;D xsi:type="xsd:double"&gt;14.1676282413691&lt;/D&gt;&lt;D xsi:type="xsd:double"&gt;14.5014934457658&lt;/D&gt;&lt;D xsi:type="xsd:double"&gt;14.188033518848&lt;/D&gt;&lt;D xsi:type="xsd:double"&gt;13.5309934945078&lt;/D&gt;&lt;D xsi:type="xsd:double"&gt;13.6036342736054&lt;/D&gt;&lt;D xsi:type="xsd:double"&gt;13.4997135062627&lt;/D&gt;&lt;D xsi:type="xsd:double"&gt;13.7279859197025&lt;/D&gt;&lt;D xsi:type="xsd:double"&gt;13.7876519262852&lt;/D&gt;&lt;D xsi:type="xsd:double"&gt;13.3550946592377&lt;/D&gt;&lt;D xsi:type="xsd:double"&gt;13.8659795267638&lt;/D&gt;&lt;D xsi:type="xsd:double"&gt;14.0034787972661&lt;/D&gt;&lt;D xsi:type="xsd:double"&gt;14.1385570342886&lt;/D&gt;&lt;D xsi:type="xsd:double"&gt;14.2865501597503&lt;/D&gt;&lt;D xsi:type="xsd:double"&gt;14.7031939224957&lt;/D&gt;&lt;D xsi:type="xsd:double"&gt;14.4423191315282&lt;/D&gt;&lt;D xsi:type="xsd:double"&gt;13.6052869487512&lt;/D&gt;&lt;D xsi:type="xsd:double"&gt;13.7204125232888&lt;/D&gt;&lt;D xsi:type="xsd:double"&gt;14.0752263873509&lt;/D&gt;&lt;D xsi:type="xsd:double"&gt;14.6889624208912&lt;/D&gt;&lt;D xsi:type="xsd:double"&gt;15.1968739376002&lt;/D&gt;&lt;D xsi:type="xsd:double"&gt;15.7185178751944&lt;/D&gt;&lt;D xsi:type="xsd:double"&gt;15.7956413909665&lt;/D&gt;&lt;D xsi:type="xsd:double"&gt;16.5075278942476&lt;/D&gt;&lt;D xsi:type="xsd:double"&gt;17.1755120332569&lt;/D&gt;&lt;D xsi:type="xsd:double"&gt;17.639994804272&lt;/D&gt;&lt;D xsi:type="xsd:double"&gt;17.7188531278398&lt;/D&gt;&lt;D xsi:type="xsd:double"&gt;17.3118600436471&lt;/D&gt;&lt;D xsi:type="xsd:double"&gt;16.8319366245001&lt;/D&gt;&lt;D xsi:type="xsd:double"&gt;16.6673290589665&lt;/D&gt;&lt;D xsi:type="xsd:double"&gt;16.4759810815977&lt;/D&gt;&lt;D xsi:type="xsd:double"&gt;16.0511964252331&lt;/D&gt;&lt;D xsi:type="xsd:double"&gt;15.8037189673579&lt;/D&gt;&lt;D xsi:type="xsd:double"&gt;15.464467083093&lt;/D&gt;&lt;D xsi:type="xsd:double"&gt;15.3298398365035&lt;/D&gt;&lt;D xsi:type="xsd:double"&gt;15.4893832853082&lt;/D&gt;&lt;D xsi:type="xsd:double"&gt;15.7469085924663&lt;/D&gt;&lt;D xsi:type="xsd:double"&gt;15.0531062700869&lt;/D&gt;&lt;D xsi:type="xsd:double"&gt;14.9725652611277&lt;/D&gt;&lt;D xsi:type="xsd:double"&gt;16.3256608696332&lt;/D&gt;&lt;D xsi:type="xsd:double"&gt;16.3113908200526&lt;/D&gt;&lt;D xsi:type="xsd:double"&gt;16.1267273870344&lt;/D&gt;&lt;D xsi:type="xsd:double"&gt;15.7618989558783&lt;/D&gt;&lt;D xsi:type="xsd:double"&gt;15.1504463778829&lt;/D&gt;&lt;D xsi:type="xsd:double"&gt;14.6358749845703&lt;/D&gt;&lt;D xsi:type="xsd:double"&gt;15.4120608968383&lt;/D&gt;&lt;D xsi:type="xsd:double"&gt;14.5464334698366&lt;/D&gt;&lt;D xsi:type="xsd:double"&gt;14.4489293088292&lt;/D&gt;&lt;D xsi:type="xsd:double"&gt;14.0305501524671&lt;/D&gt;&lt;D xsi:type="xsd:double"&gt;12.9289373213745&lt;/D&gt;&lt;D xsi:type="xsd:double"&gt;12.8465284220172&lt;/D&gt;&lt;D xsi:type="xsd:double"&gt;11.8217367905554&lt;/D&gt;&lt;D xsi:type="xsd:double"&gt;11.8337162798931&lt;/D&gt;&lt;D xsi:type="xsd:double"&gt;11.7354979394387&lt;/D&gt;&lt;D xsi:type="xsd:double"&gt;11.8567747338143&lt;/D&gt;&lt;D xsi:type="xsd:double"&gt;11.7879987017826&lt;/D&gt;&lt;D xsi:type="xsd:double"&gt;11.7264271822221&lt;/D&gt;&lt;D xsi:type="xsd:double"&gt;12.178171636458&lt;/D&gt;&lt;D xsi:type="xsd:double"&gt;11.6604748628071&lt;/D&gt;&lt;D xsi:type="xsd:double"&gt;11.2552472935116&lt;/D&gt;&lt;D xsi:type="xsd:double"&gt;11.5060257154506&lt;/D&gt;&lt;D xsi:type="xsd:double"&gt;11.2664559365661&lt;/D&gt;&lt;D xsi:type="xsd:double"&gt;11.7762460862894&lt;/D&gt;&lt;D xsi:type="xsd:double"&gt;11.0566656332319&lt;/D&gt;&lt;D xsi:type="xsd:double"&gt;11.4812753579244&lt;/D&gt;&lt;D xsi:type="xsd:double"&gt;11.2924534517314&lt;/D&gt;&lt;D xsi:type="xsd:double"&gt;11.0914711266583&lt;/D&gt;&lt;D xsi:type="xsd:double"&gt;10.8918947671415&lt;/D&gt;&lt;D xsi:type="xsd:double"&gt;11.0797584873183&lt;/D&gt;&lt;D xsi:type="xsd:double"&gt;11.0201184240275&lt;/D&gt;&lt;D xsi:type="xsd:double"&gt;11.2354107730964&lt;/D&gt;&lt;D xsi:type="xsd:double"&gt;11.5193640035373&lt;/D&gt;&lt;/FQL&gt;&lt;FQL&gt;&lt;Q&gt;WL-FDS^FG_PRICE_CHANGE(0,-6AM)&lt;/Q&gt;&lt;R&gt;1&lt;/R&gt;&lt;C&gt;1&lt;/C&gt;&lt;D xsi:type="xsd:double"&gt;-10.403162055336&lt;/D&gt;&lt;/FQL&gt;&lt;FQL&gt;&lt;Q&gt;FC0000BR^FG_PRICE(0)&lt;/Q&gt;&lt;R&gt;1&lt;/R&gt;&lt;C&gt;1&lt;/C&gt;&lt;D xsi:type="xsd:double"&gt;189.90895&lt;/D&gt;&lt;/FQL&gt;&lt;FQL&gt;&lt;Q&gt;TUR^FG_PRICE_MAVG(0,,,,30)&lt;/Q&gt;&lt;R&gt;1&lt;/R&gt;&lt;C&gt;1&lt;/C&gt;&lt;D xsi:type="xsd:double"&gt;36.19367&lt;/D&gt;&lt;/FQL&gt;&lt;FQL&gt;&lt;Q&gt;EZA^FG_PRICE(0)&lt;/Q&gt;&lt;R&gt;1&lt;/R&gt;&lt;C&gt;1&lt;/C&gt;&lt;D xsi:type="xsd:double"&gt;49.29&lt;/D&gt;&lt;/FQL&gt;&lt;FQL&gt;&lt;Q&gt;EPOL^FG_PRICE_MAVG(0,,,,30)&lt;/Q&gt;&lt;R&gt;1&lt;/R&gt;&lt;C&gt;1&lt;/C&gt;&lt;D xsi:type="xsd:double"&gt;23.993334&lt;/D&gt;&lt;/FQL&gt;&lt;FQL&gt;&lt;Q&gt;VNM^FG_TOTAL_RETURNC(0,-12AM)&lt;/Q&gt;&lt;R&gt;1&lt;/R&gt;&lt;C&gt;1&lt;/C&gt;&lt;D xsi:type="xsd:double"&gt;-2.7305603&lt;/D&gt;&lt;/FQL&gt;&lt;FQL&gt;&lt;Q&gt;MCHI^FMA_PCT_ABOVE_MAVG(200,0,,,,"PORTAGG")&lt;/Q&gt;&lt;R&gt;1&lt;/R&gt;&lt;C&gt;1&lt;/C&gt;&lt;D xsi:type="xsd:double"&gt;93.2546374367622&lt;/D&gt;&lt;/FQL&gt;&lt;FQL&gt;&lt;Q&gt;EWW^PERCENT_CHANGE(FMA_EPS(+1,0,,,,"PORTAGG","MEAN"),FMA_EPS(+1,-1AM,,,,"PORTAGG","MEAN"))&lt;/Q&gt;&lt;R&gt;1&lt;/R&gt;&lt;C&gt;1&lt;/C&gt;&lt;D xsi:type="xsd:double"&gt;3.04602445582465&lt;/D&gt;&lt;/FQL&gt;&lt;FQL&gt;&lt;Q&gt;EIDO^PERCENT_CHANGE(FMA_EPS(+1,0,,,,"PORTAGG","MEAN"),FMA_EPS(+1,-1AM,,,,"PORTAGG","MEAN"))&lt;/Q&gt;&lt;R&gt;1&lt;/R&gt;&lt;C&gt;1&lt;/C&gt;&lt;D xsi:type="xsd:double"&gt;-1.81913933155866&lt;/D&gt;&lt;/FQL&gt;&lt;FQL&gt;&lt;Q&gt;EWJ^FG_TOTAL_RETURNC(0,-6AM)&lt;/Q&gt;&lt;R&gt;1&lt;/R&gt;&lt;C&gt;1&lt;/C&gt;&lt;D xsi:type="xsd:double"&gt;2.9545665&lt;/D&gt;&lt;/FQL&gt;&lt;FQL&gt;&lt;Q&gt;VWO^PERCENT_CHANGE(FMA_EPS(+1,0,,,,"PORTAGG","MEAN"),FMA_EPS(+1,-1AM,,,,"PORTAGG","MEAN"))&lt;/Q&gt;&lt;R&gt;1&lt;/R&gt;&lt;C&gt;1&lt;/C&gt;&lt;D xsi:type="xsd:double"&gt;0&lt;/D&gt;&lt;/FQL&gt;&lt;FQL&gt;&lt;Q&gt;EWY^SIZE(FG_CONSTITUENTS)&lt;/Q&gt;&lt;R&gt;1&lt;/R&gt;&lt;C&gt;1&lt;/C&gt;&lt;D xsi:type="xsd:long"&gt;101&lt;/D&gt;&lt;/FQL&gt;&lt;FQL&gt;&lt;Q&gt;UAE^FG_ROE(0)&lt;/Q&gt;&lt;R&gt;1&lt;/R&gt;&lt;C&gt;1&lt;/C&gt;&lt;D xsi:type="xsd:double"&gt;14.8468698111969&lt;/D&gt;&lt;/FQL&gt;&lt;FQL&gt;&lt;Q&gt;REFKRBASE-FDS^PROPER_NAME(0,,,"SECURITY","NAME")&lt;/Q&gt;&lt;R&gt;1&lt;/R&gt;&lt;C&gt;1&lt;/C&gt;&lt;D xsi:type="xsd:string"&gt;South Korea Base Rate&lt;/D&gt;&lt;/FQL&gt;&lt;FQL&gt;&lt;Q&gt;TRYMX10Y-FDS^PCTCHG(FG_YIELD(0,,,,"YTM"),FG_YIELD(-1AM,,,,"YTM"))&lt;/Q&gt;&lt;R&gt;1&lt;/R&gt;&lt;C&gt;1&lt;/C&gt;&lt;D xsi:type="xsd:double"&gt;2.0469604&lt;/D&gt;&lt;/FQL&gt;&lt;FQL&gt;&lt;Q&gt;TRYPE10Y-FDS^FG_YIELD(0,,,,"YTM")&lt;/Q&gt;&lt;R&gt;1&lt;/R&gt;&lt;C&gt;1&lt;/C&gt;&lt;D xsi:type="xsd:double"&gt;6.471232&lt;/D&gt;&lt;/FQL&gt;&lt;FQL&gt;&lt;Q&gt;CC_MY^IMF_IFS_RCPI_Q(0)&lt;/Q&gt;&lt;R&gt;0&lt;/R&gt;&lt;C&gt;0&lt;/C&gt;&lt;/FQL&gt;&lt;FQL&gt;&lt;Q&gt;KSA^FMA_PE(NTMA,0,,,"PORTAGG","MEANR")&lt;/Q&gt;&lt;R&gt;1&lt;/R&gt;&lt;C&gt;1&lt;/C&gt;&lt;D xsi:type="xsd:double"&gt;16.6432417970294&lt;/D&gt;&lt;/FQL&gt;&lt;FQL&gt;&lt;Q&gt;SET-BKK^FMA_EVAL_EBITDA(NTMA,0,,,"PORTAGG","MEANR")&lt;/Q&gt;&lt;R&gt;1&lt;/R&gt;&lt;C&gt;1&lt;/C&gt;&lt;D xsi:type="xsd:double"&gt;9.68857037766595&lt;/D&gt;&lt;/FQL&gt;&lt;FQL&gt;&lt;Q&gt;UAE^FMA_ROE(NTMA,-20AY,NOW,FY,"PORTAGG","MEANR")&lt;/Q&gt;&lt;R&gt;20&lt;/R&gt;&lt;C&gt;1&lt;/C&gt;&lt;D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xsi:type="xsd:double"&gt;6.76201762780835&lt;/D&gt;&lt;D xsi:type="xsd:double"&gt;11.234942553465&lt;/D&gt;&lt;D xsi:type="xsd:double"&gt;12.9338493595798&lt;/D&gt;&lt;D xsi:type="xsd:double"&gt;13.2251182354264&lt;/D&gt;&lt;/FQL&gt;&lt;FQL&gt;&lt;Q&gt;CAGDPY@GR^EE_ACTUAL_ANNUAL(MED,+1)&lt;/Q&gt;&lt;R&gt;1&lt;/R&gt;&lt;C&gt;1&lt;/C&gt;&lt;D xsi:type="xsd:double"&gt;-6.9&lt;/D&gt;&lt;/FQL&gt;&lt;FQL&gt;&lt;Q&gt;COPP-FDS^FG_PRICE_CHANGE(0,-3AM)&lt;/Q&gt;&lt;R&gt;1&lt;/R&gt;&lt;C&gt;1&lt;/C&gt;&lt;D xsi:type="xsd:double"&gt;-4.8290830168204&lt;/D&gt;&lt;/FQL&gt;&lt;FQL&gt;&lt;Q&gt;SET-BKK^P_PRICE(0)/P_PRICE_HIGH_PR(0,,,,,,"PRICE","INTRA","52W")&lt;/Q&gt;&lt;R&gt;1&lt;/R&gt;&lt;C&gt;1&lt;/C&gt;&lt;D xsi:type="xsd:double"&gt;0.99593765&lt;/D&gt;&lt;/FQL&gt;&lt;FQL&gt;&lt;Q&gt;EZA^FMA_PCT_ABOVE_MAVG(200,0,,,,"PORTAGG")&lt;/Q&gt;&lt;R&gt;1&lt;/R&gt;&lt;C&gt;1&lt;/C&gt;&lt;D xsi:type="xsd:double"&gt;66.6666666666667&lt;/D&gt;&lt;/FQL&gt;&lt;FQL&gt;&lt;Q&gt;EPU^PERCENT_CHANGE(FMA_EPS(+1,0,,,,"PORTAGG","MEAN"),FMA_EPS(+1,-1AM,,,,"PORTAGG","MEAN"))&lt;/Q&gt;&lt;R&gt;1&lt;/R&gt;&lt;C&gt;1&lt;/C&gt;&lt;D xsi:type="xsd:double"&gt;1.96478707022756&lt;/D&gt;&lt;/FQL&gt;&lt;FQL&gt;&lt;Q&gt;TUR^FMA_COS_DOWN("EPS","1M",+1,NOW,,,"PORTAGG","MEANR")&lt;/Q&gt;&lt;R&gt;1&lt;/R&gt;&lt;C&gt;1&lt;/C&gt;&lt;D xsi:type="xsd:double"&gt;19&lt;/D&gt;&lt;/FQL&gt;&lt;FQL&gt;&lt;Q&gt;EWW^SIZE(FG_CONSTITUENTS)&lt;/Q&gt;&lt;R&gt;1&lt;/R&gt;&lt;C&gt;1&lt;/C&gt;&lt;D xsi:type="xsd:long"&gt;45&lt;/D&gt;&lt;/FQL&gt;&lt;FQL&gt;&lt;Q&gt;KSA^FMA_RBICS_REV_CURRENT(30, LOC, "PORTAGG")&lt;/Q&gt;&lt;R&gt;1&lt;/R&gt;&lt;C&gt;1&lt;/C&gt;&lt;D xsi:type="xsd:double"&gt;39.4472302321321&lt;/D&gt;&lt;/FQL&gt;&lt;FQL&gt;&lt;Q&gt;MCHI^FG_ROE(0)&lt;/Q&gt;&lt;R&gt;1&lt;/R&gt;&lt;C&gt;1&lt;/C&gt;&lt;D xsi:type="xsd:double"&gt;11.0375500982921&lt;/D&gt;&lt;/FQL&gt;&lt;FQL&gt;&lt;Q&gt;REFTHREPO-FDS^PROPER_NAME(0,,,"SECURITY","NAME")&lt;/Q&gt;&lt;R&gt;1&lt;/R&gt;&lt;C&gt;1&lt;/C&gt;&lt;D xsi:type="xsd:string"&gt;Thailand Repo Rate - 1 Day&lt;/D&gt;&lt;/FQL&gt;&lt;FQL&gt;&lt;Q&gt;TRYSA10Y-FDS^PCTCHG(FG_YIELD(0,,,,"YTM"),FG_YIELD(-3AM,,,,"YTM"))&lt;/Q&gt;&lt;R&gt;1&lt;/R&gt;&lt;C&gt;1&lt;/C&gt;&lt;D xsi:type="xsd:double"&gt;-5.8781104&lt;/D&gt;&lt;/FQL&gt;&lt;FQL&gt;&lt;Q&gt;CC_PH^IMF_IFS_RCPI_Q(0)&lt;/Q&gt;&lt;R&gt;0&lt;/R&gt;&lt;C&gt;0&lt;/C&gt;&lt;/FQL&gt;&lt;FQL&gt;&lt;Q&gt;VNM^FMA_EVAL_EBIT(LTMA,NOW,NOW,M,"PORTAGG","MEANR")&lt;/Q&gt;&lt;R&gt;1&lt;/R&gt;&lt;C&gt;1&lt;/C&gt;&lt;D xsi:type="xsd:double"&gt;17.8122539496341&lt;/D&gt;&lt;/FQL&gt;&lt;FQL&gt;&lt;Q&gt;SET-BKK^FMA_DIV_YLD(NTMA,NOW,NOW,M,"PORTAGG","MEANR")&lt;/Q&gt;&lt;R&gt;1&lt;/R&gt;&lt;C&gt;1&lt;/C&gt;&lt;D xsi:type="xsd:double"&gt;3.52242124075002&lt;/D&gt;&lt;/FQL&gt;&lt;FQL&gt;&lt;Q&gt;EPU^FMA_EVAL_EBITDA(NTMA,0,,,"PORTAGG","MEANR")&lt;/Q&gt;&lt;R&gt;1&lt;/R&gt;&lt;C&gt;1&lt;/C&gt;&lt;D xsi:type="xsd:double"&gt;6.70925789096069&lt;/D&gt;&lt;/FQL&gt;&lt;FQL&gt;&lt;Q&gt;MCHI^FG_COMPANY_NAME&lt;/Q&gt;&lt;R&gt;1&lt;/R&gt;&lt;C&gt;1&lt;/C&gt;&lt;D xsi:type="xsd:string"&gt;iShares MSCI China ETF&lt;/D&gt;&lt;/FQL&gt;&lt;FQL&gt;&lt;Q&gt;USDTHB^FG_PRICE(0)&lt;/Q&gt;&lt;R&gt;1&lt;/R&gt;&lt;C&gt;1&lt;/C&gt;&lt;D xsi:type="xsd:double"&gt;33.59&lt;/D&gt;&lt;/FQL&gt;&lt;FQL&gt;&lt;Q&gt;USDKRW^FG_PRICE(0)&lt;/Q&gt;&lt;R&gt;1&lt;/R&gt;&lt;C&gt;1&lt;/C&gt;&lt;D xsi:type="xsd:double"&gt;1350.3&lt;/D&gt;&lt;/FQL&gt;&lt;FQL&gt;&lt;Q&gt;EWZ^FMA_PE(LTMA,-10AY,0,AM,"PORTAGG","MEANR")&lt;/Q&gt;&lt;R&gt;121&lt;/R&gt;&lt;C&gt;1&lt;/C&gt;&lt;D xsi:type="xsd:double"&gt;12.510787511375&lt;/D&gt;&lt;D xsi:type="xsd:double"&gt;12.3798952983327&lt;/D&gt;&lt;D xsi:type="xsd:double"&gt;11.9766607761638&lt;/D&gt;&lt;D xsi:type="xsd:double"&gt;12.2206596886062&lt;/D&gt;&lt;D xsi:type="xsd:double"&gt;12.133056113883&lt;/D&gt;&lt;D xsi:type="xsd:double"&gt;12.7779660211754&lt;/D&gt;&lt;D xsi:type="xsd:double"&gt;13.3498036386476&lt;/D&gt;&lt;D xsi:type="xsd:double"&gt;13.9624581965895&lt;/D&gt;&lt;D xsi:type="xsd:double"&gt;13.9466319578818&lt;/D&gt;&lt;D xsi:type="xsd:double"&gt;13.6902991776924&lt;/D&gt;&lt;D xsi:type="xsd:double"&gt;13.1140145366496&lt;/D&gt;&lt;D xsi:type="xsd:double"&gt;12.6860419698027&lt;/D&gt;&lt;D xsi:type="xsd:double"&gt;12.8773280286251&lt;/D&gt;&lt;D xsi:type="xsd:double"&gt;12.210065026126&lt;/D&gt;&lt;D xsi:type="xsd:double"&gt;12.5841183777294&lt;/D&gt;&lt;D xsi:type="xsd:double"&gt;11.3880578524587&lt;/D&gt;&lt;D xsi:typ</t>
        </r>
      </text>
    </comment>
    <comment ref="A10" authorId="0" shapeId="0" xr:uid="{3D586727-38B0-4E3D-9F8A-5D4E128B5C2D}">
      <text>
        <r>
          <rPr>
            <b/>
            <sz val="9"/>
            <color indexed="81"/>
            <rFont val="Tahoma"/>
            <charset val="1"/>
          </rPr>
          <t>e="xsd:double"&gt;11.3853233156096&lt;/D&gt;&lt;D xsi:type="xsd:double"&gt;12.9235909549827&lt;/D&gt;&lt;D xsi:type="xsd:double"&gt;13.2033962189863&lt;/D&gt;&lt;D xsi:type="xsd:double"&gt;13.155474464797&lt;/D&gt;&lt;D xsi:type="xsd:double"&gt;12.9188903883663&lt;/D&gt;&lt;D xsi:type="xsd:double"&gt;13.5624426763653&lt;/D&gt;&lt;D xsi:type="xsd:double"&gt;14.0644992454555&lt;/D&gt;&lt;D xsi:type="xsd:double"&gt;14.5716291593386&lt;/D&gt;&lt;D xsi:type="xsd:double"&gt;14.9745059048794&lt;/D&gt;&lt;D xsi:type="xsd:double"&gt;14.616697300862&lt;/D&gt;&lt;D xsi:type="xsd:double"&gt;14.7608088235028&lt;/D&gt;&lt;D xsi:type="xsd:double"&gt;15.0530520220456&lt;/D&gt;&lt;D xsi:type="xsd:double"&gt;16.2261195590356&lt;/D&gt;&lt;D xsi:type="xsd:double"&gt;16.6866906796637&lt;/D&gt;&lt;D xsi:type="xsd:double"&gt;16.2517808069464&lt;/D&gt;&lt;D xsi:type="xsd:double"&gt;16.0961105574925&lt;/D&gt;&lt;D xsi:type="xsd:double"&gt;15.2768314821992&lt;/D&gt;&lt;D xsi:type="xsd:double"&gt;14.9268509123349&lt;/D&gt;&lt;D xsi:type="xsd:double"&gt;15.1830164276591&lt;/D&gt;&lt;D xsi:type="xsd:double"&gt;15.4580810790901&lt;/D&gt;&lt;D xsi:type="xsd:double"&gt;15.7997484017341&lt;/D&gt;&lt;D xsi:type="xsd:double"&gt;14.4257105121635&lt;/D&gt;&lt;D xsi:type="xsd:double"&gt;14.492908657193&lt;/D&gt;&lt;D xsi:type="xsd:double"&gt;15.0954877359608&lt;/D&gt;&lt;D xsi:type="xsd:double"&gt;15.6179091843127&lt;/D&gt;&lt;D xsi:type="xsd:double"&gt;16.5067405476214&lt;/D&gt;&lt;D xsi:type="xsd:double"&gt;16.073873705789&lt;/D&gt;&lt;D xsi:type="xsd:double"&gt;15.73891384126&lt;/D&gt;&lt;D xsi:type="xsd:double"&gt;14.6432936297279&lt;/D&gt;&lt;D xsi:type="xsd:double"&gt;14.2137158301272&lt;/D&gt;&lt;D xsi:type="xsd:double"&gt;13.8312563846945&lt;/D&gt;&lt;D xsi:type="xsd:double"&gt;13.327640340177&lt;/D&gt;&lt;D xsi:type="xsd:double"&gt;13.6180541140873&lt;/D&gt;&lt;D xsi:type="xsd:double"&gt;13.7403156952414&lt;/D&gt;&lt;D xsi:type="xsd:double"&gt;13.691168307357&lt;/D&gt;&lt;D xsi:type="xsd:double"&gt;14.6273574850937&lt;/D&gt;&lt;D xsi:type="xsd:double"&gt;14.9639321369262&lt;/D&gt;&lt;D xsi:type="xsd:double"&gt;14.7089126219581&lt;/D&gt;&lt;D xsi:type="xsd:double"&gt;14.3523977584363&lt;/D&gt;&lt;D xsi:type="xsd:double"&gt;14.0614135245361&lt;/D&gt;&lt;D xsi:type="xsd:double"&gt;14.1360409392226&lt;/D&gt;&lt;D xsi:type="xsd:double"&gt;14.4627678441671&lt;/D&gt;&lt;D xsi:type="xsd:double"&gt;14.5240820506397&lt;/D&gt;&lt;D xsi:type="xsd:double"&gt;14.2648797821842&lt;/D&gt;&lt;D xsi:type="xsd:double"&gt;14.3273318566425&lt;/D&gt;&lt;D xsi:type="xsd:double"&gt;15.5666970044981&lt;/D&gt;&lt;D xsi:type="xsd:double"&gt;15.9829333246407&lt;/D&gt;&lt;D xsi:type="xsd:double"&gt;17.2421200081996&lt;/D&gt;&lt;D xsi:type="xsd:double"&gt;16.7611523515486&lt;/D&gt;&lt;D xsi:type="xsd:double"&gt;16.7181475617908&lt;/D&gt;&lt;D xsi:type="xsd:double"&gt;16.3550486010265&lt;/D&gt;&lt;D xsi:type="xsd:double"&gt;17.2928477301092&lt;/D&gt;&lt;D xsi:type="xsd:double"&gt;19.7253735889231&lt;/D&gt;&lt;D xsi:type="xsd:double"&gt;30.4400223187063&lt;/D&gt;&lt;D xsi:type="xsd:double"&gt;34.3844895827292&lt;/D&gt;&lt;D xsi:type="xsd:double"&gt;34.8079454434997&lt;/D&gt;&lt;D xsi:type="xsd:double"&gt;30.9519514212848&lt;/D&gt;&lt;D xsi:type="xsd:double"&gt;30.6870551068435&lt;/D&gt;&lt;D xsi:type="xsd:double"&gt;34.3905336876343&lt;/D&gt;&lt;D xsi:type="xsd:double"&gt;36.9153271012012&lt;/D&gt;&lt;D xsi:type="xsd:double"&gt;28.669090203305&lt;/D&gt;&lt;D xsi:type="xsd:double"&gt;20.4239640261414&lt;/D&gt;&lt;D xsi:type="xsd:double"&gt;19.1299421346762&lt;/D&gt;&lt;D xsi:type="xsd:double"&gt;17.8970964758548&lt;/D&gt;&lt;D xsi:type="xsd:double"&gt;16.9645139796451&lt;/D&gt;&lt;D xsi:type="xsd:double"&gt;15.4362186367554&lt;/D&gt;&lt;D xsi:type="xsd:double"&gt;13.7991807072896&lt;/D&gt;&lt;D xsi:type="xsd:double"&gt;12.0105875410883&lt;/D&gt;&lt;D xsi:type="xsd:double"&gt;10.7490606455067&lt;/D&gt;&lt;D xsi:type="xsd:double"&gt;8.87475920232358&lt;/D&gt;&lt;D xsi:type="xsd:double"&gt;7.56431209701022&lt;/D&gt;&lt;D xsi:type="xsd:double"&gt;6.36554399164252&lt;/D&gt;&lt;D xsi:type="xsd:double"&gt;7.15746769279503&lt;/D&gt;&lt;D xsi:type="xsd:double"&gt;7.02933184252994&lt;/D&gt;&lt;D xsi:type="xsd:double"&gt;7.00194279546559&lt;/D&gt;&lt;D xsi:type="xsd:double"&gt;6.57654623247662&lt;/D&gt;&lt;D xsi:type="xsd:double"&gt;6.4937533384616&lt;/D&gt;&lt;D xsi:type="xsd:double"&gt;6.27646944171322&lt;/D&gt;&lt;D xsi:type="xsd:double"&gt;6.35171555001949&lt;/D&gt;&lt;D xsi:type="xsd:double"&gt;6.20446502881747&lt;/D&gt;&lt;D xsi:type="xsd:double"&gt;6.25647770202185&lt;/D&gt;&lt;D xsi:type="xsd:double"&gt;5.98093773237517&lt;/D&gt;&lt;D xsi:type="xsd:double"&gt;5.66349447940714&lt;/D&gt;&lt;D xsi:type="xsd:double"&gt;5.74659492763207&lt;/D&gt;&lt;D xsi:type="xsd:double"&gt;5.82870383785831&lt;/D&gt;&lt;D xsi:type="xsd:double"&gt;5.55208780225069&lt;/D&gt;&lt;D xsi:type="xsd:double"&gt;5.6380317539493&lt;/D&gt;&lt;D xsi:type="xsd:double"&gt;5.88731248057523&lt;/D&gt;&lt;D xsi:type="xsd:double"&gt;6.47298194567722&lt;/D&gt;&lt;D xsi:type="xsd:double"&gt;6.84189683274112&lt;/D&gt;&lt;D xsi:type="xsd:double"&gt;7.0846784883413&lt;/D&gt;&lt;D xsi:type="xsd:double"&gt;7.10147160876731&lt;/D&gt;&lt;D xsi:type="xsd:double"&gt;7.35563595366224&lt;/D&gt;&lt;D xsi:type="xsd:double"&gt;7.68014552359295&lt;/D&gt;&lt;D xsi:type="xsd:double"&gt;8.16918177656847&lt;/D&gt;&lt;D xsi:type="xsd:double"&gt;8.46160811096785&lt;/D&gt;&lt;D xsi:type="xsd:double"&gt;8.26624186475565&lt;/D&gt;&lt;D xsi:type="xsd:double"&gt;8.43060419011404&lt;/D&gt;&lt;D xsi:type="xsd:double"&gt;8.35194498152354&lt;/D&gt;&lt;D xsi:type="xsd:double"&gt;8.25694006109814&lt;/D&gt;&lt;D xsi:type="xsd:double"&gt;7.96750573134487&lt;/D&gt;&lt;D xsi:type="xsd:double"&gt;8.02587137757606&lt;/D&gt;&lt;D xsi:type="xsd:double"&gt;8.06679299937004&lt;/D&gt;&lt;D xsi:type="xsd:double"&gt;9.08276205691305&lt;/D&gt;&lt;D xsi:type="xsd:double"&gt;9.06311598168963&lt;/D&gt;&lt;/FQL&gt;&lt;FQL&gt;&lt;Q&gt;TRYQA10Y-FDS^FG_YIELD(-10AY,0,Y,,"YTM")&lt;/Q&gt;&lt;R&gt;10&lt;/R&gt;&lt;C&gt;1&lt;/C&gt;&lt;D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xsi:type="xsd:string"&gt;@NA&lt;/D&gt;&lt;/FQL&gt;&lt;FQL&gt;&lt;Q&gt;USDTHB^FG_COMPANY_NAME&lt;/Q&gt;&lt;R&gt;1&lt;/R&gt;&lt;C&gt;1&lt;/C&gt;&lt;D xsi:type="xsd:string"&gt;Thailand Baht per U.S. Dollar&lt;/D&gt;&lt;/FQL&gt;&lt;FQL&gt;&lt;Q&gt;FC0000ZA^FMA_EPS(NTMA,-20AY,0,CY,,"PORTAGG","MEANR")&lt;/Q&gt;&lt;R&gt;20&lt;/R&gt;&lt;C&gt;1&lt;/C&gt;&lt;D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xsi:type="xsd:double"&gt;31.8782514021022&lt;/D&gt;&lt;D xsi:type="xsd:double"&gt;34.3748784511984&lt;/D&gt;&lt;D xsi:type="xsd:double"&gt;36.8513185596326&lt;/D&gt;&lt;D xsi:type="xsd:double"&gt;38.614845738362&lt;/D&gt;&lt;D xsi:type="xsd:double"&gt;33.9202192899709&lt;/D&gt;&lt;/FQL&gt;&lt;FQL&gt;&lt;Q&gt;QAT^FMA_PE(NTMA,-10AY,0,AM,"PORTAGG","MEANR")&lt;/Q&gt;&lt;R&gt;121&lt;/R&gt;&lt;C&gt;1&lt;/C&gt;&lt;D xsi:type="xsd:double"&gt;15.5310202312606&lt;/D&gt;&lt;D xsi:type="xsd:double"&gt;15.1738951595653&lt;/D&gt;&lt;D xsi:type="xsd:double"&gt;13.4014350752462&lt;/D&gt;&lt;D xsi:type="xsd:double"&gt;13.4264940705225&lt;/D&gt;&lt;D xsi:type="xsd:double"&gt;14.1027703078594&lt;/D&gt;&lt;D xsi:type="xsd:double"&gt;13.7215188222866&lt;/D&gt;&lt;D xsi:type="xsd:double"&gt;13.3203988467145&lt;/D&gt;&lt;D xsi:type="xsd:double"&gt;13.8168415101428&lt;/D&gt;&lt;D xsi:type="xsd:double"&gt;13.0765344573308&lt;/D&gt;&lt;D xsi:type="xsd:double"&gt;13.1363016352142&lt;/D&gt;&lt;D xsi:type="xsd:double"&gt;13.0334437393992&lt;/D&gt;&lt;D xsi:type="xsd:double"&gt;13.2060789905884&lt;/D&gt;&lt;D xsi:type="xsd:double"&gt;12.8078200765209&lt;/D&gt;&lt;D xsi:type="xsd:double"&gt;12.01198210296&lt;/D&gt;&lt;D xsi:type="xsd:double"&gt;11.0205387829954&lt;/D&gt;&lt;D xsi:type="xsd:double"&gt;10.8640582590714&lt;/D&gt;&lt;D xsi:type="xsd:double"&gt;11.1689822485605&lt;/D&gt;&lt;D xsi:type="xsd:double"&gt;12.1557822179592&lt;/D&gt;&lt;D xsi:type="xsd:double"&gt;11.8515416847437&lt;/D&gt;&lt;D xsi:type="xsd:double"&gt;11.7806592582028&lt;/D&gt;&lt;D xsi:type="xsd:double"&gt;11.8594901186387&lt;/D&gt;&lt;D xsi:type="xsd:double"&gt;11.9001066053479&lt;/D&gt;&lt;D xsi:type="xsd:double"&gt;13.2399826404304&lt;/D&gt;&lt;D xsi:type="xsd:double"&gt;12.7684147418198&lt;/D&gt;&lt;D xsi:type="xsd:double"&gt;12.7960775298242&lt;/D&gt;&lt;D xsi:type="xsd:double"&gt;12.4441803140738&lt;/D&gt;&lt;D xsi:type="xsd:double"&gt;12.4157299919234&lt;/D&gt;&lt;D xsi:type="xsd:double"&gt;13.6357919909753&lt;/D&gt;&lt;D xsi:type="xsd:double"&gt;13.1931692517595&lt;/D&gt;&lt;D xsi:type="xsd:double"&gt;12.8961858059243&lt;/D&gt;&lt;D xsi:type="xsd:double"&gt;12.8320534140593&lt;/D&gt;&lt;D xsi:type="xsd:double"&gt;12.795884723463&lt;/D&gt;&lt;D xsi:type="xsd:double"&gt;12.18882665396&lt;/D&gt;&lt;D xsi:type="xsd:double"&gt;11.7195020579353&lt;/D&gt;&lt;D xsi:type="xsd:double"&gt;12.3369311612353&lt;/D&gt;&lt;D xsi:type="xsd:double"&gt;11.1433381544558&lt;/D&gt;&lt;D xsi:type="xsd:double"&gt;10.8279294238852&lt;/D&gt;&lt;D xsi:type="xsd:double"&gt;10.8426013308344&lt;/D&gt;&lt;D xsi:type="xsd:double"&gt;10.8192026498128&lt;/D&gt;&lt;D xsi:type="xsd:double"&gt;12.2907384446019&lt;/D&gt;&lt;D xsi:type="xsd:double"&gt;11.486845767271&lt;/D&gt;&lt;D xsi:type="xsd:double"&gt;10.4226705099094&lt;/D&gt;&lt;D xsi:type="xsd:double"&gt;11.5064581164324&lt;/D&gt;&lt;D xsi:type="xsd:double"&gt;11.0137609647053&lt;/D&gt;&lt;D xsi:type="xsd:double"&gt;11.5817420638274&lt;/D&gt;&lt;D xsi:type="xsd:double"&gt;11.5303816645292&lt;/D&gt;&lt;D xsi:type="xsd:double"&gt;12.4910697624926&lt;/D&gt;&lt;D xsi:type="xsd:double"&gt;12.6055118547447&lt;/D&gt;&lt;D xsi:type="xsd:double"&gt;12.529335117914&lt;/D&gt;&lt;D xsi:type="xsd:double"&gt;12.8954170756591&lt;/D&gt;&lt;D xsi:type="xsd:double"&gt;13.0951711056961&lt;/D&gt;&lt;D xsi:type="xsd:double"&gt;13.3098594219912&lt;/D&gt;&lt;D xsi:type="xsd:double"&gt;13.1023127203759&lt;/D&gt;&lt;D xsi:type="xsd:double"&gt;12.2304653185332&lt;/D&gt;&lt;D xsi:type="xsd:double"&gt;12.8759297550781&lt;/D&gt;&lt;D xsi:type="xsd:double"&gt;12.6482602286961&lt;/D&gt;&lt;D xsi:type="xsd:double"&gt;13.2134198624712&lt;/D&gt;&lt;D xsi:type="xsd:double"&gt;13.2243923337412&lt;/D&gt;&lt;D xsi:type="xsd:double"&gt;12.5294766393609&lt;/D&gt;&lt;D xsi:type="xsd:double"&gt;13.3009255122398&lt;/D&gt;&lt;D xsi:type="xsd:double"&gt;13.4205148191375&lt;/D&gt;&lt;D xsi:type="xsd:double"&gt;13.2749538892711&lt;/D&gt;&lt;D xsi:type="xsd:double"&gt;13.2476529939532&lt;/D&gt;&lt;D xsi:type="xsd:double"&gt;13.8007644969581&lt;/D&gt;&lt;D xsi:type="xsd:double"&gt;13.3446102019864&lt;/D&gt;&lt;D xsi:type="xsd:double"&gt;11.4302868252444&lt;/D&gt;&lt;D xsi:type="xsd:double"&gt;12.5346395050208&lt;/D&gt;&lt;D xsi:type="xsd:double"&gt;13.4594034486589&lt;/D&gt;&lt;D xsi:type="xsd:double"&gt;14.5144217713711&lt;/D&gt;&lt;D xsi:type="xsd:double"&gt;14.9075694179968&lt;/D&gt;&lt;D xsi:type="xsd:double"&gt;15.0913029661201&lt;/D&gt;&lt;D xsi:type="xsd:double"&gt;14.937370853855&lt;/D&gt;&lt;D xsi:type="xsd:double"&gt;15.5415933840094&lt;/D&gt;&lt;D xsi:type="xsd:double"&gt;15.0721404351635&lt;/D&gt;&lt;D xsi:type="xsd:double"&gt;15.0902385709386&lt;/D&gt;&lt;D xsi:type="xsd:double"&gt;14.3267855430326&lt;/D&gt;&lt;D xsi:type="xsd:double"&gt;13.7282791292077&lt;/D&gt;&lt;D xsi:type="xsd:double"&gt;13.4047677175284&lt;/D&gt;&lt;D xsi:type="xsd:double"&gt;13.818119493585&lt;/D&gt;&lt;D xsi:type="xsd:double"&gt;13.9660147546399&lt;/D&gt;&lt;D xsi:type="xsd:double"&gt;13.4843410985069&lt;/D&gt;&lt;D xsi:type="xsd:double"&gt;13.3351650802477&lt;/D&gt;&lt;D xsi:type="xsd:double"&gt;13.1689464032737&lt;/D&gt;&lt;D xsi:type="xsd:double"&gt;13.261053388307&lt;/D&gt;&lt;D xsi:type="xsd:double"&gt;13.3366179438757&lt;/D&gt;&lt;D xsi:type="xsd:double"&gt;13.6972982590782&lt;/D&gt;&lt;D xsi:type="xsd:double"&gt;13.1150051253125&lt;/D&gt;&lt;D xsi:type="xsd:double"&gt;13.3899802307421&lt;/D&gt;&lt;D xsi:type="xsd:double"&gt;13.6255000437441&lt;/D&gt;&lt;D xsi:type="xsd:double"&gt;14.3525412752309&lt;/D&gt;&lt;D xsi:type="xsd:double"&gt;14.2520716287841&lt;/D&gt;&lt;D xsi:type="xsd:double"&gt;13.5948551309412&lt;/D&gt;&lt;D xsi:type="xsd:double"&gt;12.6051366137615&lt;/D&gt;&lt;D xsi:type="xsd:double"&gt;12.1859617051299&lt;/D&gt;&lt;D xsi:type="xsd:double"&gt;13.7843754067218&lt;/D&gt;&lt;D xsi:type="xsd:double"&gt;12.7625942829995&lt;/D&gt;&lt;D xsi:type="xsd:double"&gt;12.9089689917112&lt;/D&gt;&lt;D xsi:type="xsd:double"&gt;12.9284622706384&lt;/D&gt;&lt;D xsi:type="xsd:double"&gt;11.9116323616057&lt;/D&gt;&lt;D xsi:type="xsd:double"&gt;11.817104260377&lt;/D&gt;&lt;D xsi:type="xsd:double"&gt;11.076941748175&lt;/D&gt;&lt;D xsi:type="xsd:double"&gt;11.2842213935793&lt;/D&gt;&lt;D xsi:type="xsd:double"&gt;10.9748489068856&lt;/D&gt;&lt;D xsi:type="xsd:double"&gt;11.3984460281954&lt;/D&gt;&lt;D xsi:type="xsd:double"&gt;11.1779722572231&lt;/D&gt;&lt;D xsi:type="xsd:double"&gt;11.0345311233299&lt;/D&gt;&lt;D xsi:type="xsd:double"&gt;11.6384640313679&lt;/D&gt;&lt;D xsi:type="xsd:double"&gt;10.8710440101486&lt;/D&gt;&lt;D xsi:type="xsd:double"&gt;10.3806687824573&lt;/D&gt;&lt;D xsi:type="xsd:double"&gt;10.5688007665041&lt;/D&gt;&lt;D xsi:type="xsd:double"&gt;10.3250921105723&lt;/D&gt;&lt;D xsi:type="xsd:double"&gt;10.7896290733448&lt;/D&gt;&lt;D xsi:type="xsd:double"&gt;10.2142262746933&lt;/D&gt;&lt;D xsi:type="xsd:double"&gt;10.5613167731285&lt;/D&gt;&lt;D xsi:type="xsd:double"&gt;10.1674333286889&lt;/D&gt;&lt;D xsi:type="xsd:double"&gt;9.90471956929698&lt;/D&gt;&lt;D xsi:type="xsd:double"&gt;9.77262205709724&lt;/D&gt;&lt;D xsi:type="xsd:double"&gt;10.3829194923897&lt;/D&gt;&lt;D xsi:type="xsd:double"&gt;10.3526294427124&lt;/D&gt;&lt;D xsi:type="xsd:double"&gt;10.545224750589&lt;/D&gt;&lt;D xsi:type="xsd:double"&gt;10.8965848680641&lt;/D&gt;&lt;/FQL&gt;&lt;FQL&gt;&lt;Q&gt;COPP-FDS^FG_PRICE_CHANGE(0,-1AM)&lt;/Q&gt;&lt;R&gt;1&lt;/R&gt;&lt;C&gt;1&lt;/C&gt;&lt;D xsi:type="xsd:double"&gt;8.52617250340304&lt;/D&gt;&lt;/FQL&gt;&lt;FQL&gt;&lt;Q&gt;FC0000KR^FG_PRICE(0)&lt;/Q&gt;&lt;R&gt;1&lt;/R&gt;&lt;C&gt;1&lt;/C&gt;&lt;D xsi:type="xsd:double"&gt;449.41107&lt;/D&gt;&lt;/FQL&gt;&lt;FQL&gt;&lt;Q&gt;SET-BKK^FG_TOTAL_RETURNC(0,-6AM)&lt;/Q&gt;&lt;R&gt;1&lt;/R&gt;&lt;C&gt;1&lt;/C&gt;&lt;D xsi:type="xsd:double"&gt;4.285705&lt;/D&gt;&lt;/FQL&gt;&lt;FQL&gt;&lt;Q&gt;EWT^P_PRICE(0)/P_PRICE_HIGH_PR(0,,,,,,"PRICE","INTRA","52W")&lt;/Q&gt;&lt;R&gt;1&lt;/R&gt;&lt;C&gt;1&lt;/C&gt;&lt;D xsi:type="xsd:double"&gt;0.94366443&lt;/D&gt;&lt;/FQL&gt;&lt;FQL&gt;&lt;Q&gt;EPU^FMA_PCT_ABOVE_MAVG(200,0,,,,"PORTAGG")&lt;/Q&gt;&lt;R&gt;1&lt;/R&gt;&lt;C&gt;1&lt;/C&gt;&lt;D xsi:type="xsd:double"&gt;76.9230769230769&lt;/D&gt;&lt;/FQL&gt;&lt;FQL&gt;&lt;Q&gt;VNM^FMA_RBICS_REV_CURRENT(30, LOC, "PORTAGG")&lt;/Q&gt;&lt;R&gt;1&lt;/R&gt;&lt;C&gt;1&lt;/C&gt;&lt;D xsi:type="xsd:double"&gt;55.4172344166415&lt;/D&gt;&lt;/FQL&gt;&lt;FQL&gt;&lt;Q&gt;GREK^FG_FCF_YIELD_NTM(0)&lt;/Q&gt;&lt;R&gt;1&lt;/R&gt;&lt;C&gt;1&lt;/C&gt;&lt;D xsi:type="xsd:double"&gt;3.19724567185072&lt;/D&gt;&lt;/FQL&gt;&lt;FQL&gt;&lt;Q&gt;CAGDPY@KR^EE_ACTUAL_ANNUAL(MED,+1)&lt;/Q&gt;&lt;R&gt;1&lt;/R&gt;&lt;C&gt;1&lt;/C&gt;&lt;D xsi:type="xsd:double"&gt;3.75&lt;/D&gt;&lt;/FQL&gt;&lt;FQL&gt;&lt;Q&gt;USDKRW^FG_COMPANY_NAME&lt;/Q&gt;&lt;R&gt;1&lt;/R&gt;&lt;C&gt;1&lt;/C&gt;&lt;D xsi:type="xsd:string"&gt;South Korean Won per U.S. Dollar&lt;/D&gt;&lt;/FQL&gt;&lt;FQL&gt;&lt;Q&gt;USDIDR^FG_COMPANY_NAME&lt;/Q&gt;&lt;R&gt;1&lt;/R&gt;&lt;C&gt;1&lt;/C&gt;&lt;D xsi:type="xsd:string"&gt;Indonesian Rupiah per U.S. Dollar&lt;/D&gt;&lt;/FQL&gt;&lt;FQL&gt;&lt;Q&gt;MCHI^FMA_PE(NTMA,-10AY,0,AM,"PORTAGG","MEANR")&lt;/Q&gt;&lt;R&gt;121&lt;/R&gt;&lt;C&gt;1&lt;/C&gt;&lt;D xsi:type="xsd:double"&gt;8.51208809179909&lt;/D&gt;&lt;D xsi:type="xsd:double"&gt;8.79472171706373&lt;/D&gt;&lt;D xsi:type="xsd:double"&gt;9.16215840891333&lt;/D&gt;&lt;D xsi:type="xsd:double"&gt;9.7564554995978&lt;/D&gt;&lt;D xsi:type="xsd:double"&gt;9.98618771362546&lt;/D&gt;&lt;D xsi:type="xsd:double"&gt;9.91779850378757&lt;/D&gt;&lt;D xsi:type="xsd:double"&gt;11.9620973176554&lt;/D&gt;&lt;D xsi:type="xsd:double"&gt;11.9097038511685&lt;/D&gt;&lt;D xsi:type="xsd:double"&gt;11.2240187534581&lt;/D&gt;&lt;D xsi:type="xsd:double"&gt;9.90160666354273&lt;/D&gt;&lt;D xsi:type="xsd:double"&gt;9.598943080007&lt;/D&gt;&lt;D xsi:type="xsd:double"&gt;8.84157678797595&lt;/D&gt;&lt;D xsi:type="xsd:double"&gt;9.36764678204092&lt;/D&gt;&lt;D xsi:type="xsd:double"&gt;9.4927017567679&lt;/D&gt;&lt;D xsi:type="xsd:double"&gt;9.15876889620359&lt;/D&gt;&lt;D xsi:type="xsd:double"&gt;9.44838606396929&lt;/D&gt;&lt;D xsi:type="xsd:double"&gt;8.90002738928226&lt;/D&gt;&lt;D xsi:type="xsd:double"&gt;9.33812974501241&lt;/D&gt;&lt;D xsi:type="xsd:double"&gt;9.96090849809623&lt;/D&gt;&lt;D xsi:type="xsd:double"&gt;9.66972208822085&lt;/D&gt;&lt;D xsi:type="xsd:double"&gt;10.8337884131191&lt;/D&gt;&lt;D xsi:type="xsd:double"&gt;10.8105510565914&lt;/D&gt;&lt;D xsi:type="xsd:double"&gt;11.7313017922808&lt;/D&gt;&lt;D xsi:type="xsd:double"&gt;12.6287044484672&lt;/D&gt;&lt;D xsi:type="xsd:double"&gt;12.594843141548&lt;/D&gt;&lt;D xsi:type="xsd:double"&gt;11.8616859815698&lt;/D&gt;&lt;D xsi:type="xsd:double"&gt;11.8272948234031&lt;/D&gt;&lt;D xsi:type="xsd:double"&gt;11.747177050836&lt;/D&gt;&lt;D xsi:type="xsd:double"&gt;12.2472906306148&lt;/D&gt;&lt;D xsi:type="xsd:double"&gt;12.2454998134194&lt;/D&gt;&lt;D xsi:type="xsd:double"&gt;12.1872099874091&lt;/D&gt;&lt;D xsi:type="xsd:double"&gt;12.7555297887234&lt;/D&gt;&lt;D xsi:type="xsd:double"&gt;13.130127931664&lt;/D&gt;&lt;D xsi:type="xsd:double"&gt;12.7476423237451&lt;/D&gt;&lt;D xsi:type="xsd:double"&gt;13.5030174124979&lt;/D&gt;&lt;D xsi:type="xsd:double"&gt;13.0969380669523&lt;/D&gt;&lt;D xsi:type="xsd:double"&gt;13.8513285783224&lt;/D&gt;&lt;D xsi:type="xsd:double"&gt;13.9979139675736&lt;/D&gt;&lt;D xsi:type="xsd:double"&gt;13.2275501344994&lt;/D&gt;&lt;D xsi:type="xsd:double"&gt;14.0769155485805&lt;/D&gt;&lt;D xsi:type="xsd:double"&gt;12.4985516996961&lt;/D&gt;&lt;D xsi:type="xsd:double"&gt;13.3948717793764&lt;/D&gt;&lt;D xsi:type="xsd:double"&gt;12.7257563702397&lt;/D&gt;&lt;D xsi:type="xsd:double"&gt;12.6733308450275&lt;/D&gt;&lt;D xsi:type="xsd:double"&gt;12.7122595348219&lt;/D&gt;&lt;D xsi:type="xsd:double"&gt;11.7988190725516&lt;/D&gt;&lt;D xsi:type="xsd:double"&gt;11.6534042330526&lt;/D&gt;&lt;D xsi:type="xsd:double"&gt;10.7090991067518&lt;/D&gt;&lt;D xsi:type="xsd:double"&gt;10.217192915949&lt;/D&gt;&lt;D xsi:type="xsd:double"&gt;10.2732478278699&lt;/D&gt;&lt;D xsi:type="xsd:double"&gt;10.4548924501395&lt;/D&gt;&lt;D xsi:type="xsd:double"&gt;10.455364212727&lt;/D&gt;&lt;D xsi:type="xsd:double"&gt;11.097391832245&lt;/D&gt;&lt;D xsi:type="xsd:double"&gt;11.3827060574123&lt;/D&gt;&lt;D xsi:type="xsd:double"&gt;12.3357408469075&lt;/D&gt;&lt;D xsi:type="xsd:double"&gt;11.533645971146&lt;/D&gt;&lt;D xsi:type="xsd:double"&gt;11.1337499799718&lt;/D&gt;&lt;D xsi:type="xsd:double"&gt;11.3477940316209&lt;/D&gt;&lt;D xsi:type="xsd:double"&gt;10.7908499679119&lt;/D&gt;&lt;D xsi:type="xsd:double"&gt;11.399083987187&lt;/D&gt;&lt;D xsi:type="xsd:double"&gt;10.9688245835289&lt;/D&gt;&lt;D xsi:type="xsd:double"&gt;11.5113573595318&lt;/D&gt;&lt;D xsi:type="xsd:double"&gt;11.6263458338655&lt;/D&gt;&lt;D xsi:type="xsd:double"&gt;12.5744206286459&lt;/D&gt;&lt;D xsi:type="xsd:double"&gt;12.1010357772519&lt;/D&gt;&lt;D xsi:type="xsd:double"&gt;11.8200106273163&lt;/D&gt;&lt;D xsi:type="xsd:double"&gt;12.0414263652381&lt;/D&gt;&lt;D xsi:type="xsd:double"&gt;12.6179906924615&lt;/D&gt;&lt;D xsi:type="xsd:double"&gt;13.9012083429786&lt;/D&gt;&lt;D xsi:type="xsd:double"&gt;15.6300560383551&lt;/D&gt;&lt;D xsi:type="xsd:double"&gt;14.7599323471528&lt;/D&gt;&lt;D xsi:type="xsd:double"&gt;14.6771158403014&lt;/D&gt;&lt;D xsi:type="xsd:double"&gt;15.1980107941194&lt;/D&gt;&lt;D xsi:type="xsd:double"&gt;15.3283243111041&lt;/D&gt;&lt;D xsi:type="xsd:double"&gt;15.286229787992&lt;/D&gt;&lt;D xsi:type="xsd:double"&gt;16.2730135841137&lt;/D&gt;&lt;D xsi:type="xsd:double"&gt;18.640577813656&lt;/D&gt;&lt;D xsi:type="xsd:double"&gt;16.4467256033609&lt;/D&gt;&lt;D xsi:type="xsd:double"&gt;16.0154864511551&lt;/D&gt;&lt;D xsi:type="xsd:double"&gt;15.0664602121028&lt;/D&gt;&lt;D xsi:type="xsd:double"&gt;15.9682562132563&lt;/D&gt;&lt;D xsi:type="xsd:double"&gt;15.0120593682537&lt;/D&gt;&lt;D xsi:type="xsd:double"&gt;14.2728602431311&lt;/D&gt;&lt;D xsi:type="xsd:double"&gt;14.097800039376&lt;/D&gt;&lt;D xsi:type="xsd:double"&gt;13.4058090867701&lt;/D&gt;&lt;D xsi:type="xsd:double"&gt;13.109186364536&lt;/D&gt;&lt;D xsi:type="xsd:double"&gt;12.8713400397649&lt;/D&gt;&lt;D xsi:type="xsd:double"&gt;12.3833727101056&lt;/D&gt;&lt;D xsi:type="xsd:double"&gt;12.4588432522736&lt;/D&gt;&lt;D xsi:type="xsd:double"&gt;10.2110388062097&lt;/D&gt;&lt;D xsi:type="xsd:double"&gt;10.744241024185&lt;/D&gt;&lt;D xsi:type="xsd:double"&gt;10.011980717474&lt;/D&gt;&lt;D xsi:type="xsd:double"&gt;11.7811203127902&lt;/D&gt;&lt;D xsi:type="xsd:double"&gt;11.9382058400173&lt;/D&gt;&lt;D xsi:type="xsd:double"&gt;10.5395806527671&lt;/D&gt;&lt;D xsi:type="xsd:double"&gt;10.8445351567992&lt;/D&gt;&lt;D xsi:type="xsd:double"&gt;9.50174879727422&lt;/D&gt;&lt;D xsi:type="xsd:double"&gt;9.15574749679448&lt;/D&gt;&lt;D xsi:type="xsd:double"&gt;11.0150124292791&lt;/D&gt;&lt;D xsi:type="xsd:double"&gt;11.6560883931392&lt;/D&gt;&lt;D xsi:type="xsd:double"&gt;11.3693831279059&lt;/D&gt;&lt;D xsi:type="xsd:double"&gt;10.4106554020226&lt;/D&gt;&lt;D xsi:type="xsd:double"&gt;10.9691848996271&lt;/D&gt;&lt;D xsi:type="xsd:double"&gt;10.4023783913244&lt;/D&gt;&lt;D xsi:type="xsd:double"&gt;10.3622601231387&lt;/D&gt;&lt;D xsi:type="xsd:double"&gt;10.1264782805717&lt;/D&gt;&lt;D xsi:type="xsd:double"&gt;10.713171015594&lt;/D&gt;&lt;D xsi:type="xsd:double"&gt;10.320707840937&lt;/D&gt;&lt;D xsi:type="xsd:double"&gt;9.89517328771966&lt;/D&gt;&lt;D xsi:type="xsd:double"&gt;9.69091066349171&lt;/D&gt;&lt;D xsi:type="xsd:double"&gt;9.1664813247641&lt;/D&gt;&lt;D xsi:type="xsd:double"&gt;8.91965263730303&lt;/D&gt;&lt;D xsi:type="xsd:double"&gt;8.72409146577093&lt;/D&gt;&lt;D xsi:type="xsd:double"&gt;9.00475697325927&lt;/D&gt;&lt;D xsi:type="xsd:double"&gt;9.53708127079374&lt;/D&gt;&lt;D xsi:type="xsd:double"&gt;10.5070339890767&lt;/D&gt;&lt;D xsi:type="xsd:double"&gt;9.99402014739361&lt;/D&gt;&lt;D xsi:type="xsd:double"&gt;9.48810521246649&lt;/D&gt;&lt;D xsi:type="xsd:double"&gt;9.05664588809528&lt;/D&gt;&lt;D xsi:type="xsd:double"&gt;8.70122777302272&lt;/D&gt;&lt;D xsi:type="xsd:double"&gt;11.0109314794053&lt;/D&gt;&lt;/FQL&gt;&lt;FQL&gt;&lt;Q&gt;EWY^FMA_PE(LTMA,-10AY,0,AM,"PORTAGG","MEANR")&lt;/Q&gt;&lt;R&gt;121&lt;/R&gt;&lt;C&gt;1&lt;/C&gt;&lt;D xsi:type="xsd:double"&gt;11.0399593773223&lt;/D&gt;&lt;D xsi:type="xsd:double"&gt;11.6725318657552&lt;/D&gt;&lt;D xsi:type="xsd:double"&gt;11.6213872434128&lt;/D&gt;&lt;D xsi:type="xsd:double"&gt;11.3919948748114&lt;/D&gt;&lt;D xsi:type="xsd:double"&gt;12.2021738873289&lt;/D&gt;&lt;D xsi:type="xsd:double"&gt;12.201632321478&lt;/D&gt;&lt;D xsi:type="xsd:double"&gt;12.0625405818021&lt;/D&gt;&lt;D xsi:type="xsd:double"&gt;11.8219841048795&lt;/D&gt;&lt;D xsi:type="xsd:double"&gt;11.419746417672&lt;/D&gt;&lt;D xsi:type="xsd:double"&gt;11.1466064928882&lt;/D&gt;&lt;D xsi:type="xsd:double"&gt;11.0446942743271&lt;/D&gt;&lt;D xsi:type="xsd:double"&gt;10.814236445186&lt;/D&gt;&lt;D xsi:type="xsd:double"&gt;11.0698270355285&lt;/D&gt;&lt;D xsi:type="xsd:double"&gt;11.3244399649351&lt;/D&gt;&lt;D xsi:type="xsd:double"&gt;10.4855655388589&lt;/D&gt;&lt;D xsi:type="xsd:double"&gt;9.7851634842725&lt;/D&gt;&lt;D xsi:type="xsd:double"&gt;10.4762671546181&lt;/D&gt;&lt;D xsi:type="xsd:double"&gt;10.6183948338973&lt;/D&gt;&lt;D xsi:type="xsd:double"&gt;10.6082535686155&lt;/D&gt;&lt;D xsi:type="xsd:double"&gt;10.5213069040032&lt;/D&gt;&lt;D xsi:type="xsd:double"&gt;10.5659713111807&lt;/D&gt;&lt;D xsi:type="xsd:double"&gt;10.4110448729004&lt;/D&gt;&lt;D xsi:type="xsd:double"&gt;10.5603801771548&lt;/D&gt;&lt;D xsi:type="xsd:double"&gt;10.6993800668399&lt;/D&gt;&lt;D xsi:type="xsd:double"&gt;10.7039033795259&lt;/D&gt;&lt;D xsi:type="xsd:double"&gt;10.8128366560325&lt;/D&gt;&lt;D xsi:type="xsd:double"&gt;11.0979095190745&lt;/D&gt;&lt;D xsi:type="xsd:double"&gt;11.1481063644782&lt;/D&gt;&lt;D xsi:type="xsd:double"&gt;11.6553899255292&lt;/D&gt;&lt;D xsi:type="xsd:double"&gt;11.6051346709182&lt;/D&gt;&lt;D xsi:type="xsd:double"&gt;11.3273541921318&lt;/D&gt;&lt;D xsi:type="xsd:double"&gt;11.1843810673705&lt;/D&gt;&lt;D xsi:type="xsd:double"&gt;11.1084300200251&lt;/D&gt;&lt;D xsi:type="xsd:double"&gt;10.8652865872246&lt;/D&gt;&lt;D xsi:type="xsd:double"&gt;10.5538022043615&lt;/D&gt;&lt;D xsi:type="xsd:double"&gt;10.3253335970394&lt;/D&gt;&lt;D xsi:type="xsd:double"&gt;10.4960302933179&lt;/D&gt;&lt;D xsi:type="xsd:double"&gt;10.4562386317666&lt;/D&gt;&lt;D xsi:type="xsd:double"&gt;10.1577553788598&lt;/D&gt;&lt;D xsi:type="xsd:double"&gt;10.340248357362&lt;/D&gt;&lt;D xsi:type="xsd:double"&gt;10.1610798740774&lt;/D&gt;&lt;D xsi:type="xsd:double"&gt;10.5382210233172&lt;/D&gt;&lt;D xsi:type="xsd:double"&gt;10.3659824353015&lt;/D&gt;&lt;D xsi:type="xsd:double"&gt;10.2264450389469&lt;/D&gt;&lt;D xsi:type="xsd:double"&gt;10.1199548216748&lt;/D&gt;&lt;D xsi:type="xsd:double"&gt;9.69968853606204&lt;/D&gt;&lt;D xsi:type="xsd:double"&gt;9.46903991252104&lt;/D&gt;&lt;D xsi:type="xsd:double"&gt;9.32911350777532&lt;/D&gt;&lt;D xsi:type="xsd:double"&gt;9.07549128238658&lt;/D&gt;&lt;D xsi:type="xsd:double"&gt;8.57881318136356&lt;/D&gt;&lt;D xsi:type="xsd:double"&gt;8.26440875991584&lt;/D&gt;&lt;D xsi:type="xsd:double"&gt;8.41991495855937&lt;/D&gt;&lt;D xsi:type="xsd:double"&gt;9.59990399234676&lt;/D&gt;&lt;D xsi:type="xsd:double"&gt;9.96817649836366&lt;/D&gt;&lt;D xsi:type="xsd:double"&gt;10.3903643720896&lt;/D&gt;&lt;D xsi:type="xsd:double"&gt;10.4461813390757&lt;/D&gt;&lt;D xsi:type="xsd:double"&gt;10.7520045755195&lt;/D&gt;&lt;D xsi:type="xsd:double"&gt;11.084811933598&lt;/D&gt;&lt;D xsi:type="xsd:double"&gt;11.0760636495528&lt;/D&gt;&lt;D xsi:type="xsd:double"&gt;11.7273984627578&lt;/D&gt;&lt;D xsi:type="xsd:double"&gt;12.0237670347398&lt;/D&gt;&lt;D xsi:type="xsd:double"&gt;13.3664215400155&lt;/D&gt;&lt;D xsi:type="xsd:double"&gt;13.6471083246722&lt;/D&gt;&lt;D xsi:type="xsd:double"&gt;14.6940502794748&lt;/D&gt;&lt;D xsi:type="xsd:double"&gt;15.710338122244&lt;/D&gt;&lt;D xsi:type="xsd:double"&gt;14.9747481140043&lt;/D&gt;&lt;D xsi:type="xsd:double"&gt;14.6570490002761&lt;/D&gt;&lt;D xsi:type="xsd:double"&gt;14.9456668625411&lt;/D&gt;&lt;D xsi:type="xsd:double"&gt;15.5861496785673&lt;/D&gt;&lt;D xsi:type="xsd:double"&gt;15.4551952122303&lt;/D&gt;&lt;D xsi:type="xsd:double"&gt;16.3234525717026&lt;/D&gt;&lt;D xsi:type="xsd:double"&gt;16.259329815497&lt;/D&gt;&lt;D xsi:type="xsd:double"&gt;16.1493177080227&lt;/D&gt;&lt;D xsi:type="xsd:double"&gt;16.3744911109785&lt;/D&gt;&lt;D xsi:type="xsd:double"&gt;18.6174412600521&lt;/D&gt;&lt;D xsi:type="xsd:double"&gt;21.9326265883258&lt;/D&gt;&lt;D xsi:type="xsd:double"&gt;21.4345340862063&lt;/D&gt;&lt;D xsi:type="xsd:double"&gt;20.1989014172076&lt;/D&gt;&lt;D xsi:type="xsd:double"&gt;19.5613646006294&lt;/D&gt;&lt;D xsi:type="xsd:double"&gt;18.1676827757781&lt;/D&gt;&lt;D xsi:type="xsd:double"&gt;17.1604677109267&lt;/D&gt;&lt;D xsi:type="xsd:double"&gt;16.1800324600817&lt;/D&gt;&lt;D xsi:type="xsd:double"&gt;14.9953095263255&lt;/D&gt;&lt;D xsi:type="xsd:double"&gt;13.7534247880182&lt;/D&gt;&lt;D xsi:type="xsd:double"&gt;12.4013470773528&lt;/D&gt;&lt;D xsi:type="xsd:double"&gt;11.1678506793946&lt;/D&gt;&lt;D xsi:type="xsd:double"&gt;10.3301225886425&lt;/D&gt;&lt;D xsi:type="xsd:double"&gt;9.42160483612889&lt;/D&gt;&lt;D xsi:type="xsd:double"&gt;9.42341749578819&lt;/D&gt;&lt;D xsi:type="xsd:double"&gt;9.29022592045863&lt;/D&gt;&lt;D xsi:type="xsd:double"&gt;9.31057527880311&lt;/D&gt;&lt;D xsi:type="xsd:double"&gt;9.11345538444698&lt;/D&gt;&lt;D xsi:type="xsd:double"&gt;9.1863891521077&lt;/D&gt;&lt;D xsi:type="xsd:double"&gt;8.923331763504&lt;/D&gt;&lt;D xsi:type="xsd:double"&gt;9.03917148204001&lt;/D&gt;&lt;D xsi:type="xsd:double"&gt;8.73661867542076&lt;/D&gt;&lt;D xsi:type="xsd:double"&gt;8.54712670473376&lt;/D&gt;&lt;D xsi:type="xsd:double"&gt;9.69222753888044&lt;/D&gt;&lt;D xsi:type="xsd:double"&gt;9.8003219720886&lt;/D&gt;&lt;D xsi:type="xsd:double"&gt;10.0072209840611&lt;/D&gt;&lt;D xsi:type="xsd:double"&gt;10.8277457881455&lt;/D&gt;&lt;D xsi:type="xsd:double"&gt;11.0797239580515&lt;/D&gt;&lt;D xsi:type="xsd:double"&gt;11.8433928662745&lt;/D&gt;&lt;D xsi:type="xsd:double"&gt;12.1592090910804&lt;/D&gt;&lt;D xsi:type="xsd:double"&gt;12.6221958875096&lt;/D&gt;&lt;D xsi:type="xsd:double"&gt;12.5029459347981&lt;/D&gt;&lt;D xsi:type="xsd:double"&gt;13.0920828257866&lt;/D&gt;&lt;D xsi:type="xsd:double"&gt;13.4557688582427&lt;/D&gt;&lt;D xsi:type="xsd:double"&gt;13.3136893289899&lt;/D&gt;&lt;D xsi:type="xsd:double"&gt;13.7723486835624&lt;/D&gt;&lt;D xsi:type="xsd:double"&gt;14.5275824711243&lt;/D&gt;&lt;D xsi:type="xsd:double"&gt;14.8733840197145&lt;/D&gt;&lt;D xsi:type="xsd:double"&gt;16.4035170388359&lt;/D&gt;&lt;D xsi:type="xsd:double"&gt;16.213009645275&lt;/D&gt;&lt;D xsi:type="xsd:double"&gt;15.632668367885&lt;/D&gt;&lt;D xsi:type="xsd:double"&gt;14.9817200548413&lt;/D&gt;&lt;D xsi:type="xsd:double"&gt;14.3434576869268&lt;/D&gt;&lt;D xsi:type="xsd:double"&gt;14.0051901103428&lt;/D&gt;&lt;D xsi:type="xsd:double"&gt;12.719475043111&lt;/D&gt;&lt;D xsi:type="xsd:double"&gt;11.7907145703045&lt;/D&gt;&lt;D xsi:type="xsd:double"&gt;11.4760559414723&lt;/D&gt;&lt;/FQL&gt;&lt;FQL&gt;&lt;Q&gt;CPALM-FDS^FG_PRICE_CHANGE(0,-1AM)&lt;/Q&gt;&lt;R&gt;1&lt;/R&gt;&lt;C&gt;1&lt;/C&gt;&lt;D xsi:type="xsd:double"&gt;9.26902788244159&lt;/D&gt;&lt;/FQL&gt;&lt;FQL&gt;&lt;Q&gt;SET-BKK^FG_PRICE_MAVG(0,,,,60)&lt;/Q&gt;&lt;R&gt;1&lt;/R&gt;&lt;C&gt;1&lt;/C&gt;&lt;D xsi:type="xsd:double"&gt;1374.4725&lt;/D&gt;&lt;/FQL&gt;&lt;FQL&gt;&lt;Q&gt;VNM^FG_TOTAL_RETURNC(0,-6AM)&lt;/Q&gt;&lt;R&gt;1&lt;/R&gt;&lt;C&gt;1&lt;/C&gt;&lt;D xsi:type="xsd:double"&gt;-6.1561527&lt;/D&gt;&lt;/FQL&gt;&lt;FQL&gt;&lt;Q&gt;INDA^FG_TOTAL_RETURNC(0,-6AM)&lt;/Q&gt;&lt;R&gt;1&lt;/R&gt;&lt;C&gt;1&lt;/C&gt;&lt;D xsi:type="xsd:double"&gt;9.345078&lt;/D&gt;&lt;/FQL&gt;&lt;FQL&gt;&lt;Q&gt;ECH^P_PRICE(0)/P_PRICE_LOW_PR(0,,,,,,"PRICE","INTRA","52W")-1&lt;/Q&gt;&lt;R&gt;1&lt;/R&gt;&lt;C&gt;1&lt;/C&gt;&lt;D xsi:type="xsd:double"&gt;0.1233629&lt;/D&gt;&lt;/FQL&gt;&lt;FQL&gt;&lt;Q&gt;TRYMY10Y-FDS^PCTCHG(FG_YIELD(0,,,,"YTM"),FG_YIELD(-1AM,,,,"YTM"))&lt;/Q&gt;&lt;R&gt;1&lt;/R&gt;&lt;C&gt;1&lt;/C&gt;&lt;D xsi:type="xsd:double"&gt;1.4563062&lt;/D&gt;&lt;/FQL&gt;&lt;FQL&gt;&lt;Q&gt;EZA^FG_COMPANY_NAME&lt;/Q&gt;&lt;R&gt;1&lt;/R&gt;&lt;C&gt;1&lt;/C&gt;&lt;D xsi:type="xsd:string"&gt;iShares MSCI South Africa ETF&lt;/D&gt;&lt;/FQL&gt;&lt;FQL&gt;&lt;Q&gt;TRYZA10Y-FDS^FG_YIELD(-10AY,0,Y,,"YTM")&lt;/Q&gt;&lt;R&gt;10&lt;/R&gt;&lt;C&gt;1&lt;/C&gt;&lt;D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xsi:type="xsd:double"&gt;11.358896&lt;/D&gt;&lt;/FQL&gt;&lt;FQL&gt;&lt;Q&gt;CC_IN^FG_COMPANY_NAME&lt;/Q&gt;&lt;R&gt;1&lt;/R&gt;&lt;C&gt;1&lt;/C&gt;&lt;D xsi:type="xsd:string"&gt;India&lt;/D&gt;&lt;/FQL&gt;&lt;FQL&gt;&lt;Q&gt;INDA^FG_TOTAL_RETURNC(0,-3AM)&lt;/Q&gt;&lt;R&gt;1&lt;/R&gt;&lt;C&gt;1&lt;/C&gt;&lt;D xsi:type="xsd:double"&gt;0.6344676&lt;/D&gt;&lt;/FQL&gt;&lt;FQL&gt;&lt;Q&gt;CC_CL^IMF_IFS_RCPI_Q(0)&lt;/Q&gt;&lt;R&gt;0&lt;/R&gt;&lt;C&gt;0&lt;/C&gt;&lt;/FQL&gt;&lt;FQL&gt;&lt;Q&gt;GREK^FMA_DIV_YLD(NTMA,NOW,NOW,M,"PORTAGG","MEANR")&lt;/Q&gt;&lt;R&gt;1&lt;/R&gt;&lt;C&gt;1&lt;/C&gt;&lt;D xsi:type="xsd:double"&gt;6.48806080840855&lt;/D&gt;&lt;/FQL&gt;&lt;FQL&gt;&lt;Q&gt;VNM^FMA_ROE(NTMA,-20AY,NOW,FY,"PORTAGG","MEANR")&lt;/Q&gt;&lt;R&gt;20&lt;/R&gt;&lt;C&gt;1&lt;/C&gt;&lt;D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xsi:type="xsd:double"&gt;17.0889112448112&lt;/D&gt;&lt;D xsi:type="xsd:double"&gt;18.3844905030187&lt;/D&gt;&lt;D xsi:type="xsd:double"&gt;14.7334622511066&lt;/D&gt;&lt;D xsi:type="xsd:double"&gt;10.732551314639&lt;/D&gt;&lt;/FQL&gt;&lt;FQL&gt;&lt;Q&gt;TRYSA10Y-FDS^FG_YIELD(-10AY,0,Y,,"YTM")&lt;/Q&gt;&lt;R&gt;10&lt;/R&gt;&lt;C&gt;1&lt;/C&gt;&lt;D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xsi:type="xsd:double"&gt;4.608568&lt;/D&gt;&lt;/FQL&gt;&lt;FQL&gt;&lt;Q&gt;CAGDPY@IN^EE_ACTUAL_ANNUAL(MED,0)&lt;/Q&gt;&lt;R&gt;1&lt;/R&gt;&lt;C&gt;1&lt;/C&gt;&lt;D xsi:type="xsd:double"&gt;-0.731079343492458&lt;/D&gt;&lt;/FQL&gt;&lt;FQL&gt;&lt;Q&gt;CC_AE^FG_COMPANY_NAME&lt;/Q&gt;&lt;R&gt;1&lt;/R&gt;&lt;C&gt;1&lt;/C&gt;&lt;D xsi:type="xsd:string"&gt;United Arab Emirates&lt;/D&gt;&lt;/FQL&gt;&lt;FQL&gt;&lt;Q&gt;USDVND^STD(FG_PRICE_CHANGE(0,-3AY,M))&lt;/Q&gt;&lt;R&gt;1&lt;/R&gt;&lt;C&gt;1&lt;/C&gt;&lt;D xsi:type="xsd:double"&gt;1.33454167373091&lt;/D&gt;&lt;/FQL&gt;&lt;FQL&gt;&lt;Q&gt;USDIDR^FG_PRICE_CHANGE(0,-3AM)&lt;/Q&gt;&lt;R&gt;1&lt;/R&gt;&lt;C&gt;1&lt;/C&gt;&lt;D xsi:type="xsd:double"&gt;-3.540641&lt;/D&gt;&lt;/FQL&gt;&lt;FQL&gt;&lt;Q&gt;FC0000IN^FMA_EPS(NTMA,-20AY,0,CY,,"PORTAGG","MEANR")&lt;/Q&gt;&lt;R&gt;20&lt;/R&gt;&lt;C&gt;1&lt;/C&gt;&lt;D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xsi:type="xsd:double"&gt;36.3147885170515&lt;/D&gt;&lt;D xsi:type="xsd:double"&gt;33.7104854449056&lt;/D&gt;&lt;D xsi:type="xsd:double"&gt;47.0115690516853&lt;/D&gt;&lt;D xsi:type="xsd:double"&gt;46.0161692432303&lt;/D&gt;&lt;D xsi:type="xsd:double"&gt;54.7053030058168&lt;/D&gt;&lt;/FQL&gt;&lt;FQL&gt;&lt;Q&gt;EWZ^P_PRICE_RETURNS_PR('52W',2,-10AY,0,AM)&lt;/Q&gt;&lt;R&gt;121&lt;/R&gt;&lt;C&gt;1&lt;/C&gt;&lt;D xsi:type="xsd:double"&gt;-6.2629995&lt;/D&gt;&lt;D xsi:type="xsd:double"&gt;-10.836619&lt;/D&gt;&lt;D xsi:type="xsd:double"&gt;-15.781105&lt;/D&gt;&lt;D xsi:type="xsd:double"&gt;-11.068684&lt;/D&gt;&lt;D xsi:type="xsd:double"&gt;-12.657094&lt;/D&gt;&lt;D xsi:type="xsd:double"&gt;-20.666891&lt;/D&gt;&lt;D xsi:type="xsd:double"&gt;-24.21558&lt;/D&gt;&lt;D xsi:type="xsd:double"&gt;-21.259129&lt;/D&gt;&lt;D xsi:type="xsd:double"&gt;-29.804499&lt;/D&gt;&lt;D xsi:type="xsd:double"&gt;-31.965578&lt;/D&gt;&lt;D xsi:type="xsd:double"&gt;-40.409313&lt;/D&gt;&lt;D xsi:type="xsd:double"&gt;-52.07696&lt;/D&gt;&lt;D xsi:type="xsd:double"&gt;-44.390957&lt;/D&gt;&lt;D xsi:type="xsd:double"&gt;-39.573204&lt;/D&gt;&lt;D xsi:type="xsd:double"&gt;-36.599583&lt;/D&gt;&lt;D xsi:type="xsd:double"&gt;-45.778847&lt;/D&gt;&lt;D xsi:type="xsd:double"&gt;-39.952213&lt;/D&gt;&lt;D xsi:type="xsd:double"&gt;-12.168062&lt;/D&gt;&lt;D xsi:type="xsd:double"&gt;-20.159304&lt;/D&gt;&lt;D xsi:type="xsd:double"&gt;-19.724583&lt;/D&gt;&lt;D xsi:type="xsd:double"&gt;-16.648764&lt;/D&gt;&lt;D xsi:type="xsd:double"&gt;0.65044165&lt;/D&gt;&lt;D xsi:type="xsd:double"&gt;25.306583&lt;/D&gt;&lt;D xsi:type="xsd:double"&gt;43.467606&lt;/D&gt;&lt;D xsi:type="xsd:double"&gt;44.724262&lt;/D&gt;&lt;D xsi:type="xsd:double"&gt;43.30311&lt;/D&gt;&lt;D xsi:type="xsd:double"&gt;39.898155&lt;/D&gt;&lt;D xsi:type="xsd:double"&gt;88.37876&lt;/D&gt;&lt;D xsi:type="xsd:double"&gt;97.93392&lt;/D&gt;&lt;D xsi:type="xsd:double"&gt;45.819237&lt;/D&gt;&lt;D xsi:type="xsd:double"&gt;42.50319&lt;/D&gt;&lt;D xsi:type="xsd:double"&gt;35.813404&lt;/D&gt;&lt;D xsi:type="xsd:double"&gt;22.694504&lt;/D&gt;&lt;D xsi:type="xsd:double"&gt;16.465282&lt;/D&gt;&lt;D xsi:type="xsd:double"&gt;12.562299&lt;/D&gt;&lt;D xsi:type="xsd:double"&gt;21.95871&lt;/D&gt;&lt;D xsi:type="xsd:double"&gt;21.90287&lt;/D&gt;&lt;D xsi:type="xsd:double"&gt;18.541359&lt;/D&gt;&lt;D xsi:type="xsd:double"&gt;20.678257&lt;/D&gt;&lt;D xsi:type="xsd:double"&gt;22.333181&lt;/D&gt;&lt;D xsi:type="xsd:double"&gt;17.491364&lt;/D&gt;&lt;D xsi:type="xsd:double"&gt;29.055918&lt;/D&gt;&lt;D xsi:type="xsd:double"&gt;17.63407&lt;/D&gt;&lt;D xsi:type="xsd:double"&gt;10.585284&lt;/D&gt;&lt;D xsi:type="xsd:double"&gt;-0.2706766&lt;/D&gt;&lt;D xsi:type="xsd:double"&gt;-0.16636252&lt;/D&gt;&lt;D xsi:type="xsd:double"&gt;-7.587343&lt;/D&gt;&lt;D xsi:type="xsd:double"&gt;-21.253902&lt;/D&gt;&lt;D xsi:type="xsd:double"&gt;-8.565384&lt;/D&gt;&lt;D xsi:type="xsd:double"&gt;2.3190975&lt;/D&gt;&lt;D xsi:type="xsd:double"&gt;-0.9253025&lt;/D&gt;&lt;D xsi:type="xsd:double"&gt;4.611397&lt;/D&gt;&lt;D xsi:type="xsd:double"&gt;5.0756097&lt;/D&gt;&lt;D xsi:type="xsd:double"&gt;-4.5681357&lt;/D&gt;&lt;D xsi:type="xsd:double"&gt;1.7992854&lt;/D&gt;&lt;D xsi:type="xsd:double"&gt;-0.79548955&lt;/D&gt;&lt;D xsi:type="xsd:double"&gt;27.74192&lt;/D&gt;&lt;D xsi:type="xsd:double"&gt;42.61479&lt;/D&gt;&lt;D xsi:type="xsd:double"&gt;27.767504&lt;/D&gt;&lt;D xsi:type="xsd:double"&gt;34.392975&lt;/D&gt;&lt;D xsi:type="xsd:double"&gt;11.044669&lt;/D&gt;&lt;D xsi:type="xsd:double"&gt;12.808895&lt;/D&gt;&lt;D xsi:type="xsd:double"&gt;21.343433&lt;/D&gt;&lt;D xsi:type="xsd:double"&gt;10.841227&lt;/D&gt;&lt;D xsi:type="xsd:double"&gt;2.5774002&lt;/D&gt;&lt;D xsi:type="xsd:double"&gt;-19.082605&lt;/D&gt;&lt;D xsi:type="xsd:double"&gt;-37.357265&lt;/D&gt;&lt;D xsi:type="xsd:double"&gt;-41.167606&lt;/D&gt;&lt;D xsi:type="xsd:double"&gt;-22.735363&lt;/D&gt;&lt;D xsi:type="xsd:double"&gt;-32.3291&lt;/D&gt;&lt;D xsi:type="xsd:double"&gt;-27.226902&lt;/D&gt;&lt;D xsi:type="xsd:double"&gt;-26.119507&lt;/D&gt;&lt;D xsi:type="xsd:double"&gt;-27.685093&lt;/D&gt;&lt;D xsi:type="xsd:double"&gt;-24.22524&lt;/D&gt;&lt;D xsi:type="xsd:double"&gt;-13.530546&lt;/D&gt;&lt;D xsi:type="xsd:double"&gt;-18.214804&lt;/D&gt;&lt;D xsi:type="xsd:double"&gt;-15.311527&lt;/D&gt;&lt;D xsi:type="xsd:double"&gt;0.49004555&lt;/D&gt;&lt;D xsi:type="xsd:double"&gt;33.431435&lt;/D&gt;&lt;D xsi:type="xsd:double"&gt;65.03493&lt;/D&gt;&lt;D xsi:type="xsd:double"&gt;33.225025&lt;/D&gt;&lt;D xsi:type="xsd:double"&gt;29.712093&lt;/D&gt;&lt;D xsi:type="xsd:double"&gt;23.376823&lt;/D&gt;&lt;D xsi:type="xsd:double"&gt;17.13313&lt;/D&gt;&lt;D xsi:type="xsd:double"&gt;15.699017&lt;/D&gt;&lt;D xsi:type="xsd:double"&gt;-1.9171357&lt;/D&gt;&lt;D xsi:type="xsd:double"&gt;-16.054386&lt;/D&gt;&lt;D xsi:type="xsd:double"&gt;-21.787745&lt;/D&gt;&lt;D xsi:type="xsd:double"&gt;-0.75879097&lt;/D&gt;&lt;D xsi:type="xsd:double"&gt;15.702116&lt;/D&gt;&lt;D xsi:type="xsd:double"&gt;20.446348&lt;/D&gt;&lt;D xsi:type="xsd:double"&gt;-12.659293&lt;/D&gt;&lt;D xsi:type="xsd:double"&gt;-15.835625&lt;/D&gt;&lt;D xsi:type="xsd:double"&gt;-18.582886&lt;/D&gt;&lt;D xsi:type="xsd:double"&gt;-5.807966&lt;/D&gt;&lt;D xsi:type="xsd:double"&gt;1.0733724&lt;/D&gt;&lt;D xsi:type="xsd:double"&gt;12.620449&lt;/D&gt;&lt;D xsi:type="xsd:double"&gt;9.686971&lt;/D&gt;&lt;D xsi:type="xsd:double"&gt;10.763824&lt;/D&gt;&lt;D xsi:type="xsd:double"&gt;20.399666&lt;/D&gt;&lt;D xsi:type="xsd:double"&gt;-2.3002326&lt;/D&gt;&lt;D xsi:type="xsd:double"&gt;-11.021364&lt;/D&gt;&lt;D xsi:type="xsd:double"&gt;-18.546284&lt;/D&gt;&lt;D xsi:type="xsd:double"&gt;9.21936&lt;/D&gt;&lt;D xsi:type="xsd:double"&gt;10.691202&lt;/D&gt;&lt;D xsi:type="xsd:double"&gt;26.807487&lt;/D&gt;&lt;D xsi:type="xsd:double"&gt;11.604929&lt;/D&gt;&lt;D xsi:type="xsd:double"&gt;10.560095&lt;/D&gt;&lt;D xsi:type="xsd:double"&gt;4.0182114&lt;/D&gt;&lt;D xsi:type="xsd:double"&gt;20.661116&lt;/D&gt;&lt;D xsi:type="xsd:double"&gt;24.546825&lt;/D&gt;&lt;D xsi:type="xsd:double"&gt;25.201214&lt;/D&gt;&lt;D xsi:type="xsd:double"&gt;25.701977&lt;/D&gt;&lt;D xsi:type="xsd:double"&gt;21.748043&lt;/D&gt;&lt;D xsi:type="xsd:double"&gt;24.516928&lt;/D&gt;&lt;D xsi:type="xsd:double"&gt;14.3319845&lt;/D&gt;&lt;D xsi:t</t>
        </r>
      </text>
    </comment>
    <comment ref="A11" authorId="0" shapeId="0" xr:uid="{326CBFAC-CFDD-4C06-A95D-7328FB3787B4}">
      <text>
        <r>
          <rPr>
            <b/>
            <sz val="9"/>
            <color indexed="81"/>
            <rFont val="Tahoma"/>
            <charset val="1"/>
          </rPr>
          <t>ype="xsd:double"&gt;-6.189555&lt;/D&gt;&lt;D xsi:type="xsd:double"&gt;-2.6141524&lt;/D&gt;&lt;D xsi:type="xsd:double"&gt;-1.3041735&lt;/D&gt;&lt;D xsi:type="xsd:double"&gt;1.5220046&lt;/D&gt;&lt;D xsi:type="xsd:double"&gt;-0.32554865&lt;/D&gt;&lt;/FQL&gt;&lt;FQL&gt;&lt;Q&gt;PLATI-FDS^FG_PRICE(0)&lt;/Q&gt;&lt;R&gt;1&lt;/R&gt;&lt;C&gt;1&lt;/C&gt;&lt;D xsi:type="xsd:double"&gt;960&lt;/D&gt;&lt;/FQL&gt;&lt;FQL&gt;&lt;Q&gt;COPP-FDS^FG_PRICE_CHANGE(0,-6AM)&lt;/Q&gt;&lt;R&gt;1&lt;/R&gt;&lt;C&gt;1&lt;/C&gt;&lt;D xsi:type="xsd:double"&gt;2.40541802895842&lt;/D&gt;&lt;/FQL&gt;&lt;FQL&gt;&lt;Q&gt;SET-BKK^P_PRICE(0)/P_PRICE_LOW_PR(0,,,,,,"PRICE","INTRA","52W")-1&lt;/Q&gt;&lt;R&gt;1&lt;/R&gt;&lt;C&gt;1&lt;/C&gt;&lt;D xsi:type="xsd:double"&gt;0.15343595&lt;/D&gt;&lt;/FQL&gt;&lt;FQL&gt;&lt;Q&gt;EZA^PERCENT_CHANGE(FMA_EPS(+1,0,,,,"PORTAGG","MEAN"),FMA_EPS(+1,-3AM,,,,"PORTAGG","MEAN"))&lt;/Q&gt;&lt;R&gt;1&lt;/R&gt;&lt;C&gt;1&lt;/C&gt;&lt;D xsi:type="xsd:double"&gt;-2.89799660385479&lt;/D&gt;&lt;/FQL&gt;&lt;FQL&gt;&lt;Q&gt;EPU^PERCENT_CHANGE(FMA_EPS(+1,0,,,,"PORTAGG","MEAN"),FMA_EPS(+1,-3AM,,,,"PORTAGG","MEAN"))&lt;/Q&gt;&lt;R&gt;1&lt;/R&gt;&lt;C&gt;1&lt;/C&gt;&lt;D xsi:type="xsd:double"&gt;3.94062051646529&lt;/D&gt;&lt;/FQL&gt;&lt;FQL&gt;&lt;Q&gt;UAE^FMA_COS_UP("EPS","1M",+1,NOW,,,"PORTAGG","MEANR")&lt;/Q&gt;&lt;R&gt;1&lt;/R&gt;&lt;C&gt;1&lt;/C&gt;&lt;D xsi:type="xsd:double"&gt;10&lt;/D&gt;&lt;/FQL&gt;&lt;FQL&gt;&lt;Q&gt;EWY^FMA_COS_DOWN("EPS","1M",+1,NOW,,,"PORTAGG","MEANR")&lt;/Q&gt;&lt;R&gt;1&lt;/R&gt;&lt;C&gt;1&lt;/C&gt;&lt;D xsi:type="xsd:double"&gt;37&lt;/D&gt;&lt;/FQL&gt;&lt;FQL&gt;&lt;Q&gt;CNYA^FMA_COS_UP("EPS","1M",+1,NOW,,,"PORTAGG","MEANR")&lt;/Q&gt;&lt;R&gt;1&lt;/R&gt;&lt;C&gt;1&lt;/C&gt;&lt;D xsi:type="xsd:double"&gt;85&lt;/D&gt;&lt;/FQL&gt;&lt;FQL&gt;&lt;Q&gt;SET-BKK^FG_ROE(0)&lt;/Q&gt;&lt;R&gt;1&lt;/R&gt;&lt;C&gt;1&lt;/C&gt;&lt;D xsi:type="xsd:double"&gt;8.09979405363284&lt;/D&gt;&lt;/FQL&gt;&lt;FQL&gt;&lt;Q&gt;REFTHREPO-FDS^FG_YIELD(NOW,,,0)&lt;/Q&gt;&lt;R&gt;1&lt;/R&gt;&lt;C&gt;1&lt;/C&gt;&lt;D xsi:type="xsd:double"&gt;2.5&lt;/D&gt;&lt;/FQL&gt;&lt;FQL&gt;&lt;Q&gt;REFCNRMB-FDS^PROPER_NAME(0,,,"SECURITY","NAME")&lt;/Q&gt;&lt;R&gt;1&lt;/R&gt;&lt;C&gt;1&lt;/C&gt;&lt;D xsi:type="xsd:string"&gt;China Loan Prime Rate (LPR) - 1 Year&lt;/D&gt;&lt;/FQL&gt;&lt;FQL&gt;&lt;Q&gt;CC_PE^IMF_IFS_RCPI_Q(0)&lt;/Q&gt;&lt;R&gt;0&lt;/R&gt;&lt;C&gt;0&lt;/C&gt;&lt;/FQL&gt;&lt;FQL&gt;&lt;Q&gt;KSA^JULIAN(FMA_DIV_YLD(NTMA,NOW,NOW,M,"PORTAGG","MEANR").DATES)&lt;/Q&gt;&lt;R&gt;1&lt;/R&gt;&lt;C&gt;1&lt;/C&gt;&lt;D xsi:type="xsd:long"&gt;45565&lt;/D&gt;&lt;/FQL&gt;&lt;FQL&gt;&lt;Q&gt;SET-BKK^FG_FCF_YIELD_NTM(0)&lt;/Q&gt;&lt;R&gt;1&lt;/R&gt;&lt;C&gt;1&lt;/C&gt;&lt;D xsi:type="xsd:double"&gt;4.60099118016251&lt;/D&gt;&lt;/FQL&gt;&lt;FQL&gt;&lt;Q&gt;GREK^FMA_EVAL_EBIT(LTMA,NOW,NOW,M,"PORTAGG","MEANR")&lt;/Q&gt;&lt;R&gt;1&lt;/R&gt;&lt;C&gt;1&lt;/C&gt;&lt;D xsi:type="xsd:double"&gt;8.02967098943599&lt;/D&gt;&lt;/FQL&gt;&lt;FQL&gt;&lt;Q&gt;EPU^FMA_EVAL_EBIT(LTMA,NOW,NOW,M,"PORTAGG","MEANR")&lt;/Q&gt;&lt;R&gt;1&lt;/R&gt;&lt;C&gt;1&lt;/C&gt;&lt;D xsi:type="xsd:double"&gt;11.7915035190422&lt;/D&gt;&lt;/FQL&gt;&lt;FQL&gt;&lt;Q&gt;QAT^FG_COMPANY_NAME&lt;/Q&gt;&lt;R&gt;1&lt;/R&gt;&lt;C&gt;1&lt;/C&gt;&lt;D xsi:type="xsd:string"&gt;iShares MSCI Qatar ETF&lt;/D&gt;&lt;/FQL&gt;&lt;FQL&gt;&lt;Q&gt;TUR^FG_PRICE(0)&lt;/Q&gt;&lt;R&gt;1&lt;/R&gt;&lt;C&gt;1&lt;/C&gt;&lt;D xsi:type="xsd:double"&gt;33.84&lt;/D&gt;&lt;/FQL&gt;&lt;FQL&gt;&lt;Q&gt;EWZ^FG_PRICE_MAVG(0,,,,200)&lt;/Q&gt;&lt;R&gt;1&lt;/R&gt;&lt;C&gt;1&lt;/C&gt;&lt;D xsi:type="xsd:double"&gt;30.8152&lt;/D&gt;&lt;/FQL&gt;&lt;FQL&gt;&lt;Q&gt;EPOL^FG_PRICE(0)&lt;/Q&gt;&lt;R&gt;1&lt;/R&gt;&lt;C&gt;1&lt;/C&gt;&lt;D xsi:type="xsd:double"&gt;23.6&lt;/D&gt;&lt;/FQL&gt;&lt;FQL&gt;&lt;Q&gt;VNM^P_PRICE(0)/P_PRICE_LOW_PR(0,,,,,,"PRICE","INTRA","52W")-1&lt;/Q&gt;&lt;R&gt;1&lt;/R&gt;&lt;C&gt;1&lt;/C&gt;&lt;D xsi:type="xsd:double"&gt;0.111111164&lt;/D&gt;&lt;/FQL&gt;&lt;FQL&gt;&lt;Q&gt;INDA^FG_TOTAL_RETURNC(0,-12AM)&lt;/Q&gt;&lt;R&gt;1&lt;/R&gt;&lt;C&gt;1&lt;/C&gt;&lt;D xsi:type="xsd:double"&gt;28.055609&lt;/D&gt;&lt;/FQL&gt;&lt;FQL&gt;&lt;Q&gt;EWW^FMA_PCT_ABOVE_MAVG(200,0,,,,"PORTAGG")&lt;/Q&gt;&lt;R&gt;1&lt;/R&gt;&lt;C&gt;1&lt;/C&gt;&lt;D xsi:type="xsd:double"&gt;35.5555555555556&lt;/D&gt;&lt;/FQL&gt;&lt;FQL&gt;&lt;Q&gt;EIDO^FMA_PCT_ABOVE_MAVG(200,0,,,,"PORTAGG")&lt;/Q&gt;&lt;R&gt;1&lt;/R&gt;&lt;C&gt;1&lt;/C&gt;&lt;D xsi:type="xsd:double"&gt;64.8648648648649&lt;/D&gt;&lt;/FQL&gt;&lt;FQL&gt;&lt;Q&gt;VWO^FMA_PCT_ABOVE_MAVG(200,0,,,,"PORTAGG")&lt;/Q&gt;&lt;R&gt;1&lt;/R&gt;&lt;C&gt;1&lt;/C&gt;&lt;D xsi:type="xsd:double"&gt;36.8833368621639&lt;/D&gt;&lt;/FQL&gt;&lt;FQL&gt;&lt;Q&gt;EWY^FMA_COS_UP("EPS","1M",+1,NOW,,,"PORTAGG","MEANR")&lt;/Q&gt;&lt;R&gt;1&lt;/R&gt;&lt;C&gt;1&lt;/C&gt;&lt;D xsi:type="xsd:double"&gt;29&lt;/D&gt;&lt;/FQL&gt;&lt;FQL&gt;&lt;Q&gt;REFTWDISC-FDS^(SUBARRAY(NOT_NA(NO_REPEAT_F(FG_YIELD(NOW,-10AY,D))),0,1)-SUBARRAY(NOT_NA(NO_REPEAT_F(FG_YIELD(NOW,-10AY,D))),1,1))*100&lt;/Q&gt;&lt;R&gt;1&lt;/R&gt;&lt;C&gt;1&lt;/C&gt;&lt;D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xsi:type="xsd:double"&gt;7.19&lt;/D&gt;&lt;/FQL&gt;&lt;FQL&gt;&lt;Q&gt;CC_TR^FG_COMPANY_NAME&lt;/Q&gt;&lt;R&gt;1&lt;/R&gt;&lt;C&gt;1&lt;/C&gt;&lt;D xsi:type="xsd:string"&gt;Turkey&lt;/D&gt;&lt;/FQL&gt;&lt;FQL&gt;&lt;Q&gt;FC0000GR^FMA_EPS(NTMA,-20AY,0,CY,,"PORTAGG","MEANR")&lt;/Q&gt;&lt;R&gt;20&lt;/R&gt;&lt;C&gt;1&lt;/C&gt;&lt;D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xsi:type="xsd:double"&gt;0.580096132719901&lt;/D&gt;&lt;D xsi:type="xsd:double"&gt;0.557417673683109&lt;/D&gt;&lt;D xsi:type="xsd:double"&gt;0.621885469021717&lt;/D&gt;&lt;D xsi:type="xsd:double"&gt;0.869531876625146&lt;/D&gt;&lt;D xsi:type="xsd:double"&gt;1.21959709581891&lt;/D&gt;&lt;/FQL&gt;&lt;FQL&gt;&lt;Q&gt;CPALM-FDS^MAX(FG_PRICE(0,-5AY))&lt;/Q&gt;&lt;R&gt;1&lt;/R&gt;&lt;C&gt;1&lt;/C&gt;&lt;D xsi:type="xsd:double"&gt;8163&lt;/D&gt;&lt;/FQL&gt;&lt;FQL&gt;&lt;Q&gt;GREK^FMA_EVAL_EBITDA(NTMA,0,,,"PORTAGG","MEANR")&lt;/Q&gt;&lt;R&gt;1&lt;/R&gt;&lt;C&gt;1&lt;/C&gt;&lt;D xsi:type="xsd:double"&gt;5.28194681553093&lt;/D&gt;&lt;/FQL&gt;&lt;FQL&gt;&lt;Q&gt;USDIDR^FG_PRICE_CHANGE(0,-1AY)&lt;/Q&gt;&lt;R&gt;1&lt;/R&gt;&lt;C&gt;1&lt;/C&gt;&lt;D xsi:type="xsd:double"&gt;-0.44486523&lt;/D&gt;&lt;/FQL&gt;&lt;FQL&gt;&lt;Q&gt;VNM^FMA_PE(NTMA,-10AY,0,AM,"PORTAGG","MEANR")&lt;/Q&gt;&lt;R&gt;121&lt;/R&gt;&lt;C&gt;1&lt;/C&gt;&lt;D xsi:type="xsd:double"&gt;12.1747152967076&lt;/D&gt;&lt;D xsi:type="xsd:double"&gt;12.1231237818893&lt;/D&gt;&lt;D xsi:type="xsd:double"&gt;12.1440897453505&lt;/D&gt;&lt;D xsi:type="xsd:double"&gt;12.0814293136982&lt;/D&gt;&lt;D xsi:type="xsd:double"&gt;12.5885148727414&lt;/D&gt;&lt;D xsi:type="xsd:double"&gt;12.197475877105&lt;/D&gt;&lt;D xsi:type="xsd:double"&gt;12.8027611542149&lt;/D&gt;&lt;D xsi:type="xsd:double"&gt;13.6452781018222&lt;/D&gt;&lt;D xsi:type="xsd:double"&gt;13.7377729426251&lt;/D&gt;&lt;D xsi:type="xsd:double"&gt;14.8625693184473&lt;/D&gt;&lt;D xsi:type="xsd:double"&gt;14.1903946196674&lt;/D&gt;&lt;D xsi:type="xsd:double"&gt;13.608507570857&lt;/D&gt;&lt;D xsi:type="xsd:double"&gt;14.0999281647033&lt;/D&gt;&lt;D xsi:type="xsd:double"&gt;14.2092421687338&lt;/D&gt;&lt;D xsi:type="xsd:double"&gt;11.7858996567517&lt;/D&gt;&lt;D xsi:type="xsd:double"&gt;11.6574289895179&lt;/D&gt;&lt;D xsi:type="xsd:double"&gt;13.6960567257769&lt;/D&gt;&lt;D xsi:type="xsd:double"&gt;15.5710268423937&lt;/D&gt;&lt;D xsi:type="xsd:double"&gt;12.7202598772818&lt;/D&gt;&lt;D xsi:type="xsd:double"&gt;12.5133681363998&lt;/D&gt;&lt;D xsi:type="xsd:double"&gt;12.6603200373731&lt;/D&gt;&lt;D xsi:type="xsd:double"&gt;12.2937624400182&lt;/D&gt;&lt;D xsi:type="xsd:double"&gt;11.5942865707768&lt;/D&gt;&lt;D xsi:type="xsd:double"&gt;11.6855879228971&lt;/D&gt;&lt;D xsi:type="xsd:double"&gt;13.4058248310657&lt;/D&gt;&lt;D xsi:type="xsd:double"&gt;12.4031756127054&lt;/D&gt;&lt;D xsi:type="xsd:double"&gt;12.3862602666697&lt;/D&gt;&lt;D xsi:type="xsd:double"&gt;12.7460410922664&lt;/D&gt;&lt;D xsi:type="xsd:double"&gt;13.2286847437057&lt;/D&gt;&lt;D xsi:type="xsd:double"&gt;13.0884608030298&lt;/D&gt;&lt;D xsi:type="xsd:double"&gt;14.1085105737752&lt;/D&gt;&lt;D xsi:type="xsd:double"&gt;14.9972695000885&lt;/D&gt;&lt;D xsi:type="xsd:double"&gt;14.5832728700381&lt;/D&gt;&lt;D xsi:type="xsd:double"&gt;15.6188320300996&lt;/D&gt;&lt;D xsi:type="xsd:double"&gt;16.0527254109066&lt;/D&gt;&lt;D xsi:type="xsd:double"&gt;16.1124129048161&lt;/D&gt;&lt;D xsi:type="xsd:double"&gt;15.9502604312886&lt;/D&gt;&lt;D xsi:type="xsd:double"&gt;16.355064462693&lt;/D&gt;&lt;D xsi:type="xsd:double"&gt;18.0807251074824&lt;/D&gt;&lt;D xsi:type="xsd:double"&gt;20.2127619577423&lt;/D&gt;&lt;D xsi:type="xsd:double"&gt;19.15404914531&lt;/D&gt;&lt;D xsi:type="xsd:double"&gt;20.8035889016322&lt;/D&gt;&lt;D xsi:type="xsd:double"&gt;21.7487439554921&lt;/D&gt;&lt;D xsi:type="xsd:double"&gt;20.112390062261&lt;/D&gt;&lt;D xsi:type="xsd:double"&gt;20.4026671061566&lt;/D&gt;&lt;D xsi:type="xsd:double"&gt;16.3534522729656&lt;/D&gt;&lt;D xsi:type="xsd:double"&gt;17.7730805053864&lt;/D&gt;&lt;D xsi:type="xsd:double"&gt;17.3956082157146&lt;/D&gt;&lt;D xsi:type="xsd:double"&gt;15.7235989021437&lt;/D&gt;&lt;D xsi:type="xsd:double"&gt;15.4205819259122&lt;/D&gt;&lt;D xsi:type="xsd:double"&gt;15.8172606563243&lt;/D&gt;&lt;D xsi:type="xsd:double"&gt;14.7763736228841&lt;/D&gt;&lt;D xsi:type="xsd:double"&gt;15.0596988679156&lt;/D&gt;&lt;D xsi:type="xsd:double"&gt;16.9796768785409&lt;/D&gt;&lt;D xsi:type="xsd:double"&gt;17.9290202047089&lt;/D&gt;&lt;D xsi:type="xsd:double"&gt;17.3993137965497&lt;/D&gt;&lt;D xsi:type="xsd:double"&gt;16.8520710085215&lt;/D&gt;&lt;D xsi:type="xsd:double"&gt;16.4815856930318&lt;/D&gt;&lt;D xsi:type="xsd:double"&gt;15.2664027396693&lt;/D&gt;&lt;D xsi:type="xsd:double"&gt;13.9720113394396&lt;/D&gt;&lt;D xsi:type="xsd:double"&gt;14.1828829771919&lt;/D&gt;&lt;D xsi:type="xsd:double"&gt;14.6478515234312&lt;/D&gt;&lt;D xsi:type="xsd:double"&gt;14.5554286660946&lt;/D&gt;&lt;D xsi:type="xsd:double"&gt;14.0689424593441&lt;/D&gt;&lt;D xsi:type="xsd:double"&gt;13.0586960379446&lt;/D&gt;&lt;D xsi:type="xsd:double"&gt;12.6620969112987&lt;/D&gt;&lt;D xsi:type="xsd:double"&gt;13.2499731034487&lt;/D&gt;&lt;D xsi:type="xsd:double"&gt;15.0884853614375&lt;/D&gt;&lt;D xsi:type="xsd:double"&gt;16.1467467972302&lt;/D&gt;&lt;D xsi:type="xsd:double"&gt;14.9948496650082&lt;/D&gt;&lt;D xsi:type="xsd:double"&gt;14.7726667892603&lt;/D&gt;&lt;D xsi:type="xsd:double"&gt;15.5036243585941&lt;/D&gt;&lt;D xsi:type="xsd:double"&gt;15.7369728208364&lt;/D&gt;&lt;D xsi:type="xsd:double"&gt;15.2202849337907&lt;/D&gt;&lt;D xsi:type="xsd:double"&gt;15.6262228392986&lt;/D&gt;&lt;D xsi:type="xsd:double"&gt;17.3761479025859&lt;/D&gt;&lt;D xsi:type="xsd:double"&gt;16.5257149606283&lt;/D&gt;&lt;D xsi:type="xsd:double"&gt;16.7818973416187&lt;/D&gt;&lt;D xsi:type="xsd:double"&gt;16.6039852850325&lt;/D&gt;&lt;D xsi:type="xsd:double"&gt;16.6024615185507&lt;/D&gt;&lt;D xsi:type="xsd:double"&gt;17.5843720974172&lt;/D&gt;&lt;D xsi:type="xsd:double"&gt;16.9837088252434&lt;/D&gt;&lt;D xsi:type="xsd:double"&gt;17.009550246721&lt;/D&gt;&lt;D xsi:type="xsd:double"&gt;16.2792686595129&lt;/D&gt;&lt;D xsi:type="xsd:double"&gt;16.0525816020189&lt;/D&gt;&lt;D xsi:type="xsd:double"&gt;16.1304042667938&lt;/D&gt;&lt;D xsi:type="xsd:double"&gt;16.6340410541445&lt;/D&gt;&lt;D xsi:type="xsd:double"&gt;15.939337559519&lt;/D&gt;&lt;D xsi:type="xsd:double"&gt;15.110719648018&lt;/D&gt;&lt;D xsi:type="xsd:double"&gt;14.5372052516754&lt;/D&gt;&lt;D xsi:type="xsd:double"&gt;14.3622911155843&lt;/D&gt;&lt;D xsi:type="xsd:double"&gt;12.6927592059954&lt;/D&gt;&lt;D xsi:type="xsd:double"&gt;12.6984035938289&lt;/D&gt;&lt;D xsi:type="xsd:double"&gt;10.7471319414122&lt;/D&gt;&lt;D xsi:type="xsd:double"&gt;11.3428639292771&lt;/D&gt;&lt;D xsi:type="xsd:double"&gt;11.1852901005624&lt;/D&gt;&lt;D xsi:type="xsd:double"&gt;10.4806593010889&lt;/D&gt;&lt;D xsi:type="xsd:double"&gt;9.55380679175193&lt;/D&gt;&lt;D xsi:type="xsd:double"&gt;11.7333673282323&lt;/D&gt;&lt;D xsi:type="xsd:double"&gt;11.1787781373199&lt;/D&gt;&lt;D xsi:type="xsd:double"&gt;11.0510360603357&lt;/D&gt;&lt;D xsi:type="xsd:double"&gt;12.5383170938843&lt;/D&gt;&lt;D xsi:type="xsd:double"&gt;13.7917350057546&lt;/D&gt;&lt;D xsi:type="xsd:double"&gt;13.7158089355531&lt;/D&gt;&lt;D xsi:type="xsd:double"&gt;13.9080346366724&lt;/D&gt;&lt;D xsi:type="xsd:double"&gt;13.4965470499904&lt;/D&gt;&lt;D xsi:type="xsd:double"&gt;14.5332047838302&lt;/D&gt;&lt;D xsi:type="xsd:double"&gt;14.9672301761988&lt;/D&gt;&lt;D xsi:type="xsd:double"&gt;13.7954136212999&lt;/D&gt;&lt;D xsi:type="xsd:double"&gt;13.8337244723697&lt;/D&gt;&lt;D xsi:type="xsd:double"&gt;14.5064256724841&lt;/D&gt;&lt;D xsi:type="xsd:double"&gt;14.4602760373035&lt;/D&gt;&lt;D xsi:type="xsd:double"&gt;14.6533148651541&lt;/D&gt;&lt;D xsi:type="xsd:double"&gt;16.5484999659233&lt;/D&gt;&lt;D xsi:type="xsd:double"&gt;16.0213746396218&lt;/D&gt;&lt;D xsi:type="xsd:double"&gt;15.549115564537&lt;/D&gt;&lt;D xsi:type="xsd:double"&gt;15.6471027411255&lt;/D&gt;&lt;D xsi:type="xsd:double"&gt;14.5533384791603&lt;/D&gt;&lt;D xsi:type="xsd:double"&gt;13.6935415899323&lt;/D&gt;&lt;D xsi:type="xsd:double"&gt;13.1389200482469&lt;/D&gt;&lt;D xsi:type="xsd:double"&gt;13.430800417001&lt;/D&gt;&lt;/FQL&gt;&lt;FQL&gt;&lt;Q&gt;WL-FDS^FG_PRICE_CHANGE(0,-1AM)&lt;/Q&gt;&lt;R&gt;1&lt;/R&gt;&lt;C&gt;1&lt;/C&gt;&lt;D xsi:type="xsd:double"&gt;9.27497107597377&lt;/D&gt;&lt;/FQL&gt;&lt;FQL&gt;&lt;Q&gt;FC0000ID^FG_PRICE(0)&lt;/Q&gt;&lt;R&gt;1&lt;/R&gt;&lt;C&gt;1&lt;/C&gt;&lt;D xsi:type="xsd:double"&gt;1153.8892&lt;/D&gt;&lt;/FQL&gt;&lt;FQL&gt;&lt;Q&gt;SET-BKK^FG_PRICE_MAVG(0,,,,200)&lt;/Q&gt;&lt;R&gt;1&lt;/R&gt;&lt;C&gt;1&lt;/C&gt;&lt;D xsi:type="xsd:double"&gt;1369.8771&lt;/D&gt;&lt;/FQL&gt;&lt;FQL&gt;&lt;Q&gt;EWY^FG_PRICE_MAVG(0,,,,60)&lt;/Q&gt;&lt;R&gt;1&lt;/R&gt;&lt;C&gt;1&lt;/C&gt;&lt;D xsi:type="xsd:double"&gt;63.9375&lt;/D&gt;&lt;/FQL&gt;&lt;FQL&gt;&lt;Q&gt;EPHE^FG_PRICE(0)&lt;/Q&gt;&lt;R&gt;1&lt;/R&gt;&lt;C&gt;1&lt;/C&gt;&lt;D xsi:type="xsd:double"&gt;28.71&lt;/D&gt;&lt;/FQL&gt;&lt;FQL&gt;&lt;Q&gt;VNM^P_PRICE(0)/P_PRICE_HIGH_PR(0,,,,,,"PRICE","INTRA","52W")&lt;/Q&gt;&lt;R&gt;1&lt;/R&gt;&lt;C&gt;1&lt;/C&gt;&lt;D xsi:type="xsd:double"&gt;0.8986341&lt;/D&gt;&lt;/FQL&gt;&lt;FQL&gt;&lt;Q&gt;INDA^P_PRICE(0)/P_PRICE_LOW_PR(0,,,,,,"PRICE","INTRA","52W")-1&lt;/Q&gt;&lt;R&gt;1&lt;/R&gt;&lt;C&gt;1&lt;/C&gt;&lt;D xsi:type="xsd:double"&gt;0.33817673&lt;/D&gt;&lt;/FQL&gt;&lt;FQL&gt;&lt;Q&gt;URTH^P_PRICE(0)/P_PRICE_LOW_PR(0,,,,,,"PRICE","INTRA","52W")-1&lt;/Q&gt;&lt;R&gt;1&lt;/R&gt;&lt;C&gt;1&lt;/C&gt;&lt;D xsi:type="xsd:double"&gt;0.36564958&lt;/D&gt;&lt;/FQL&gt;&lt;FQL&gt;&lt;Q&gt;VGK^PERCENT_CHANGE(FMA_EPS(+1,0,,,,"PORTAGG","MEAN"),FMA_EPS(+1,-3AM,,,,"PORTAGG","MEAN"))&lt;/Q&gt;&lt;R&gt;1&lt;/R&gt;&lt;C&gt;1&lt;/C&gt;&lt;D xsi:type="xsd:double"&gt;-0.12778129280666&lt;/D&gt;&lt;/FQL&gt;&lt;FQL&gt;&lt;Q&gt;REFTWDISC-FDS^FG_YIELD(NOW,,,0)&lt;/Q&gt;&lt;R&gt;1&lt;/R&gt;&lt;C&gt;1&lt;/C&gt;&lt;D xsi:type="xsd:double"&gt;2&lt;/D&gt;&lt;/FQL&gt;&lt;FQL&gt;&lt;Q&gt;TRYTW10Y-FDS^PCTCHG(FG_YIELD(0,,,,"YTM"),FG_YIELD(-1AM,,,,"YTM"))&lt;/Q&gt;&lt;R&gt;0&lt;/R&gt;&lt;C&gt;0&lt;/C&gt;&lt;/FQL&gt;&lt;FQL&gt;&lt;Q&gt;EWW^FMA_EVAL_EBIT(LTMA,NOW,NOW,M,"PORTAGG","MEANR")&lt;/Q&gt;&lt;R&gt;1&lt;/R&gt;&lt;C&gt;1&lt;/C&gt;&lt;D xsi:type="xsd:double"&gt;9.98019395342281&lt;/D&gt;&lt;/FQL&gt;&lt;FQL&gt;&lt;Q&gt;ECH^FMA_EVAL_EBIT(LTMA,NOW,NOW,M,"PORTAGG","MEANR")&lt;/Q&gt;&lt;R&gt;1&lt;/R&gt;&lt;C&gt;1&lt;/C&gt;&lt;D xsi:type="xsd:double"&gt;9.70751974742368&lt;/D&gt;&lt;/FQL&gt;&lt;FQL&gt;&lt;Q&gt;GREK^FG_COMPANY_NAME&lt;/Q&gt;&lt;R&gt;1&lt;/R&gt;&lt;C&gt;1&lt;/C&gt;&lt;D xsi:type="xsd:string"&gt;Global X MSCI Greece ETF&lt;/D&gt;&lt;/FQL&gt;&lt;FQL&gt;&lt;Q&gt;TUR^FMA_ROE(NTMA,-20AY,NOW,FY,"PORTAGG","MEANR")&lt;/Q&gt;&lt;R&gt;20&lt;/R&gt;&lt;C&gt;1&lt;/C&gt;&lt;D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xsi:type="xsd:double"&gt;14.839546743912&lt;/D&gt;&lt;D xsi:type="xsd:double"&gt;12.8830287014832&lt;/D&gt;&lt;D xsi:type="xsd:double"&gt;18.5724934994902&lt;/D&gt;&lt;D xsi:type="xsd:double"&gt;24.1409635144245&lt;/D&gt;&lt;D xsi:type="xsd:double"&gt;25.8460088493027&lt;/D&gt;&lt;/FQL&gt;&lt;FQL&gt;&lt;Q&gt;CAGDPY@BR^EE_ACTUAL_ANNUAL(MED,0)&lt;/Q&gt;&lt;R&gt;1&lt;/R&gt;&lt;C&gt;1&lt;/C&gt;&lt;D xsi:type="xsd:double"&gt;-1.00044711100741&lt;/D&gt;&lt;/FQL&gt;&lt;FQL&gt;&lt;Q&gt;CC_CN^FG_COMPANY_NAME&lt;/Q&gt;&lt;R&gt;1&lt;/R&gt;&lt;C&gt;1&lt;/C&gt;&lt;D xsi:type="xsd:string"&gt;China&lt;/D&gt;&lt;/FQL&gt;&lt;FQL&gt;&lt;Q&gt;USDVND^FG_PRICE_CHANGE(0,-6AM)&lt;/Q&gt;&lt;R&gt;1&lt;/R&gt;&lt;C&gt;1&lt;/C&gt;&lt;D xsi:type="xsd:double"&gt;-0.37292242&lt;/D&gt;&lt;/FQL&gt;&lt;FQL&gt;&lt;Q&gt;USDIDR^FG_PRICE(0)&lt;/Q&gt;&lt;R&gt;1&lt;/R&gt;&lt;C&gt;1&lt;/C&gt;&lt;D xsi:type="xsd:double"&gt;15665&lt;/D&gt;&lt;/FQL&gt;&lt;FQL&gt;&lt;Q&gt;EPOL^P_PRICE_RETURNS_PR('52W',2,-10AY,0,AM)&lt;/Q&gt;&lt;R&gt;121&lt;/R&gt;&lt;C&gt;1&lt;/C&gt;&lt;D xsi:type="xsd:double"&gt;-7.687485&lt;/D&gt;&lt;D xsi:type="xsd:double"&gt;-9.496784&lt;/D&gt;&lt;D xsi:type="xsd:double"&gt;-11.301827&lt;/D&gt;&lt;D xsi:type="xsd:double"&gt;-12.125379&lt;/D&gt;&lt;D xsi:type="xsd:double"&gt;-18.359821&lt;/D&gt;&lt;D xsi:type="xsd:double"&gt;-22.424889&lt;/D&gt;&lt;D xsi:type="xsd:double"&gt;-18.0969&lt;/D&gt;&lt;D xsi:type="xsd:double"&gt;-8.554244&lt;/D&gt;&lt;D xsi:type="xsd:double"&gt;-19.058155&lt;/D&gt;&lt;D xsi:type="xsd:double"&gt;-18.469166&lt;/D&gt;&lt;D xsi:type="xsd:double"&gt;-17.733139&lt;/D&gt;&lt;D xsi:type="xsd:double"&gt;-21.832735&lt;/D&gt;&lt;D xsi:type="xsd:double"&gt;-17.32291&lt;/D&gt;&lt;D xsi:type="xsd:double"&gt;-23.240454&lt;/D&gt;&lt;D xsi:type="xsd:double"&gt;-31.657595&lt;/D&gt;&lt;D xsi:type="xsd:double"&gt;-29.480558&lt;/D&gt;&lt;D xsi:type="xsd:double"&gt;-23.869265&lt;/D&gt;&lt;D xsi:type="xsd:double"&gt;-14.171964&lt;/D&gt;&lt;D xsi:type="xsd:double"&gt;-18.988155&lt;/D&gt;&lt;D xsi:type="xsd:double"&gt;-30.173773&lt;/D&gt;&lt;D xsi:type="xsd:double"&gt;-27.122587&lt;/D&gt;&lt;D xsi:type="xsd:double"&gt;-22.28728&lt;/D&gt;&lt;D xsi:type="xsd:double"&gt;-13.289446&lt;/D&gt;&lt;D xsi:type="xsd:double"&gt;-14.505953&lt;/D&gt;&lt;D xsi:type="xsd:double"&gt;-14.549917&lt;/D&gt;&lt;D xsi:type="xsd:double"&gt;-7.9276443&lt;/D&gt;&lt;D xsi:type="xsd:double"&gt;5.283785&lt;/D&gt;&lt;D xsi:type="xsd:double"&gt;17.851818&lt;/D&gt;&lt;D xsi:type="xsd:double"&gt;24.389542&lt;/D&gt;&lt;D xsi:type="xsd:double"&gt;16.641594&lt;/D&gt;&lt;D xsi:type="xsd:double"&gt;16.175472&lt;/D&gt;&lt;D xsi:type="xsd:double"&gt;36.656605&lt;/D&gt;&lt;D xsi:type="xsd:double"&gt;36.651947&lt;/D&gt;&lt;D xsi:type="xsd:double"&gt;50.608944&lt;/D&gt;&lt;D xsi:type="xsd:double"&gt;37.422707&lt;/D&gt;&lt;D xsi:type="xsd:double"&gt;51.201187&lt;/D&gt;&lt;D xsi:type="xsd:double"&gt;49.7411&lt;/D&gt;&lt;D xsi:type="xsd:double"&gt;52.98412&lt;/D&gt;&lt;D xsi:type="xsd:double"&gt;47.665764&lt;/D&gt;&lt;D xsi:type="xsd:double"&gt;47.259403&lt;/D&gt;&lt;D xsi:type="xsd:double"&gt;32.17566&lt;/D&gt;&lt;D xsi:type="xsd:double"&gt;31.017769&lt;/D&gt;&lt;D xsi:type="xsd:double"&gt;20.761955&lt;/D&gt;&lt;D xsi:type="xsd:double"&gt;6.3138366&lt;/D&gt;&lt;D xsi:type="xsd:double"&gt;-0.17662644&lt;/D&gt;&lt;D xsi:type="xsd:double"&gt;-3.7277043&lt;/D&gt;&lt;D xsi:type="xsd:double"&gt;-7.8522444&lt;/D&gt;&lt;D xsi:type="xsd:double"&gt;-13.969994&lt;/D&gt;&lt;D xsi:type="xsd:double"&gt;-15.9727335&lt;/D&gt;&lt;D xsi:type="xsd:double"&gt;-14.361691&lt;/D&gt;&lt;D xsi:type="xsd:double"&gt;-11.640989&lt;/D&gt;&lt;D xsi:type="xsd:double"&gt;-11.710733&lt;/D&gt;&lt;D xsi:type="xsd:double"&gt;-9.590399&lt;/D&gt;&lt;D xsi:type="xsd:double"&gt;-11.962718&lt;/D&gt;&lt;D xsi:type="xsd:double"&gt;-6.223321&lt;/D&gt;&lt;D xsi:type="xsd:double"&gt;-10.724163&lt;/D&gt;&lt;D xsi:type="xsd:double"&gt;-2.5346935&lt;/D&gt;&lt;D xsi:type="xsd:double"&gt;3.5093665&lt;/D&gt;&lt;D xsi:type="xsd:double"&gt;-10.602808&lt;/D&gt;&lt;D xsi:type="xsd:double"&gt;-5.686325&lt;/D&gt;&lt;D xsi:type="xsd:double"&gt;-6.506932&lt;/D&gt;&lt;D xsi:type="xsd:double"&gt;-1.8043816&lt;/D&gt;&lt;D xsi:type="xsd:double"&gt;-10.010165&lt;/D&gt;&lt;D xsi:type="xsd:double"&gt;-8.209663&lt;/D&gt;&lt;D xsi:type="xsd:double"&gt;-12.467897&lt;/D&gt;&lt;D xsi:type="xsd:double"&gt;-27.012856&lt;/D&gt;&lt;D xsi:type="xsd:double"&gt;-37.632637&lt;/D&gt;&lt;D xsi:type="xsd:double"&gt;-31.152838&lt;/D&gt;&lt;D xsi:type="xsd:double"&gt;-18.923939&lt;/D&gt;&lt;D xsi:type="xsd:double"&gt;-24.885887&lt;/D&gt;&lt;D xsi:type="xsd:double"&gt;-11.313259&lt;/D&gt;&lt;D xsi:type="xsd:double"&gt;-17.046715&lt;/D&gt;&lt;D xsi:type="xsd:double"&gt;-15.871901&lt;/D&gt;&lt;D xsi:type="xsd:double"&gt;-20.86603&lt;/D&gt;&lt;D xsi:type="xsd:double"&gt;-0.13725162&lt;/D&gt;&lt;D xsi:type="xsd:double"&gt;-0.48636794&lt;/D&gt;&lt;D xsi:type="xsd:double"&gt;-4.0977535&lt;/D&gt;&lt;D xsi:type="xsd:double"&gt;19.366693&lt;/D&gt;&lt;D xsi:type="xsd:double"&gt;35.713707&lt;/D&gt;&lt;D xsi:type="xsd:double"&gt;43.690872&lt;/D&gt;&lt;D xsi:type="xsd:double"&gt;27.2735&lt;/D&gt;&lt;D xsi:type="xsd:double"&gt;29.887318&lt;/D&gt;&lt;D xsi:type="xsd:double"&gt;21.373856&lt;/D&gt;&lt;D xsi:type="xsd:double"&gt;34.545444&lt;/D&gt;&lt;D xsi:type="xsd:double"&gt;37.762165&lt;/D&gt;&lt;D xsi:type="xsd:double"&gt;34.86432&lt;/D&gt;&lt;D xsi:type="xsd:double"&gt;6.8867326&lt;/D&gt;&lt;D xsi:type="xsd:double"&gt;7.932484&lt;/D&gt;&lt;D xsi:type="xsd:double"&gt;12.709225&lt;/D&gt;&lt;D xsi:type="xsd:double"&gt;-9.848368&lt;/D&gt;&lt;D xsi:type="xsd:double"&gt;-2.6892781&lt;/D&gt;&lt;D xsi:type="xsd:double"&gt;-27.196175&lt;/D&gt;&lt;D xsi:type="xsd:double"&gt;-32.213963&lt;/D&gt;&lt;D xsi:type="xsd:double"&gt;-33.43492&lt;/D&gt;&lt;D xsi:type="xsd:double"&gt;-31.847889&lt;/D&gt;&lt;D xsi:type="xsd:double"&gt;-42.99543&lt;/D&gt;&lt;D xsi:type="xsd:double"&gt;-52.30522&lt;/D&gt;&lt;D xsi:type="xsd:double"&gt;-36.20878&lt;/D&gt;&lt;D xsi:type="xsd:double"&gt;-26.887863&lt;/D&gt;&lt;D xsi:type="xsd:double"&gt;-20.30493&lt;/D&gt;&lt;D xsi:type="xsd:double"&gt;-23.560684&lt;/D&gt;&lt;D xsi:type="xsd:double"&gt;-6.566268&lt;/D&gt;&lt;D xsi:type="xsd:double"&gt;-12.424601&lt;/D&gt;&lt;D xsi:type="xsd:double"&gt;23.948442&lt;/D&gt;&lt;D xsi:type="xsd:double"&gt;23.107052&lt;/D&gt;&lt;D xsi:type="xsd:double"&gt;38.677345&lt;/D&gt;&lt;D xsi:type="xsd:double"&gt;41.589607&lt;/D&gt;&lt;D xsi:type="xsd:double"&gt;47.423088&lt;/D&gt;&lt;D xsi:type="xsd:double"&gt;69.18091&lt;/D&gt;&lt;D xsi:type="xsd:double"&gt;44.790604&lt;/D&gt;&lt;D xsi:type="xsd:double"&gt;52.801548&lt;/D&gt;&lt;D xsi:type="xsd:double"&gt;33.27701&lt;/D&gt;&lt;D xsi:type="xsd:double"&gt;42.69625&lt;/D&gt;&lt;D xsi:type="xsd:double"&gt;48.196445&lt;/D&gt;&lt;D xsi:type="xsd:double"&gt;59.27569&lt;/D&gt;&lt;D xsi:type="xsd:double"&gt;41.65554&lt;/D&gt;&lt;D xsi:type="xsd:double"&gt;31.574165&lt;/D&gt;&lt;D xsi:type="xsd:double"&gt;36.426342&lt;/D&gt;&lt;D xsi:type="xsd:double"&gt;18.086874&lt;/D&gt;&lt;D xsi:type="xsd:double"&gt;39.70821&lt;/D&gt;&lt;D xsi:type="xsd:double"&gt;38.322197&lt;/D&gt;&lt;/FQL&gt;&lt;FQL&gt;&lt;Q&gt;CPALM-FDS^FG_PRICE_CHANGE(0,-1AY)&lt;/Q&gt;&lt;R&gt;1&lt;/R&gt;&lt;C&gt;1&lt;/C&gt;&lt;D xsi:type="xsd:double"&gt;22.8466534877153&lt;/D&gt;&lt;/FQL&gt;&lt;FQL&gt;&lt;Q&gt;INDA^P_PRICE(0)/P_PRICE_HIGH_PR(0,,,,,,"PRICE","INTRA","52W")&lt;/Q&gt;&lt;R&gt;1&lt;/R&gt;&lt;C&gt;1&lt;/C&gt;&lt;D xsi:type="xsd:double"&gt;0.9598251&lt;/D&gt;&lt;/FQL&gt;&lt;FQL&gt;&lt;Q&gt;EWZ^FG_TOTAL_RETURNC(0,-6AM)&lt;/Q&gt;&lt;R&gt;1&lt;/R&gt;&lt;C&gt;1&lt;/C&gt;&lt;D xsi:type="xsd:double"&gt;-8.210641&lt;/D&gt;&lt;/FQL&gt;&lt;FQL&gt;&lt;Q&gt;SPY^FMA_COS_DOWN("EPS","1M",+1,NOW,,,"PORTAGG","MEANR")&lt;/Q&gt;&lt;R&gt;1&lt;/R&gt;&lt;C&gt;1&lt;/C&gt;&lt;D xsi:type="xsd:double"&gt;194&lt;/D&gt;&lt;/FQL&gt;&lt;FQL&gt;&lt;Q&gt;EWW^FMA_COS_DOWN("EPS","1M",+1,NOW,,,"PORTAGG","MEANR")&lt;/Q&gt;&lt;R&gt;1&lt;/R&gt;&lt;C&gt;1&lt;/C&gt;&lt;D xsi:type="xsd:double"&gt;16&lt;/D&gt;&lt;/FQL&gt;&lt;FQL&gt;&lt;Q&gt;TRYZA10Y-FDS^FG_YIELD_NAME&lt;/Q&gt;&lt;R&gt;1&lt;/R&gt;&lt;C&gt;1&lt;/C&gt;&lt;D xsi:type="xsd:string"&gt;Treasury - South Africa Benchmark Bond 10Y&lt;/D&gt;&lt;/FQL&gt;&lt;FQL&gt;&lt;Q&gt;REFQALEND-FDS^(SUBARRAY(NOT_NA(NO_REPEAT_F(FG_YIELD(NOW,-10AY,D))),0,1)-SUBARRAY(NOT_NA(NO_REPEAT_F(FG_YIELD(NOW,-10AY,D))),1,1))*100&lt;/Q&gt;&lt;R&gt;1&lt;/R&gt;&lt;C&gt;1&lt;/C&gt;&lt;D xsi:type="xsd:double"&gt;-55&lt;/D&gt;&lt;/FQL&gt;&lt;FQL&gt;&lt;Q&gt;TRYSA10Y-FDS^PCTCHG(FG_YIELD(0,,,,"YTM"),FG_YIELD(-1AM,,,,"YTM"))&lt;/Q&gt;&lt;R&gt;1&lt;/R&gt;&lt;C&gt;1&lt;/C&gt;&lt;D xsi:type="xsd:double"&gt;4.8300986&lt;/D&gt;&lt;/FQL&gt;&lt;FQL&gt;&lt;Q&gt;TRYTH10Y-FDS^FG_YIELD_NAME&lt;/Q&gt;&lt;R&gt;1&lt;/R&gt;&lt;C&gt;1&lt;/C&gt;&lt;D xsi:type="xsd:string"&gt;Thailand Benchmark Bond - 10 Year&lt;/D&gt;&lt;/FQL&gt;&lt;FQL&gt;&lt;Q&gt;CC_ID^IMF_IFS_RCPI_Q(0)&lt;/Q&gt;&lt;R&gt;0&lt;/R&gt;&lt;C&gt;0&lt;/C&gt;&lt;/FQL&gt;&lt;FQL&gt;&lt;Q&gt;SET-BKK^FMA_PE(NTMA,0,,,"PORTAGG","MEANR")&lt;/Q&gt;&lt;R&gt;1&lt;/R&gt;&lt;C&gt;1&lt;/C&gt;&lt;D xsi:type="xsd:double"&gt;14.8727028271949&lt;/D&gt;&lt;/FQL&gt;&lt;FQL&gt;&lt;Q&gt;EPU^FG_FCF_YIELD_NTM(0)&lt;/Q&gt;&lt;R&gt;1&lt;/R&gt;&lt;C&gt;1&lt;/C&gt;&lt;D xsi:type="xsd:double"&gt;7.5122377173252&lt;/D&gt;&lt;/FQL&gt;&lt;FQL&gt;&lt;Q&gt;USDEUR^FG_PRICE_CHANGE(0,-6AM)&lt;/Q&gt;&lt;R&gt;1&lt;/R&gt;&lt;C&gt;1&lt;/C&gt;&lt;D xsi:type="xsd:double"&gt;-1.5517712&lt;/D&gt;&lt;/FQL&gt;&lt;FQL&gt;&lt;Q&gt;USDPEN^FG_PRICE_CHANGE(0,-6AM)&lt;/Q&gt;&lt;R&gt;1&lt;/R&gt;&lt;C&gt;1&lt;/C&gt;&lt;D xsi:type="xsd:double"&gt;1.5797734&lt;/D&gt;&lt;/FQL&gt;&lt;FQL&gt;&lt;Q&gt;WL-FDS^FG_PRICE_MAVG(0,,,,30)&lt;/Q&gt;&lt;R&gt;1&lt;/R&gt;&lt;C&gt;1&lt;/C&gt;&lt;D xsi:type="xsd:double"&gt;560.11&lt;/D&gt;&lt;/FQL&gt;&lt;FQL&gt;&lt;Q&gt;EWY^FG_PRICE_MAVG(0,,,,30)&lt;/Q&gt;&lt;R&gt;1&lt;/R&gt;&lt;C&gt;1&lt;/C&gt;&lt;D xsi:type="xsd:double"&gt;63.447&lt;/D&gt;&lt;/FQL&gt;&lt;FQL&gt;&lt;Q&gt;SPY^FMA_COS_UP("EPS","1M",+1,NOW,,,"PORTAGG","MEANR")&lt;/Q&gt;&lt;R&gt;1&lt;/R&gt;&lt;C&gt;1&lt;/C&gt;&lt;D xsi:type="xsd:double"&gt;144&lt;/D&gt;&lt;/FQL&gt;&lt;FQL&gt;&lt;Q&gt;REFTWDISC-FDS^PROPER_NAME(0,,,"SECURITY","NAME")&lt;/Q&gt;&lt;R&gt;1&lt;/R&gt;&lt;C&gt;1&lt;/C&gt;&lt;D xsi:type="xsd:string"&gt;Taiwan China Discount Rate&lt;/D&gt;&lt;/FQL&gt;&lt;FQL&gt;&lt;Q&gt;TRYPH10Y-FDS^FG_YIELD(0,,,,"YTM")&lt;/Q&gt;&lt;R&gt;1&lt;/R&gt;&lt;C&gt;1&lt;/C&gt;&lt;D xsi:type="xsd:double"&gt;5.7788634&lt;/D&gt;&lt;/FQL&gt;&lt;FQL&gt;&lt;Q&gt;TRYUS10Y-FDS^FG_YIELD(-10AY,0,Y,,"YTM")&lt;/Q&gt;&lt;R&gt;10&lt;/R&gt;&lt;C&gt;1&lt;/C&gt;&lt;D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xsi:type="xsd:double"&gt;3.8791&lt;/D&gt;&lt;/FQL&gt;&lt;FQL&gt;&lt;Q&gt;USDQAR^FG_PRICE_CHANGE(0,-6AM)&lt;/Q&gt;&lt;R&gt;1&lt;/R&gt;&lt;C&gt;1&lt;/C&gt;&lt;D xsi:type="xsd:double"&gt;0&lt;/D&gt;&lt;/FQL&gt;&lt;FQL&gt;&lt;Q&gt;KSA^FMA_DIV_YLD(NTMA,-10AY,0,AM,"PORTAGG","MEANR")&lt;/Q&gt;&lt;R&gt;121&lt;/R&gt;&lt;C&gt;1&lt;/C&gt;&lt;D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xsi:type="xsd:double"&gt;4.32575631185176&lt;/D&gt;&lt;D xsi:type="xsd:double"&gt;4.7593815524217&lt;/D&gt;&lt;D xsi:type="xsd:double"&gt;4.62377427593024&lt;/D&gt;&lt;D xsi:type="xsd:double"&gt;5.07727485405112&lt;/D&gt;&lt;D xsi:type="xsd:double"&gt;5.2633785643171&lt;/D&gt;&lt;D xsi:type="xsd:double"&gt;4.65471988700194&lt;/D&gt;&lt;D xsi:type="xsd:double"&gt;4.65091864400436&lt;/D&gt;&lt;D xsi:type="xsd:double"&gt;4.194042324425&lt;/D&gt;&lt;D xsi:type="xsd:double"&gt;4.04052966599725&lt;/D&gt;&lt;D xsi:type="xsd:double"&gt;4.26677025167458&lt;/D&gt;&lt;D xsi:type="xsd:double"&gt;4.39209063979998&lt;/D&gt;&lt;D xsi:type="xsd:double"&gt;4.61137988361162&lt;/D&gt;&lt;D xsi:type="xsd:double"&gt;4.97007530096401&lt;/D&gt;&lt;D xsi:type="xsd:double"&gt;4.3368989180559&lt;/D&gt;&lt;D xsi:type="xsd:double"&gt;3.79366491695807&lt;/D&gt;&lt;D xsi:type="xsd:double"&gt;3.94402903342987&lt;/D&gt;&lt;D xsi:type="xsd:double"&gt;3.84727859337852&lt;/D&gt;&lt;D xsi:type="xsd:double"&gt;3.87154644277774&lt;/D&gt;&lt;D xsi:type="xsd:double"&gt;3.96244494040779&lt;/D&gt;&lt;D xsi:type="xsd:double"&gt;4.08821313199165&lt;/D&gt;&lt;D xsi:type="xsd:double"&gt;3.98280611405161&lt;/D&gt;&lt;D xsi:type="xsd:double"&gt;3.74365421798551&lt;/D&gt;&lt;D xsi:type="xsd:double"&gt;3.80569410624599&lt;/D&gt;&lt;D xsi:type="xsd:double"&gt;4.21287996423885&lt;/D&gt;&lt;D xsi:type="xsd:double"&gt;4.36027750110195&lt;/D&gt;&lt;D xsi:type="xsd:double"&gt;4.34702153978645&lt;/D&gt;&lt;D xsi:type="xsd:double"&gt;4.34045707859179&lt;/D&gt;&lt;D xsi:type="xsd:double"&gt;4.29832056577535&lt;/D&gt;&lt;D xsi:type="xsd:double"&gt;4.27357642254402&lt;/D&gt;&lt;D xsi:type="xsd:double"&gt;4.16567174696765&lt;/D&gt;&lt;D xsi:type="xsd:double"&gt;3.89030157051397&lt;/D&gt;&lt;D xsi:type="xsd:double"&gt;3.92114205462652&lt;/D&gt;&lt;D xsi:type="xsd:double"&gt;3.6958979510439&lt;/D&gt;&lt;D xsi:type="xsd:double"&gt;3.7753451018149&lt;/D&gt;&lt;D xsi:type="xsd:double"&gt;3.94174811291254&lt;/D&gt;&lt;D xsi:type="xsd:double"&gt;4.32823080341634&lt;/D&gt;&lt;D xsi:type="xsd:double"&gt;4.28818187914238&lt;/D&gt;&lt;D xsi:type="xsd:double"&gt;4.35831173460214&lt;/D&gt;&lt;D xsi:type="xsd:double"&gt;4.23643517837305&lt;/D&gt;&lt;D xsi:type="xsd:double"&gt;4.05015866695446&lt;/D&gt;&lt;D xsi:type="xsd:double"&gt;3.89755576814988&lt;/D&gt;&lt;D xsi:type="xsd:double"&gt;3.92053458372641&lt;/D&gt;&lt;D xsi:type="xsd:double"&gt;3.69927051879257&lt;/D&gt;&lt;D xsi:type="xsd:double"&gt;3.80606841557101&lt;/D&gt;&lt;D xsi:type="xsd:double"&gt;3.81673203868767&lt;/D&gt;&lt;D xsi:type="xsd:double"&gt;3.86546364090346&lt;/D&gt;&lt;D xsi:type="xsd:double"&gt;3.98843549994663&lt;/D&gt;&lt;D xsi:type="xsd:double"&gt;4.21617856338053&lt;/D&gt;&lt;D xsi:type="xsd:double"&gt;4.36103793076302&lt;/D&gt;&lt;D xsi:type="xsd:double"&gt;4.22869017836591&lt;/D&gt;&lt;D xsi:type="xsd:double"&gt;4.09899032515491&lt;/D&gt;&lt;D xsi:type="xsd:double"&gt;4.04097108850474&lt;/D&gt;&lt;D xsi:type="xsd:double"&gt;4.34622702721948&lt;/D&gt;&lt;D xsi:type="xsd:double"&gt;5.1861257240155&lt;/D&gt;&lt;D xsi:type="xsd:double"&gt;4.69456807638556&lt;/D&gt;&lt;D xsi:type="xsd:double"&gt;4.68119647653455&lt;/D&gt;&lt;D xsi:type="xsd:double"&gt;3.98528109865532&lt;/D&gt;&lt;D xsi:type="xsd:double"&gt;3.81993981261467&lt;/D&gt;&lt;D xsi:type="xsd:double"&gt;3.73945873418586&lt;/D&gt;&lt;D xsi:type="xsd:double"&gt;3.45031846722008&lt;/D&gt;&lt;D xsi:type="xsd:double"&gt;3.31658766376914&lt;/D&gt;&lt;D xsi:type="xsd:double"&gt;3.40241860619412&lt;/D&gt;&lt;D xsi:type="xsd:double"&gt;3.48003061273704&lt;/D&gt;&lt;D xsi:type="xsd:double"&gt;3.53454119838335&lt;/D&gt;&lt;D xsi:type="xsd:double"&gt;3.53512001101042&lt;/D&gt;&lt;D xsi:type="xsd:double"&gt;3.41324681696862&lt;/D&gt;&lt;D xsi:type="xsd:double"&gt;3.31239354311659&lt;/D&gt;&lt;D xsi:type="xsd:double"&gt;3.30633835944032&lt;/D&gt;&lt;D xsi:type="xsd:double"&gt;3.22454718491348&lt;/D&gt;&lt;D xsi:type="xsd:double"&gt;3.26140334304206&lt;/D&gt;&lt;D xsi:type="xsd:double"&gt;3.11768230185119&lt;/D&gt;&lt;D xsi:type="xsd:double"&gt;3.06653478088548&lt;/D&gt;&lt;D xsi:type="xsd:double"&gt;3.01482930444671&lt;/D&gt;&lt;D xsi:type="xsd:double"&gt;2.98245604254921&lt;/D&gt;&lt;D xsi:type="xsd:double"&gt;3.29231933934572&lt;/D&gt;&lt;D xsi:type="xsd:double"&gt;3.13045506975766&lt;/D&gt;&lt;D xsi:type="xsd:double"&gt;3.0571470587692&lt;/D&gt;&lt;D xsi:type="xsd:double"&gt;2.89241589104746&lt;/D&gt;&lt;D xsi:type="xsd:double"&gt;2.81104397677841&lt;/D&gt;&lt;D xsi:type="xsd:double"&gt;2.69931884901613&lt;/D&gt;&lt;D xsi:type="xsd:double"&gt;2.96122599732008&lt;/D&gt;&lt;D xsi:type="xsd:double"&gt;3.34131139312361&lt;/D&gt;&lt;D xsi:type="xsd:double"&gt;3.13192024215271&lt;/D&gt;&lt;D xsi:type="xsd:double"&gt;3.29790706347041&lt;/D&gt;&lt;D xsi:type="xsd:double"&gt;3.42761256405126&lt;/D&gt;&lt;D xsi:type="xsd:double"&gt;3.49532112718373&lt;/D&gt;&lt;D xsi:type="xsd:double"&gt;3.82655088519163&lt;/D&gt;&lt;D xsi:type="xsd:double"&gt;3.70262178998362&lt;/D&gt;&lt;D xsi:type="xsd:double"&gt;3.75613102733767&lt;/D&gt;&lt;D xsi:type="xsd:double"&gt;3.76652156126468&lt;/D&gt;&lt;D xsi:type="xsd:double"&gt;3.55345901842964&lt;/D&gt;&lt;D xsi:type="xsd:double"&gt;3.42159335026025&lt;/D&gt;&lt;D xsi:type="xsd:double"&gt;3.46420358794305&lt;/D&gt;&lt;D xsi:type="xsd:double"&gt;3.42685507925951&lt;/D&gt;&lt;D xsi:type="xsd:double"&gt;3.57562906124385&lt;/D&gt;&lt;D xsi:type="xsd:double"&gt;3.65614617706219&lt;/D&gt;&lt;D xsi:type="xsd:double"&gt;3.89280950579476&lt;/D&gt;&lt;D xsi:type="xsd:double"&gt;3.83674533144263&lt;/D&gt;&lt;D xsi:type="xsd:double"&gt;3.75685252286971&lt;/D&gt;&lt;D xsi:type="xsd:double"&gt;3.40855480636159&lt;/D&gt;&lt;D xsi:type="xsd:double"&gt;3.37601258451003&lt;/D&gt;&lt;D xsi:type="xsd:double"&gt;3.30467490122042&lt;/D&gt;&lt;D xsi:type="xsd:double"&gt;3.3376704219282&lt;/D&gt;&lt;D xsi:type="xsd:double"&gt;3.54698939995484&lt;/D&gt;&lt;D xsi:type="xsd:double"&gt;3.5433378894908&lt;/D&gt;&lt;D xsi:type="xsd:double"&gt;3.62933630159304&lt;/D&gt;&lt;D xsi:type="xsd:double"&gt;3.73080429655254&lt;/D&gt;&lt;D xsi:type="xsd:double"&gt;3.65628488842428&lt;/D&gt;&lt;D xsi:type="xsd:double"&gt;3.68614622893309&lt;/D&gt;&lt;/FQL&gt;&lt;FQL&gt;&lt;Q&gt;SET-BKK^FG_TOTAL_RETURNC(0,-1AM)&lt;/Q&gt;&lt;R&gt;1&lt;/R&gt;&lt;C&gt;1&lt;/C&gt;&lt;D xsi:type="xsd:double"&gt;2.835369&lt;/D&gt;&lt;/FQL&gt;&lt;FQL&gt;&lt;Q&gt;EWT^FG_TOTAL_RETURNC(0,-3AM)&lt;/Q&gt;&lt;R&gt;1&lt;/R&gt;&lt;C&gt;1&lt;/C&gt;&lt;D xsi:type="xsd:double"&gt;-4.2897344&lt;/D&gt;&lt;/FQL&gt;&lt;FQL&gt;&lt;Q&gt;EPOL^FG_TOTAL_RETURNC(0,-12AM)&lt;/Q&gt;&lt;R&gt;1&lt;/R&gt;&lt;C&gt;1&lt;/C&gt;&lt;D xsi:type="xsd:double"&gt;38.322197&lt;/D&gt;&lt;/FQL&gt;&lt;FQL&gt;&lt;Q&gt;EWJ^SIZE(FG_CONSTITUENTS)&lt;/Q&gt;&lt;R&gt;1&lt;/R&gt;&lt;C&gt;1&lt;/C&gt;&lt;D xsi:type="xsd:long"&gt;199&lt;/D&gt;&lt;/FQL&gt;&lt;FQL&gt;&lt;Q&gt;EWW^FMA_COS_UP("EPS","1M",+1,NOW,,,"PORTAGG","MEANR")&lt;/Q&gt;&lt;R&gt;1&lt;/R&gt;&lt;C&gt;1&lt;/C&gt;&lt;D xsi:type="xsd:double"&gt;20&lt;/D&gt;&lt;/FQL&gt;&lt;FQL&gt;&lt;Q&gt;UAE^FMA_RBICS_REV_CURRENT(30, LOC, "PORTAGG")&lt;/Q&gt;&lt;R&gt;1&lt;/R&gt;&lt;C&gt;1&lt;/C&gt;&lt;D xsi:type="xsd:double"&gt;57.6640333699674&lt;/D&gt;&lt;/FQL&gt;&lt;FQL&gt;&lt;Q&gt;REFQALEND-FDS^FG_YIELD(NOW,,,0)&lt;/Q&gt;&lt;R&gt;1&lt;/R&gt;&lt;C&gt;1&lt;/C&gt;&lt;D xsi:type="xsd:double"&gt;5.7&lt;/D&gt;&lt;/FQL&gt;&lt;FQL&gt;&lt;Q&gt;TRYQA10Y-FDS^FG_YIELD_NAME&lt;/Q&gt;&lt;R&gt;1&lt;/R&gt;&lt;C&gt;1&lt;/C&gt;&lt;D xsi:type="xsd:string"&gt;Treasury - Qatar Benchmark Bond 10Y&lt;/D&gt;&lt;/FQL&gt;&lt;FQL&gt;&lt;Q&gt;TRYPH10Y-FDS^FG_YIELD_NAME&lt;/Q&gt;&lt;R&gt;1&lt;/R&gt;&lt;C&gt;1&lt;/C&gt;&lt;D xsi:type="xsd:string"&gt;Philippines Benchmark Bond - 10 Year&lt;/D&gt;&lt;/FQL&gt;&lt;FQL&gt;&lt;Q&gt;EPU^FMA_PE(LTM,0,,,"PORTAGG","MEANR")&lt;/Q&gt;&lt;R&gt;1&lt;/R&gt;&lt;C&gt;1&lt;/C&gt;&lt;D xsi:type="xsd:double"&gt;17.3463202446164&lt;/D&gt;&lt;/FQL&gt;&lt;FQL&gt;&lt;Q&gt;USDTHB^FG_PRICE_CHANGE(0,-1AM)&lt;/Q&gt;&lt;R&gt;1&lt;/R&gt;&lt;C&gt;1&lt;/C&gt;&lt;D xsi:type="xsd:double"&gt;-0.4593253&lt;/D&gt;&lt;/FQL&gt;&lt;FQL&gt;&lt;Q&gt;USDEUR^STD(FG_PRICE_CHANGE(0,-3AY,M))&lt;/Q&gt;&lt;R&gt;1&lt;/R&gt;&lt;C&gt;1&lt;/C&gt;&lt;D xsi:type="xsd:double"&gt;2.17172756290048&lt;/D&gt;&lt;/FQL&gt;&lt;FQL&gt;&lt;Q&gt;USDKRW^FG_PRICE_CHANGE(0,-1AY)&lt;/Q&gt;&lt;R&gt;1&lt;/R&gt;&lt;C&gt;1&lt;/C&gt;&lt;D xsi:type="xsd:double"&gt;0.051867962&lt;/D&gt;&lt;/FQL&gt;&lt;FQL&gt;&lt;Q&gt;USDPEN^STD(FG_PRICE_CHANGE(0,-3AY,M))&lt;/Q&gt;&lt;R&gt;1&lt;/R&gt;&lt;C&gt;1&lt;/C&gt;&lt;D xsi:type="xsd:double"&gt;2.22805126129193&lt;/D&gt;&lt;/FQL&gt;&lt;FQL&gt;&lt;Q&gt;KSA^FMA_PE(NTMA,-10AY,0,AM,"PORTAGG","MEANR")&lt;/Q&gt;&lt;R&gt;121&lt;/R&gt;&lt;C&gt;1&lt;/C&gt;&lt;D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xsi:type="xsd:double"&gt;12.6598955556203&lt;/D&gt;&lt;D xsi:type="xsd:double"&gt;12.0412951235574&lt;/D&gt;&lt;D xsi:type="xsd:double"&gt;12.6256062373959&lt;/D&gt;&lt;D xsi:type="xsd:double"&gt;11.401778172529&lt;/D&gt;&lt;D xsi:type="xsd:double"&gt;11.3456982820122&lt;/D&gt;&lt;D xsi:type="xsd:double"&gt;12.9463711210929&lt;/D&gt;&lt;D xsi:type="xsd:double"&gt;12.6351513691329&lt;/D&gt;&lt;D xsi:type="xsd:double"&gt;13.4458883155678&lt;/D&gt;&lt;D xsi:type="xsd:double"&gt;13.880843685782&lt;/D&gt;&lt;D xsi:type="xsd:double"&gt;13.354920585703&lt;/D&gt;&lt;D xsi:type="xsd:double"&gt;13.032339633164&lt;/D&gt;&lt;D xsi:type="xsd:double"&gt;12.5822940844468&lt;/D&gt;&lt;D xsi:type="xsd:double"&gt;11.6082592777679&lt;/D&gt;&lt;D xsi:type="xsd:double"&gt;13.2773933027013&lt;/D&gt;&lt;D xsi:type="xsd:double"&gt;14.280733247771&lt;/D&gt;&lt;D xsi:type="xsd:double"&gt;14.0428130602914&lt;/D&gt;&lt;D xsi:type="xsd:double"&gt;14.1425416037294&lt;/D&gt;&lt;D xsi:type="xsd:double"&gt;13.8687063659017&lt;/D&gt;&lt;D xsi:type="xsd:double"&gt;13.9936560038118&lt;/D&gt;&lt;D xsi:type="xsd:double"&gt;13.3940643524559&lt;/D&gt;&lt;D xsi:type="xsd:double"&gt;13.719624218577&lt;/D&gt;&lt;D xsi:type="xsd:double"&gt;14.4553660293348&lt;/D&gt;&lt;D xsi:type="xsd:double"&gt;14.1617718561408&lt;/D&gt;&lt;D xsi:type="xsd:double"&gt;14.0871574934562&lt;/D&gt;&lt;D xsi:type="xsd:double"&gt;13.2228197896179&lt;/D&gt;&lt;D xsi:type="xsd:double"&gt;13.0821735736309&lt;/D&gt;&lt;D xsi:type="xsd:double"&gt;13.1891686899917&lt;/D&gt;&lt;D xsi:type="xsd:double"&gt;13.5503015265698&lt;/D&gt;&lt;D xsi:type="xsd:double"&gt;13.5541507451612&lt;/D&gt;&lt;D xsi:type="xsd:double"&gt;13.8908146363295&lt;/D&gt;&lt;D xsi:type="xsd:double"&gt;14.7278522387221&lt;/D&gt;&lt;D xsi:type="xsd:double"&gt;14.4801355607336&lt;/D&gt;&lt;D xsi:type="xsd:double"&gt;15.2380129083984&lt;/D&gt;&lt;D xsi:type="xsd:double"&gt;15.0853675255296&lt;/D&gt;&lt;D xsi:type="xsd:double"&gt;14.4610193737305&lt;/D&gt;&lt;D xsi:type="xsd:double"&gt;13.6063151748724&lt;/D&gt;&lt;D xsi:type="xsd:double"&gt;13.8545957461643&lt;/D&gt;&lt;D xsi:type="xsd:double"&gt;13.6306719853116&lt;/D&gt;&lt;D xsi:type="xsd:double"&gt;14.1167644453567&lt;/D&gt;&lt;D xsi:type="xsd:double"&gt;15.1027727608771&lt;/D&gt;&lt;D xsi:type="xsd:double"&gt;16.1648010892999&lt;/D&gt;&lt;D xsi:type="xsd:double"&gt;15.9877085834351&lt;/D&gt;&lt;D xsi:type="xsd:double"&gt;17.1134160752298&lt;/D&gt;&lt;D xsi:type="xsd:double"&gt;16.5347994140202&lt;/D&gt;&lt;D xsi:type="xsd:double"&gt;16.6743402082679&lt;/D&gt;&lt;D xsi:type="xsd:double"&gt;16.4075154732799&lt;/D&gt;&lt;D xsi:type="xsd:double"&gt;16.6667186556045&lt;/D&gt;&lt;D xsi:type="xsd:double"&gt;16.7221429912355&lt;/D&gt;&lt;D xsi:type="xsd:double"&gt;16.2542950858613&lt;/D&gt;&lt;D xsi:type="xsd:double"&gt;16.4719066364108&lt;/D&gt;&lt;D xsi:type="xsd:double"&gt;16.5499898814185&lt;/D&gt;&lt;D xsi:type="xsd:double"&gt;16.8330417802139&lt;/D&gt;&lt;D xsi:type="xsd:double"&gt;16.0920476656454&lt;/D&gt;&lt;D xsi:type="xsd:double"&gt;14.1669593682315&lt;/D&gt;&lt;D xsi:type="xsd:double"&gt;15.9088379623788&lt;/D&gt;&lt;D xsi:type="xsd:double"&gt;17.1518079661169&lt;/D&gt;&lt;D xsi:type="xsd:double"&gt;19.6595140398736&lt;/D&gt;&lt;D xsi:type="xsd:double"&gt;19.4959060695898&lt;/D&gt;&lt;D xsi:type="xsd:double"&gt;19.6217333683242&lt;/D&gt;&lt;D xsi:type="xsd:double"&gt;21.2407495562342&lt;/D&gt;&lt;D xsi:type="xsd:double"&gt;21.5455684591949&lt;/D&gt;&lt;D xsi:type="xsd:double"&gt;20.9685919671528&lt;/D&gt;&lt;D xsi:type="xsd:double"&gt;19.6270993026826&lt;/D&gt;&lt;D xsi:type="xsd:double"&gt;19.1312549284493&lt;/D&gt;&lt;D xsi:type="xsd:double"&gt;18.7088721858571&lt;/D&gt;&lt;D xsi:type="xsd:double"&gt;19.1741115091265&lt;/D&gt;&lt;D xsi:type="xsd:double"&gt;19.3503014362998&lt;/D&gt;&lt;D xsi:type="xsd:double"&gt;19.1142721462195&lt;/D&gt;&lt;D xsi:type="xsd:double"&gt;19.3774149975663&lt;/D&gt;&lt;D xsi:type="xsd:double"&gt;19.1041811647391&lt;/D&gt;&lt;D xsi:type="xsd:double"&gt;19.1740158380694&lt;/D&gt;&lt;D xsi:type="xsd:double"&gt;19.079522626946&lt;/D&gt;&lt;D xsi:type="xsd:double"&gt;19.0336561438988&lt;/D&gt;&lt;D xsi:type="xsd:double"&gt;18.9360196779336&lt;/D&gt;&lt;D xsi:type="xsd:double"&gt;17.1923774695327&lt;/D&gt;&lt;D xsi:type="xsd:double"&gt;18.2216526835133&lt;/D&gt;&lt;D xsi:type="xsd:double"&gt;18.98998610219&lt;/D&gt;&lt;D xsi:type="xsd:double"&gt;19.4464825579167&lt;/D&gt;&lt;D xsi:type="xsd:double"&gt;19.2036029329067&lt;/D&gt;&lt;D xsi:type="xsd:double"&gt;18.8099242080194&lt;/D&gt;&lt;D xsi:type="xsd:double"&gt;16.9721283766854&lt;/D&gt;&lt;D xsi:type="xsd:double"&gt;15.608337414421&lt;/D&gt;&lt;D xsi:type="xsd:double"&gt;16.4474572757876&lt;/D&gt;&lt;D xsi:type="xsd:double"&gt;15.4549856769275&lt;/D&gt;&lt;D xsi:type="xsd:double"&gt;14.9701145751173&lt;/D&gt;&lt;D xsi:type="xsd:double"&gt;14.778576157788&lt;/D&gt;&lt;D xsi:type="xsd:double"&gt;13.9051924934289&lt;/D&gt;&lt;D xsi:type="xsd:double"&gt;14.6225450336035&lt;/D&gt;&lt;D xsi:type="xsd:double"&gt;14.4386874853867&lt;/D&gt;&lt;D xsi:type="xsd:double"&gt;15.0359749565718&lt;/D&gt;&lt;D xsi:type="xsd:double"&gt;15.7165407030748&lt;/D&gt;&lt;D xsi:type="xsd:double"&gt;16.4826928594121&lt;/D&gt;&lt;D xsi:type="xsd:double"&gt;16.9474383177574&lt;/D&gt;&lt;D xsi:type="xsd:double"&gt;17.2400552373743&lt;/D&gt;&lt;D xsi:type="xsd:double"&gt;17.1929015971302&lt;/D&gt;&lt;D xsi:type="xsd:doubl</t>
        </r>
      </text>
    </comment>
    <comment ref="A12" authorId="0" shapeId="0" xr:uid="{B3E782D9-1F64-4075-B3D5-9CF86910A7EC}">
      <text>
        <r>
          <rPr>
            <b/>
            <sz val="9"/>
            <color indexed="81"/>
            <rFont val="Tahoma"/>
            <charset val="1"/>
          </rPr>
          <t>e"&gt;16.6653743233217&lt;/D&gt;&lt;D xsi:type="xsd:double"&gt;15.6886081702441&lt;/D&gt;&lt;D xsi:type="xsd:double"&gt;16.05725956036&lt;/D&gt;&lt;D xsi:type="xsd:double"&gt;16.5029151893399&lt;/D&gt;&lt;D xsi:type="xsd:double"&gt;18.5032453304111&lt;/D&gt;&lt;D xsi:type="xsd:double"&gt;18.5627981278441&lt;/D&gt;&lt;D xsi:type="xsd:double"&gt;18.4078411802975&lt;/D&gt;&lt;D xsi:type="xsd:double"&gt;18.3794152840492&lt;/D&gt;&lt;D xsi:type="xsd:double"&gt;17.3347870502032&lt;/D&gt;&lt;D xsi:type="xsd:double"&gt;16.9880907060081&lt;/D&gt;&lt;D xsi:type="xsd:double"&gt;16.739352363926&lt;/D&gt;&lt;D xsi:type="xsd:double"&gt;16.2423304721721&lt;/D&gt;&lt;D xsi:type="xsd:double"&gt;16.8113371034046&lt;/D&gt;&lt;D xsi:type="xsd:double"&gt;16.6432417970294&lt;/D&gt;&lt;/FQL&gt;&lt;FQL&gt;&lt;Q&gt;INDA^FMA_PE(LTMA,-10AY,0,AM,"PORTAGG","MEANR")&lt;/Q&gt;&lt;R&gt;121&lt;/R&gt;&lt;C&gt;1&lt;/C&gt;&lt;D xsi:type="xsd:double"&gt;17.8707559475633&lt;/D&gt;&lt;D xsi:type="xsd:double"&gt;18.8729197736592&lt;/D&gt;&lt;D xsi:type="xsd:double"&gt;19.2584710041681&lt;/D&gt;&lt;D xsi:type="xsd:double"&gt;19.2806749525925&lt;/D&gt;&lt;D xsi:type="xsd:double"&gt;20.2745114431898&lt;/D&gt;&lt;D xsi:type="xsd:double"&gt;20.9353559130327&lt;/D&gt;&lt;D xsi:type="xsd:double"&gt;20.8270656491246&lt;/D&gt;&lt;D xsi:type="xsd:double"&gt;20.2811611196908&lt;/D&gt;&lt;D xsi:type="xsd:double"&gt;20.154295997905&lt;/D&gt;&lt;D xsi:type="xsd:double"&gt;20.658674282277&lt;/D&gt;&lt;D xsi:type="xsd:double"&gt;21.1316325229811&lt;/D&gt;&lt;D xsi:type="xsd:double"&gt;20.190650757976&lt;/D&gt;&lt;D xsi:type="xsd:double"&gt;20.7979494582569&lt;/D&gt;&lt;D xsi:type="xsd:double"&gt;20.0968485849511&lt;/D&gt;&lt;D xsi:type="xsd:double"&gt;19.8309115139592&lt;/D&gt;&lt;D xsi:type="xsd:double"&gt;19.7550897802289&lt;/D&gt;&lt;D xsi:type="xsd:double"&gt;19.1364732783519&lt;/D&gt;&lt;D xsi:type="xsd:double"&gt;18.9466585823329&lt;/D&gt;&lt;D xsi:type="xsd:double"&gt;18.8226567052472&lt;/D&gt;&lt;D xsi:type="xsd:double"&gt;18.9669748689359&lt;/D&gt;&lt;D xsi:type="xsd:double"&gt;19.0693108217066&lt;/D&gt;&lt;D xsi:type="xsd:double"&gt;19.2447763298073&lt;/D&gt;&lt;D xsi:type="xsd:double"&gt;19.6497710739846&lt;/D&gt;&lt;D xsi:type="xsd:double"&gt;19.9137210931366&lt;/D&gt;&lt;D xsi:type="xsd:double"&gt;19.8858900311802&lt;/D&gt;&lt;D xsi:type="xsd:double"&gt;19.3828241812742&lt;/D&gt;&lt;D xsi:type="xsd:double"&gt;19.1124075657569&lt;/D&gt;&lt;D xsi:type="xsd:double"&gt;19.2391239497753&lt;/D&gt;&lt;D xsi:type="xsd:double"&gt;20.1070492719002&lt;/D&gt;&lt;D xsi:type="xsd:double"&gt;20.4639897103187&lt;/D&gt;&lt;D xsi:type="xsd:double"&gt;20.4009788401218&lt;/D&gt;&lt;D xsi:type="xsd:double"&gt;20.4383912079538&lt;/D&gt;&lt;D xsi:type="xsd:double"&gt;20.4244170376401&lt;/D&gt;&lt;D xsi:type="xsd:double"&gt;20.4954196562403&lt;/D&gt;&lt;D xsi:type="xsd:double"&gt;20.6222090474006&lt;/D&gt;&lt;D xsi:type="xsd:double"&gt;20.9569372596824&lt;/D&gt;&lt;D xsi:type="xsd:double"&gt;21.1295927737273&lt;/D&gt;&lt;D xsi:type="xsd:double"&gt;21.7642177804437&lt;/D&gt;&lt;D xsi:type="xsd:double"&gt;21.910008983183&lt;/D&gt;&lt;D xsi:type="xsd:double"&gt;22.9164866278207&lt;/D&gt;&lt;D xsi:type="xsd:double"&gt;21.8340138406495&lt;/D&gt;&lt;D xsi:type="xsd:double"&gt;21.5923071828849&lt;/D&gt;&lt;D xsi:type="xsd:double"&gt;21.3950981158672&lt;/D&gt;&lt;D xsi:type="xsd:double"&gt;21.3186515544786&lt;/D&gt;&lt;D xsi:type="xsd:double"&gt;21.3471250259786&lt;/D&gt;&lt;D xsi:type="xsd:double"&gt;21.286046670421&lt;/D&gt;&lt;D xsi:type="xsd:double"&gt;22.0116473776191&lt;/D&gt;&lt;D xsi:type="xsd:double"&gt;22.2548010615767&lt;/D&gt;&lt;D xsi:type="xsd:double"&gt;20.6129951730251&lt;/D&gt;&lt;D xsi:type="xsd:double"&gt;21.2577489578739&lt;/D&gt;&lt;D xsi:type="xsd:double"&gt;20.8904364484615&lt;/D&gt;&lt;D xsi:type="xsd:double"&gt;21.3160837332435&lt;/D&gt;&lt;D xsi:type="xsd:double"&gt;21.9521548892738&lt;/D&gt;&lt;D xsi:type="xsd:double"&gt;21.6914979797414&lt;/D&gt;&lt;D xsi:type="xsd:double"&gt;21.5981193136516&lt;/D&gt;&lt;D xsi:type="xsd:double"&gt;21.2477868480127&lt;/D&gt;&lt;D xsi:type="xsd:double"&gt;21.6207729392535&lt;/D&gt;&lt;D xsi:type="xsd:double"&gt;21.1194969602306&lt;/D&gt;&lt;D xsi:type="xsd:double"&gt;21.0706648452326&lt;/D&gt;&lt;D xsi:type="xsd:double"&gt;21.1422272404938&lt;/D&gt;&lt;D xsi:type="xsd:double"&gt;21.1535940050224&lt;/D&gt;&lt;D xsi:type="xsd:double"&gt;22.8126748366875&lt;/D&gt;&lt;D xsi:type="xsd:double"&gt;22.7075277206542&lt;/D&gt;&lt;D xsi:type="xsd:double"&gt;23.4908209833385&lt;/D&gt;&lt;D xsi:type="xsd:double"&gt;23.2263748916554&lt;/D&gt;&lt;D xsi:type="xsd:double"&gt;20.9527597929987&lt;/D&gt;&lt;D xsi:type="xsd:double"&gt;20.376483363516&lt;/D&gt;&lt;D xsi:type="xsd:double"&gt;20.991681865446&lt;/D&gt;&lt;D xsi:type="xsd:double"&gt;22.5641904522485&lt;/D&gt;&lt;D xsi:type="xsd:double"&gt;24.1850628729165&lt;/D&gt;&lt;D xsi:type="xsd:double"&gt;25.4313062592961&lt;/D&gt;&lt;D xsi:type="xsd:double"&gt;25.7375669749313&lt;/D&gt;&lt;D xsi:type="xsd:double"&gt;26.909479492674&lt;/D&gt;&lt;D xsi:type="xsd:double"&gt;27.0561795069145&lt;/D&gt;&lt;D xsi:type="xsd:double"&gt;32.1205138353301&lt;/D&gt;&lt;D xsi:type="xsd:double"&gt;34.5192105545728&lt;/D&gt;&lt;D xsi:type="xsd:double"&gt;32.9057703269336&lt;/D&gt;&lt;D xsi:type="xsd:double"&gt;31.0524194063385&lt;/D&gt;&lt;D xsi:type="xsd:double"&gt;30.2395328511207&lt;/D&gt;&lt;D xsi:type="xsd:double"&gt;29.5189416245291&lt;/D&gt;&lt;D xsi:type="xsd:double"&gt;29.4106365155942&lt;/D&gt;&lt;D xsi:type="xsd:double"&gt;28.7646830729365&lt;/D&gt;&lt;D xsi:type="xsd:double"&gt;28.8289403900866&lt;/D&gt;&lt;D xsi:type="xsd:double"&gt;29.5036999837388&lt;/D&gt;&lt;D xsi:type="xsd:double"&gt;29.4627123225532&lt;/D&gt;&lt;D xsi:type="xsd:double"&gt;29.4075086102092&lt;/D&gt;&lt;D xsi:type="xsd:double"&gt;28.9580079339966&lt;/D&gt;&lt;D xsi:type="xsd:double"&gt;29.3278116106461&lt;/D&gt;&lt;D xsi:type="xsd:double"&gt;27.9946411351638&lt;/D&gt;&lt;D xsi:type="xsd:double"&gt;26.2838633609434&lt;/D&gt;&lt;D xsi:type="xsd:double"&gt;26.2856626167951&lt;/D&gt;&lt;D xsi:type="xsd:double"&gt;25.2018304637383&lt;/D&gt;&lt;D xsi:type="xsd:double"&gt;24.8793717098674&lt;/D&gt;&lt;D xsi:type="xsd:double"&gt;24.5543279740975&lt;/D&gt;&lt;D xsi:type="xsd:double"&gt;25.7381334560467&lt;/D&gt;&lt;D xsi:type="xsd:double"&gt;25.8982901504733&lt;/D&gt;&lt;D xsi:type="xsd:double"&gt;25.1190039084155&lt;/D&gt;&lt;D xsi:type="xsd:double"&gt;25.995111349241&lt;/D&gt;&lt;D xsi:type="xsd:double"&gt;26.7070083286194&lt;/D&gt;&lt;D xsi:type="xsd:double"&gt;25.7403685400421&lt;/D&gt;&lt;D xsi:type="xsd:double"&gt;25.3246291927106&lt;/D&gt;&lt;D xsi:type="xsd:double"&gt;24.0624784218924&lt;/D&gt;&lt;D xsi:type="xsd:double"&gt;23.7767703159561&lt;/D&gt;&lt;D xsi:type="xsd:double"&gt;23.9199273908126&lt;/D&gt;&lt;D xsi:type="xsd:double"&gt;23.961311360074&lt;/D&gt;&lt;D xsi:type="xsd:double"&gt;24.3233519433029&lt;/D&gt;&lt;D xsi:type="xsd:double"&gt;23.776106588095&lt;/D&gt;&lt;D xsi:type="xsd:double"&gt;23.7565065888945&lt;/D&gt;&lt;D xsi:type="xsd:double"&gt;23.5501326697419&lt;/D&gt;&lt;D xsi:type="xsd:double"&gt;23.1690585288302&lt;/D&gt;&lt;D xsi:type="xsd:double"&gt;24.8160058915335&lt;/D&gt;&lt;D xsi:type="xsd:double"&gt;25.6983544309691&lt;/D&gt;&lt;D xsi:type="xsd:double"&gt;26.1667568554374&lt;/D&gt;&lt;D xsi:type="xsd:double"&gt;26.1645564699807&lt;/D&gt;&lt;D xsi:type="xsd:double"&gt;25.9683313359088&lt;/D&gt;&lt;D xsi:type="xsd:double"&gt;25.5225451687942&lt;/D&gt;&lt;D xsi:type="xsd:double"&gt;25.8229396463786&lt;/D&gt;&lt;D xsi:type="xsd:double"&gt;26.2944292332209&lt;/D&gt;&lt;D xsi:type="xsd:double"&gt;26.2259216106458&lt;/D&gt;&lt;D xsi:type="xsd:double"&gt;27.1651658529193&lt;/D&gt;&lt;D xsi:type="xsd:double"&gt;26.8514475229745&lt;/D&gt;&lt;/FQL&gt;&lt;FQL&gt;&lt;Q&gt;WL-FDS^FG_PRICE_CHANGE(0,-3AM)&lt;/Q&gt;&lt;R&gt;1&lt;/R&gt;&lt;C&gt;1&lt;/C&gt;&lt;D xsi:type="xsd:double"&gt;1.59555396199356&lt;/D&gt;&lt;/FQL&gt;&lt;FQL&gt;&lt;Q&gt;EWJ^FG_TOTAL_RETURNC(0,-3AM)&lt;/Q&gt;&lt;R&gt;1&lt;/R&gt;&lt;C&gt;1&lt;/C&gt;&lt;D xsi:type="xsd:double"&gt;-0.53310394&lt;/D&gt;&lt;/FQL&gt;&lt;FQL&gt;&lt;Q&gt;TRYTW10Y-FDS^PCTCHG(FG_YIELD(0,,,,"YTM"),FG_YIELD(-3AM,,,,"YTM"))&lt;/Q&gt;&lt;R&gt;0&lt;/R&gt;&lt;C&gt;0&lt;/C&gt;&lt;/FQL&gt;&lt;FQL&gt;&lt;Q&gt;TRYTR7Y-FDS^FG_YIELD_NAME&lt;/Q&gt;&lt;R&gt;1&lt;/R&gt;&lt;C&gt;1&lt;/C&gt;&lt;D xsi:type="xsd:string"&gt;Treasury - Turkey Benchmark Bond 7Y&lt;/D&gt;&lt;/FQL&gt;&lt;FQL&gt;&lt;Q&gt;TRYPE10Y-FDS^FG_YIELD_NAME&lt;/Q&gt;&lt;R&gt;1&lt;/R&gt;&lt;C&gt;1&lt;/C&gt;&lt;D xsi:type="xsd:string"&gt;Treasury - Peru Benchmark Bond 10Y&lt;/D&gt;&lt;/FQL&gt;&lt;FQL&gt;&lt;Q&gt;CC_PL^IMF_IFS_RCPI_Q(0)&lt;/Q&gt;&lt;R&gt;0&lt;/R&gt;&lt;C&gt;0&lt;/C&gt;&lt;/FQL&gt;&lt;FQL&gt;&lt;Q&gt;EWY^FMA_PE(LTM,0,,,"PORTAGG","MEANR")&lt;/Q&gt;&lt;R&gt;1&lt;/R&gt;&lt;C&gt;1&lt;/C&gt;&lt;D xsi:type="xsd:double"&gt;14.1181684228013&lt;/D&gt;&lt;/FQL&gt;&lt;FQL&gt;&lt;Q&gt;EIDO^JULIAN(FMA_DIV_YLD(NTMA,NOW,NOW,M,"PORTAGG","MEANR").DATES)&lt;/Q&gt;&lt;R&gt;1&lt;/R&gt;&lt;C&gt;1&lt;/C&gt;&lt;D xsi:type="xsd:long"&gt;45565&lt;/D&gt;&lt;/FQL&gt;&lt;FQL&gt;&lt;Q&gt;TRYKR10Y-FDS^FG_YIELD(-10AY,0,Y,,"YTM")&lt;/Q&gt;&lt;R&gt;10&lt;/R&gt;&lt;C&gt;1&lt;/C&gt;&lt;D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xsi:type="xsd:double"&gt;3.1928&lt;/D&gt;&lt;/FQL&gt;&lt;FQL&gt;&lt;Q&gt;USDVND^STD(FG_PRICE_CHANGE(0,-1AY,AM))&lt;/Q&gt;&lt;R&gt;1&lt;/R&gt;&lt;C&gt;1&lt;/C&gt;&lt;D xsi:type="xsd:double"&gt;1.05880324487401&lt;/D&gt;&lt;/FQL&gt;&lt;FQL&gt;&lt;Q&gt;USDTHB^FG_PRICE_CHANGE(0,-1AY)&lt;/Q&gt;&lt;R&gt;1&lt;/R&gt;&lt;C&gt;1&lt;/C&gt;&lt;D xsi:type="xsd:double"&gt;-8.586198&lt;/D&gt;&lt;/FQL&gt;&lt;FQL&gt;&lt;Q&gt;USDIDR^FG_PRICE_CHANGE(0,-1AM)&lt;/Q&gt;&lt;R&gt;1&lt;/R&gt;&lt;C&gt;1&lt;/C&gt;&lt;D xsi:type="xsd:double"&gt;1.3915896&lt;/D&gt;&lt;/FQL&gt;&lt;FQL&gt;&lt;Q&gt;EPU^P_PRICE_RETURNS_PR('52W',2,-10AY,0,AM)&lt;/Q&gt;&lt;R&gt;121&lt;/R&gt;&lt;C&gt;1&lt;/C&gt;&lt;D xsi:type="xsd:double"&gt;1.4841795&lt;/D&gt;&lt;D xsi:type="xsd:double"&gt;-1.1031628&lt;/D&gt;&lt;D xsi:type="xsd:double"&gt;3.443718&lt;/D&gt;&lt;D xsi:type="xsd:double"&gt;-1.3097286&lt;/D&gt;&lt;D xsi:type="xsd:double"&gt;-5.5102167&lt;/D&gt;&lt;D xsi:type="xsd:double"&gt;-11.443626&lt;/D&gt;&lt;D xsi:type="xsd:double"&gt;-11.174637&lt;/D&gt;&lt;D xsi:type="xsd:double"&gt;-9.524864&lt;/D&gt;&lt;D xsi:type="xsd:double"&gt;-13.850063&lt;/D&gt;&lt;D xsi:type="xsd:double"&gt;-21.255796&lt;/D&gt;&lt;D xsi:type="xsd:double"&gt;-26.095217&lt;/D&gt;&lt;D xsi:type="xsd:double"&gt;-35.1212&lt;/D&gt;&lt;D xsi:type="xsd:double"&gt;-26.136816&lt;/D&gt;&lt;D xsi:type="xsd:double"&gt;-30.491924&lt;/D&gt;&lt;D xsi:type="xsd:double"&gt;-35.321133&lt;/D&gt;&lt;D xsi:type="xsd:double"&gt;-39.232872&lt;/D&gt;&lt;D xsi:type="xsd:double"&gt;-32.28233&lt;/D&gt;&lt;D xsi:type="xsd:double"&gt;-11.217487&lt;/D&gt;&lt;D xsi:type="xsd:double"&gt;-13.17088&lt;/D&gt;&lt;D xsi:type="xsd:double"&gt;-2.2301257&lt;/D&gt;&lt;D xsi:type="xsd:double"&gt;2.9869914&lt;/D&gt;&lt;D xsi:type="xsd:double"&gt;14.757442&lt;/D&gt;&lt;D xsi:type="xsd:double"&gt;35.08003&lt;/D&gt;&lt;D xsi:type="xsd:double"&gt;49.121307&lt;/D&gt;&lt;D xsi:type="xsd:double"&gt;34.280205&lt;/D&gt;&lt;D xsi:type="xsd:double"&gt;51.815544&lt;/D&gt;&lt;D xsi:type="xsd:double"&gt;58.158028&lt;/D&gt;&lt;D xsi:type="xsd:double"&gt;80.15743&lt;/D&gt;&lt;D xsi:type="xsd:double"&gt;81.78268&lt;/D&gt;&lt;D xsi:type="xsd:double"&gt;33.969284&lt;/D&gt;&lt;D xsi:type="xsd:double"&gt;37.9225&lt;/D&gt;&lt;D xsi:type="xsd:double"&gt;16.313053&lt;/D&gt;&lt;D xsi:type="xsd:double"&gt;14.7223835&lt;/D&gt;&lt;D xsi:type="xsd:double"&gt;7.7135324&lt;/D&gt;&lt;D xsi:type="xsd:double"&gt;4.003811&lt;/D&gt;&lt;D xsi:type="xsd:double"&gt;13.508881&lt;/D&gt;&lt;D xsi:type="xsd:double"&gt;29.21183&lt;/D&gt;&lt;D xsi:type="xsd:double"&gt;24.983131&lt;/D&gt;&lt;D xsi:type="xsd:double"&gt;21.655857&lt;/D&gt;&lt;D xsi:type="xsd:double"&gt;28.423584&lt;/D&gt;&lt;D xsi:type="xsd:double"&gt;16.646194&lt;/D&gt;&lt;D xsi:type="xsd:double"&gt;34.513687&lt;/D&gt;&lt;D xsi:type="xsd:double"&gt;31.508123&lt;/D&gt;&lt;D xsi:type="xsd:double"&gt;32.57935&lt;/D&gt;&lt;D xsi:type="xsd:double"&gt;27.842855&lt;/D&gt;&lt;D xsi:type="xsd:double"&gt;19.47707&lt;/D&gt;&lt;D xsi:type="xsd:double"&gt;11.627615&lt;/D&gt;&lt;D xsi:type="xsd:double"&gt;-5.346179&lt;/D&gt;&lt;D xsi:type="xsd:double"&gt;-8.416146&lt;/D&gt;&lt;D xsi:type="xsd:double"&gt;-13.261819&lt;/D&gt;&lt;D xsi:type="xsd:double"&gt;-8.230901&lt;/D&gt;&lt;D xsi:type="xsd:double"&gt;-12.477284&lt;/D&gt;&lt;D xsi:type="xsd:double"&gt;-4.298103&lt;/D&gt;&lt;D xsi:type="xsd:double"&gt;-6.827688&lt;/D&gt;&lt;D xsi:type="xsd:double"&gt;-7.773322&lt;/D&gt;&lt;D xsi:type="xsd:double"&gt;-14.732247&lt;/D&gt;&lt;D xsi:type="xsd:double"&gt;-13.904751&lt;/D&gt;&lt;D xsi:type="xsd:double"&gt;-2.67331&lt;/D&gt;&lt;D xsi:type="xsd:double"&gt;-11.051083&lt;/D&gt;&lt;D xsi:type="xsd:double"&gt;-0.3861487&lt;/D&gt;&lt;D xsi:type="xsd:double"&gt;-3.7734509&lt;/D&gt;&lt;D xsi:type="xsd:double"&gt;-0.11051893&lt;/D&gt;&lt;D xsi:type="xsd:double"&gt;-0.057935715&lt;/D&gt;&lt;D xsi:type="xsd:double"&gt;3.0744553&lt;/D&gt;&lt;D xsi:type="xsd:double"&gt;-7.016647&lt;/D&gt;&lt;D xsi:type="xsd:double"&gt;-19.778788&lt;/D&gt;&lt;D xsi:type="xsd:double"&gt;-37.630207&lt;/D&gt;&lt;D xsi:type="xsd:double"&gt;-26.723217&lt;/D&gt;&lt;D xsi:type="xsd:double"&gt;-14.361614&lt;/D&gt;&lt;D xsi:type="xsd:double"&gt;-21.124613&lt;/D&gt;&lt;D xsi:type="xsd:double"&gt;-7.147378&lt;/D&gt;&lt;D xsi:type="xsd:double"&gt;-8.7928&lt;/D&gt;&lt;D xsi:type="xsd:double"&gt;-8.616983&lt;/D&gt;&lt;D xsi:type="xsd:double"&gt;-11.982632&lt;/D&gt;&lt;D xsi:type="xsd:double"&gt;2.5635004&lt;/D&gt;&lt;D xsi:type="xsd:double"&gt;0.83839893&lt;/D&gt;&lt;D xsi:type="xsd:double"&gt;12.361932&lt;/D&gt;&lt;D xsi:type="xsd:double"&gt;24.529362&lt;/D&gt;&lt;D xsi:type="xsd:double"&gt;53.548027&lt;/D&gt;&lt;D xsi:type="xsd:double"&gt;34.29146&lt;/D&gt;&lt;D xsi:type="xsd:double"&gt;4.764843&lt;/D&gt;&lt;D xsi:type="xsd:double"&gt;3.3869863&lt;/D&gt;&lt;D xsi:type="xsd:double"&gt;-14.198547&lt;/D&gt;&lt;D xsi:type="xsd:double"&gt;-8.556259&lt;/D&gt;&lt;D xsi:type="xsd:double"&gt;-4.996443&lt;/D&gt;&lt;D xsi:type="xsd:double"&gt;0.7857442&lt;/D&gt;&lt;D xsi:type="xsd:double"&gt;-15.45884&lt;/D&gt;&lt;D xsi:type="xsd:double"&gt;-9.852087&lt;/D&gt;&lt;D xsi:type="xsd:double"&gt;-6.234354&lt;/D&gt;&lt;D xsi:type="xsd:double"&gt;4.5927167&lt;/D&gt;&lt;D xsi:type="xsd:double"&gt;2.1713972&lt;/D&gt;&lt;D xsi:type="xsd:double"&gt;-16.315067&lt;/D&gt;&lt;D xsi:type="xsd:double"&gt;0.80963373&lt;/D&gt;&lt;D xsi:type="xsd:double"&gt;-6.1552286&lt;/D&gt;&lt;D xsi:type="xsd:double"&gt;8.420563&lt;/D&gt;&lt;D xsi:type="xsd:double"&gt;2.6146054&lt;/D&gt;&lt;D xsi:type="xsd:double"&gt;-3.0689776&lt;/D&gt;&lt;D xsi:type="xsd:double"&gt;2.8288484&lt;/D&gt;&lt;D xsi:type="xsd:double"&gt;8.945131&lt;/D&gt;&lt;D xsi:type="xsd:double"&gt;4.1781306&lt;/D&gt;&lt;D xsi:type="xsd:double"&gt;-8.288121&lt;/D&gt;&lt;D xsi:type="xsd:double"&gt;-17.007196&lt;/D&gt;&lt;D xsi:type="xsd:double"&gt;-11.8547735&lt;/D&gt;&lt;D xsi:type="xsd:double"&gt;16.180277&lt;/D&gt;&lt;D xsi:type="xsd:double"&gt;7.4563622&lt;/D&gt;&lt;D xsi:type="xsd:double"&gt;28.503572&lt;/D&gt;&lt;D xsi:type="xsd:double"&gt;29.76302&lt;/D&gt;&lt;D xsi:type="xsd:double"&gt;27.875471&lt;/D&gt;&lt;D xsi:type="xsd:double"&gt;20.07388&lt;/D&gt;&lt;D xsi:type="xsd:double"&gt;5.885577&lt;/D&gt;&lt;D xsi:type="xsd:double"&gt;7.2422385&lt;/D&gt;&lt;D xsi:type="xsd:double"&gt;13.204443&lt;/D&gt;&lt;D xsi:type="xsd:double"&gt;16.128302&lt;/D&gt;&lt;D xsi:type="xsd:double"&gt;30.754053&lt;/D&gt;&lt;D xsi:type="xsd:double"&gt;38.570892&lt;/D&gt;&lt;D xsi:type="xsd:double"&gt;42.919075&lt;/D&gt;&lt;D xsi:type="xsd:double"&gt;41.125084&lt;/D&gt;&lt;D xsi:type="xsd:double"&gt;41.56078&lt;/D&gt;&lt;D xsi:type="xsd:double"&gt;23.160957&lt;/D&gt;&lt;D xsi:type="xsd:double"&gt;30.008198&lt;/D&gt;&lt;D xsi:type="xsd:double"&gt;54.945957&lt;/D&gt;&lt;/FQL&gt;&lt;FQL&gt;&lt;Q&gt;CNYA^FG_TOTAL_RETURNC(-10AY,0,AM)&lt;/Q&gt;&lt;R&gt;121&lt;/R&gt;&lt;C&gt;1&lt;/C&gt;&lt;D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xsi:type="xsd:double"&gt;1.739645&lt;/D&gt;&lt;D xsi:type="xsd:double"&gt;0.30846596&lt;/D&gt;&lt;D xsi:type="xsd:double"&gt;0&lt;/D&gt;&lt;D xsi:type="xsd:double"&gt;0.49353838&lt;/D&gt;&lt;D xsi:type="xsd:double"&gt;0.79334974&lt;/D&gt;&lt;D xsi:type="xsd:double"&gt;-2.9624224&lt;/D&gt;&lt;D xsi:type="xsd:double"&gt;1.996088&lt;/D&gt;&lt;D xsi:type="xsd:double"&gt;0.37989616&lt;/D&gt;&lt;D xsi:type="xsd:double"&gt;4.476464&lt;/D&gt;&lt;D xsi:type="xsd:double"&gt;-6.8057117&lt;/D&gt;&lt;D xsi:type="xsd:double"&gt;8.166468&lt;/D&gt;&lt;D xsi:type="xsd:double"&gt;2.8199792&lt;/D&gt;&lt;D xsi:type="xsd:double"&gt;3.7079096&lt;/D&gt;&lt;D xsi:type="xsd:double"&gt;5.961168&lt;/D&gt;&lt;D xsi:type="xsd:double"&gt;0.99999905&lt;/D&gt;&lt;D xsi:type="xsd:double"&gt;3.2896876&lt;/D&gt;&lt;D xsi:type="xsd:double"&gt;-2.8756976&lt;/D&gt;&lt;D xsi:type="xsd:double"&gt;6.387055&lt;/D&gt;&lt;D xsi:type="xsd:double"&gt;-6.9428444&lt;/D&gt;&lt;D xsi:type="xsd:double"&gt;8.996761&lt;/D&gt;&lt;D xsi:type="xsd:double"&gt;-4.127079&lt;/D&gt;&lt;D xsi:type="xsd:double"&gt;-2.291739&lt;/D&gt;&lt;D xsi:type="xsd:double"&gt;-1.9017398&lt;/D&gt;&lt;D xsi:type="xsd:double"&gt;-11.251915&lt;/D&gt;&lt;D xsi:type="xsd:double"&gt;-4.875368&lt;/D&gt;&lt;D xsi:type="xsd:double"&gt;-3.942579&lt;/D&gt;&lt;D xsi:type="xsd:double"&gt;-1.3999999&lt;/D&gt;&lt;D xsi:type="xsd:double"&gt;-1.8389463&lt;/D&gt;&lt;D xsi:type="xsd:double"&gt;0.59223175&lt;/D&gt;&lt;D xsi:type="xsd:double"&gt;0.02259016&lt;/D&gt;&lt;D xsi:type="xsd:double"&gt;5.0408006&lt;/D&gt;&lt;D xsi:type="xsd:double"&gt;11.933815&lt;/D&gt;&lt;D xsi:type="xsd:double"&gt;12.251902&lt;/D&gt;&lt;D xsi:type="xsd:double"&gt;-10.818195&lt;/D&gt;&lt;D xsi:type="xsd:double"&gt;-3.6049008&lt;/D&gt;&lt;D xsi:type="xsd:double"&gt;6.1686635&lt;/D&gt;&lt;D xsi:type="xsd:double"&gt;-6.261057&lt;/D&gt;&lt;D xsi:type="xsd:double"&gt;8.905661&lt;/D&gt;&lt;D xsi:type="xsd:double"&gt;-1.247406&lt;/D&gt;&lt;D xsi:type="xsd:double"&gt;3.8245678&lt;/D&gt;&lt;D xsi:type="xsd:double"&gt;-2.3656666&lt;/D&gt;&lt;D xsi:type="xsd:double"&gt;8.476507&lt;/D&gt;&lt;D xsi:type="xsd:double"&gt;-5.7611823&lt;/D&gt;&lt;D xsi:type="xsd:double"&gt;7.581961&lt;/D&gt;&lt;D xsi:type="xsd:double"&gt;-9.460318&lt;/D&gt;&lt;D xsi:type="xsd:double"&gt;4.032254&lt;/D&gt;&lt;D xsi:type="xsd:double"&gt;2.8648496&lt;/D&gt;&lt;D xsi:type="xsd:double"&gt;20.810866999999998&lt;/D&gt;&lt;D xsi:type="xsd:double"&gt;0.55583715&lt;/D&gt;&lt;D xsi:type="xsd:double"&gt;-3.5443664&lt;/D&gt;&lt;D xsi:type="xsd:double"&gt;6.689477&lt;/D&gt;&lt;D xsi:type="xsd:double"&gt;5.666387&lt;/D&gt;&lt;D xsi:type="xsd:double"&gt;1.3685107&lt;/D&gt;&lt;D xsi:type="xsd:double"&gt;12.293243&lt;/D&gt;&lt;D xsi:type="xsd:double"&gt;6.835723&lt;/D&gt;&lt;D xsi:type="xsd:double"&gt;-16.202276&lt;/D&gt;&lt;D xsi:type="xsd:double"&gt;1.2068987&lt;/D&gt;&lt;D xsi:type="xsd:double"&gt;0.7300973&lt;/D&gt;&lt;D xsi:type="xsd:double"&gt;8.536816&lt;/D&gt;&lt;D xsi:type="xsd:double"&gt;-2.8316557&lt;/D&gt;&lt;D xsi:type="xsd:double"&gt;-0.43598413&lt;/D&gt;&lt;D xsi:type="xsd:double"&gt;0.87578297&lt;/D&gt;&lt;D xsi:type="xsd:double"&gt;-1.644963&lt;/D&gt;&lt;D xsi:type="xsd:double"&gt;-0.74332356&lt;/D&gt;&lt;D xsi:type="xsd:double"&gt;5.195415&lt;/D&gt;&lt;D xsi:type="xsd:double"&gt;-5.185837&lt;/D&gt;&lt;D xsi:type="xsd:double"&gt;-4.0492535&lt;/D&gt;&lt;D xsi:type="xsd:double"&gt;-6.959528&lt;/D&gt;&lt;D xsi:type="xsd:double"&gt;-2.201599&lt;/D&gt;&lt;D xsi:type="xsd:double"&gt;-12.693251&lt;/D&gt;&lt;D xsi:type="xsd:double"&gt;9.711218&lt;/D&gt;&lt;D xsi:type="xsd:double"&gt;6.695032&lt;/D&gt;&lt;D xsi:type="xsd:double"&gt;-6.1951637&lt;/D&gt;&lt;D xsi:type="xsd:double"&gt;-3.8265288&lt;/D&gt;&lt;D xsi:type="xsd:double"&gt;-11.788977&lt;/D&gt;&lt;D xsi:type="xsd:double"&gt;2.338791&lt;/D&gt;&lt;D xsi:type="xsd:double"&gt;6.333661&lt;/D&gt;&lt;D xsi:type="xsd:double"&gt;4.640794&lt;/D&gt;&lt;D xsi:type="xsd:double"&gt;0.75142384&lt;/D&gt;&lt;D xsi:type="xsd:double"&gt;-4.6539426&lt;/D&gt;&lt;D xsi:type="xsd:double"&gt;3.2656431&lt;/D&gt;&lt;D xsi:type="xsd:double"&gt;-3.4047723&lt;/D&gt;&lt;D xsi:type="xsd:double"&gt;-7.2110176&lt;/D&gt;&lt;D xsi:type="xsd:double"&gt;-0.15243888&lt;/D&gt;&lt;D xsi:type="xsd:double"&gt;3.0703902&lt;/D&gt;&lt;D xsi:type="xsd:double"&gt;-7.8008533&lt;/D&gt;&lt;D xsi:type="xsd:double"&gt;0.24955273&lt;/D&gt;&lt;D xsi:type="xsd:double"&gt;-2.9202282&lt;/D&gt;&lt;D xsi:type="xsd:double"&gt;-2.7916372&lt;/D&gt;&lt;D xsi:type="xsd:double"&gt;-3.8479567&lt;/D&gt;&lt;D xsi:type="xsd:double"&gt;1.2632847&lt;/D&gt;&lt;D xsi:type="xsd:double"&gt;6.060004&lt;/D&gt;&lt;D xsi:type="xsd:double"&gt;-2.017516&lt;/D&gt;&lt;D xsi:type="xsd:double"&gt;5.555558&lt;/D&gt;&lt;D xsi:type="xsd:double"&gt;-3.5333097&lt;/D&gt;&lt;D xsi:type="xsd:double"&gt;-3.1084478&lt;/D&gt;&lt;D xsi:type="xsd:double"&gt;-1.7377615&lt;/D&gt;&lt;D xsi:type="xsd:double"&gt;-3.6575556&lt;/D&gt;&lt;D xsi:type="xsd:double"&gt;26.61661&lt;/D&gt;&lt;/FQL&gt;&lt;FQL&gt;&lt;Q&gt;EPHE^FG_PRICE_MAVG(0,,,,30)&lt;/Q&gt;&lt;R&gt;1&lt;/R&gt;&lt;C&gt;1&lt;/C&gt;&lt;D xsi:type="xsd:double"&gt;28.716667&lt;/D&gt;&lt;/FQL&gt;&lt;FQL&gt;&lt;Q&gt;USDEUR^STD(FG_PRICE_CHANGE(0,-1AY,AM))&lt;/Q&gt;&lt;R&gt;1&lt;/R&gt;&lt;C&gt;1&lt;/C&gt;&lt;D xsi:type="xsd:double"&gt;1.21308000708563&lt;/D&gt;&lt;/FQL&gt;&lt;FQL&gt;&lt;Q&gt;USDPEN^STD(FG_PRICE_CHANGE(0,-1AY,AM))&lt;/Q&gt;&lt;R&gt;1&lt;/R&gt;&lt;C&gt;1&lt;/C&gt;&lt;D xsi:type="xsd:double"&gt;2.28818999864802&lt;/D&gt;&lt;/FQL&gt;&lt;FQL&gt;&lt;Q&gt;CPALM-FDS^FG_PRICE(0)/MAX(FG_PRICE(0,-1AY))&lt;/Q&gt;&lt;R&gt;1&lt;/R&gt;&lt;C&gt;1&lt;/C&gt;&lt;D xsi:type="xsd:double"&gt;0.949989080585281&lt;/D&gt;&lt;/FQL&gt;&lt;FQL&gt;&lt;Q&gt;ECH^FG_TOTAL_RETURNC(0,-12AM)&lt;/Q&gt;&lt;R&gt;1&lt;/R&gt;&lt;C&gt;1&lt;/C&gt;&lt;D xsi:type="xsd:double"&gt;8.991361&lt;/D&gt;&lt;/FQL&gt;&lt;FQL&gt;&lt;Q&gt;TRYTH10Y-FDS^FG_YIELD(0,,,,"YTM")&lt;/Q&gt;&lt;R&gt;1&lt;/R&gt;&lt;C&gt;1&lt;/C&gt;&lt;D xsi:type="xsd:double"&gt;2.539623&lt;/D&gt;&lt;/FQL&gt;&lt;FQL&gt;&lt;Q&gt;TRYPL10Y-FDS^FG_YIELD(-10AY,0,Y,,"YTM")&lt;/Q&gt;&lt;R&gt;10&lt;/R&gt;&lt;C&gt;1&lt;/C&gt;&lt;D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xsi:type="xsd:double"&gt;5.1912&lt;/D&gt;&lt;/FQL&gt;&lt;FQL&gt;&lt;Q&gt;ECH^JULIAN(FG_TOTAL_RETURNC(-10AY,0,AM).DATES)&lt;/Q&gt;&lt;R&gt;121&lt;/R&gt;&lt;C&gt;1&lt;/C&gt;&lt;D xsi:type="xsd:long"&gt;41922&lt;/D&gt;&lt;D xsi:type="xsd:long"&gt;41953&lt;/D&gt;&lt;D xsi:type="xsd:long"&gt;41983&lt;/D&gt;&lt;D xsi:type="xsd:long"&gt;42013&lt;/D&gt;&lt;D xsi:type="xsd:long"&gt;42045&lt;/D&gt;&lt;D xsi:type="xsd:long"&gt;42073&lt;/D&gt;&lt;D xsi:type="xsd:long"&gt;42104&lt;/D&gt;&lt;D xsi:type="xsd:long"&gt;42132&lt;/D&gt;&lt;D xsi:type="xsd:long"&gt;42165&lt;/D&gt;&lt;D xsi:type="xsd:long"&gt;42195&lt;/D&gt;&lt;D xsi:type="xsd:long"&gt;42226&lt;/D&gt;&lt;D xsi:type="xsd:long"&gt;42257&lt;/D&gt;&lt;D xsi:type="xsd:long"&gt;42286&lt;/D&gt;&lt;D xsi:type="xsd:long"&gt;42318&lt;/D&gt;&lt;D xsi:type="xsd:long"&gt;42348&lt;/D&gt;&lt;D xsi:type="xsd:long"&gt;42377&lt;/D&gt;&lt;D xsi:type="xsd:long"&gt;42410&lt;/D&gt;&lt;D xsi:type="xsd:long"&gt;42439&lt;/D&gt;&lt;D xsi:type="xsd:long"&gt;42468&lt;/D&gt;&lt;D xsi:type="xsd:long"&gt;42500&lt;/D&gt;&lt;D xsi:type="xsd:long"&gt;42531&lt;/D&gt;&lt;D xsi:type="xsd:long"&gt;42559&lt;/D&gt;&lt;D xsi:type="xsd:long"&gt;42592&lt;/D&gt;&lt;D xsi:type="xsd:long"&gt;42622&lt;/D&gt;&lt;D xsi:type="xsd:long"&gt;42653&lt;/D&gt;&lt;D xsi:type="xsd:long"&gt;42684&lt;/D&gt;&lt;D xsi:type="xsd:long"&gt;42713&lt;/D&gt;&lt;D xsi:type="xsd:long"&gt;42745&lt;/D&gt;&lt;D xsi:type="xsd:long"&gt;42776&lt;/D&gt;&lt;D xsi:type="xsd:long"&gt;42804&lt;/D&gt;&lt;D xsi:type="xsd:long"&gt;42835&lt;/D&gt;&lt;D xsi:type="xsd:long"&gt;42865&lt;/D&gt;&lt;D xsi:type="xsd:long"&gt;42895&lt;/D&gt;&lt;D xsi:type="xsd:long"&gt;42926&lt;/D&gt;&lt;D xsi:type="xsd:long"&gt;42957&lt;/D&gt;&lt;D xsi:type="xsd:long"&gt;42986&lt;/D&gt;&lt;D xsi:type="xsd:long"&gt;43018&lt;/D&gt;&lt;D xsi:type="xsd:long"&gt;43049&lt;/D&gt;&lt;D xsi:type="xsd:long"&gt;43077&lt;/D&gt;&lt;D xsi:type="xsd:long"&gt;43110&lt;/D&gt;&lt;D xsi:type="xsd:long"&gt;43140&lt;/D&gt;&lt;D xsi:type="xsd:long"&gt;43168&lt;/D&gt;&lt;D xsi:type="xsd:long"&gt;43200&lt;/D&gt;&lt;D xsi:type="xsd:long"&gt;43230&lt;/D&gt;&lt;D xsi:type="xsd:long"&gt;43259&lt;/D&gt;&lt;D xsi:type="xsd:long"&gt;43291&lt;/D&gt;&lt;D xsi:type="xsd:long"&gt;43322&lt;/D&gt;&lt;D xsi:type="xsd:long"&gt;43353&lt;/D&gt;&lt;D xsi:type="xsd:long"&gt;43383&lt;/D&gt;&lt;D xsi:type="xsd:long"&gt;43413&lt;/D&gt;&lt;D xsi:type="xsd:long"&gt;43444&lt;/D&gt;&lt;D xsi:type="xsd:long"&gt;43475&lt;/D&gt;&lt;D xsi:type="xsd:long"&gt;43504&lt;/D&gt;&lt;D xsi:type="xsd:long"&gt;43532&lt;/D&gt;&lt;D xsi:type="xsd:long"&gt;43565&lt;/D&gt;&lt;D xsi:type="xsd:long"&gt;43595&lt;/D&gt;&lt;D xsi:type="xsd:long"&gt;43626&lt;/D&gt;&lt;D xsi:type="xsd:long"&gt;43656&lt;/D&gt;&lt;D xsi:type="xsd:long"&gt;43686&lt;/D&gt;&lt;D xsi:type="xsd:long"&gt;43718&lt;/D&gt;&lt;D xsi:type="xsd:long"&gt;43748&lt;/D&gt;&lt;D xsi:type="xsd:long"&gt;43777&lt;/D&gt;&lt;D xsi:type="xsd:long"&gt;43809&lt;/D&gt;&lt;D xsi:type="xsd:long"&gt;43840&lt;/D&gt;&lt;D xsi:type="xsd:long"&gt;43871&lt;/D&gt;&lt;D xsi:type="xsd:long"&gt;43900&lt;/D&gt;&lt;D xsi:type="xsd:long"&gt;43930&lt;/D&gt;&lt;D xsi:type="xsd:long"&gt;43959&lt;/D&gt;&lt;D xsi:type="xsd:long"&gt;43992&lt;/D&gt;&lt;D xsi:type="xsd:long"&gt;44022&lt;/D&gt;&lt;D xsi:type="xsd:long"&gt;44053&lt;/D&gt;&lt;D xsi:type="xsd:long"&gt;44084&lt;/D&gt;&lt;D xsi:type="xsd:long"&gt;44113&lt;/D&gt;&lt;D xsi:type="xsd:long"&gt;44145&lt;/D&gt;&lt;D xsi:type="xsd:long"&gt;44175&lt;/D&gt;&lt;D xsi:type="xsd:long"&gt;44204&lt;/D&gt;&lt;D xsi:type="xsd:long"&gt;44237&lt;/D&gt;&lt;D xsi:type="xsd:long"&gt;44265&lt;/D&gt;&lt;D xsi:type="xsd:long"&gt;44295&lt;/D&gt;&lt;D xsi:type="xsd:long"&gt;44326&lt;/D&gt;&lt;D xsi:type="xsd:long"&gt;44357&lt;/D&gt;&lt;D xsi:type="xsd:long"&gt;44386&lt;/D&gt;&lt;D xsi:type="xsd:long"&gt;44418&lt;/D&gt;&lt;D xsi:type="xsd:long"&gt;44449&lt;/D&gt;&lt;D xsi:type="xsd:long"&gt;44477&lt;/D&gt;&lt;D xsi:type="xsd:long"&gt;44510&lt;/D&gt;&lt;D xsi:type="xsd:long"&gt;44540&lt;/D&gt;&lt;D xsi:type="xsd:long"&gt;44571&lt;/D&gt;&lt;D xsi:type="xsd:long"&gt;44602&lt;/D&gt;&lt;D xsi:type="xsd:long"&gt;44630&lt;/D&gt;&lt;D xsi:type="xsd:long"&gt;44659&lt;/D&gt;&lt;D xsi:type="xsd:long"&gt;44691&lt;/D&gt;&lt;D xsi:type="xsd:long"&gt;44722&lt;/D&gt;&lt;D xsi:type="xsd:long"&gt;44750&lt;/D&gt;&lt;D xsi:type="xsd:long"&gt;44783&lt;/D&gt;&lt;D xsi:type="xsd:long"&gt;44813&lt;/D&gt;&lt;D xsi:type="xsd:long"&gt;44844&lt;/D&gt;&lt;D xsi:type="xsd:long"&gt;44875&lt;/D&gt;&lt;D xsi:type="xsd:long"&gt;44904&lt;/D&gt;&lt;D xsi:type="xsd:long"&gt;44936&lt;/D&gt;&lt;D xsi:type="xsd:long"&gt;44967&lt;/D&gt;&lt;D xsi:type="xsd:long"&gt;44995&lt;/D&gt;&lt;D xsi:type="xsd:long"&gt;45026&lt;/D&gt;&lt;D xsi:type="xsd:long"&gt;45056&lt;/D&gt;&lt;D xsi:type="xsd:long"&gt;45086&lt;/D&gt;&lt;D xsi:type="xsd:long"&gt;45117&lt;/D&gt;&lt;D xsi:type="xsd:long"&gt;45148&lt;/D&gt;&lt;D xsi:type="xsd:long"&gt;45177&lt;/D&gt;&lt;D xsi:type="xsd:long"&gt;45209&lt;/D&gt;&lt;D xsi:type="xsd:long"&gt;45240&lt;/D&gt;&lt;D xsi:type="xsd:long"&gt;45268&lt;/D&gt;&lt;D xsi:type="xsd:long"&gt;45301&lt;/D&gt;&lt;D xsi:type="xsd:long"&gt;45331&lt;/D&gt;&lt;D xsi:type="xsd:long"&gt;45359&lt;/D&gt;&lt;D xsi:type="xsd:long"&gt;45392&lt;/D&gt;&lt;D xsi:type="xsd:long"&gt;45422&lt;/D&gt;&lt;D xsi:type="xsd:long"&gt;45453&lt;/D&gt;&lt;D xsi:type="xsd:long"&gt;45483&lt;/D&gt;&lt;D xsi:type="xsd:long"&gt;45513&lt;/D&gt;&lt;D xsi:type="xsd:long"&gt;45545&lt;/D&gt;&lt;D xsi:type="xsd:long"&gt;45575&lt;/D&gt;&lt;/FQL&gt;&lt;FQL&gt;&lt;Q&gt;INDA^FG_ROE(0)&lt;/Q&gt;&lt;R&gt;1&lt;/R&gt;&lt;C&gt;1&lt;/C&gt;&lt;D xsi:type="xsd:double"&gt;15.6166037405788&lt;/D&gt;&lt;/FQL&gt;&lt;FQL&gt;&lt;Q&gt;VNM^FMA_EVAL_EBITDA(NTMA,0,,,"PORTAGG","MEANR")&lt;/Q&gt;&lt;R&gt;1&lt;/R&gt;&lt;C&gt;1&lt;/C&gt;&lt;D xsi:type="xsd:double"&gt;10.1016556677533&lt;/D&gt;&lt;/FQL&gt;&lt;FQL&gt;&lt;Q&gt;EIDO^FG_PRICE_MAVG(0,,,,200)&lt;/Q&gt;&lt;R&gt;1&lt;/R&gt;&lt;C&gt;1&lt;/C&gt;&lt;D xsi:type="xsd:double"&gt;21.36545&lt;/D&gt;&lt;/FQL&gt;&lt;FQL&gt;&lt;Q&gt;URTH^P_PRICE(0)/P_PRICE_HIGH_PR(0,,,,,,"PRICE","INTRA","52W")&lt;/Q&gt;&lt;R&gt;1&lt;/R&gt;&lt;C&gt;1&lt;/C&gt;&lt;D xsi:type="xsd:double"&gt;0.99526644&lt;/D&gt;&lt;/FQL&gt;&lt;FQL&gt;&lt;Q&gt;SET-BKK^FMA_COS_DOWN("EPS","1M",+1,NOW,,,"PORTAGG","MEANR")&lt;/Q&gt;&lt;R&gt;1&lt;/R&gt;&lt;C&gt;1&lt;/C&gt;&lt;D xsi:type="xsd:double"&gt;56&lt;/D&gt;&lt;/FQL&gt;&lt;FQL&gt;&lt;Q&gt;TRYBR10Y-FDS^FG_YIELD_NAME&lt;/Q&gt;&lt;R&gt;1&lt;/R&gt;&lt;C&gt;1&lt;/C&gt;&lt;D xsi:type="xsd:string"&gt;Treasury - Brazil Benchmark Bond 10Y&lt;/D&gt;&lt;/FQL&gt;&lt;FQL&gt;&lt;Q&gt;TRYQA10Y-FDS^FG_YIELD(0,,,,"YTM")&lt;/Q&gt;&lt;R&gt;0&lt;/R&gt;&lt;C&gt;0&lt;/C&gt;&lt;/FQL&gt;&lt;FQL&gt;&lt;Q&gt;EWW^FMA_EVAL_EBITDA(NTMA,0,,,"PORTAGG","MEANR")&lt;/Q&gt;&lt;R&gt;1&lt;/R&gt;&lt;C&gt;1&lt;/C&gt;&lt;D xsi:type="xsd:double"&gt;5.79265862671285&lt;/D&gt;&lt;/FQL&gt;&lt;FQL&gt;&lt;Q&gt;EPU^FMA_DIV_YLD(NTMA,NOW,NOW,M,"PORTAGG","MEANR")&lt;/Q&gt;&lt;R&gt;1&lt;/R&gt;&lt;C&gt;1&lt;/C&gt;&lt;D xsi:type="xsd:double"&gt;3.73809976580406&lt;/D&gt;&lt;/FQL&gt;&lt;FQL&gt;&lt;Q&gt;ECH^FMA_EVAL_EBITDA(NTMA,0,,,"PORTAGG","MEANR")&lt;/Q&gt;&lt;R&gt;1&lt;/R&gt;&lt;C&gt;1&lt;/C&gt;&lt;D xsi:type="xsd:double"&gt;5.87939091333683&lt;/D&gt;&lt;/FQL&gt;&lt;FQL&gt;&lt;Q&gt;SET-BKK^FMA_ROE(NTMA,-20AY,NOW,FY,"PORTAGG","MEANR")&lt;/Q&gt;&lt;R&gt;20&lt;/R&gt;&lt;C&gt;1&lt;/C&gt;&lt;D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xsi:type="xsd:double"&gt;10.9395949218951&lt;/D&gt;&lt;D xsi:type="xsd:double"&gt;8.38849749811116&lt;/D&gt;&lt;D xsi:type="xsd:double"&gt;9.94747027091187&lt;/D&gt;&lt;D xsi:type="xsd:double"&gt;10.1243578125464&lt;/D&gt;&lt;D xsi:type="xsd:double"&gt;9.34882411898388&lt;/D&gt;&lt;/FQL&gt;&lt;FQL&gt;&lt;Q&gt;USDVND^FG_COMPANY_NAME&lt;/Q&gt;&lt;R&gt;1&lt;/R&gt;&lt;C&gt;1&lt;/C&gt;&lt;D xsi:type="xsd:string"&gt;Vietnam Dong per U.S. Dollar&lt;/D&gt;&lt;/FQL&gt;&lt;FQL&gt;&lt;Q&gt;FC0000BR^FMA_EPS(NTMA,-20AY,0,CY,,"PORTAGG","MEANR")&lt;/Q&gt;&lt;R&gt;20&lt;/R&gt;&lt;C&gt;1&lt;/C&gt;&lt;D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xsi:type="xsd:double"&gt;20.1300195767834&lt;/D&gt;&lt;D xsi:type="xsd:double"&gt;14.9311682629718&lt;/D&gt;&lt;D xsi:type="xsd:double"&gt;18.5635369281671&lt;/D&gt;&lt;D xsi:type="xsd:double"&gt;21.0634097781941&lt;/D&gt;&lt;D xsi:type="xsd:double"&gt;24.0427741588571&lt;/D&gt;&lt;/FQL&gt;&lt;FQL&gt;&lt;Q&gt;EPHE^P_PRICE_RETURNS_PR('52W',2,-10AY,0,AM)&lt;/Q&gt;&lt;R&gt;121&lt;/R&gt;&lt;C&gt;1&lt;/C&gt;&lt;D xsi:type="xsd:double"&gt;5.0934196&lt;/D&gt;&lt;D xsi:type="xsd:double"&gt;13.963997&lt;/D&gt;&lt;D xsi:type="xsd:double"&gt;21.650791&lt;/D&gt;&lt;D xsi:type="xsd:double"&gt;26.455807&lt;/D&gt;&lt;D xsi:type="xsd:double"&gt;32.65985&lt;/D&gt;&lt;D xsi:type="xsd:double"&gt;21.03628&lt;/D&gt;&lt;D xsi:type="xsd:double"&gt;23.84317&lt;/D&gt;&lt;D xsi:type="xsd:double"&gt;12.53581&lt;/D&gt;&lt;D xsi:type="xsd:double"&gt;4.619324&lt;/D&gt;&lt;D xsi:type="xsd:double"&gt;3.0918717&lt;/D&gt;&lt;D xsi:type="xsd:double"&gt;3.445959&lt;/D&gt;&lt;D xsi:type="xsd:double"&gt;-11.268436&lt;/D&gt;&lt;D xsi:type="xsd:double"&gt;-0.53139925&lt;/D&gt;&lt;D xsi:type="xsd:double"&gt;-10.330105&lt;/D&gt;&lt;D xsi:type="xsd:double"&gt;-9.869396&lt;/D&gt;&lt;D xsi:type="xsd:double"&gt;-19.30524&lt;/D&gt;&lt;D xsi:type="xsd:double"&gt;-20.967733&lt;/D&gt;&lt;D xsi:type="xsd:double"&gt;-15.136504&lt;/D&gt;&lt;D xsi:type="xsd:double"&gt;-14.771849&lt;/D&gt;&lt;D xsi:type="xsd:double"&gt;-12.499535&lt;/D&gt;&lt;D xsi:type="xsd:double"&gt;-0.21733046&lt;/D&gt;&lt;D xsi:type="xsd:double"&gt;4.7330976&lt;/D&gt;&lt;D xsi:type="xsd:double"&gt;6.016624&lt;/D&gt;&lt;D xsi:type="xsd:double"&gt;9.418285&lt;/D&gt;&lt;D xsi:type="xsd:double"&gt;0.20164251&lt;/D&gt;&lt;D xsi:type="xsd:double"&gt;-0.7583976&lt;/D&gt;&lt;D xsi:type="xsd:double"&gt;-0.47563314&lt;/D&gt;&lt;D xsi:type="xsd:double"&gt;11.92094&lt;/D&gt;&lt;D xsi:type="xsd:double"&gt;6.8379283&lt;/D&gt;&lt;D xsi:type="xsd:double"&gt;-1.883167&lt;/D&gt;&lt;D xsi:type="xsd:double"&gt;0.8409023&lt;/D&gt;&lt;D xsi:type="xsd:double"&gt;4.4813275&lt;/D&gt;&lt;D xsi:type="xsd:double"&gt;-3.466338&lt;/D&gt;&lt;D xsi:type="xsd:double"&gt;-8.306998&lt;/D&gt;&lt;D xsi:type="xsd:double"&gt;-11.967105&lt;/D&gt;&lt;D xsi:type="xsd:double"&gt;-3.6230028&lt;/D&gt;&lt;D xsi:type="xsd:double"&gt;2.8894305&lt;/D&gt;&lt;D xsi:type="xsd:double"&gt;11.923944&lt;/D&gt;&lt;D xsi:type="xsd:double"&gt;11.70032&lt;/D&gt;&lt;D xsi:type="xsd:double"&gt;14.043676&lt;/D&gt;&lt;D xsi:type="xsd:double"&gt;7.590151&lt;/D&gt;&lt;D xsi:type="xsd:double"&gt;8.215332&lt;/D&gt;&lt;D xsi:type="xsd:double"&gt;-4.2590914&lt;/D&gt;&lt;D xsi:type="xsd:double"&gt;-7.940727&lt;/D&gt;&lt;D xsi:type="xsd:double"&gt;-11.971169&lt;/D&gt;&lt;D xsi:type="xsd:double"&gt;-14.788448&lt;/D&gt;&lt;D xsi:type="xsd:double"&gt;-6.6385746&lt;/D&gt;&lt;D xsi:type="xsd:double"&gt;-13.452303&lt;/D&gt;&lt;D xsi:type="xsd:double"&gt;-24.013794&lt;/D&gt;&lt;D xsi:type="xsd:double"&gt;-22.89841&lt;/D&gt;&lt;D xsi:type="xsd:double"&gt;-15.788656&lt;/D&gt;&lt;D xsi:type="xsd:double"&gt;-11.390644&lt;/D&gt;&lt;D xsi:type="xsd:double"&gt;-3.1923532&lt;/D&gt;&lt;D xsi:type="xsd:double"&gt;-6.6611824&lt;/D&gt;&lt;D xsi:type="xsd:double"&gt;2.6227236&lt;/D&gt;&lt;D xsi:type="xsd:double"&gt;-0.46073794&lt;/D&gt;&lt;D xsi:type="xsd:double"&gt;6.9482803&lt;/D&gt;&lt;D xsi:type="xsd:double"&gt;19.325912&lt;/D&gt;&lt;D xsi:type="xsd:double"&gt;2.42486&lt;/D&gt;&lt;D xsi:type="xsd:double"&gt;10.795283&lt;/D&gt;&lt;D xsi:type="xsd:double"&gt;20.06899&lt;/D&gt;&lt;D xsi:type="xsd:double"&gt;21.584724&lt;/D&gt;&lt;D xsi:type="xsd:double"&gt;9.882712&lt;/D&gt;&lt;D xsi:type="xsd:double"&gt;-1.2948692&lt;/D&gt;&lt;D xsi:type="xsd:double"&gt;-5.9908986&lt;/D&gt;&lt;D xsi:type="xsd:double"&gt;-15.3247595&lt;/D&gt;&lt;D xsi:type="xsd:double"&gt;-31.81002&lt;/D&gt;&lt;D xsi:type="xsd:double"&gt;-26.559526&lt;/D&gt;&lt;D xsi:type="xsd:double"&gt;-17.118622&lt;/D&gt;&lt;D xsi:type="xsd:double"&gt;-23.120802&lt;/D&gt;&lt;D xsi:type="xsd:double"&gt;-21.265299&lt;/D&gt;&lt;D xsi:type="xsd:double"&gt;-22.304857&lt;/D&gt;&lt;D xsi:type="xsd:double"&gt;-18.920725&lt;/D&gt;&lt;D xsi:type="xsd:double"&gt;-9.811008&lt;/D&gt;&lt;D xsi:type="xsd:double"&gt;-3.0459821&lt;/D&gt;&lt;D xsi:type="xsd:double"&gt;-1.7155945&lt;/D&gt;&lt;D xsi:type="xsd:double"&gt;-1.2223542&lt;/D&gt;&lt;D xsi:type="xsd:double"&gt;8.935285&lt;/D&gt;&lt;D xsi:type="xsd:double"&gt;26.129353&lt;/D&gt;&lt;D xsi:type="xsd:double"&gt;18.32155&lt;/D&gt;&lt;D xsi:type="xsd:double"&gt;11.60109&lt;/D&gt;&lt;D xsi:type="xsd:double"&gt;9.984279&lt;/D&gt;&lt;D xsi:type="xsd:double"&gt;9.871399&lt;/D&gt;&lt;D xsi:type="xsd:double"&gt;17.126238&lt;/D&gt;&lt;D xsi:type="xsd:double"&gt;17.276405&lt;/D&gt;&lt;D xsi:type="xsd:double"&gt;4.468572&lt;/D&gt;&lt;D xsi:type="xsd:double"&gt;0.19026995&lt;/D&gt;&lt;D xsi:type="xsd:double"&gt;-5.8560667&lt;/D&gt;&lt;D xsi:type="xsd:double"&gt;2.4734855&lt;/D&gt;&lt;D xsi:type="xsd:double"&gt;1.2834668&lt;/D&gt;&lt;D xsi:type="xsd:double"&gt;4.3661714&lt;/D&gt;&lt;D xsi:type="xsd:double"&gt;-0.34354925&lt;/D&gt;&lt;D xsi:type="xsd:double"&gt;-12.424898&lt;/D&gt;&lt;D xsi:type="xsd:double"&gt;-13.520802&lt;/D&gt;&lt;D xsi:type="xsd:double"&gt;-6.1775327&lt;/D&gt;&lt;D xsi:type="xsd:double"&gt;-13.707399&lt;/D&gt;&lt;D xsi:type="xsd:double"&gt;-27.104986&lt;/D&gt;&lt;D xsi:type="xsd:double"&gt;-23.162252&lt;/D&gt;&lt;D xsi:type="xsd:double"&gt;-17.451609&lt;/D&gt;&lt;D xsi:type="xsd:double"&gt;-8.686626&lt;/D&gt;&lt;D xsi:type="xsd:double"&gt;-10.649925&lt;/D&gt;&lt;D xsi:type="xsd:double"&gt;-11.927122&lt;/D&gt;&lt;D xsi:type="xsd:double"&gt;-11.669552&lt;/D&gt;&lt;D xsi:type="xsd:double"&gt;-4.358226&lt;/D&gt;&lt;D xsi:type="xsd:double"&gt;-6.69353&lt;/D&gt;&lt;D xsi:type="xsd:double"&gt;1.2436152&lt;/D&gt;&lt;D xsi:type="xsd:double"&gt;-2.06784&lt;/D&gt;&lt;D xsi:type="xsd:double"&gt;-3.0083835&lt;/D&gt;&lt;D xsi:type="xsd:double"&gt;13.301504&lt;/D&gt;&lt;D xsi:type="xsd:double"&gt;0.21722317&lt;/D&gt;&lt;D xsi:type="xsd:double"&gt;-3.7959814&lt;/D&gt;&lt;D xsi:type="xsd:double"&gt;-4.64803&lt;/D&gt;&lt;D xsi:type="xsd:double"&gt;-0.743109&lt;/D&gt;&lt;D xsi:type="xsd:double"&gt;5.6558847&lt;/D&gt;&lt;D xsi:type="xsd:double"&gt;1.2324214&lt;/D&gt;&lt;D xsi:type="xsd:double"&gt;-3.6856413&lt;/D&gt;&lt;D xsi:type="xsd:double"&gt;-3.1125367&lt;/D&gt;&lt;D xsi:type="xsd:double"&gt;-0.62075853&lt;/D&gt;&lt;D xsi:type="xsd:double"&gt;2.4242043&lt;/D&gt;&lt;D xsi:type="xsd:double"&gt;17.101824&lt;/D&gt;&lt;D xsi:type="xsd:double"&gt;18.194412&lt;/D&gt;&lt;/FQL&gt;&lt;FQL&gt;&lt;Q&gt;INDA^FMA_PE(NTMA,-10AY,0,AM,"PORTAGG","MEANR")&lt;/Q&gt;&lt;R&gt;121&lt;/R&gt;&lt;C&gt;1&lt;/C&gt;&lt;D xsi:type="xsd:double"&gt;16.3579471175283&lt;/D&gt;&lt;D xsi:type="xsd:double"&gt;17.1131479396053&lt;/D&gt;&lt;D xsi:type="xsd:double"&gt;17.0721566450451&lt;/D&gt;&lt;D xsi:type="xsd:double"&gt;16.8402737742472&lt;/D&gt;&lt;D xsi:type="xsd:double"&gt;17.7667472327742&lt;/D&gt;&lt;D xsi:type="xsd:double"&gt;18.1584667622038&lt;/D&gt;&lt;D xsi:type="xsd:double"&gt;18.3246011543807&lt;/D&gt;&lt;D xsi:type="xsd:double"&gt;17.103911169771&lt;/D&gt;&lt;D xsi:type="xsd:double"&gt;17.1362342681008&lt;/D&gt;&lt;D xsi:type="xsd:double"&gt;18.140850752603&lt;/D&gt;&lt;D xsi:type="xsd:double"&gt;18.7558132069048&lt;/D&gt;&lt;D xsi:type="xsd:double"&gt;17.3637211448194&lt;/D&gt;&lt;D xsi:type="xsd:double"&gt;17.96123044885&lt;/D&gt;&lt;D xsi:type="xsd:double"&gt;17.1380826435885&lt;/D&gt;&lt;D xsi:type="xsd:double"&gt;16.7820174361027&lt;/D&gt;&lt;D xsi:type="xsd:double"&gt;16.636329109476&lt;/D&gt;&lt;D xsi:type="xsd:double"&gt;16.2341825750478&lt;/D&gt;&lt;D xsi:type="xsd:double"&gt;17.0109483329907&lt;/D&gt;&lt;D xsi:type="xsd:double"&gt;16.8614268765078&lt;/D&gt;&lt;D xsi:type="xsd:double"&gt;17.4582586538993&lt;/D&gt;&lt;D xsi:type="xsd:double"&gt;17.5876363342603&lt;/D&gt;&lt;D xsi:type="xsd:double"&gt;17.7529819387396&lt;/D&gt;&lt;D xsi:type="xsd:double"&gt;18.1350008191812&lt;/D&gt;&lt;D xsi:type="xsd:double"&gt;18.1990712486189&lt;/D&gt;&lt;D xsi:type="xsd:double"&gt;17.8371391229333&lt;/D&gt;&lt;D xsi:type="xsd:double"&gt;16.9751442909054&lt;/D&gt;&lt;D xsi:type="xsd:double"&gt;16.5213187633103&lt;/D&gt;&lt;D xsi:type="xsd:double"&gt;16.4237019918953&lt;/D&gt;&lt;D xsi:type="xsd:double"&gt;17.4097070080187&lt;/D&gt;&lt;D xsi:type="xsd:double"&gt;17.5633278032559&lt;/D&gt;&lt;D xsi:type="xsd:double"&gt;17.990151052922&lt;/D&gt;&lt;D xsi:type="xsd:double"&gt;18.3070444937802&lt;/D&gt;&lt;D xsi:type="xsd:double"&gt;18.3103081474484&lt;/D&gt;&lt;D xsi:type="xsd:double"&gt;18.4086451656309&lt;/D&gt;&lt;D xsi:type="xsd:double"&gt;18.4666324110739&lt;/D&gt;&lt;D xsi:type="xsd:double"&gt;18.7029863691932&lt;/D&gt;&lt;D xsi:type="xsd:double"&gt;18.5890624595166&lt;/D&gt;&lt;D xsi:type="xsd:double"&gt;18.8533883109577&lt;/D&gt;&lt;D xsi:type="xsd:double"&gt;18.6467256975957&lt;/D&gt;&lt;D xsi:type="xsd:double"&gt;19.1888788713416&lt;/D&gt;&lt;D xsi:type="xsd:double"&gt;18.4812762931262&lt;/D&gt;&lt;D xsi:type="xsd:double"&gt;17.9564508649568&lt;/D&gt;&lt;D xsi:type="xsd:double"&gt;18.1524023559585&lt;/D&gt;&lt;D xsi:type="xsd:double"&gt;18.3918064291682&lt;/D&gt;&lt;D xsi:type="xsd:double"&gt;18.7141766541316&lt;/D&gt;&lt;D xsi:type="xsd:double"&gt;18.6704758215583&lt;/D&gt;&lt;D xsi:type="xsd:double"&gt;19.6108023954956&lt;/D&gt;&lt;D xsi:type="xsd:double"&gt;19.7119251132926&lt;/D&gt;&lt;D xsi:type="xsd:double"&gt;17.4907204760871&lt;/D&gt;&lt;D xsi:type="xsd:double"&gt;17.9661545944518&lt;/D&gt;&lt;D xsi:type="xsd:double"&gt;17.4839784717449&lt;/D&gt;&lt;D xsi:type="xsd:double"&gt;17.771863329155&lt;/D&gt;&lt;D xsi:type="xsd:double"&gt;18.3551367642677&lt;/D&gt;&lt;D xsi:type="xsd:double"&gt;18.4564255435098&lt;/D&gt;&lt;D xsi:type="xsd:double"&gt;18.8912951441789&lt;/D&gt;&lt;D xsi:type="xsd:double"&gt;18.2315516723894&lt;/D&gt;&lt;D xsi:type="xsd:double"&gt;19.2384214917551&lt;/D&gt;&lt;D xsi:type="xsd:double"&gt;18.2888853928591&lt;/D&gt;&lt;D xsi:type="xsd:double"&gt;18.218794745298&lt;/D&gt;&lt;D xsi:type="xsd:double"&gt;18.1639108210396&lt;/D&gt;&lt;D xsi:type="xsd:double"&gt;17.</t>
        </r>
      </text>
    </comment>
    <comment ref="A13" authorId="0" shapeId="0" xr:uid="{0328816C-41E0-4059-AC58-5C8858E13EEC}">
      <text>
        <r>
          <rPr>
            <b/>
            <sz val="9"/>
            <color indexed="81"/>
            <rFont val="Tahoma"/>
            <charset val="1"/>
          </rPr>
          <t>9190156097336&lt;/D&gt;&lt;D xsi:type="xsd:double"&gt;19.2380717465084&lt;/D&gt;&lt;D xsi:type="xsd:double"&gt;18.8406368059536&lt;/D&gt;&lt;D xsi:type="xsd:double"&gt;19.1890611246527&lt;/D&gt;&lt;D xsi:type="xsd:double"&gt;19.1071105598818&lt;/D&gt;&lt;D xsi:type="xsd:double"&gt;16.5413500293425&lt;/D&gt;&lt;D xsi:type="xsd:double"&gt;15.6608067498677&lt;/D&gt;&lt;D xsi:type="xsd:double"&gt;18.0737459376994&lt;/D&gt;&lt;D xsi:type="xsd:double"&gt;21.2962072743586&lt;/D&gt;&lt;D xsi:type="xsd:double"&gt;23.1779236254272&lt;/D&gt;&lt;D xsi:type="xsd:double"&gt;23.8432322403159&lt;/D&gt;&lt;D xsi:type="xsd:double"&gt;23.0899641929122&lt;/D&gt;&lt;D xsi:type="xsd:double"&gt;23.3617853279943&lt;/D&gt;&lt;D xsi:type="xsd:double"&gt;22.7300400957115&lt;/D&gt;&lt;D xsi:type="xsd:double"&gt;24.0850172879581&lt;/D&gt;&lt;D xsi:type="xsd:double"&gt;24.722279072693&lt;/D&gt;&lt;D xsi:type="xsd:double"&gt;23.7812675369085&lt;/D&gt;&lt;D xsi:type="xsd:double"&gt;23.8213144578193&lt;/D&gt;&lt;D xsi:type="xsd:double"&gt;22.9193749894828&lt;/D&gt;&lt;D xsi:type="xsd:double"&gt;22.5962604892327&lt;/D&gt;&lt;D xsi:type="xsd:double"&gt;23.4968911437191&lt;/D&gt;&lt;D xsi:type="xsd:double"&gt;22.9869723381438&lt;/D&gt;&lt;D xsi:type="xsd:double"&gt;23.4967751146438&lt;/D&gt;&lt;D xsi:type="xsd:double"&gt;24.6641503168057&lt;/D&gt;&lt;D xsi:type="xsd:double"&gt;24.5791091821453&lt;/D&gt;&lt;D xsi:type="xsd:double"&gt;24.2172008286309&lt;/D&gt;&lt;D xsi:type="xsd:double"&gt;23.5363020670171&lt;/D&gt;&lt;D xsi:type="xsd:double"&gt;23.7248798975014&lt;/D&gt;&lt;D xsi:type="xsd:double"&gt;22.6321465219141&lt;/D&gt;&lt;D xsi:type="xsd:double"&gt;21.1664378092295&lt;/D&gt;&lt;D xsi:type="xsd:double"&gt;22.5486042403285&lt;/D&gt;&lt;D xsi:type="xsd:double"&gt;20.354715448875&lt;/D&gt;&lt;D xsi:type="xsd:double"&gt;20.51483332047&lt;/D&gt;&lt;D xsi:type="xsd:double"&gt;20.4851382162081&lt;/D&gt;&lt;D xsi:type="xsd:double"&gt;22.4717325047467&lt;/D&gt;&lt;D xsi:type="xsd:double"&gt;22.6598901464652&lt;/D&gt;&lt;D xsi:type="xsd:double"&gt;21.6300813415032&lt;/D&gt;&lt;D xsi:type="xsd:double"&gt;22.3019569717492&lt;/D&gt;&lt;D xsi:type="xsd:double"&gt;22.7213168069075&lt;/D&gt;&lt;D xsi:type="xsd:double"&gt;21.7204715731995&lt;/D&gt;&lt;D xsi:type="xsd:double"&gt;21.1118729897719&lt;/D&gt;&lt;D xsi:type="xsd:double"&gt;20.1761110129394&lt;/D&gt;&lt;D xsi:type="xsd:double"&gt;20.1175528941794&lt;/D&gt;&lt;D xsi:type="xsd:double"&gt;21.0475890292056&lt;/D&gt;&lt;D xsi:type="xsd:double"&gt;21.3455647855704&lt;/D&gt;&lt;D xsi:type="xsd:double"&gt;21.9851323160401&lt;/D&gt;&lt;D xsi:type="xsd:double"&gt;20.9810089719533&lt;/D&gt;&lt;D xsi:type="xsd:double"&gt;20.8902626258884&lt;/D&gt;&lt;D xsi:type="xsd:double"&gt;20.5292203434766&lt;/D&gt;&lt;D xsi:type="xsd:double"&gt;20.0372278335112&lt;/D&gt;&lt;D xsi:type="xsd:double"&gt;21.3860750239181&lt;/D&gt;&lt;D xsi:type="xsd:double"&gt;21.9327885798821&lt;/D&gt;&lt;D xsi:type="xsd:double"&gt;22.4536198865632&lt;/D&gt;&lt;D xsi:type="xsd:double"&gt;22.7126932202013&lt;/D&gt;&lt;D xsi:type="xsd:double"&gt;22.8742705341128&lt;/D&gt;&lt;D xsi:type="xsd:double"&gt;22.1332969850375&lt;/D&gt;&lt;D xsi:type="xsd:double"&gt;23.138018327236&lt;/D&gt;&lt;D xsi:type="xsd:double"&gt;24.0301243293731&lt;/D&gt;&lt;D xsi:type="xsd:double"&gt;23.7551889759382&lt;/D&gt;&lt;D xsi:type="xsd:double"&gt;24.6359753578244&lt;/D&gt;&lt;D xsi:type="xsd:double"&gt;23.9695956721569&lt;/D&gt;&lt;/FQL&gt;&lt;FQL&gt;&lt;Q&gt;COPP-FDS^FG_PRICE_MAVG(0,,,,30)&lt;/Q&gt;&lt;R&gt;1&lt;/R&gt;&lt;C&gt;1&lt;/C&gt;&lt;D xsi:type="xsd:double"&gt;4.2925167&lt;/D&gt;&lt;/FQL&gt;&lt;FQL&gt;&lt;Q&gt;EWZ^FG_TOTAL_RETURNC(0,-3AM)&lt;/Q&gt;&lt;R&gt;1&lt;/R&gt;&lt;C&gt;1&lt;/C&gt;&lt;D xsi:type="xsd:double"&gt;-1.0756373&lt;/D&gt;&lt;/FQL&gt;&lt;FQL&gt;&lt;Q&gt;GREK^FG_ROE(0)&lt;/Q&gt;&lt;R&gt;1&lt;/R&gt;&lt;C&gt;1&lt;/C&gt;&lt;D xsi:type="xsd:double"&gt;15.1054393225903&lt;/D&gt;&lt;/FQL&gt;&lt;FQL&gt;&lt;Q&gt;VNM^FG_FCF_YIELD_NTM(0)&lt;/Q&gt;&lt;R&gt;1&lt;/R&gt;&lt;C&gt;1&lt;/C&gt;&lt;D xsi:type="xsd:double"&gt;2.80185827446995&lt;/D&gt;&lt;/FQL&gt;&lt;FQL&gt;&lt;Q&gt;USDCNH^STD(FG_PRICE_CHANGE(0,-3AY,M))&lt;/Q&gt;&lt;R&gt;1&lt;/R&gt;&lt;C&gt;1&lt;/C&gt;&lt;D xsi:type="xsd:double"&gt;1.81494374810926&lt;/D&gt;&lt;/FQL&gt;&lt;FQL&gt;&lt;Q&gt;USDZAR^FG_PRICE_CHANGE(0,-1AY)&lt;/Q&gt;&lt;R&gt;1&lt;/R&gt;&lt;C&gt;1&lt;/C&gt;&lt;D xsi:type="xsd:double"&gt;-8.026999&lt;/D&gt;&lt;/FQL&gt;&lt;FQL&gt;&lt;Q&gt;USDTWD^STD(FG_PRICE_CHANGE(0,-3AY,M))&lt;/Q&gt;&lt;R&gt;1&lt;/R&gt;&lt;C&gt;1&lt;/C&gt;&lt;D xsi:type="xsd:double"&gt;1.77487695514047&lt;/D&gt;&lt;/FQL&gt;&lt;FQL&gt;&lt;Q&gt;EZA^FMA_DIV_YLD(NTMA,-10AY,0,AM,"PORTAGG","MEANR")&lt;/Q&gt;&lt;R&gt;121&lt;/R&gt;&lt;C&gt;1&lt;/C&gt;&lt;D xsi:type="xsd:double"&gt;3.60799647731633&lt;/D&gt;&lt;D xsi:type="xsd:double"&gt;3.34433163571852&lt;/D&gt;&lt;D xsi:type="xsd:double"&gt;3.46366665518874&lt;/D&gt;&lt;D xsi:type="xsd:double"&gt;3.3274511758692&lt;/D&gt;&lt;D xsi:type="xsd:double"&gt;3.14580493875976&lt;/D&gt;&lt;D xsi:type="xsd:double"&gt;3.11645787685642&lt;/D&gt;&lt;D xsi:type="xsd:double"&gt;2.94591454273491&lt;/D&gt;&lt;D xsi:type="xsd:double"&gt;3.08235661978713&lt;/D&gt;&lt;D xsi:type="xsd:double"&gt;3.25046482047563&lt;/D&gt;&lt;D xsi:type="xsd:double"&gt;3.20242426046085&lt;/D&gt;&lt;D xsi:type="xsd:double"&gt;3.22952359856755&lt;/D&gt;&lt;D xsi:type="xsd:double"&gt;3.46300285133972&lt;/D&gt;&lt;D xsi:type="xsd:double"&gt;3.21741411745345&lt;/D&gt;&lt;D xsi:type="xsd:double"&gt;3.30900634737838&lt;/D&gt;&lt;D xsi:type="xsd:double"&gt;3.66247154828462&lt;/D&gt;&lt;D xsi:type="xsd:double"&gt;3.71940110870788&lt;/D&gt;&lt;D xsi:type="xsd:double"&gt;3.66503059434454&lt;/D&gt;&lt;D xsi:type="xsd:double"&gt;3.41674922780992&lt;/D&gt;&lt;D xsi:type="xsd:double"&gt;3.28861190641936&lt;/D&gt;&lt;D xsi:type="xsd:double"&gt;3.39688568712988&lt;/D&gt;&lt;D xsi:type="xsd:double"&gt;3.15138422258437&lt;/D&gt;&lt;D xsi:type="xsd:double"&gt;3.1040350322767&lt;/D&gt;&lt;D xsi:type="xsd:double"&gt;2.95696867019941&lt;/D&gt;&lt;D xsi:type="xsd:double"&gt;3.05441117812587&lt;/D&gt;&lt;D xsi:type="xsd:double"&gt;3.19736609843631&lt;/D&gt;&lt;D xsi:type="xsd:double"&gt;3.29434340407807&lt;/D&gt;&lt;D xsi:type="xsd:double"&gt;3.29088990879991&lt;/D&gt;&lt;D xsi:type="xsd:double"&gt;3.18507900428541&lt;/D&gt;&lt;D xsi:type="xsd:double"&gt;3.14495112675664&lt;/D&gt;&lt;D xsi:type="xsd:double"&gt;3.19661787629188&lt;/D&gt;&lt;D xsi:type="xsd:double"&gt;3.21256357236457&lt;/D&gt;&lt;D xsi:type="xsd:double"&gt;3.049665479833&lt;/D&gt;&lt;D xsi:type="xsd:double"&gt;3.34120703753508&lt;/D&gt;&lt;D xsi:type="xsd:double"&gt;3.37836175193703&lt;/D&gt;&lt;D xsi:type="xsd:double"&gt;3.16802035582&lt;/D&gt;&lt;D xsi:type="xsd:double"&gt;3.2921777918887&lt;/D&gt;&lt;D xsi:type="xsd:double"&gt;3.2631398122059&lt;/D&gt;&lt;D xsi:type="xsd:double"&gt;3.22171044708072&lt;/D&gt;&lt;D xsi:type="xsd:double"&gt;3.50465491269449&lt;/D&gt;&lt;D xsi:type="xsd:double"&gt;3.36001350030746&lt;/D&gt;&lt;D xsi:type="xsd:double"&gt;3.5333758196255&lt;/D&gt;&lt;D xsi:type="xsd:double"&gt;3.16682487639612&lt;/D&gt;&lt;D xsi:type="xsd:double"&gt;3.29621704247968&lt;/D&gt;&lt;D xsi:type="xsd:double"&gt;3.31394513801204&lt;/D&gt;&lt;D xsi:type="xsd:double"&gt;3.43731697379297&lt;/D&gt;&lt;D xsi:type="xsd:double"&gt;3.50000716856973&lt;/D&gt;&lt;D xsi:type="xsd:double"&gt;3.60410594688457&lt;/D&gt;&lt;D xsi:type="xsd:double"&gt;3.71830264263182&lt;/D&gt;&lt;D xsi:type="xsd:double"&gt;4.078562366185&lt;/D&gt;&lt;D xsi:type="xsd:double"&gt;3.9639395574585&lt;/D&gt;&lt;D xsi:type="xsd:double"&gt;4.03055553609118&lt;/D&gt;&lt;D xsi:type="xsd:double"&gt;3.75114314870341&lt;/D&gt;&lt;D xsi:type="xsd:double"&gt;3.79641493031864&lt;/D&gt;&lt;D xsi:type="xsd:double"&gt;3.96165282577594&lt;/D&gt;&lt;D xsi:type="xsd:double"&gt;3.68883488710249&lt;/D&gt;&lt;D xsi:type="xsd:double"&gt;3.8242021338622&lt;/D&gt;&lt;D xsi:type="xsd:double"&gt;3.75036183651355&lt;/D&gt;&lt;D xsi:type="xsd:double"&gt;3.82002833630584&lt;/D&gt;&lt;D xsi:type="xsd:double"&gt;4.01406276916453&lt;/D&gt;&lt;D xsi:type="xsd:double"&gt;4.04213814425564&lt;/D&gt;&lt;D xsi:type="xsd:double"&gt;4.28547681111996&lt;/D&gt;&lt;D xsi:type="xsd:double"&gt;4.16317277820817&lt;/D&gt;&lt;D xsi:type="xsd:double"&gt;3.92372219411625&lt;/D&gt;&lt;D xsi:type="xsd:double"&gt;3.73841231628483&lt;/D&gt;&lt;D xsi:type="xsd:double"&gt;3.78601863723764&lt;/D&gt;&lt;D xsi:type="xsd:double"&gt;4.59470880195627&lt;/D&gt;&lt;D xsi:type="xsd:double"&gt;4.63145552142351&lt;/D&gt;&lt;D xsi:type="xsd:double"&gt;3.49921383211704&lt;/D&gt;&lt;D xsi:type="xsd:double"&gt;3.42186566495552&lt;/D&gt;&lt;D xsi:type="xsd:double"&gt;3.43470044765325&lt;/D&gt;&lt;D xsi:type="xsd:double"&gt;3.45330862531696&lt;/D&gt;&lt;D xsi:type="xsd:double"&gt;3.30164216503753&lt;/D&gt;&lt;D xsi:type="xsd:double"&gt;3.54469237111355&lt;/D&gt;&lt;D xsi:type="xsd:double"&gt;3.44200799643184&lt;/D&gt;&lt;D xsi:type="xsd:double"&gt;3.88053367706032&lt;/D&gt;&lt;D xsi:type="xsd:double"&gt;3.7708484333417&lt;/D&gt;&lt;D xsi:type="xsd:double"&gt;3.75159009215355&lt;/D&gt;&lt;D xsi:type="xsd:double"&gt;3.78122784989061&lt;/D&gt;&lt;D xsi:type="xsd:double"&gt;4.06373291210782&lt;/D&gt;&lt;D xsi:type="xsd:double"&gt;4.29574633099695&lt;/D&gt;&lt;D xsi:type="xsd:double"&gt;4.10993317575267&lt;/D&gt;&lt;D xsi:type="xsd:double"&gt;4.50346388171618&lt;/D&gt;&lt;D xsi:type="xsd:double"&gt;4.50253639875838&lt;/D&gt;&lt;D xsi:type="xsd:double"&gt;5.1421350872036&lt;/D&gt;&lt;D xsi:type="xsd:double"&gt;4.70459219142626&lt;/D&gt;&lt;D xsi:type="xsd:double"&gt;4.58347990729496&lt;/D&gt;&lt;D xsi:type="xsd:double"&gt;4.6844233853768&lt;/D&gt;&lt;D xsi:type="xsd:double"&gt;4.53375662226804&lt;/D&gt;&lt;D xsi:type="xsd:double"&gt;4.29135629200504&lt;/D&gt;&lt;D xsi:type="xsd:double"&gt;4.43450435363309&lt;/D&gt;&lt;D xsi:type="xsd:double"&gt;4.44773139353285&lt;/D&gt;&lt;D xsi:type="xsd:double"&gt;5.11192447102187&lt;/D&gt;&lt;D xsi:type="xsd:double"&gt;5.15813778073163&lt;/D&gt;&lt;D xsi:type="xsd:double"&gt;4.81120458033603&lt;/D&gt;&lt;D xsi:type="xsd:double"&gt;4.89542488294622&lt;/D&gt;&lt;D xsi:type="xsd:double"&gt;5.13817021016793&lt;/D&gt;&lt;D xsi:type="xsd:double"&gt;5.52631340179725&lt;/D&gt;&lt;D xsi:type="xsd:double"&gt;5.00123785070473&lt;/D&gt;&lt;D xsi:type="xsd:double"&gt;4.85923884984286&lt;/D&gt;&lt;D xsi:type="xsd:double"&gt;4.61269403609083&lt;/D&gt;&lt;D xsi:type="xsd:double"&gt;4.67490271098991&lt;/D&gt;&lt;D xsi:type="xsd:double"&gt;4.78158888607899&lt;/D&gt;&lt;D xsi:type="xsd:double"&gt;4.57379016799776&lt;/D&gt;&lt;D xsi:type="xsd:double"&gt;4.59447493858356&lt;/D&gt;&lt;D xsi:type="xsd:double"&gt;4.59951008727204&lt;/D&gt;&lt;D xsi:type="xsd:double"&gt;4.47665973360877&lt;/D&gt;&lt;D xsi:type="xsd:double"&gt;4.20446584287247&lt;/D&gt;&lt;D xsi:type="xsd:double"&gt;4.40444060671828&lt;/D&gt;&lt;D xsi:type="xsd:double"&gt;4.4387912418329&lt;/D&gt;&lt;D xsi:type="xsd:double"&gt;4.53132505574061&lt;/D&gt;&lt;D xsi:type="xsd:double"&gt;4.29793529669644&lt;/D&gt;&lt;D xsi:type="xsd:double"&gt;4.35085530140408&lt;/D&gt;&lt;D xsi:type="xsd:double"&gt;4.33569019411692&lt;/D&gt;&lt;D xsi:type="xsd:double"&gt;4.20689879999091&lt;/D&gt;&lt;D xsi:type="xsd:double"&gt;4.07112743413803&lt;/D&gt;&lt;D xsi:type="xsd:double"&gt;3.97934193920671&lt;/D&gt;&lt;D xsi:type="xsd:double"&gt;4.2049556374024&lt;/D&gt;&lt;D xsi:type="xsd:double"&gt;3.96567296050185&lt;/D&gt;&lt;D xsi:type="xsd:double"&gt;3.93767687574502&lt;/D&gt;&lt;D xsi:type="xsd:double"&gt;3.92333375982695&lt;/D&gt;&lt;D xsi:type="xsd:double"&gt;3.73212931590667&lt;/D&gt;&lt;/FQL&gt;&lt;FQL&gt;&lt;Q&gt;EPU^FMA_PE(NTMA,-10AY,0,AM,"PORTAGG","MEANR")&lt;/Q&gt;&lt;R&gt;121&lt;/R&gt;&lt;C&gt;1&lt;/C&gt;&lt;D xsi:type="xsd:double"&gt;11.9983990029049&lt;/D&gt;&lt;D xsi:type="xsd:double"&gt;12.1468765020524&lt;/D&gt;&lt;D xsi:type="xsd:double"&gt;12.5102115803669&lt;/D&gt;&lt;D xsi:type="xsd:double"&gt;12.1995038820312&lt;/D&gt;&lt;D xsi:type="xsd:double"&gt;13.1567444538418&lt;/D&gt;&lt;D xsi:type="xsd:double"&gt;12.2530324238135&lt;/D&gt;&lt;D xsi:type="xsd:double"&gt;12.889923755457&lt;/D&gt;&lt;D xsi:type="xsd:double"&gt;13.2861435703147&lt;/D&gt;&lt;D xsi:type="xsd:double"&gt;13.9088135015166&lt;/D&gt;&lt;D xsi:type="xsd:double"&gt;12.8993003405316&lt;/D&gt;&lt;D xsi:type="xsd:double"&gt;12.6412126656601&lt;/D&gt;&lt;D xsi:type="xsd:double"&gt;11.2084614850745&lt;/D&gt;&lt;D xsi:type="xsd:double"&gt;12.223906545043&lt;/D&gt;&lt;D xsi:type="xsd:double"&gt;7.84733363213055&lt;/D&gt;&lt;D xsi:type="xsd:double"&gt;7.44316462143713&lt;/D&gt;&lt;D xsi:type="xsd:double"&gt;11.3765046654117&lt;/D&gt;&lt;D xsi:type="xsd:double"&gt;13.1111069947796&lt;/D&gt;&lt;D xsi:type="xsd:double"&gt;14.7918057502774&lt;/D&gt;&lt;D xsi:type="xsd:double"&gt;14.583588431623&lt;/D&gt;&lt;D xsi:type="xsd:double"&gt;15.3685559121018&lt;/D&gt;&lt;D xsi:type="xsd:double"&gt;14.4065036681528&lt;/D&gt;&lt;D xsi:type="xsd:double"&gt;14.6037026222308&lt;/D&gt;&lt;D xsi:type="xsd:double"&gt;14.6195153132931&lt;/D&gt;&lt;D xsi:type="xsd:double"&gt;13.8410657166422&lt;/D&gt;&lt;D xsi:type="xsd:double"&gt;12.9468389849444&lt;/D&gt;&lt;D xsi:type="xsd:double"&gt;12.0868379926732&lt;/D&gt;&lt;D xsi:type="xsd:double"&gt;11.7459168099893&lt;/D&gt;&lt;D xsi:type="xsd:double"&gt;12.023826398595&lt;/D&gt;&lt;D xsi:type="xsd:double"&gt;13.680164753412&lt;/D&gt;&lt;D xsi:type="xsd:double"&gt;12.9191561255992&lt;/D&gt;&lt;D xsi:type="xsd:double"&gt;12.2533602866028&lt;/D&gt;&lt;D xsi:type="xsd:double"&gt;11.0960298278699&lt;/D&gt;&lt;D xsi:type="xsd:double"&gt;12.100138126064&lt;/D&gt;&lt;D xsi:type="xsd:double"&gt;11.9119985788233&lt;/D&gt;&lt;D xsi:type="xsd:double"&gt;12.6045553702567&lt;/D&gt;&lt;D xsi:type="xsd:double"&gt;12.4840667066387&lt;/D&gt;&lt;D xsi:type="xsd:double"&gt;13.0531719631061&lt;/D&gt;&lt;D xsi:type="xsd:double"&gt;13.0785455228169&lt;/D&gt;&lt;D xsi:type="xsd:double"&gt;12.2261037377766&lt;/D&gt;&lt;D xsi:type="xsd:double"&gt;13.7815976700499&lt;/D&gt;&lt;D xsi:type="xsd:double"&gt;12.8398893499127&lt;/D&gt;&lt;D xsi:type="xsd:double"&gt;13.8673282738856&lt;/D&gt;&lt;D xsi:type="xsd:double"&gt;13.8708032293465&lt;/D&gt;&lt;D xsi:type="xsd:double"&gt;13.738678526852&lt;/D&gt;&lt;D xsi:type="xsd:double"&gt;13.1647708681576&lt;/D&gt;&lt;D xsi:type="xsd:double"&gt;13.4957998444899&lt;/D&gt;&lt;D xsi:type="xsd:double"&gt;14.0433289283248&lt;/D&gt;&lt;D xsi:type="xsd:double"&gt;12.2826768721281&lt;/D&gt;&lt;D xsi:type="xsd:double"&gt;12.9684549247629&lt;/D&gt;&lt;D xsi:type="xsd:double"&gt;13.0883556163768&lt;/D&gt;&lt;D xsi:type="xsd:double"&gt;13.1509001108661&lt;/D&gt;&lt;D xsi:type="xsd:double"&gt;13.8020065726553&lt;/D&gt;&lt;D xsi:type="xsd:double"&gt;15.7004663051304&lt;/D&gt;&lt;D xsi:type="xsd:double"&gt;15.2252920089324&lt;/D&gt;&lt;D xsi:type="xsd:double"&gt;15.5158437104511&lt;/D&gt;&lt;D xsi:type="xsd:double"&gt;13.4642005692872&lt;/D&gt;&lt;D xsi:type="xsd:double"&gt;13.2642200659553&lt;/D&gt;&lt;D xsi:type="xsd:double"&gt;13.6392799571076&lt;/D&gt;&lt;D xsi:type="xsd:double"&gt;14.4594853882302&lt;/D&gt;&lt;D xsi:type="xsd:double"&gt;13.9888648401488&lt;/D&gt;&lt;D xsi:type="xsd:double"&gt;13.5083297429268&lt;/D&gt;&lt;D xsi:type="xsd:double"&gt;13.9942786412419&lt;/D&gt;&lt;D xsi:type="xsd:double"&gt;13.6769682934228&lt;/D&gt;&lt;D xsi:type="xsd:double"&gt;14.5193773037828&lt;/D&gt;&lt;D xsi:type="xsd:double"&gt;14.4141453462583&lt;/D&gt;&lt;D xsi:type="xsd:double"&gt;13.0405329290653&lt;/D&gt;&lt;D xsi:type="xsd:double"&gt;10.399383562857&lt;/D&gt;&lt;D xsi:type="xsd:double"&gt;14.548373253364&lt;/D&gt;&lt;D xsi:type="xsd:double"&gt;18.4985660261428&lt;/D&gt;&lt;D xsi:type="xsd:double"&gt;19.7876837892904&lt;/D&gt;&lt;D xsi:type="xsd:double"&gt;21.3149818482837&lt;/D&gt;&lt;D xsi:type="xsd:double"&gt;21.559246949346&lt;/D&gt;&lt;D xsi:type="xsd:double"&gt;20.6185218822917&lt;/D&gt;&lt;D xsi:type="xsd:double"&gt;17.3547148051536&lt;/D&gt;&lt;D xsi:type="xsd:double"&gt;16.3024256054349&lt;/D&gt;&lt;D xsi:type="xsd:double"&gt;14.6672413339025&lt;/D&gt;&lt;D xsi:type="xsd:double"&gt;15.3725550334812&lt;/D&gt;&lt;D xsi:type="xsd:double"&gt;14.9589781009848&lt;/D&gt;&lt;D xsi:type="xsd:double"&gt;12.4018386948314&lt;/D&gt;&lt;D xsi:type="xsd:double"&gt;11.8163037087922&lt;/D&gt;&lt;D xsi:type="xsd:double"&gt;9.51868899725951&lt;/D&gt;&lt;D xsi:type="xsd:double"&gt;8.80799955355568&lt;/D&gt;&lt;D xsi:type="xsd:double"&gt;8.49964049141413&lt;/D&gt;&lt;D xsi:type="xsd:double"&gt;8.96918554071646&lt;/D&gt;&lt;D xsi:type="xsd:double"&gt;9.68473921545362&lt;/D&gt;&lt;D xsi:type="xsd:double"&gt;9.91230889053359&lt;/D&gt;&lt;D xsi:type="xsd:double"&gt;9.80985667863884&lt;/D&gt;&lt;D xsi:type="xsd:double"&gt;10.5570516851493&lt;/D&gt;&lt;D xsi:type="xsd:double"&gt;11.1585550927267&lt;/D&gt;&lt;D xsi:type="xsd:double"&gt;11.6350517052139&lt;/D&gt;&lt;D xsi:type="xsd:double"&gt;10.2951049223289&lt;/D&gt;&lt;D xsi:type="xsd:double"&gt;7.84254693226485&lt;/D&gt;&lt;D xsi:type="xsd:double"&gt;8.05994430729994&lt;/D&gt;&lt;D xsi:type="xsd:double"&gt;7.03893041966043&lt;/D&gt;&lt;D xsi:type="xsd:double"&gt;7.70277959949497&lt;/D&gt;&lt;D xsi:type="xsd:double"&gt;8.02217699928378&lt;/D&gt;&lt;D xsi:type="xsd:double"&gt;8.28345535664302&lt;/D&gt;&lt;D xsi:type="xsd:double"&gt;9.65718973427859&lt;/D&gt;&lt;D xsi:type="xsd:double"&gt;9.66547062510733&lt;/D&gt;&lt;D xsi:type="xsd:double"&gt;9.82144430345779&lt;/D&gt;&lt;D xsi:type="xsd:double"&gt;9.69675682138622&lt;/D&gt;&lt;D xsi:type="xsd:double"&gt;9.42216144379174&lt;/D&gt;&lt;D xsi:type="xsd:double"&gt;9.71862430059744&lt;/D&gt;&lt;D xsi:type="xsd:double"&gt;9.67144911234804&lt;/D&gt;&lt;D xsi:type="xsd:double"&gt;9.84369004185277&lt;/D&gt;&lt;D xsi:type="xsd:double"&gt;10.0872238711328&lt;/D&gt;&lt;D xsi:type="xsd:double"&gt;10.8125071655365&lt;/D&gt;&lt;D xsi:type="xsd:double"&gt;9.91525200901056&lt;/D&gt;&lt;D xsi:type="xsd:double"&gt;9.46629809827265&lt;/D&gt;&lt;D xsi:type="xsd:double"&gt;9.59976648271105&lt;/D&gt;&lt;D xsi:type="xsd:double"&gt;10.3837644701945&lt;/D&gt;&lt;D xsi:type="xsd:double"&gt;11.4222082206038&lt;/D&gt;&lt;D xsi:type="xsd:double"&gt;11.4200367560496&lt;/D&gt;&lt;D xsi:type="xsd:double"&gt;12.307969992737&lt;/D&gt;&lt;D xsi:type="xsd:double"&gt;13.1096842399474&lt;/D&gt;&lt;D xsi:type="xsd:double"&gt;13.7048989771611&lt;/D&gt;&lt;D xsi:type="xsd:double"&gt;11.6798790559911&lt;/D&gt;&lt;D xsi:type="xsd:double"&gt;11.6427633650075&lt;/D&gt;&lt;D xsi:type="xsd:double"&gt;10.4287762306723&lt;/D&gt;&lt;D xsi:type="xsd:double"&gt;10.3957206202519&lt;/D&gt;&lt;D xsi:type="xsd:double"&gt;11.4993770604732&lt;/D&gt;&lt;/FQL&gt;&lt;FQL&gt;&lt;Q&gt;ECH^JULIAN(FMA_DIV_YLD(LTMA,-10AY,0,AM,"PORTAGG","MEANR").DATES)&lt;/Q&gt;&lt;R&gt;121&lt;/R&gt;&lt;C&gt;1&lt;/C&gt;&lt;D xsi:type="xsd:long"&gt;41922&lt;/D&gt;&lt;D xsi:type="xsd:long"&gt;41953&lt;/D&gt;&lt;D xsi:type="xsd:long"&gt;41983&lt;/D&gt;&lt;D xsi:type="xsd:long"&gt;42013&lt;/D&gt;&lt;D xsi:type="xsd:long"&gt;42045&lt;/D&gt;&lt;D xsi:type="xsd:long"&gt;42073&lt;/D&gt;&lt;D xsi:type="xsd:long"&gt;42104&lt;/D&gt;&lt;D xsi:type="xsd:long"&gt;42132&lt;/D&gt;&lt;D xsi:type="xsd:long"&gt;42165&lt;/D&gt;&lt;D xsi:type="xsd:long"&gt;42195&lt;/D&gt;&lt;D xsi:type="xsd:long"&gt;42226&lt;/D&gt;&lt;D xsi:type="xsd:long"&gt;42257&lt;/D&gt;&lt;D xsi:type="xsd:long"&gt;42286&lt;/D&gt;&lt;D xsi:type="xsd:long"&gt;42318&lt;/D&gt;&lt;D xsi:type="xsd:long"&gt;42348&lt;/D&gt;&lt;D xsi:type="xsd:long"&gt;42377&lt;/D&gt;&lt;D xsi:type="xsd:long"&gt;42410&lt;/D&gt;&lt;D xsi:type="xsd:long"&gt;42439&lt;/D&gt;&lt;D xsi:type="xsd:long"&gt;42468&lt;/D&gt;&lt;D xsi:type="xsd:long"&gt;42500&lt;/D&gt;&lt;D xsi:type="xsd:long"&gt;42531&lt;/D&gt;&lt;D xsi:type="xsd:long"&gt;42559&lt;/D&gt;&lt;D xsi:type="xsd:long"&gt;42592&lt;/D&gt;&lt;D xsi:type="xsd:long"&gt;42622&lt;/D&gt;&lt;D xsi:type="xsd:long"&gt;42653&lt;/D&gt;&lt;D xsi:type="xsd:long"&gt;42684&lt;/D&gt;&lt;D xsi:type="xsd:long"&gt;42713&lt;/D&gt;&lt;D xsi:type="xsd:long"&gt;42745&lt;/D&gt;&lt;D xsi:type="xsd:long"&gt;42776&lt;/D&gt;&lt;D xsi:type="xsd:long"&gt;42804&lt;/D&gt;&lt;D xsi:type="xsd:long"&gt;42835&lt;/D&gt;&lt;D xsi:type="xsd:long"&gt;42865&lt;/D&gt;&lt;D xsi:type="xsd:long"&gt;42895&lt;/D&gt;&lt;D xsi:type="xsd:long"&gt;42926&lt;/D&gt;&lt;D xsi:type="xsd:long"&gt;42957&lt;/D&gt;&lt;D xsi:type="xsd:long"&gt;42986&lt;/D&gt;&lt;D xsi:type="xsd:long"&gt;43018&lt;/D&gt;&lt;D xsi:type="xsd:long"&gt;43049&lt;/D&gt;&lt;D xsi:type="xsd:long"&gt;43077&lt;/D&gt;&lt;D xsi:type="xsd:long"&gt;43110&lt;/D&gt;&lt;D xsi:type="xsd:long"&gt;43140&lt;/D&gt;&lt;D xsi:type="xsd:long"&gt;43168&lt;/D&gt;&lt;D xsi:type="xsd:long"&gt;43200&lt;/D&gt;&lt;D xsi:type="xsd:long"&gt;43230&lt;/D&gt;&lt;D xsi:type="xsd:long"&gt;43259&lt;/D&gt;&lt;D xsi:type="xsd:long"&gt;43291&lt;/D&gt;&lt;D xsi:type="xsd:long"&gt;43322&lt;/D&gt;&lt;D xsi:type="xsd:long"&gt;43353&lt;/D&gt;&lt;D xsi:type="xsd:long"&gt;43383&lt;/D&gt;&lt;D xsi:type="xsd:long"&gt;43413&lt;/D&gt;&lt;D xsi:type="xsd:long"&gt;43444&lt;/D&gt;&lt;D xsi:type="xsd:long"&gt;43475&lt;/D&gt;&lt;D xsi:type="xsd:long"&gt;43504&lt;/D&gt;&lt;D xsi:type="xsd:long"&gt;43532&lt;/D&gt;&lt;D xsi:type="xsd:long"&gt;43565&lt;/D&gt;&lt;D xsi:type="xsd:long"&gt;43595&lt;/D&gt;&lt;D xsi:type="xsd:long"&gt;43626&lt;/D&gt;&lt;D xsi:type="xsd:long"&gt;43656&lt;/D&gt;&lt;D xsi:type="xsd:long"&gt;43686&lt;/D&gt;&lt;D xsi:type="xsd:long"&gt;43718&lt;/D&gt;&lt;D xsi:type="xsd:long"&gt;43748&lt;/D&gt;&lt;D xsi:type="xsd:long"&gt;43777&lt;/D&gt;&lt;D xsi:type="xsd:long"&gt;43809&lt;/D&gt;&lt;D xsi:type="xsd:long"&gt;43840&lt;/D&gt;&lt;D xsi:type="xsd:long"&gt;43871&lt;/D&gt;&lt;D xsi:type="xsd:long"&gt;43900&lt;/D&gt;&lt;D xsi:type="xsd:long"&gt;43930&lt;/D&gt;&lt;D xsi:type="xsd:long"&gt;43959&lt;/D&gt;&lt;D xsi:type="xsd:long"&gt;43992&lt;/D&gt;&lt;D xsi:type="xsd:long"&gt;44022&lt;/D&gt;&lt;D xsi:type="xsd:long"&gt;44053&lt;/D&gt;&lt;D xsi:type="xsd:long"&gt;44084&lt;/D&gt;&lt;D xsi:type="xsd:long"&gt;44113&lt;/D&gt;&lt;D xsi:type="xsd:long"&gt;44145&lt;/D&gt;&lt;D xsi:type="xsd:long"&gt;44175&lt;/D&gt;&lt;D xsi:type="xsd:long"&gt;44204&lt;/D&gt;&lt;D xsi:type="xsd:long"&gt;44237&lt;/D&gt;&lt;D xsi:type="xsd:long"&gt;44265&lt;/D&gt;&lt;D xsi:type="xsd:long"&gt;44295&lt;/D&gt;&lt;D xsi:type="xsd:long"&gt;44326&lt;/D&gt;&lt;D xsi:type="xsd:long"&gt;44357&lt;/D&gt;&lt;D xsi:type="xsd:long"&gt;44386&lt;/D&gt;&lt;D xsi:type="xsd:long"&gt;44418&lt;/D&gt;&lt;D xsi:type="xsd:long"&gt;44449&lt;/D&gt;&lt;D xsi:type="xsd:long"&gt;44477&lt;/D&gt;&lt;D xsi:type="xsd:long"&gt;44510&lt;/D&gt;&lt;D xsi:type="xsd:long"&gt;44540&lt;/D&gt;&lt;D xsi:type="xsd:long"&gt;44571&lt;/D&gt;&lt;D xsi:type="xsd:long"&gt;44602&lt;/D&gt;&lt;D xsi:type="xsd:long"&gt;44630&lt;/D&gt;&lt;D xsi:type="xsd:long"&gt;44659&lt;/D&gt;&lt;D xsi:type="xsd:long"&gt;44691&lt;/D&gt;&lt;D xsi:type="xsd:long"&gt;44722&lt;/D&gt;&lt;D xsi:type="xsd:long"&gt;44750&lt;/D&gt;&lt;D xsi:type="xsd:long"&gt;44783&lt;/D&gt;&lt;D xsi:type="xsd:long"&gt;44813&lt;/D&gt;&lt;D xsi:type="xsd:long"&gt;44844&lt;/D&gt;&lt;D xsi:type="xsd:long"&gt;44875&lt;/D&gt;&lt;D xsi:type="xsd:long"&gt;44904&lt;/D&gt;&lt;D xsi:type="xsd:long"&gt;44936&lt;/D&gt;&lt;D xsi:type="xsd:long"&gt;44967&lt;/D&gt;&lt;D xsi:type="xsd:long"&gt;44995&lt;/D&gt;&lt;D xsi:type="xsd:long"&gt;45026&lt;/D&gt;&lt;D xsi:type="xsd:long"&gt;45056&lt;/D&gt;&lt;D xsi:type="xsd:long"&gt;45086&lt;/D&gt;&lt;D xsi:type="xsd:long"&gt;45117&lt;/D&gt;&lt;D xsi:type="xsd:long"&gt;45148&lt;/D&gt;&lt;D xsi:type="xsd:long"&gt;45177&lt;/D&gt;&lt;D xsi:type="xsd:long"&gt;45209&lt;/D&gt;&lt;D xsi:type="xsd:long"&gt;45240&lt;/D&gt;&lt;D xsi:type="xsd:long"&gt;45268&lt;/D&gt;&lt;D xsi:type="xsd:long"&gt;45301&lt;/D&gt;&lt;D xsi:type="xsd:long"&gt;45331&lt;/D&gt;&lt;D xsi:type="xsd:long"&gt;45359&lt;/D&gt;&lt;D xsi:type="xsd:long"&gt;45392&lt;/D&gt;&lt;D xsi:type="xsd:long"&gt;45422&lt;/D&gt;&lt;D xsi:type="xsd:long"&gt;45453&lt;/D&gt;&lt;D xsi:type="xsd:long"&gt;45483&lt;/D&gt;&lt;D xsi:type="xsd:long"&gt;45513&lt;/D&gt;&lt;D xsi:type="xsd:long"&gt;45545&lt;/D&gt;&lt;D xsi:type="xsd:long"&gt;45573&lt;/D&gt;&lt;/FQL&gt;&lt;FQL&gt;&lt;Q&gt;NI-FDS^FG_PRICE_CHANGE(0,-6AM)&lt;/Q&gt;&lt;R&gt;1&lt;/R&gt;&lt;C&gt;1&lt;/C&gt;&lt;D xsi:type="xsd:double"&gt;-7.72128060263654&lt;/D&gt;&lt;/FQL&gt;&lt;FQL&gt;&lt;Q&gt;FC0000TW^FG_PRICE(0)&lt;/Q&gt;&lt;R&gt;1&lt;/R&gt;&lt;C&gt;1&lt;/C&gt;&lt;D xsi:type="xsd:double"&gt;380.01746&lt;/D&gt;&lt;/FQL&gt;&lt;FQL&gt;&lt;Q&gt;MCHI^FG_PRICE(0)&lt;/Q&gt;&lt;R&gt;1&lt;/R&gt;&lt;C&gt;1&lt;/C&gt;&lt;D xsi:type="xsd:double"&gt;52.35&lt;/D&gt;&lt;/FQL&gt;&lt;FQL&gt;&lt;Q&gt;EWT^FG_PRICE_MAVG(0,,,,30)&lt;/Q&gt;&lt;R&gt;1&lt;/R&gt;&lt;C&gt;1&lt;/C&gt;&lt;D xsi:type="xsd:double"&gt;53.20233&lt;/D&gt;&lt;/FQL&gt;&lt;FQL&gt;&lt;Q&gt;GREK^FG_TOTAL_RETURNC(0,-3AM)&lt;/Q&gt;&lt;R&gt;1&lt;/R&gt;&lt;C&gt;1&lt;/C&gt;&lt;D xsi:type="xsd:double"&gt;-1.2432098&lt;/D&gt;&lt;/FQL&gt;&lt;FQL&gt;&lt;Q&gt;EWY^FG_TOTAL_RETURNC(0,-6AM)&lt;/Q&gt;&lt;R&gt;1&lt;/R&gt;&lt;C&gt;1&lt;/C&gt;&lt;D xsi:type="xsd:double"&gt;-0.0631392&lt;/D&gt;&lt;/FQL&gt;&lt;FQL&gt;&lt;Q&gt;EWM^FG_TOTAL_RETURNC(0,-12AM)&lt;/Q&gt;&lt;R&gt;1&lt;/R&gt;&lt;C&gt;1&lt;/C&gt;&lt;D xsi:type="xsd:double"&gt;29.246925&lt;/D&gt;&lt;/FQL&gt;&lt;FQL&gt;&lt;Q&gt;MCHI^FMA_COS_UP("EPS","1M",+1,NOW,,,"PORTAGG","MEANR")&lt;/Q&gt;&lt;R&gt;1&lt;/R&gt;&lt;C&gt;1&lt;/C&gt;&lt;D xsi:type="xsd:double"&gt;144&lt;/D&gt;&lt;/FQL&gt;&lt;FQL&gt;&lt;Q&gt;EPU^FMA_COS_UP("EPS","1M",+1,NOW,,,"PORTAGG","MEANR")&lt;/Q&gt;&lt;R&gt;1&lt;/R&gt;&lt;C&gt;1&lt;/C&gt;&lt;D xsi:type="xsd:double"&gt;7&lt;/D&gt;&lt;/FQL&gt;&lt;FQL&gt;&lt;Q&gt;EWY^FMA_RBICS_REV_CURRENT(30, LOC, "PORTAGG")&lt;/Q&gt;&lt;R&gt;1&lt;/R&gt;&lt;C&gt;1&lt;/C&gt;&lt;D xsi:type="xsd:double"&gt;16.0568848426695&lt;/D&gt;&lt;/FQL&gt;&lt;FQL&gt;&lt;Q&gt;EPHE^FG_ROE(0)&lt;/Q&gt;&lt;R&gt;1&lt;/R&gt;&lt;C&gt;1&lt;/C&gt;&lt;D xsi:type="xsd:double"&gt;12.5806088418315&lt;/D&gt;&lt;/FQL&gt;&lt;FQL&gt;&lt;Q&gt;REFSAREPO-FDS^(SUBARRAY(NOT_NA(NO_REPEAT_F(FG_YIELD(NOW,-10AY,D))),0,1)-SUBARRAY(NOT_NA(NO_REPEAT_F(FG_YIELD(NOW,-10AY,D))),1,1))*100&lt;/Q&gt;&lt;R&gt;1&lt;/R&gt;&lt;C&gt;1&lt;/C&gt;&lt;D xsi:type="xsd:double"&gt;-50&lt;/D&gt;&lt;/FQL&gt;&lt;FQL&gt;&lt;Q&gt;REFEUREFI-FDS^(SUBARRAY(NOT_NA(NO_REPEAT_F(FG_YIELD(NOW,-10AY,D))),0,1)-SUBARRAY(NOT_NA(NO_REPEAT_F(FG_YIELD(NOW,-10AY,D))),1,1))*100&lt;/Q&gt;&lt;R&gt;1&lt;/R&gt;&lt;C&gt;1&lt;/C&gt;&lt;D xsi:type="xsd:double"&gt;-60&lt;/D&gt;&lt;/FQL&gt;&lt;FQL&gt;&lt;Q&gt;REFPL7D-FDS^PROPER_NAME(0,,,"SECURITY","NAME")&lt;/Q&gt;&lt;R&gt;1&lt;/R&gt;&lt;C&gt;1&lt;/C&gt;&lt;D xsi:type="xsd:string"&gt;Poland Reference Rate - 7 Day&lt;/D&gt;&lt;/FQL&gt;&lt;FQL&gt;&lt;Q&gt;TRYID10Y-FDS^PCTCHG(FG_YIELD(0,,,,"YTM"),FG_YIELD(-3AM,,,,"YTM"))&lt;/Q&gt;&lt;R&gt;1&lt;/R&gt;&lt;C&gt;1&lt;/C&gt;&lt;D xsi:type="xsd:double"&gt;-4.0397887&lt;/D&gt;&lt;/FQL&gt;&lt;FQL&gt;&lt;Q&gt;CC_TR^IMF_IFS_RCPI_Q(0)&lt;/Q&gt;&lt;R&gt;0&lt;/R&gt;&lt;C&gt;0&lt;/C&gt;&lt;/FQL&gt;&lt;FQL&gt;&lt;Q&gt;UAE^FMA_PE(NTMA,0,,,"PORTAGG","MEANR")&lt;/Q&gt;&lt;R&gt;1&lt;/R&gt;&lt;C&gt;1&lt;/C&gt;&lt;D xsi:type="xsd:double"&gt;9.45786690683383&lt;/D&gt;&lt;/FQL&gt;&lt;FQL&gt;&lt;Q&gt;MCHI^FMA_EVAL_EBITDA(NTMA,0,,,"PORTAGG","MEANR")&lt;/Q&gt;&lt;R&gt;1&lt;/R&gt;&lt;C&gt;1&lt;/C&gt;&lt;D xsi:type="xsd:double"&gt;10.2050204130045&lt;/D&gt;&lt;/FQL&gt;&lt;FQL&gt;&lt;Q&gt;EZA^FMA_PE(LTM,0,,,"PORTAGG","MEANR")&lt;/Q&gt;&lt;R&gt;1&lt;/R&gt;&lt;C&gt;1&lt;/C&gt;&lt;D xsi:type="xsd:double"&gt;15.7863609233137&lt;/D&gt;&lt;/FQL&gt;&lt;FQL&gt;&lt;Q&gt;EPU^FMA_ROE(NTMA,-20AY,NOW,FY,"PORTAGG","MEANR")&lt;/Q&gt;&lt;R&gt;20&lt;/R&gt;&lt;C&gt;1&lt;/C&gt;&lt;D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xsi:type="xsd:double"&gt;11.9146022967026&lt;/D&gt;&lt;D xsi:type="xsd:double"&gt;12.0860259459606&lt;/D&gt;&lt;D xsi:type="xsd:double"&gt;15.0555654862212&lt;/D&gt;&lt;D xsi:type="xsd:double"&gt;13.622580993775&lt;/D&gt;&lt;D xsi:type="xsd:double"&gt;12.9324471430953&lt;/D&gt;&lt;/FQL&gt;&lt;FQL&gt;&lt;Q&gt;TRYGB10Y-FDS^FG_YIELD(-10AY,0,Y,,"YTM")&lt;/Q&gt;&lt;R&gt;10&lt;/R&gt;&lt;C&gt;1&lt;/C&gt;&lt;D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xsi:type="xsd:double"&gt;3.534&lt;/D&gt;&lt;/FQL&gt;&lt;FQL&gt;&lt;Q&gt;CAGDPY@VN^EE_ACTUAL_ANNUAL(MED,0)&lt;/Q&gt;&lt;R&gt;0&lt;/R&gt;&lt;C&gt;0&lt;/C&gt;&lt;/FQL&gt;&lt;FQL&gt;&lt;Q&gt;CAGDPY@PE^EE_ACTUAL_ANNUAL(MED,0)&lt;/Q&gt;&lt;R&gt;1&lt;/R&gt;&lt;C&gt;1&lt;/C&gt;&lt;D xsi:type="xsd:double"&gt;0.830176564820384&lt;/D&gt;&lt;/FQL&gt;&lt;FQL&gt;&lt;Q&gt;CC_ID^FG_COMPANY_NAME&lt;/Q&gt;&lt;R&gt;1&lt;/R&gt;&lt;C&gt;1&lt;/C&gt;&lt;D xsi:type="xsd:string"&gt;Indonesia&lt;/D&gt;&lt;/FQL&gt;&lt;FQL&gt;&lt;Q&gt;USDTRY^STD(FG_PRICE_CHANGE(0,-3AY,M))&lt;/Q&gt;&lt;R&gt;1&lt;/R&gt;&lt;C&gt;1&lt;/C&gt;&lt;D xsi:type="xsd:double"&gt;7.46322493026029&lt;/D&gt;&lt;/FQL&gt;&lt;FQL&gt;&lt;Q&gt;USDPLN^FG_PRICE_CHANGE(0,-1AM)&lt;/Q&gt;&lt;R&gt;1&lt;/R&gt;&lt;C&gt;1&lt;/C&gt;&lt;D xsi:type="xsd:double"&gt;1.3517618&lt;/D&gt;&lt;/FQL&gt;&lt;FQL&gt;&lt;Q&gt;FC0000CL^JULIAN(FMA_EPS(NTMA,-20AY,0,CY,,"PORTAGG","MEANR").DATES)&lt;/Q&gt;&lt;R&gt;20&lt;/R&gt;&lt;C&gt;1&lt;/C&gt;&lt;D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xsi:type="xsd:long"&gt;45289&lt;/D&gt;&lt;/FQL&gt;&lt;FQL&gt;&lt;Q&gt;SET-BKK^FG_TOTAL_RETURNC(-10AY,0,AM)&lt;/Q&gt;&lt;R&gt;121&lt;/R&gt;&lt;C&gt;1&lt;/C&gt;&lt;D xsi:type="xsd:double"&gt;-1.85889&lt;/D&gt;&lt;D xsi:type="xsd:double"&gt;0.9415746&lt;/D&gt;&lt;D xsi:type="xsd:double"&gt;-0.49637556&lt;/D&gt;&lt;D xsi:type="xsd:double"&gt;-1.9325972&lt;/D&gt;&lt;D xsi:type="xsd:double"&gt;4.285276&lt;/D&gt;&lt;D xsi:type="xsd:double"&gt;-4.00762&lt;/D&gt;&lt;D xsi:type="xsd:double"&gt;1.0966301&lt;/D&gt;&lt;D xsi:type="xsd:double"&gt;-2.4111152&lt;/D&gt;&lt;D xsi:type="xsd:double"&gt;-0.4283309&lt;/D&gt;&lt;D xsi:type="xsd:double"&gt;-1.2725711&lt;/D&gt;&lt;D xsi:type="xsd:double"&gt;-4.36191&lt;/D&gt;&lt;D xsi:type="xsd:double"&gt;-1.6878724&lt;/D&gt;&lt;D xsi:type="xsd:double"&gt;1.086545&lt;/D&gt;&lt;D xsi:type="xsd:double"&gt;-0.9175718&lt;/D&gt;&lt;D xsi:type="xsd:double"&gt;-7.191181&lt;/D&gt;&lt;D xsi:type="xsd:double"&gt;-4.1330757&lt;/D&gt;&lt;D xsi:type="xsd:double"&gt;4.8674583&lt;/D&gt;&lt;D xsi:type="xsd:double"&gt;5.6961536&lt;/D&gt;&lt;D xsi:type="xsd:double"&gt;-0.6830752&lt;/D&gt;&lt;D xsi:type="xsd:double"&gt;1.496017&lt;/D&gt;&lt;D xsi:type="xsd:double"&gt;2.8112411&lt;/D&gt;&lt;D xsi:type="xsd:double"&gt;1.8499732&lt;/D&gt;&lt;D xsi:type="xsd:double"&gt;6.3531756&lt;/D&gt;&lt;D xsi:type="xsd:double"&gt;-6.643498&lt;/D&gt;&lt;D xsi:type="xsd:double"&gt;0.812304&lt;/D&gt;&lt;D xsi:type="xsd:double"&gt;3.928566&lt;/D&gt;&lt;D xsi:type="xsd:double"&gt;0.79642534&lt;/D&gt;&lt;D xsi:type="xsd:double"&gt;2.9993773&lt;/D&gt;&lt;D xsi:type="xsd:double"&gt;0.835824&lt;/D&gt;&lt;D xsi:type="xsd:double"&gt;-2.859503&lt;/D&gt;&lt;D xsi:type="xsd:double"&gt;2.6806712&lt;/D&gt;&lt;D xsi:type="xsd:double"&gt;-1.3205171&lt;/D&gt;&lt;D xsi:type="xsd:double"&gt;0.40632486&lt;/D&gt;&lt;D xsi:type="xsd:double"&gt;0.17808676&lt;/D&gt;&lt;D xsi:type="xsd:double"&gt;0.1401782&lt;/D&gt;&lt;D xsi:type="xsd:double"&gt;4.07027&lt;/D&gt;&lt;D xsi:type="xsd:double"&gt;4.361677&lt;/D&gt;&lt;D xsi:type="xsd:double"&gt;-1.0351777&lt;/D&gt;&lt;D xsi:type="xsd:double"&gt;1.0205507&lt;/D&gt;&lt;D xsi:type="xsd:double"&gt;5.1801324&lt;/D&gt;&lt;D xsi:type="xsd:double"&gt;-0.47188997&lt;/D&gt;&lt;D xsi:type="xsd:double"&gt;-0.6202221&lt;/D&gt;&lt;D xsi:type="xsd:double"&gt;-0.81222653&lt;/D&gt;&lt;D xsi:type="xsd:double"&gt;-0.79842806&lt;/D&gt;&lt;D xsi:type="xsd:double"&gt;-1.4225245&lt;/D&gt;&lt;D xsi:type="xsd:double"&gt;-4.555064&lt;/D&gt;&lt;D xsi:type="xsd:double"&gt;3.7941098&lt;/D&gt;&lt;D xsi:type="xsd:double"&gt;-0.8470297&lt;/D&gt;&lt;D xsi:type="xsd:double"&gt;1.7918825&lt;/D&gt;&lt;D xsi:type="xsd:double"&gt;-3.0955553&lt;/D&gt;&lt;D xsi:type="xsd:double"&gt;-1.1105657&lt;/D&gt;&lt;D xsi:type="xsd:double"&gt;-3.7794173&lt;/D&gt;&lt;D xsi:type="xsd:double"&gt;4.0343165&lt;/D&gt;&lt;D xsi:type="xsd:double"&gt;-1.3053417&lt;/D&gt;&lt;D xsi:type="xsd:double"&gt;1.9636631&lt;/D&gt;&lt;D xsi:type="xsd:double"&gt;-0.8086026&lt;/D&gt;&lt;D xsi:type="xsd:double"&gt;0.97289085&lt;/D&gt;&lt;D xsi:type="xsd:double"&gt;4.4872165&lt;/D&gt;&lt;D xsi:type="xsd:double"&gt;-5.1045475&lt;/D&gt;&lt;D xsi:type="xsd:double"&gt;0.92630386&lt;/D&gt;&lt;D xsi:type="xsd:double"&gt;-3.5073519&lt;/D&gt;&lt;D xsi:type="xsd:double"&gt;1.8880248&lt;/D&gt;&lt;D xsi:type="xsd:double"&gt;-5.1830173&lt;/D&gt;&lt;D xsi:type="xsd:double"&gt;1.7817616&lt;/D&gt;&lt;D xsi:type="xsd:double"&gt;-2.8716385&lt;/D&gt;&lt;D xsi:type="xsd:double"&gt;-17.195356&lt;/D&gt;&lt;D xsi:type="xsd:double"&gt;-3.3998013&lt;/D&gt;&lt;D xsi:type="xsd:double"&gt;3.0935764&lt;/D&gt;&lt;D xsi:type="xsd:double"&gt;12.065374&lt;/D&gt;&lt;D xsi:type="xsd:double"&gt;-4.8119187&lt;/D&gt;&lt;D xsi:type="xsd:double"&gt;-2.1095872&lt;/D&gt;&lt;D xsi:type="xsd:double"&gt;-2.35399&lt;/D&gt;&lt;D xsi:type="xsd:double"&gt;-1.8398166&lt;/D&gt;&lt;D xsi:type="xsd:double"&gt;5.8478117&lt;/D&gt;&lt;D xsi:type="xsd:double"&gt;10.544729&lt;/D&gt;&lt;D xsi:type="xsd:double"&gt;3.6265612&lt;/D&gt;&lt;D xsi:type="xsd:double"&gt;-1.2691677&lt;/D&gt;&lt;D xsi:type="xsd:double"&gt;3.6988974&lt;/D&gt;&lt;D xsi:type="xsd:double"&gt;-0.4265666&lt;/D&gt;&lt;D xsi:type="xsd:double"&gt;1.3924241&lt;/D&gt;&lt;D xsi:type="xsd:double"&gt;2.3373127&lt;/D&gt;&lt;D xsi:type="xsd:double"&gt;-4.502642&lt;/D&gt;&lt;D xsi:type="xsd:double"&gt;-0.61014295&lt;/D&gt;&lt;D xsi:type="xsd:double"&gt;6.0112&lt;/D&gt;&lt;D xsi:type="xsd:double"&gt;0.24826527&lt;/D&gt;&lt;D xsi:type="xsd:double"&gt;-0.5453229&lt;/D&gt;&lt;D xsi:type="xsd:double"&gt;-0.7507026&lt;/D&gt;&lt;D xsi:type="xsd:double"&gt;2.39954&lt;/D&gt;&lt;D xsi:type="xsd:double"&gt;2.772379&lt;/D&gt;&lt;D xsi:type="xsd:double"&gt;-3.2836199&lt;/D&gt;&lt;D xsi:type="xsd:double"&gt;2.3629665&lt;/D&gt;&lt;D xsi:type="xsd:double"&gt;-3.7497044&lt;/D&gt;&lt;D xsi:type="xsd:double"&gt;0.60637&lt;/D&gt;&lt;D xsi:type="xsd:double"&gt;-4.578531&lt;/D&gt;&lt;D xsi:type="xsd:double"&gt;3.8090467&lt;/D&gt;&lt;D xsi:type="xsd:double"&gt;2.3132443&lt;/D&gt;&lt;D xsi:type="xsd:double"&gt;-5.0797167&lt;/D&gt;&lt;D xsi:type="xsd:double"&gt;3.0982375&lt;/D&gt;&lt;D xsi:type="xsd:double"&gt;0.24086237&lt;/D&gt;&lt;D xsi:type="xsd:double"&gt;4.206693&lt;/D&gt;&lt;D xsi:type="xsd:double"&gt;-1.5868485&lt;/D&gt;&lt;D xsi:type="xsd:double"&gt;-3.9000988&lt;/D&gt;&lt;D xsi:type="xsd:double"&gt;-0.40758848&lt;/D&gt;&lt;D xsi:type="xsd:double"&gt;-1.4794767&lt;/D&gt;&lt;D xsi:type="xsd:double"&gt;-0.9206474&lt;/D&gt;&lt;D xsi:type="xsd:double"&gt;-3.7437856&lt;/D&gt;&lt;D xsi:type="xsd:double"&gt;2.4397254&lt;/D&gt;&lt;D xsi:type="xsd:double"&gt;0.8973479&lt;/D&gt;&lt;D xsi:type="xsd:double"&gt;-7.2855654&lt;/D&gt;&lt;D xsi:type="xsd:double"&gt;-3.1287253&lt;/D&gt;&lt;D xsi:type="xsd:double"&gt;-0.61745644&lt;/D&gt;&lt;D xsi:type="xsd:double"&gt;2.3555636&lt;/D&gt;&lt;D xsi:type="xsd:double"&gt;-1.7792463&lt;/D&gt;&lt;D xsi:type="xsd:double"&gt;-0.14044642&lt;/D&gt;&lt;D xsi:type="xsd:double"&gt;1.5687943&lt;/D&gt;&lt;D xsi:type="xsd:double"&gt;-2.5756836&lt;/D&gt;&lt;D xsi:type="xsd:double"&gt;-3.8873136&lt;/D&gt;&lt;D xsi:type="xsd:double"&gt;0.35721064&lt;/D&gt;&lt;D xsi:type="xsd:double"&gt;-1.9806921&lt;/D&gt;&lt;D xsi:type="xsd:double"&gt;10.096609&lt;/D&gt;&lt;D xsi:type="xsd:double"&gt;2.835369&lt;/D&gt;&lt;/FQL&gt;&lt;FQL&gt;&lt;Q&gt;W-FDS^FG_PRICE_CHANGE(0,-3AM)&lt;/Q&gt;&lt;R&gt;1&lt;/R&gt;&lt;C&gt;1&lt;/C&gt;&lt;D xsi:type="xsd:double"&gt;11.0855565777369&lt;/D&gt;&lt;/FQL&gt;&lt;FQL&gt;&lt;Q&gt;EWT^FG_PRICE(0)&lt;/Q&gt;&lt;R&gt;1&lt;/R&gt;&lt;C&gt;1&lt;/C&gt;&lt;D xsi:type="xsd:double"&gt;54.44&lt;/D&gt;&lt;/FQL&gt;&lt;FQL&gt;&lt;Q&gt;CNYA^FG_PRICE_MAVG(0,,,,30)&lt;/Q&gt;&lt;R&gt;1&lt;/R&gt;&lt;C&gt;1&lt;/C&gt;&lt;D xsi:type="xsd:double"&gt;27.189833&lt;/D&gt;&lt;/FQL&gt;&lt;FQL&gt;&lt;Q&gt;UAE^PERCENT_CHANGE(FMA_EPS(+1,0,,,,"PORTAGG","MEAN"),FMA_EPS(+1,-1AM,,,,"PORTAGG","MEAN"))&lt;/Q&gt;&lt;R&gt;1&lt;/R&gt;&lt;C&gt;1&lt;/C&gt;&lt;D xsi:type="xsd:double"&gt;-1.02518049502123&lt;/D&gt;&lt;/FQL&gt;&lt;FQL&gt;&lt;Q&gt;QAT^FG_TOTAL_RETURNC(0,-6AM)&lt;/Q&gt;&lt;R&gt;1&lt;/R&gt;&lt;C&gt;1&lt;/C&gt;&lt;D xsi:type="xsd:double"&gt;9.246313&lt;/D&gt;&lt;/FQL&gt;&lt;FQL&gt;&lt;Q&gt;EWM^FG_TOTAL_RETURNC(0,-1AM)&lt;/Q&gt;&lt;R&gt;1&lt;/R&gt;&lt;C&gt;1&lt;/C&gt;&lt;D xsi:type="xsd:double"&gt;1.60532&lt;/D&gt;&lt;/FQL&gt;&lt;FQL&gt;&lt;Q&gt;CNYA^P_PRICE(0)/P_PRICE_LOW_PR(0,,,,,,"PRICE","INTRA","52W")-1&lt;/Q&gt;&lt;R&gt;1&lt;/R&gt;&lt;C&gt;1&lt;/C&gt;&lt;D xsi:type="xsd:double"&gt;0.3178463&lt;/D&gt;&lt;/FQL&gt;&lt;FQL&gt;&lt;Q&gt;VGK^FG_TOTAL_RETURNC(0,-3AM)&lt;/Q&gt;&lt;R&gt;1&lt;/R&gt;&lt;C&gt;1&lt;/C&gt;&lt;D xsi:type="xsd:double"&gt;1.5499711&lt;/D&gt;&lt;/FQL&gt;&lt;FQL&gt;&lt;Q&gt;VWO^FMA_COS_UP("EPS","1M",+1,NOW,,,"PORTAGG","MEANR")&lt;/Q&gt;&lt;R&gt;1&lt;/R&gt;&lt;C&gt;1&lt;/C&gt;&lt;D xsi:type="xsd:double"&gt;1023&lt;/D&gt;&lt;/FQL&gt;&lt;FQL&gt;&lt;Q&gt;TRYIN10Y-FDS^PCTCHG(FG_YIELD(0,,,,"YTM"),FG_YIELD(-3AM,,,,"YTM"))&lt;/Q&gt;&lt;R&gt;1&lt;/R&gt;&lt;C&gt;1&lt;/C&gt;&lt;D xsi:type="xsd:double"&gt;-2.9101868&lt;/D&gt;&lt;/FQL&gt;&lt;FQL&gt;&lt;Q&gt;TRYID10Y-FDS^PCTCHG(FG_YIELD(0,,,,"YTM"),FG_YIELD(-1AM,,,,"YTM"))&lt;/Q&gt;&lt;R&gt;1&lt;/R&gt;&lt;C&gt;1&lt;/C&gt;&lt;D xsi:type="xsd:double"&gt;1.271308&lt;/D&gt;&lt;/FQL&gt;&lt;FQL&gt;&lt;Q&gt;TRYBR10Y-FDS^FG_YIELD(0,,,,"YTM")&lt;/Q&gt;&lt;R&gt;1&lt;/R&gt;&lt;C&gt;1&lt;/C&gt;&lt;D xsi:type="xsd:double"&gt;12.554957&lt;/D&gt;&lt;/FQL&gt;&lt;FQL&gt;&lt;Q&gt;VWO^JULIAN(FMA_DIV_YLD(NTMA,NOW,NOW,M,"PORTAGG","MEANR").DATES)&lt;/Q&gt;&lt;R&gt;1&lt;/R&gt;&lt;C&gt;1&lt;/C&gt;&lt;D xsi:type="xsd:long"&gt;45534&lt;/D&gt;&lt;/FQL&gt;&lt;FQL&gt;&lt;Q&gt;MCHI^FG_FCF_YIELD_NTM(0)&lt;/Q&gt;&lt;R&gt;1&lt;/R&gt;&lt;C&gt;1&lt;/C&gt;&lt;D xsi:type="xsd:double"&gt;5.97437344692526&lt;/D&gt;&lt;/FQL&gt;&lt;FQL&gt;&lt;Q&gt;EWT^FMA_PE(NTMA,0,,,"PORTAGG","MEANR")&lt;/Q&gt;&lt;R&gt;1&lt;/R&gt;&lt;C&gt;1&lt;/C&gt;&lt;D xsi:type="xsd:double"&gt;16.0871035002959&lt;/D&gt;&lt;/FQL&gt;&lt;FQL&gt;&lt;Q&gt;CNYA^FMA_DIV_YLD(NTMA,NOW,NOW,M,"PORTAGG","MEANR")&lt;/Q&gt;&lt;R&gt;1&lt;/R&gt;&lt;C&gt;1&lt;/C&gt;&lt;D xsi:type="xsd:double"&gt;2.69888934059738&lt;/D&gt;&lt;/FQL&gt;&lt;FQL&gt;&lt;Q&gt;USDPHP^STD(FG_PRICE_CHANGE(0,-1AY,AM))&lt;/Q&gt;&lt;R&gt;1&lt;/R&gt;&lt;C&gt;1&lt;/C&gt;&lt;D xsi:type="xsd:double"&gt;1.53421720540467&lt;/D&gt;&lt;/FQL&gt;&lt;FQL&gt;&lt;Q&gt;DDR3512M-FDS^FG_PRICE_CHANGE(0,-1AY)&lt;/Q&gt;&lt;R&gt;1&lt;/R&gt;&lt;C&gt;1&lt;/C&gt;&lt;D xsi:type="xsd:double"&gt;-12.3521936031474&lt;/D&gt;&lt;/FQL&gt;&lt;FQL&gt;&lt;Q&gt;BRENT-FDS^FG_PRICE(0)/MAX(FG_PRICE(0,-1AY))&lt;/Q&gt;&lt;R&gt;1&lt;/R&gt;&lt;C&gt;1&lt;/C&gt;&lt;D xsi:type="xsd:double"&gt;0.887441860465116&lt;/D&gt;&lt;/FQL&gt;&lt;FQL&gt;&lt;Q&gt;KSA^FG_PRICE_MAVG(0,,,,60)&lt;/Q&gt;&lt;R&gt;1&lt;/R&gt;&lt;C&gt;1&lt;/C&gt;&lt;D xsi:type="xsd:double"&gt;41.794834&lt;/D&gt;&lt;/FQL&gt;&lt;FQL&gt;&lt;Q&gt;QAT^PERCENT_CHANGE(FMA_EPS(+1,0,,,,"PORTAGG","MEAN"),FMA_EPS(+1,-3AM,,,,"PORTAGG","MEAN"))&lt;/Q&gt;&lt;R&gt;1&lt;/R&gt;&lt;C&gt;1&lt;/C&gt;&lt;D xsi:type="xsd:double"&gt;-1.84331950190051&lt;/D&gt;&lt;/FQL&gt;&lt;FQL&gt;&lt;Q&gt;GREK^PERCENT_CHANGE(FMA_EPS(+1,0,,,,"PORTAGG","MEAN"),FMA_EPS(+1,-3AM,,,,"PORTAGG","MEAN"))&lt;/Q&gt;&lt;R&gt;1&lt;/R&gt;&lt;C&gt;1&lt;/C&gt;&lt;D xsi:type="xsd:double"&gt;5.28061985366779&lt;/D&gt;&lt;/FQL&gt;&lt;FQL&gt;&lt;Q&gt;EWY^PERCENT_CHANGE(FMA_EPS(+1,0,,,,"PORTAGG","MEAN"),FMA_EPS(+1,-3AM,,,,"PORTAGG","MEAN"))&lt;/Q&gt;&lt;R&gt;1&lt;/R&gt;&lt;C&gt;1&lt;/C&gt;&lt;D xsi:type="xsd:double"&gt;3.642482083541&lt;/D&gt;&lt;/FQL&gt;&lt;FQL&gt;&lt;Q&gt;SPY^FMA_PCT_ABOVE_MAVG(200,0,,,,"PORTAGG")&lt;/Q&gt;&lt;R&gt;1&lt;/R&gt;&lt;C&gt;1&lt;/C&gt;&lt;D xsi:type="xsd:double"&gt;72.8&lt;/D&gt;&lt;/FQL&gt;&lt;FQL&gt;&lt;Q&gt;GREK^FMA_COS_UP("EPS","1M",+1,NOW,,,"PORTAGG","MEANR")&lt;/Q&gt;&lt;R&gt;1&lt;/R&gt;&lt;C&gt;1&lt;/C&gt;&lt;D xsi:type="xsd:double"&gt;9&lt;/D&gt;&lt;/FQL&gt;&lt;FQL&gt;&lt;Q&gt;EWT^FMA_RBICS_REV_CURRENT(30, LOC, "PORTAGG")&lt;/Q&gt;&lt;R&gt;1&lt;/R&gt;&lt;C&gt;1&lt;/C&gt;&lt;D xsi:type="xsd:double"&gt;18.667687162586&lt;/D&gt;&lt;/FQL&gt;&lt;FQL&gt;&lt;Q&gt;ECH^FG_ROE(0)&lt;/Q&gt;&lt;R&gt;1&lt;/R&gt;&lt;C&gt;1&lt;/C&gt;&lt;D xsi:type="xsd:double"&gt;9.13725499224658&lt;/D&gt;&lt;/FQL&gt;&lt;FQL&gt;&lt;Q&gt;REFSAREPO-FDS^PROPER_NAME(0,,,"SECURITY","NAME")&lt;/Q&gt;&lt;R&gt;1&lt;/R&gt;&lt;C&gt;1&lt;/C&gt;&lt;D xsi:type="xsd:string"&gt;Saudi Arabia Repo Rate&lt;/D&gt;&lt;/FQL&gt;&lt;FQL&gt;&lt;Q&gt;REFEUREFI-FDS^PROPER_NAME(0,,,"SECURITY","NAME")&lt;/Q&gt;&lt;R&gt;1&lt;/R&gt;&lt;C&gt;1&lt;/C&gt;&lt;D xsi:type="xsd:string"&gt;Eurozone Main Refinancing Operations Minimum Bid Rate&lt;/D&gt;&lt;/FQL&gt;&lt;FQL&gt;&lt;Q&gt;REFPHRREPO-FDS^PROPER_NAME(0,,,"SECURITY","NAME")&lt;/Q&gt;&lt;R&gt;1&lt;/R&gt;&lt;C&gt;1&lt;/C&gt;&lt;D xsi:type="xsd:string"&gt;Philippines Reverse Repo Rate - Overnight&lt;/D&gt;&lt;/FQL&gt;&lt;FQL&gt;&lt;Q&gt;CC_QA^IMF_IFS_RCPI_Q(0)&lt;/Q&gt;&lt;R&gt;0&lt;/R&gt;&lt;C&gt;0&lt;/C&gt;&lt;/FQL&gt;&lt;FQL&gt;&lt;Q&gt;TUR^FMA_EVAL_EBIT(LTMA,NOW,NOW,M,"PORTAGG","MEANR")&lt;/Q&gt;&lt;R&gt;1&lt;/R&gt;&lt;C&gt;1&lt;/C&gt;&lt;D xsi:type="xsd:double"&gt;8.68219694034464&lt;/D&gt;&lt;/FQL&gt;&lt;FQL&gt;&lt;Q&gt;EWZ^FMA_EVAL_EBIT(LTMA,NOW,NOW,M,"PORTAGG","MEANR")&lt;/Q&gt;&lt;R&gt;1&lt;/R&gt;&lt;C&gt;1&lt;/C&gt;&lt;D xsi:type="xsd:double"&gt;7.12417657887613&lt;/D&gt;&lt;/FQL&gt;&lt;FQL&gt;&lt;Q&gt;ECH^FMA_ROE(NTMA,-20AY,NOW,FY,"PORTAGG","MEANR")&lt;/Q&gt;&lt;R&gt;20&lt;/R&gt;&lt;C&gt;1&lt;/C&gt;&lt;D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xsi:type="xsd:double"&gt;9.67240076810641&lt;/D&gt;&lt;D xsi:type="xsd:double"&gt;8.82258324228264&lt;/D&gt;&lt;D xsi:</t>
        </r>
      </text>
    </comment>
    <comment ref="A14" authorId="0" shapeId="0" xr:uid="{70FDEA49-0E45-4185-AA3B-1A2C99D6A23E}">
      <text>
        <r>
          <rPr>
            <b/>
            <sz val="9"/>
            <color indexed="81"/>
            <rFont val="Tahoma"/>
            <charset val="1"/>
          </rPr>
          <t>type="xsd:double"&gt;8.75463942854793&lt;/D&gt;&lt;D xsi:type="xsd:double"&gt;10.6038911833674&lt;/D&gt;&lt;D xsi:type="xsd:double"&gt;12.7874449851799&lt;/D&gt;&lt;D xsi:type="xsd:double"&gt;10.7704189177279&lt;/D&gt;&lt;/FQL&gt;&lt;FQL&gt;&lt;Q&gt;USDTRY^FG_PRICE_CHANGE(0,-6AM)&lt;/Q&gt;&lt;R&gt;1&lt;/R&gt;&lt;C&gt;1&lt;/C&gt;&lt;D xsi:type="xsd:double"&gt;5.8900476&lt;/D&gt;&lt;/FQL&gt;&lt;FQL&gt;&lt;Q&gt;TUR^P_PRICE_RETURNS_PR('52W',2,-10AY,0,AM)&lt;/Q&gt;&lt;R&gt;121&lt;/R&gt;&lt;C&gt;1&lt;/C&gt;&lt;D xsi:type="xsd:double"&gt;-15.965282&lt;/D&gt;&lt;D xsi:type="xsd:double"&gt;-3.8245976&lt;/D&gt;&lt;D xsi:type="xsd:double"&gt;1.0847926&lt;/D&gt;&lt;D xsi:type="xsd:double"&gt;25.235605&lt;/D&gt;&lt;D xsi:type="xsd:double"&gt;15.937292&lt;/D&gt;&lt;D xsi:type="xsd:double"&gt;3.9078116&lt;/D&gt;&lt;D xsi:type="xsd:double"&gt;-6.6285667&lt;/D&gt;&lt;D xsi:type="xsd:double"&gt;-13.37248&lt;/D&gt;&lt;D xsi:type="xsd:double"&gt;-24.794775&lt;/D&gt;&lt;D xsi:type="xsd:double"&gt;-15.72653&lt;/D&gt;&lt;D xsi:type="xsd:double"&gt;-24.030626&lt;/D&gt;&lt;D xsi:type="xsd:double"&gt;-33.81766&lt;/D&gt;&lt;D xsi:type="xsd:double"&gt;-15.672999&lt;/D&gt;&lt;D xsi:type="xsd:double"&gt;-17.109186&lt;/D&gt;&lt;D xsi:type="xsd:double"&gt;-31.84135&lt;/D&gt;&lt;D xsi:type="xsd:double"&gt;-38.441723&lt;/D&gt;&lt;D xsi:type="xsd:double"&gt;-25.692379&lt;/D&gt;&lt;D xsi:type="xsd:double"&gt;-5.246532&lt;/D&gt;&lt;D xsi:type="xsd:double"&gt;-7.6575575&lt;/D&gt;&lt;D xsi:type="xsd:double"&gt;-12.8909&lt;/D&gt;&lt;D xsi:type="xsd:double"&gt;-8.943457&lt;/D&gt;&lt;D xsi:type="xsd:double"&gt;-6.2351046&lt;/D&gt;&lt;D xsi:type="xsd:double"&gt;-3.0132174&lt;/D&gt;&lt;D xsi:type="xsd:double"&gt;12.905002&lt;/D&gt;&lt;D xsi:type="xsd:double"&gt;-4.7349873&lt;/D&gt;&lt;D xsi:type="xsd:double"&gt;-16.182154&lt;/D&gt;&lt;D xsi:type="xsd:double"&gt;-12.820864&lt;/D&gt;&lt;D xsi:type="xsd:double"&gt;-9.776115&lt;/D&gt;&lt;D xsi:type="xsd:double"&gt;-0.16527176&lt;/D&gt;&lt;D xsi:type="xsd:double"&gt;-11.03754&lt;/D&gt;&lt;D xsi:type="xsd:double"&gt;-13.872361&lt;/D&gt;&lt;D xsi:type="xsd:double"&gt;2.3530483&lt;/D&gt;&lt;D xsi:type="xsd:double"&gt;3.9336562&lt;/D&gt;&lt;D xsi:type="xsd:double"&gt;4.1433454&lt;/D&gt;&lt;D xsi:type="xsd:double"&gt;14.3509865&lt;/D&gt;&lt;D xsi:type="xsd:double"&gt;20.942938&lt;/D&gt;&lt;D xsi:type="xsd:double"&gt;9.614277&lt;/D&gt;&lt;D xsi:type="xsd:double"&gt;21.86532&lt;/D&gt;&lt;D xsi:type="xsd:double"&gt;26.909435&lt;/D&gt;&lt;D xsi:type="xsd:double"&gt;46.552788&lt;/D&gt;&lt;D xsi:type="xsd:double"&gt;23.488354&lt;/D&gt;&lt;D xsi:type="xsd:double"&gt;33.013664&lt;/D&gt;&lt;D xsi:type="xsd:double"&gt;11.175919&lt;/D&gt;&lt;D xsi:type="xsd:double"&gt;-8.285273&lt;/D&gt;&lt;D xsi:type="xsd:double"&gt;-20.778423&lt;/D&gt;&lt;D xsi:type="xsd:double"&gt;-25.980377&lt;/D&gt;&lt;D xsi:type="xsd:double"&gt;-49.30539&lt;/D&gt;&lt;D xsi:type="xsd:double"&gt;-54.217056&lt;/D&gt;&lt;D xsi:type="xsd:double"&gt;-42.51104&lt;/D&gt;&lt;D xsi:type="xsd:double"&gt;-38.625305&lt;/D&gt;&lt;D xsi:type="xsd:double"&gt;-36.75129&lt;/D&gt;&lt;D xsi:type="xsd:double"&gt;-40.541298&lt;/D&gt;&lt;D xsi:type="xsd:double"&gt;-30.41643&lt;/D&gt;&lt;D xsi:type="xsd:double"&gt;-37.08618&lt;/D&gt;&lt;D xsi:type="xsd:double"&gt;-35.013103&lt;/D&gt;&lt;D xsi:type="xsd:double"&gt;-36.747353&lt;/D&gt;&lt;D xsi:type="xsd:double"&gt;-22.98956&lt;/D&gt;&lt;D xsi:type="xsd:double"&gt;-12.370121&lt;/D&gt;&lt;D xsi:type="xsd:double"&gt;7.1714044&lt;/D&gt;&lt;D xsi:type="xsd:double"&gt;28.650211&lt;/D&gt;&lt;D xsi:type="xsd:double"&gt;12.759614&lt;/D&gt;&lt;D xsi:type="xsd:double"&gt;7.96597&lt;/D&gt;&lt;D xsi:type="xsd:double"&gt;10.352791&lt;/D&gt;&lt;D xsi:type="xsd:double"&gt;20.375156&lt;/D&gt;&lt;D xsi:type="xsd:double"&gt;0.7388234&lt;/D&gt;&lt;D xsi:type="xsd:double"&gt;-8.559304&lt;/D&gt;&lt;D xsi:type="xsd:double"&gt;-16.616201&lt;/D&gt;&lt;D xsi:type="xsd:double"&gt;-6.2095346&lt;/D&gt;&lt;D xsi:type="xsd:double"&gt;-1.1898696&lt;/D&gt;&lt;D xsi:type="xsd:double"&gt;-6.0278296&lt;/D&gt;&lt;D xsi:type="xsd:double"&gt;-21.299303&lt;/D&gt;&lt;D xsi:type="xsd:double"&gt;-19.425196&lt;/D&gt;&lt;D xsi:type="xsd:double"&gt;-17.144573&lt;/D&gt;&lt;D xsi:type="xsd:double"&gt;-19.444721&lt;/D&gt;&lt;D xsi:type="xsd:double"&gt;-9.839982&lt;/D&gt;&lt;D xsi:type="xsd:double"&gt;4.416859&lt;/D&gt;&lt;D xsi:type="xsd:double"&gt;8.527363&lt;/D&gt;&lt;D xsi:type="xsd:double"&gt;20.335876&lt;/D&gt;&lt;D xsi:type="xsd:double"&gt;17.904413&lt;/D&gt;&lt;D xsi:type="xsd:double"&gt;25.836504&lt;/D&gt;&lt;D xsi:type="xsd:double"&gt;6.754899&lt;/D&gt;&lt;D xsi:type="xsd:double"&gt;-4.7481656&lt;/D&gt;&lt;D xsi:type="xsd:double"&gt;14.989483&lt;/D&gt;&lt;D xsi:type="xsd:double"&gt;17.17509&lt;/D&gt;&lt;D xsi:type="xsd:double"&gt;11.788082&lt;/D&gt;&lt;D xsi:type="xsd:double"&gt;13.642383&lt;/D&gt;&lt;D xsi:type="xsd:double"&gt;-12.447346&lt;/D&gt;&lt;D xsi:type="xsd:double"&gt;-26.669973&lt;/D&gt;&lt;D xsi:type="xsd:double"&gt;-28.182661&lt;/D&gt;&lt;D xsi:type="xsd:double"&gt;-32.385754&lt;/D&gt;&lt;D xsi:type="xsd:double"&gt;-3.72957&lt;/D&gt;&lt;D xsi:type="xsd:double"&gt;-5.056924&lt;/D&gt;&lt;D xsi:type="xsd:double"&gt;-14.162713&lt;/D&gt;&lt;D xsi:type="xsd:double"&gt;-10.395109&lt;/D&gt;&lt;D xsi:type="xsd:double"&gt;-3.558606&lt;/D&gt;&lt;D xsi:type="xsd:double"&gt;12.500132&lt;/D&gt;&lt;D xsi:type="xsd:double"&gt;21.998417&lt;/D&gt;&lt;D xsi:type="xsd:double"&gt;40.53761&lt;/D&gt;&lt;D xsi:type="xsd:double"&gt;77.93575&lt;/D&gt;&lt;D xsi:type="xsd:double"&gt;74.63474&lt;/D&gt;&lt;D xsi:type="xsd:double"&gt;49.205757&lt;/D&gt;&lt;D xsi:type="xsd:double"&gt;106.871414&lt;/D&gt;&lt;D xsi:type="xsd:double"&gt;61.779068&lt;/D&gt;&lt;D xsi:type="xsd:double"&gt;42.702843&lt;/D&gt;&lt;D xsi:type="xsd:double"&gt;62.109734&lt;/D&gt;&lt;D xsi:type="xsd:double"&gt;72.67076&lt;/D&gt;&lt;D xsi:type="xsd:double"&gt;71.96698&lt;/D&gt;&lt;D xsi:type="xsd:double"&gt;68.11507&lt;/D&gt;&lt;D xsi:type="xsd:double"&gt;62.56329&lt;/D&gt;&lt;D xsi:type="xsd:double"&gt;18.164158&lt;/D&gt;&lt;D xsi:type="xsd:double"&gt;10.607302&lt;/D&gt;&lt;D xsi:type="xsd:double"&gt;4.105222&lt;/D&gt;&lt;D xsi:type="xsd:double"&gt;34.099686&lt;/D&gt;&lt;D xsi:type="xsd:double"&gt;2.526486&lt;/D&gt;&lt;D xsi:type="xsd:double"&gt;17.77463&lt;/D&gt;&lt;D xsi:type="xsd:double"&gt;41.47737&lt;/D&gt;&lt;D xsi:type="xsd:double"&gt;34.646572&lt;/D&gt;&lt;D xsi:type="xsd:double"&gt;41.599655&lt;/D&gt;&lt;D xsi:type="xsd:double"&gt;9.09152&lt;/D&gt;&lt;D xsi:type="xsd:double"&gt;-5.4530087&lt;/D&gt;&lt;D xsi:type="xsd:double"&gt;-11.020332&lt;/D&gt;&lt;/FQL&gt;&lt;FQL&gt;&lt;Q&gt;EWT^FMA_DIV_YLD(NTMA,-10AY,0,AM,"PORTAGG","MEANR")&lt;/Q&gt;&lt;R&gt;121&lt;/R&gt;&lt;C&gt;1&lt;/C&gt;&lt;D xsi:type="xsd:double"&gt;3.47119326215793&lt;/D&gt;&lt;D xsi:type="xsd:double"&gt;3.43456070829111&lt;/D&gt;&lt;D xsi:type="xsd:double"&gt;3.46984461805612&lt;/D&gt;&lt;D xsi:type="xsd:double"&gt;3.50731180701791&lt;/D&gt;&lt;D xsi:type="xsd:double"&gt;3.48996473932507&lt;/D&gt;&lt;D xsi:type="xsd:double"&gt;3.44204972512464&lt;/D&gt;&lt;D xsi:type="xsd:double"&gt;3.52962048094442&lt;/D&gt;&lt;D xsi:type="xsd:double"&gt;3.56368334827792&lt;/D&gt;&lt;D xsi:type="xsd:double"&gt;3.86240614274338&lt;/D&gt;&lt;D xsi:type="xsd:double"&gt;4.08051913453414&lt;/D&gt;&lt;D xsi:type="xsd:double"&gt;4.24083984107287&lt;/D&gt;&lt;D xsi:type="xsd:double"&gt;4.30658935111904&lt;/D&gt;&lt;D xsi:type="xsd:double"&gt;4.1901665111306&lt;/D&gt;&lt;D xsi:type="xsd:double"&gt;4.10610791422051&lt;/D&gt;&lt;D xsi:type="xsd:double"&gt;4.25889769283959&lt;/D&gt;&lt;D xsi:type="xsd:double"&gt;4.57441680455149&lt;/D&gt;&lt;D xsi:type="xsd:double"&gt;4.41111291185289&lt;/D&gt;&lt;D xsi:type="xsd:double"&gt;4.19994614223879&lt;/D&gt;&lt;D xsi:type="xsd:double"&gt;4.26678112511372&lt;/D&gt;&lt;D xsi:type="xsd:double"&gt;4.57108965933579&lt;/D&gt;&lt;D xsi:type="xsd:double"&gt;4.15355738005823&lt;/D&gt;&lt;D xsi:type="xsd:double"&gt;4.20038428649545&lt;/D&gt;&lt;D xsi:type="xsd:double"&gt;3.98014912356159&lt;/D&gt;&lt;D xsi:type="xsd:double"&gt;4.06023120483024&lt;/D&gt;&lt;D xsi:type="xsd:double"&gt;3.99094343220292&lt;/D&gt;&lt;D xsi:type="xsd:double"&gt;4.11611057940797&lt;/D&gt;&lt;D xsi:type="xsd:double"&gt;4.12114093886764&lt;/D&gt;&lt;D xsi:type="xsd:double"&gt;4.16637176552786&lt;/D&gt;&lt;D xsi:type="xsd:double"&gt;4.08585282964366&lt;/D&gt;&lt;D xsi:type="xsd:double"&gt;4.19865323026894&lt;/D&gt;&lt;D xsi:type="xsd:double"&gt;4.13128875220613&lt;/D&gt;&lt;D xsi:type="xsd:double"&gt;4.08401712264969&lt;/D&gt;&lt;D xsi:type="xsd:double"&gt;4.02614692215934&lt;/D&gt;&lt;D xsi:type="xsd:double"&gt;4.03018622172708&lt;/D&gt;&lt;D xsi:type="xsd:double"&gt;4.02483477340303&lt;/D&gt;&lt;D xsi:type="xsd:double"&gt;4.0323548707032&lt;/D&gt;&lt;D xsi:type="xsd:double"&gt;4.08929528018156&lt;/D&gt;&lt;D xsi:type="xsd:double"&gt;4.08044386733851&lt;/D&gt;&lt;D xsi:type="xsd:double"&gt;4.19090580025075&lt;/D&gt;&lt;D xsi:type="xsd:double"&gt;4.18318006274044&lt;/D&gt;&lt;D xsi:type="xsd:double"&gt;4.35048167723218&lt;/D&gt;&lt;D xsi:type="xsd:double"&gt;4.19102286665311&lt;/D&gt;&lt;D xsi:type="xsd:double"&gt;4.18361957892907&lt;/D&gt;&lt;D xsi:type="xsd:double"&gt;4.37135478450669&lt;/D&gt;&lt;D xsi:type="xsd:double"&gt;4.25809655157415&lt;/D&gt;&lt;D xsi:type="xsd:double"&gt;4.47090527341983&lt;/D&gt;&lt;D xsi:type="xsd:double"&gt;4.36147596957777&lt;/D&gt;&lt;D xsi:type="xsd:double"&gt;4.47707990938835&lt;/D&gt;&lt;D xsi:type="xsd:double"&gt;4.66151630193986&lt;/D&gt;&lt;D xsi:type="xsd:double"&gt;4.92176811740058&lt;/D&gt;&lt;D xsi:type="xsd:double"&gt;5.0294206138549&lt;/D&gt;&lt;D xsi:type="xsd:double"&gt;4.86942968574008&lt;/D&gt;&lt;D xsi:type="xsd:double"&gt;4.63045321361352&lt;/D&gt;&lt;D xsi:type="xsd:double"&gt;4.53293066132826&lt;/D&gt;&lt;D xsi:type="xsd:double"&gt;4.18323330720037&lt;/D&gt;&lt;D xsi:type="xsd:double"&gt;4.30888272834977&lt;/D&gt;&lt;D xsi:type="xsd:double"&gt;4.45721796285832&lt;/D&gt;&lt;D xsi:type="xsd:double"&gt;4.31215706420811&lt;/D&gt;&lt;D xsi:type="xsd:double"&gt;4.45131125417571&lt;/D&gt;&lt;D xsi:type="xsd:double"&gt;4.27822014006652&lt;/D&gt;&lt;D xsi:type="xsd:double"&gt;4.26711879760512&lt;/D&gt;&lt;D xsi:type="xsd:double"&gt;4.03135519455443&lt;/D&gt;&lt;D xsi:type="xsd:double"&gt;4.11173957999657&lt;/D&gt;&lt;D xsi:type="xsd:double"&gt;3.98818210325152&lt;/D&gt;&lt;D xsi:type="xsd:double"&gt;4.12151182500475&lt;/D&gt;&lt;D xsi:type="xsd:double"&gt;4.3293360905274&lt;/D&gt;&lt;D xsi:type="xsd:double"&gt;4.49229075629971&lt;/D&gt;&lt;D xsi:type="xsd:double"&gt;4.11325327270612&lt;/D&gt;&lt;D xsi:type="xsd:double"&gt;3.85942442189351&lt;/D&gt;&lt;D xsi:type="xsd:double"&gt;3.75913158383515&lt;/D&gt;&lt;D xsi:type="xsd:double"&gt;3.59867677458614&lt;/D&gt;&lt;D xsi:type="xsd:double"&gt;3.84125862379166&lt;/D&gt;&lt;D xsi:type="xsd:double"&gt;3.82378283695276&lt;/D&gt;&lt;D xsi:type="xsd:double"&gt;3.86445504771826&lt;/D&gt;&lt;D xsi:type="xsd:double"&gt;3.68064968841164&lt;/D&gt;&lt;D xsi:type="xsd:double"&gt;3.45831750590833&lt;/D&gt;&lt;D xsi:type="xsd:double"&gt;3.54655967130303&lt;/D&gt;&lt;D xsi:type="xsd:double"&gt;3.64723526000205&lt;/D&gt;&lt;D xsi:type="xsd:double"&gt;3.69223353931713&lt;/D&gt;&lt;D xsi:type="xsd:double"&gt;3.89024968002647&lt;/D&gt;&lt;D xsi:type="xsd:double"&gt;4.03063962325386&lt;/D&gt;&lt;D xsi:type="xsd:double"&gt;4.05626660780543&lt;/D&gt;&lt;D xsi:type="xsd:double"&gt;4.20250400772398&lt;/D&gt;&lt;D xsi:type="xsd:double"&gt;4.19026187414914&lt;/D&gt;&lt;D xsi:type="xsd:double"&gt;4.46641861960746&lt;/D&gt;&lt;D xsi:type="xsd:double"&gt;4.29118538291856&lt;/D&gt;&lt;D xsi:type="xsd:double"&gt;4.2325537829474&lt;/D&gt;&lt;D xsi:type="xsd:double"&gt;4.18733814162898&lt;/D&gt;&lt;D xsi:type="xsd:double"&gt;4.24916214738466&lt;/D&gt;&lt;D xsi:type="xsd:double"&gt;4.50711113340035&lt;/D&gt;&lt;D xsi:type="xsd:double"&gt;4.57617469186768&lt;/D&gt;&lt;D xsi:type="xsd:double"&gt;4.90142045739975&lt;/D&gt;&lt;D xsi:type="xsd:double"&gt;4.69984727867762&lt;/D&gt;&lt;D xsi:type="xsd:double"&gt;5.35078839139307&lt;/D&gt;&lt;D xsi:type="xsd:double"&gt;5.07404969238064&lt;/D&gt;&lt;D xsi:type="xsd:double"&gt;5.10367488168124&lt;/D&gt;&lt;D xsi:type="xsd:double"&gt;5.27515207960094&lt;/D&gt;&lt;D xsi:type="xsd:double"&gt;4.88678455749859&lt;/D&gt;&lt;D xsi:type="xsd:double"&gt;4.37870762799017&lt;/D&gt;&lt;D xsi:type="xsd:double"&gt;4.30797449426186&lt;/D&gt;&lt;D xsi:type="xsd:double"&gt;4.0402869556858&lt;/D&gt;&lt;D xsi:type="xsd:double"&gt;3.98260920208324&lt;/D&gt;&lt;D xsi:type="xsd:double"&gt;3.87156747772684&lt;/D&gt;&lt;D xsi:type="xsd:double"&gt;3.76955413319193&lt;/D&gt;&lt;D xsi:type="xsd:double"&gt;3.50001050952299&lt;/D&gt;&lt;D xsi:type="xsd:double"&gt;3.54606145813838&lt;/D&gt;&lt;D xsi:type="xsd:double"&gt;3.52734977584591&lt;/D&gt;&lt;D xsi:type="xsd:double"&gt;3.63592621665711&lt;/D&gt;&lt;D xsi:type="xsd:double"&gt;3.6082660008045&lt;/D&gt;&lt;D xsi:type="xsd:double"&gt;3.55170458307025&lt;/D&gt;&lt;D xsi:type="xsd:double"&gt;3.41872610453805&lt;/D&gt;&lt;D xsi:type="xsd:double"&gt;3.40198314680119&lt;/D&gt;&lt;D xsi:type="xsd:double"&gt;3.35285099113013&lt;/D&gt;&lt;D xsi:type="xsd:double"&gt;3.10722575548943&lt;/D&gt;&lt;D xsi:type="xsd:double"&gt;3.03246038060392&lt;/D&gt;&lt;D xsi:type="xsd:double"&gt;3.10750445029611&lt;/D&gt;&lt;D xsi:type="xsd:double"&gt;3.10244492643382&lt;/D&gt;&lt;D xsi:type="xsd:double"&gt;2.86956398304586&lt;/D&gt;&lt;D xsi:type="xsd:double"&gt;3.31990779028231&lt;/D&gt;&lt;D xsi:type="xsd:double"&gt;3.50856261427321&lt;/D&gt;&lt;D xsi:type="xsd:double"&gt;3.35527038925403&lt;/D&gt;&lt;/FQL&gt;&lt;FQL&gt;&lt;Q&gt;BRENT-FDS^FG_PRICE_CHANGE(0,-1AY)&lt;/Q&gt;&lt;R&gt;1&lt;/R&gt;&lt;C&gt;1&lt;/C&gt;&lt;D xsi:type="xsd:double"&gt;-7.65756076575608&lt;/D&gt;&lt;/FQL&gt;&lt;FQL&gt;&lt;Q&gt;FC0000PE^FG_PRICE(0)&lt;/Q&gt;&lt;R&gt;1&lt;/R&gt;&lt;C&gt;1&lt;/C&gt;&lt;D xsi:type="xsd:double"&gt;845.1361&lt;/D&gt;&lt;/FQL&gt;&lt;FQL&gt;&lt;Q&gt;KSA^FG_TOTAL_RETURNC(0,-12AM)&lt;/Q&gt;&lt;R&gt;1&lt;/R&gt;&lt;C&gt;1&lt;/C&gt;&lt;D xsi:type="xsd:double"&gt;13.179898&lt;/D&gt;&lt;/FQL&gt;&lt;FQL&gt;&lt;Q&gt;TUR^FG_TOTAL_RETURNC(0,-12AM)&lt;/Q&gt;&lt;R&gt;1&lt;/R&gt;&lt;C&gt;1&lt;/C&gt;&lt;D xsi:type="xsd:double"&gt;-11.020332&lt;/D&gt;&lt;/FQL&gt;&lt;FQL&gt;&lt;Q&gt;GREK^FMA_PCT_ABOVE_MAVG(200,0,,,,"PORTAGG")&lt;/Q&gt;&lt;R&gt;1&lt;/R&gt;&lt;C&gt;1&lt;/C&gt;&lt;D xsi:type="xsd:double"&gt;44.8275862068966&lt;/D&gt;&lt;/FQL&gt;&lt;FQL&gt;&lt;Q&gt;EWM^PERCENT_CHANGE(FMA_EPS(+1,0,,,,"PORTAGG","MEAN"),FMA_EPS(+1,-1AM,,,,"PORTAGG","MEAN"))&lt;/Q&gt;&lt;R&gt;1&lt;/R&gt;&lt;C&gt;1&lt;/C&gt;&lt;D xsi:type="xsd:double"&gt;2.46736099078148&lt;/D&gt;&lt;/FQL&gt;&lt;FQL&gt;&lt;Q&gt;USDTWD^FG_COMPANY_NAME&lt;/Q&gt;&lt;R&gt;1&lt;/R&gt;&lt;C&gt;1&lt;/C&gt;&lt;D xsi:type="xsd:string"&gt;Taiwan Dollar per U.S. Dollar&lt;/D&gt;&lt;/FQL&gt;&lt;FQL&gt;&lt;Q&gt;USDPHP^FG_PRICE_CHANGE(0,-6AM)&lt;/Q&gt;&lt;R&gt;1&lt;/R&gt;&lt;C&gt;1&lt;/C&gt;&lt;D xsi:type="xsd:double"&gt;1.5131354&lt;/D&gt;&lt;/FQL&gt;&lt;FQL&gt;&lt;Q&gt;USDCNH^FG_COMPANY_NAME&lt;/Q&gt;&lt;R&gt;1&lt;/R&gt;&lt;C&gt;1&lt;/C&gt;&lt;D xsi:type="xsd:string"&gt;Chinese Offshore Renminbi per U.S. Dollar&lt;/D&gt;&lt;/FQL&gt;&lt;FQL&gt;&lt;Q&gt;DDR3512M-FDS^FG_PRICE_CHANGE(0,-6AM)&lt;/Q&gt;&lt;R&gt;1&lt;/R&gt;&lt;C&gt;1&lt;/C&gt;&lt;D xsi:type="xsd:double"&gt;-9.92579114161791&lt;/D&gt;&lt;/FQL&gt;&lt;FQL&gt;&lt;Q&gt;BRENT-FDS^FG_PRICE_CHANGE(0,-6AM)&lt;/Q&gt;&lt;R&gt;1&lt;/R&gt;&lt;C&gt;1&lt;/C&gt;&lt;D xsi:type="xsd:double"&gt;0&lt;/D&gt;&lt;/FQL&gt;&lt;FQL&gt;&lt;Q&gt;VNM^FG_PRICE_MAVG(0,,,,30)&lt;/Q&gt;&lt;R&gt;1&lt;/R&gt;&lt;C&gt;1&lt;/C&gt;&lt;D xsi:type="xsd:double"&gt;12.547667&lt;/D&gt;&lt;/FQL&gt;&lt;FQL&gt;&lt;Q&gt;KSA^P_PRICE(0)/P_PRICE_LOW_PR(0,,,,,,"PRICE","INTRA","52W")-1&lt;/Q&gt;&lt;R&gt;1&lt;/R&gt;&lt;C&gt;1&lt;/C&gt;&lt;D xsi:type="xsd:double"&gt;0.1494062&lt;/D&gt;&lt;/FQL&gt;&lt;FQL&gt;&lt;Q&gt;MCHI^P_PRICE(0)/P_PRICE_LOW_PR(0,,,,,,"PRICE","INTRA","52W")-1&lt;/Q&gt;&lt;R&gt;1&lt;/R&gt;&lt;C&gt;1&lt;/C&gt;&lt;D xsi:type="xsd:double"&gt;0.47133207&lt;/D&gt;&lt;/FQL&gt;&lt;FQL&gt;&lt;Q&gt;EZA^FG_TOTAL_RETURNC(0,-12AM)&lt;/Q&gt;&lt;R&gt;1&lt;/R&gt;&lt;C&gt;1&lt;/C&gt;&lt;D xsi:type="xsd:double"&gt;31.283772&lt;/D&gt;&lt;/FQL&gt;&lt;FQL&gt;&lt;Q&gt;EPHE^FMA_COS_UP("EPS","1M",+1,NOW,,,"PORTAGG","MEANR")&lt;/Q&gt;&lt;R&gt;1&lt;/R&gt;&lt;C&gt;1&lt;/C&gt;&lt;D xsi:type="xsd:double"&gt;13&lt;/D&gt;&lt;/FQL&gt;&lt;FQL&gt;&lt;Q&gt;EWM^FMA_RBICS_REV_CURRENT(30, LOC, "PORTAGG")&lt;/Q&gt;&lt;R&gt;1&lt;/R&gt;&lt;C&gt;1&lt;/C&gt;&lt;D xsi:type="xsd:double"&gt;43.6320406586123&lt;/D&gt;&lt;/FQL&gt;&lt;FQL&gt;&lt;Q&gt;CNYA^FG_ROE(0)&lt;/Q&gt;&lt;R&gt;1&lt;/R&gt;&lt;C&gt;1&lt;/C&gt;&lt;D xsi:type="xsd:double"&gt;10.1533702313764&lt;/D&gt;&lt;/FQL&gt;&lt;FQL&gt;&lt;Q&gt;CC_IN^IMF_IFS_RCPI_Q(0)&lt;/Q&gt;&lt;R&gt;0&lt;/R&gt;&lt;C&gt;0&lt;/C&gt;&lt;/FQL&gt;&lt;FQL&gt;&lt;Q&gt;EPHE^FMA_DIV_YLD(NTMA,NOW,NOW,M,"PORTAGG","MEANR")&lt;/Q&gt;&lt;R&gt;1&lt;/R&gt;&lt;C&gt;1&lt;/C&gt;&lt;D xsi:type="xsd:double"&gt;3.14636341684674&lt;/D&gt;&lt;/FQL&gt;&lt;FQL&gt;&lt;Q&gt;TRYAU10Y-FDS^FG_YIELD(-10AY,0,Y,,"YTM")&lt;/Q&gt;&lt;R&gt;10&lt;/R&gt;&lt;C&gt;1&lt;/C&gt;&lt;D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xsi:type="xsd:double"&gt;3.955&lt;/D&gt;&lt;/FQL&gt;&lt;FQL&gt;&lt;Q&gt;USDTRY^FG_PRICE_CHANGE(0,-3AM)&lt;/Q&gt;&lt;R&gt;1&lt;/R&gt;&lt;C&gt;1&lt;/C&gt;&lt;D xsi:type="xsd:double"&gt;4.0187716&lt;/D&gt;&lt;/FQL&gt;&lt;FQL&gt;&lt;Q&gt;INDA^FG_TOTAL_RETURNC(-10AY,0,AM)&lt;/Q&gt;&lt;R&gt;121&lt;/R&gt;&lt;C&gt;1&lt;/C&gt;&lt;D xsi:type="xsd:double"&gt;-5.0825953&lt;/D&gt;&lt;D xsi:type="xsd:double"&gt;6.2583685&lt;/D&gt;&lt;D xsi:type="xsd:double"&gt;-3.2755911&lt;/D&gt;&lt;D xsi:type="xsd:double"&gt;-0.30146837&lt;/D&gt;&lt;D xsi:type="xsd:double"&gt;4.786885&lt;/D&gt;&lt;D xsi:type="xsd:double"&gt;0.43804646&lt;/D&gt;&lt;D xsi:type="xsd:double"&gt;3.8317919&lt;/D&gt;&lt;D xsi:type="xsd:double"&gt;-9.360945&lt;/D&gt;&lt;D xsi:type="xsd:double"&gt;-2.5157154&lt;/D&gt;&lt;D xsi:type="xsd:double"&gt;3.8974524&lt;/D&gt;&lt;D xsi:type="xsd:double"&gt;2.2973418&lt;/D&gt;&lt;D xsi:type="xsd:double"&gt;-12.479949&lt;/D&gt;&lt;D xsi:type="xsd:double"&gt;8.467733&lt;/D&gt;&lt;D xsi:type="xsd:double"&gt;-8.448797&lt;/D&gt;&lt;D xsi:type="xsd:double"&gt;-2.3624957&lt;/D&gt;&lt;D xsi:type="xsd:double"&gt;-1.6666532&lt;/D&gt;&lt;D xsi:type="xsd:double"&gt;-5.422151&lt;/D&gt;&lt;D xsi:type="xsd:double"&gt;5.7739496&lt;/D&gt;&lt;D xsi:type="xsd:double"&gt;1.2388706&lt;/D&gt;&lt;D xsi:type="xsd:double"&gt;4.0153027&lt;/D&gt;&lt;D xsi:type="xsd:double"&gt;1.5808821&lt;/D&gt;&lt;D xsi:type="xsd:double"&gt;3.6364794&lt;/D&gt;&lt;D xsi:type="xsd:double"&gt;2.9866457&lt;/D&gt;&lt;D xsi:type="xsd:double"&gt;0.443542&lt;/D&gt;&lt;D xsi:type="xsd:double"&gt;1.5625&lt;/D&gt;&lt;D xsi:type="xsd:double"&gt;-7.0234118&lt;/D&gt;&lt;D xsi:type="xsd:double"&gt;-1.2589872&lt;/D&gt;&lt;D xsi:type="xsd:double"&gt;-0.6715417&lt;/D&gt;&lt;D xsi:type="xsd:double"&gt;8.36705&lt;/D&gt;&lt;D xsi:type="xsd:double"&gt;1.9854069&lt;/D&gt;&lt;D xsi:type="xsd:double"&gt;5.690515&lt;/D&gt;&lt;D xsi:type="xsd:double"&gt;2.1095753&lt;/D&gt;&lt;D xsi:type="xsd:double"&gt;0.89423656&lt;/D&gt;&lt;D xsi:type="xsd:double"&gt;1.7670393&lt;/D&gt;&lt;D xsi:type="xsd:double"&gt;-0.7235408&lt;/D&gt;&lt;D xsi:type="xsd:double"&gt;3.7351966&lt;/D&gt;&lt;D xsi:type="xsd:double"&gt;-0.81967115&lt;/D&gt;&lt;D xsi:type="xsd:double"&gt;2.3612738&lt;/D&gt;&lt;D xsi:type="xsd:double"&gt;1.4129162&lt;/D&gt;&lt;D xsi:type="xsd:double"&gt;5.137503&lt;/D&gt;&lt;D xsi:type="xsd:double"&gt;-3.6512256&lt;/D&gt;&lt;D xsi:type="xsd:double"&gt;-2.4321258&lt;/D&gt;&lt;D xsi:type="xsd:double"&gt;0.9565234&lt;/D&gt;&lt;D xsi:type="xsd:double"&gt;-1.3781309&lt;/D&gt;&lt;D xsi:type="xsd:double"&gt;-1.4701545&lt;/D&gt;&lt;D xsi:type="xsd:double"&gt;0.5380511&lt;/D&gt;&lt;D xsi:type="xsd:double"&gt;3.8552165&lt;/D&gt;&lt;D xsi:type="xsd:double"&gt;-3.7121058&lt;/D&gt;&lt;D xsi:type="xsd:double"&gt;-12.742787&lt;/D&gt;&lt;D xsi:type="xsd:double"&gt;5.564928&lt;/D&gt;&lt;D xsi:type="xsd:double"&gt;-3.1629384&lt;/D&gt;&lt;D xsi:type="xsd:double"&gt;9.655249&lt;/D&gt;&lt;D xsi:type="xsd:double"&gt;-1.000917&lt;/D&gt;&lt;D xsi:type="xsd:double"&gt;2.4509788&lt;/D&gt;&lt;D xsi:type="xsd:double"&gt;6.070578&lt;/D&gt;&lt;D xsi:type="xsd:double"&gt;-5.3566456&lt;/D&gt;&lt;D xsi:type="xsd:double"&gt;6.5832615&lt;/D&gt;&lt;D xsi:type="xsd:double"&gt;-2.0758092&lt;/D&gt;&lt;D xsi:type="xsd:double"&gt;-6.7972364&lt;/D&gt;&lt;D xsi:type="xsd:double"&gt;-0.9270668&lt;/D&gt;&lt;D xsi:type="xsd:double"&gt;2.1834016&lt;/D&gt;&lt;D xsi:type="xsd:double"&gt;5.0671577&lt;/D&gt;&lt;D xsi:type="xsd:double"&gt;0.14526844&lt;/D&gt;&lt;D xsi:type="xsd:double"&gt;3.4036517&lt;/D&gt;&lt;D xsi:type="xsd:double"&gt;-1.0390282&lt;/D&gt;&lt;D xsi:type="xsd:double"&gt;-15.011353&lt;/D&gt;&lt;D xsi:type="xsd:double"&gt;-14.991659&lt;/D&gt;&lt;D xsi:type="xsd:double"&gt;4.9882174&lt;/D&gt;&lt;D xsi:type="xsd:double"&gt;8.567154&lt;/D&gt;&lt;D xsi:type="xsd:double"&gt;6.334007&lt;/D&gt;&lt;D xsi:type="xsd:double"&gt;7.424867&lt;/D&gt;&lt;D xsi:type="xsd:double"&gt;1.9963741&lt;/D&gt;&lt;D xsi:type="xsd:double"&gt;5.530834&lt;/D&gt;&lt;D xsi:type="xsd:double"&gt;1.1381269&lt;/D&gt;&lt;D xsi:type="xsd:double"&gt;7.39094&lt;/D&gt;&lt;D xsi:type="xsd:double"&gt;7.9282284&lt;/D&gt;&lt;D xsi:type="xsd:double"&gt;2.063346&lt;/D&gt;&lt;D xsi:type="xsd:double"&gt;1.6455173&lt;/D&gt;&lt;D xsi:type="xsd:double"&gt;-3.5846531&lt;/D&gt;&lt;D xsi:type="xsd:double"&gt;1.5351534&lt;/D&gt;&lt;D xsi:type="xsd:double"&gt;7.138729&lt;/D&gt;&lt;D xsi:type="xsd:double"&gt;-2.1628797&lt;/D&gt;&lt;D xsi:type="xsd:double"&gt;2.5039434&lt;/D&gt;&lt;D xsi:type="xsd:double"&gt;8.472717&lt;/D&gt;&lt;D xsi:type="xsd:double"&gt;-0.060868263&lt;/D&gt;&lt;D xsi:type="xsd:double"&gt;1.5022397&lt;/D&gt;&lt;D xsi:type="xsd:double"&gt;-2.9599965&lt;/D&gt;&lt;D xsi:type="xsd:double"&gt;3.8880467&lt;/D&gt;&lt;D xsi:type="xsd:double"&gt;-4.7961116&lt;/D&gt;&lt;D xsi:type="xsd:double"&gt;-5.7035027&lt;/D&gt;&lt;D xsi:type="xsd:double"&gt;7.93128&lt;/D&gt;&lt;D xsi:type="xsd:double"&gt;-10.488444&lt;/D&gt;&lt;D xsi:type="xsd:double"&gt;-1.9488394&lt;/D&gt;&lt;D xsi:type="xsd:double"&gt;-0.12422204&lt;/D&gt;&lt;D xsi:type="xsd:double"&gt;8.830845&lt;/D&gt;&lt;D xsi:type="xsd:double"&gt;0.045716763&lt;/D&gt;&lt;D xsi:type="xsd:double"&gt;-6.671238&lt;/D&gt;&lt;D xsi:type="xsd:double"&gt;7.735622&lt;/D&gt;&lt;D xsi:type="xsd:double"&gt;-2.79482&lt;/D&gt;&lt;D xsi:type="xsd:double"&gt;-1.449275&lt;/D&gt;&lt;D xsi:type="xsd:double"&gt;-4.3168902&lt;/D&gt;&lt;D xsi:type="xsd:double"&gt;-2.4789274&lt;/D&gt;&lt;D xsi:type="xsd:double"&gt;1.4997482&lt;/D&gt;&lt;D xsi:type="xsd:double"&gt;4.4577956&lt;/D&gt;&lt;D xsi:type="xsd:double"&gt;1.1499763&lt;/D&gt;&lt;D xsi:type="xsd:double"&gt;3.6808372&lt;/D&gt;&lt;D xsi:type="xsd:double"&gt;0.48098564&lt;/D&gt;&lt;D xsi:type="xsd:double"&gt;2.6213884&lt;/D&gt;&lt;D xsi:type="xsd:double"&gt;-0.95513463&lt;/D&gt;&lt;D xsi:type="xsd:double"&gt;-0.22426248&lt;/D&gt;&lt;D xsi:type="xsd:double"&gt;6.338501&lt;/D&gt;&lt;D xsi:type="xsd:double"&gt;3.8892388&lt;/D&gt;&lt;D xsi:type="xsd:double"&gt;3.1943083&lt;/D&gt;&lt;D xsi:type="xsd:double"&gt;3.075707&lt;/D&gt;&lt;D xsi:type="xsd:double"&gt;-0.11476278&lt;/D&gt;&lt;D xsi:type="xsd:double"&gt;-1.6277313&lt;/D&gt;&lt;D xsi:type="xsd:double"&gt;5.4117203&lt;/D&gt;&lt;D xsi:type="xsd:double"&gt;4.7830105&lt;/D&gt;&lt;D xsi:type="xsd:double"&gt;-1.6743064&lt;/D&gt;&lt;D xsi:type="xsd:double"&gt;2.2405505&lt;/D&gt;&lt;D xsi:type="xsd:double"&gt;0.10519028&lt;/D&gt;&lt;/FQL&gt;&lt;FQL&gt;&lt;Q&gt;FTSEWIVNXXXX^FG_PRICE(0)&lt;/Q&gt;&lt;R&gt;1&lt;/R&gt;&lt;C&gt;1&lt;/C&gt;&lt;D xsi:type="xsd:double"&gt;364.34904303&lt;/D&gt;&lt;/FQL&gt;&lt;FQL&gt;&lt;Q&gt;VNM^FG_PRICE(0)&lt;/Q&gt;&lt;R&gt;1&lt;/R&gt;&lt;C&gt;1&lt;/C&gt;&lt;D xsi:type="xsd:double"&gt;12.5&lt;/D&gt;&lt;/FQL&gt;&lt;FQL&gt;&lt;Q&gt;KSA^P_PRICE(0)/P_PRICE_HIGH_PR(0,,,,,,"PRICE","INTRA","52W")&lt;/Q&gt;&lt;R&gt;1&lt;/R&gt;&lt;C&gt;1&lt;/C&gt;&lt;D xsi:type="xsd:double"&gt;0.92294043&lt;/D&gt;&lt;/FQL&gt;&lt;FQL&gt;&lt;Q&gt;CAGDPY@AE^EE_ACTUAL_ANNUAL(MED,+1)&lt;/Q&gt;&lt;R&gt;1&lt;/R&gt;&lt;C&gt;1&lt;/C&gt;&lt;D xsi:type="xsd:double"&gt;8.95&lt;/D&gt;&lt;/FQL&gt;&lt;FQL&gt;&lt;Q&gt;USDBRL^STD(FG_PRICE_CHANGE(0,-3AY,M))&lt;/Q&gt;&lt;R&gt;1&lt;/R&gt;&lt;C&gt;1&lt;/C&gt;&lt;D xsi:type="xsd:double"&gt;3.55356356668837&lt;/D&gt;&lt;/FQL&gt;&lt;FQL&gt;&lt;Q&gt;USDTWD^STD(FG_PRICE_CHANGE(0,-1AY,AM))&lt;/Q&gt;&lt;R&gt;1&lt;/R&gt;&lt;C&gt;1&lt;/C&gt;&lt;D xsi:type="xsd:double"&gt;1.2384647231598&lt;/D&gt;&lt;/FQL&gt;&lt;FQL&gt;&lt;Q&gt;USDPLN^FG_PRICE_CHANGE(0,-1AY)&lt;/Q&gt;&lt;R&gt;1&lt;/R&gt;&lt;C&gt;1&lt;/C&gt;&lt;D xsi:type="xsd:double"&gt;-8.111292&lt;/D&gt;&lt;/FQL&gt;&lt;FQL&gt;&lt;Q&gt;EWZ^FMA_DIV_YLD(NTMA,-10AY,0,AM,"PORTAGG","MEANR")&lt;/Q&gt;&lt;R&gt;121&lt;/R&gt;&lt;C&gt;1&lt;/C&gt;&lt;D xsi:type="xsd:double"&gt;3.79056884590259&lt;/D&gt;&lt;D xsi:type="xsd:double"&gt;3.78620955997961&lt;/D&gt;&lt;D xsi:type="xsd:double"&gt;4.34300743087699&lt;/D&gt;&lt;D xsi:type="xsd:double"&gt;4.14118924102676&lt;/D&gt;&lt;D xsi:type="xsd:double"&gt;4.14256448109578&lt;/D&gt;&lt;D xsi:type="xsd:double"&gt;4.22659519896661&lt;/D&gt;&lt;D xsi:type="xsd:double"&gt;3.61523150747245&lt;/D&gt;&lt;D xsi:type="xsd:double"&gt;3.54993428807767&lt;/D&gt;&lt;D xsi:type="xsd:double"&gt;3.8612191176508&lt;/D&gt;&lt;D xsi:type="xsd:double"&gt;3.85017774472631&lt;/D&gt;&lt;D xsi:type="xsd:double"&gt;3.89592564837441&lt;/D&gt;&lt;D xsi:type="xsd:double"&gt;4.3405620910841&lt;/D&gt;&lt;D xsi:type="xsd:double"&gt;3.89842736236992&lt;/D&gt;&lt;D xsi:type="xsd:double"&gt;4.03374573188052&lt;/D&gt;&lt;D xsi:type="xsd:double"&gt;4.03203990949231&lt;/D&gt;&lt;D xsi:type="xsd:double"&gt;4.37777819640709&lt;/D&gt;&lt;D xsi:type="xsd:double"&gt;4.39006684452842&lt;/D&gt;&lt;D xsi:type="xsd:double"&gt;3.39168404082914&lt;/D&gt;&lt;D xsi:type="xsd:double"&gt;3.22312394042022&lt;/D&gt;&lt;D xsi:type="xsd:double"&gt;3.31065895070364&lt;/D&gt;&lt;D xsi:type="xsd:double"&gt;3.46436826826673&lt;/D&gt;&lt;D xsi:type="xsd:double"&gt;3.15125013059254&lt;/D&gt;&lt;D xsi:type="xsd:double"&gt;3.08070690015029&lt;/D&gt;&lt;D xsi:type="xsd:double"&gt;3.12750321291608&lt;/D&gt;&lt;D xsi:type="xsd:double"&gt;3.00309264234546&lt;/D&gt;&lt;D xsi:type="xsd:double"&gt;3.10459571665078&lt;/D&gt;&lt;D xsi:type="xsd:double"&gt;3.48007747699577&lt;/D&gt;&lt;D xsi:type="xsd:double"&gt;3.44295674684473&lt;/D&gt;&lt;D xsi:type="xsd:double"&gt;3.32484124329301&lt;/D&gt;&lt;D xsi:type="xsd:double"&gt;3.58711507754529&lt;/D&gt;&lt;D xsi:type="xsd:double"&gt;3.63052925970675&lt;/D&gt;&lt;D xsi:type="xsd:double"&gt;3.51204095617089&lt;/D&gt;&lt;D xsi:type="xsd:double"&gt;3.65323784485767&lt;/D&gt;&lt;D xsi:type="xsd:double"&gt;3.67670573907654&lt;/D&gt;&lt;D xsi:type="xsd:double"&gt;3.43715524576517&lt;/D&gt;&lt;D xsi:type="xsd:double"&gt;3.214551372405&lt;/D&gt;&lt;D xsi:type="xsd:double"&gt;3.12337249021252&lt;/D&gt;&lt;D xsi:type="xsd:double"&gt;3.49406110306687&lt;/D&gt;&lt;D xsi:type="xsd:double"&gt;3.64074353544067&lt;/D&gt;&lt;D xsi:type="xsd:double"&gt;3.39046839834886&lt;/D&gt;&lt;D xsi:type="xsd:double"&gt;3.42816763194967&lt;/D&gt;&lt;D xsi:type="xsd:double"&gt;3.3686282750797&lt;/D&gt;&lt;D xsi:type="xsd:double"&gt;3.55225549607602&lt;/D&gt;&lt;D xsi:type="xsd:double"&gt;3.67501655223472&lt;/D&gt;&lt;D xsi:type="xsd:double"&gt;4.31749663647394&lt;/D&gt;&lt;D xsi:type="xsd:double"&gt;4.37706795060947&lt;/D&gt;&lt;D xsi:type="xsd:double"&gt;4.38497288216708&lt;/D&gt;&lt;D xsi:type="xsd:double"&gt;4.46570158157699&lt;/D&gt;&lt;D xsi:type="xsd:double"&gt;4.10238843007801&lt;/D&gt;&lt;D xsi:type="xsd:double"&gt;3.96726290687913&lt;/D&gt;&lt;D xsi:type="xsd:double"&gt;4.01101008021561&lt;/D&gt;&lt;D xsi:type="xsd:double"&gt;3.79084985601124&lt;/D&gt;&lt;D xsi:type="xsd:double"&gt;3.50945498710742&lt;/D&gt;&lt;D xsi:type="xsd:double"&gt;3.54335673715704&lt;/D&gt;&lt;D xsi:type="xsd:double"&gt;3.37603537130831&lt;/D&gt;&lt;D xsi:type="xsd:double"&gt;3.48153781843077&lt;/D&gt;&lt;D xsi:type="xsd:double"&gt;3.18312571000376&lt;/D&gt;&lt;D xsi:type="xsd:double"&gt;3.03235610124439&lt;/D&gt;&lt;D xsi:type="xsd:double"&gt;3.21254640518551&lt;/D&gt;&lt;D xsi:type="xsd:double"&gt;3.293165130927&lt;/D&gt;&lt;D xsi:type="xsd:double"&gt;3.31459608668806&lt;/D&gt;&lt;D xsi:type="xsd:double"&gt;3.28480798418011&lt;/D&gt;&lt;D xsi:type="xsd:double"&gt;3.19283047608372&lt;/D&gt;&lt;D xsi:type="xsd:double"&gt;3.14365594709291&lt;/D&gt;&lt;D xsi:type="xsd:double"&gt;3.15411566449433&lt;/D&gt;&lt;D xsi:type="xsd:double"&gt;3.95235974709862&lt;/D&gt;&lt;D xsi:type="xsd:double"&gt;4.20113315587925&lt;/D&gt;&lt;D xsi:type="xsd:double"&gt;3.7048543687896&lt;/D&gt;&lt;D xsi:type="xsd:double"&gt;2.91304047662759&lt;/D&gt;&lt;D xsi:type="xsd:double"&gt;2.71644843494333&lt;/D&gt;&lt;D xsi:type="xsd:double"&gt;2.76407132530186&lt;/D&gt;&lt;D xsi:type="xsd:double"&gt;3.20066726707959&lt;/D&gt;&lt;D xsi:type="xsd:double"&gt;3.46668687862717&lt;/D&gt;&lt;D xsi:type="xsd:double"&gt;3.41155605301296&lt;/D&gt;&lt;D xsi:type="xsd:double"&gt;3.28817819011796&lt;/D&gt;&lt;D xsi:type="xsd:double"&gt;3.23251159985996&lt;/D&gt;&lt;D xsi:type="xsd:double"&gt;3.75117321078711&lt;/D&gt;&lt;D xsi:type="xsd:double"&gt;4.21765401340639&lt;/D&gt;&lt;D xsi:type="xsd:double"&gt;4.44848052258857&lt;/D&gt;&lt;D xsi:type="xsd:double"&gt;4.75630650314893&lt;/D&gt;&lt;D xsi:type="xsd:double"&gt;4.62155016818782&lt;/D&gt;&lt;D xsi:type="xsd:double"&gt;5.22343272889435&lt;/D&gt;&lt;D xsi:type="xsd:double"&gt;5.73398799633036&lt;/D&gt;&lt;D xsi:type="xsd:double"&gt;6.3291709689965&lt;/D&gt;&lt;D xsi:type="xsd:double"&gt;6.48652079813376&lt;/D&gt;&lt;D xsi:type="xsd:double"&gt;7.49541185077226&lt;/D&gt;&lt;D xsi:type="xsd:double"&gt;7.53397937589501&lt;/D&gt;&lt;D xsi:type="xsd:double"&gt;7.67093532242473&lt;/D&gt;&lt;D xsi:type="xsd:double"&gt;6.80386933762663&lt;/D&gt;&lt;D xsi:type="xsd:double"&gt;8.64343294756712&lt;/D&gt;&lt;D xsi:type="xsd:double"&gt;8.33789950013267&lt;/D&gt;&lt;D xsi:type="xsd:double"&gt;9.49906827924928&lt;/D&gt;&lt;D xsi:type="xsd:double"&gt;10.4127879453869&lt;/D&gt;&lt;D xsi:type="xsd:double"&gt;11.2340258359498&lt;/D&gt;&lt;D xsi:type="xsd:double"&gt;10.4277052572436&lt;/D&gt;&lt;D xsi:type="xsd:double"&gt;10.3003609450128&lt;/D&gt;&lt;D xsi:type="xsd:double"&gt;9.47668898655117&lt;/D&gt;&lt;D xsi:type="xsd:double"&gt;9.06702653497125&lt;/D&gt;&lt;D xsi:type="xsd:double"&gt;7.16968075179401&lt;/D&gt;&lt;D xsi:type="xsd:double"&gt;6.65321927723193&lt;/D&gt;&lt;D xsi:type="xsd:double"&gt;6.59928524980926&lt;/D&gt;&lt;D xsi:type="xsd:double"&gt;6.98005672762244&lt;/D&gt;&lt;D xsi:type="xsd:double"&gt;6.75542778227769&lt;/D&gt;&lt;D xsi:type="xsd:double"&gt;6.73781706373072&lt;/D&gt;&lt;D xsi:type="xsd:double"&gt;6.1294823555386&lt;/D&gt;&lt;D xsi:type="xsd:double"&gt;6.11078774805929&lt;/D&gt;&lt;D xsi:type="xsd:double"&gt;5.88533852439092&lt;/D&gt;&lt;D xsi:type="xsd:double"&gt;6.0163939873504&lt;/D&gt;&lt;D xsi:type="xsd:double"&gt;6.12156251150486&lt;/D&gt;&lt;D xsi:type="xsd:double"&gt;6.32464982962669&lt;/D&gt;&lt;D xsi:type="xsd:double"&gt;6.07574965074747&lt;/D&gt;&lt;D xsi:type="xsd:double"&gt;5.71426186450423&lt;/D&gt;&lt;D xsi:type="xsd:double"&gt;5.88704530390698&lt;/D&gt;&lt;D xsi:type="xsd:double"&gt;6.23977816687509&lt;/D&gt;&lt;D xsi:type="xsd:double"&gt;6.12396947649504&lt;/D&gt;&lt;D xsi:type="xsd:double"&gt;6.67081485133863&lt;/D&gt;&lt;D xsi:type="xsd:double"&gt;7.34606485646598&lt;/D&gt;&lt;D xsi:type="xsd:double"&gt;6.79241841211411&lt;/D&gt;&lt;D xsi:type="xsd:double"&gt;6.63710425173016&lt;/D&gt;&lt;D xsi:type="xsd:double"&gt;5.68007389028893&lt;/D&gt;&lt;D xsi:type="xsd:double"&gt;5.68763216608002&lt;/D&gt;&lt;/FQL&gt;&lt;FQL&gt;&lt;Q&gt;EPOL^FMA_PE(NTMA,-10AY,0,AM,"PORTAGG","MEANR")&lt;/Q&gt;&lt;R&gt;121&lt;/R&gt;&lt;C&gt;1&lt;/C&gt;&lt;D xsi:type="xsd:double"&gt;13.1725567313288&lt;/D&gt;&lt;D xsi:type="xsd:double"&gt;13.2697515339049&lt;/D&gt;&lt;D xsi:type="xsd:double"&gt;13.6436693240873&lt;/D&gt;&lt;D xsi:type="xsd:double"&gt;13.5842028419166&lt;/D&gt;&lt;D xsi:type="xsd:double"&gt;13.3690741123998&lt;/D&gt;&lt;D xsi:type="xsd:double"&gt;13.4135412231341&lt;/D&gt;&lt;D xsi:type="xsd:double"&gt;14.4663452555519&lt;/D&gt;&lt;D xsi:type="xsd:double"&gt;14.8838531159601&lt;/D&gt;&lt;D xsi:type="xsd:double"&gt;13.7047400306189&lt;/D&gt;&lt;D xsi:type="xsd:double"&gt;13.0129550738602&lt;/D&gt;&lt;D xsi:type="xsd:double"&gt;12.7919096199996&lt;/D&gt;&lt;D xsi:type="xsd:double"&gt;12.5763664052879&lt;/D&gt;&lt;D xsi:type="xsd:double"&gt;12.4189982022881&lt;/D&gt;&lt;D xsi:type="xsd:double"&gt;11.9675627545852&lt;/D&gt;&lt;D xsi:type="xsd:double"&gt;11.2275112318292&lt;/D&gt;&lt;D xsi:type="xsd:double"&gt;11.8087828013466&lt;/D&gt;&lt;D xsi:type="xsd:double"&gt;12.4237719707071&lt;/D&gt;&lt;D xsi:type="xsd:double"&gt;13.1910288263641&lt;/D&gt;&lt;D xsi:type="xsd:double"&gt;13.1368259761963&lt;/D&gt;&lt;D xsi:type="xsd:double"&gt;12.2509510372487&lt;/D&gt;&lt;D xsi:type="xsd:double"&gt;11.7654530178985&lt;/D&gt;&lt;D xsi:type="xsd:double"&gt;11.0619169170815&lt;/D&gt;&lt;D xsi:type="xsd:double"&gt;12.3969114896045&lt;/D&gt;&lt;D xsi:type="xsd:double"&gt;11.6945861380358&lt;/D&gt;&lt;D xsi:type="xsd:double"&gt;11.6800290246096&lt;/D&gt;&lt;D xsi:type="xsd:double"&gt;11.7106927914085&lt;/D&gt;&lt;D xsi:type="xsd:double"&gt;12.0113369085294&lt;/D&gt;&lt;D xsi:type="xsd:double"&gt;12.2679903793191&lt;/D&gt;&lt;D xsi:type="xsd:double"&gt;12.8130980475514&lt;/D&gt;&lt;D xsi:type="xsd:double"&gt;12.5267946726183&lt;/D&gt;&lt;D xsi:type="xsd:double"&gt;12.3791689977019&lt;/D&gt;&lt;D xsi:type="xsd:double"&gt;12.793996985656&lt;/D&gt;&lt;D xsi:type="xsd:double"&gt;12.5707671426575&lt;/D&gt;&lt;D xsi:type="xsd:double"&gt;12.4591960011058&lt;/D&gt;&lt;D xsi:type="xsd:double"&gt;12.6022203147538&lt;/D&gt;&lt;D xsi:type="xsd:double"&gt;12.5265702831245&lt;/D&gt;&lt;D xsi:type="xsd:double"&gt;12.3379151800782&lt;/D&gt;&lt;D xsi:type="xsd:double"&gt;11.9019149464258&lt;/D&gt;&lt;D xsi:type="xsd:double"&gt;11.6157358844743&lt;/D&gt;&lt;D xsi:type="xsd:double"&gt;12.1495755017354&lt;/D&gt;&lt;D xsi:type="xsd:double"&gt;11.5807795402419&lt;/D&gt;&lt;D xsi:type="xsd:double"&gt;11.4238637101756&lt;/D&gt;&lt;D xsi:type="xsd:double"&gt;11.2599048465462&lt;/D&gt;&lt;D xsi:type="xsd:double"&gt;11.4221792154368&lt;/D&gt;&lt;D xsi:type="xsd:double"&gt;10.9749585135105&lt;/D&gt;&lt;D xsi:type="xsd:double"&gt;10.507579247314&lt;/D&gt;&lt;D xsi:type="xsd:double"&gt;10.8342605649138&lt;/D&gt;&lt;D xsi:type="xsd:double"&gt;10.6907012137339&lt;/D&gt;&lt;D xsi:type="xsd:double"&gt;10.4653627667244&lt;/D&gt;&lt;D xsi:type="xsd:double"&gt;10.5070537184593&lt;/D&gt;&lt;D xsi:type="xsd:double"&gt;10.5638261329301&lt;/D&gt;&lt;D xsi:type="xsd:double"&gt;10.7664585593968&lt;/D&gt;&lt;D xsi:type="xsd:double"&gt;10.770557664767&lt;/D&gt;&lt;D xsi:type="xsd:double"&gt;10.5349831753496&lt;/D&gt;&lt;D xsi:type="xsd:double"&gt;11.3426533624038&lt;/D&gt;&lt;D xsi:type="xsd:double"&gt;10.3175546542541&lt;/D&gt;&lt;D xsi:type="xsd:double"&gt;10.6115645613854&lt;/D&gt;&lt;D xsi:type="xsd:double"&gt;10.810582916435&lt;/D&gt;&lt;D xsi:type="xsd:double"&gt;9.78955048198908&lt;/D&gt;&lt;D xsi:type="xsd:double"&gt;9.98925531394655&lt;/D&gt;&lt;D xsi:type="xsd:double"&gt;9.56417194950653&lt;/D&gt;&lt;D xsi:type="xsd:double"&gt;10.385946230632&lt;/D&gt;&lt;D xsi:type="xsd:double"&gt;9.75607476324254&lt;/D&gt;&lt;D xsi:type="xsd:double"&gt;10.5466020373273&lt;/D&gt;&lt;D xsi:type="xsd:double"&gt;10.3602555342695&lt;/D&gt;&lt;D xsi:type="xsd:double"&gt;8.44597658168954&lt;/D&gt;&lt;D xsi:type="xsd:double"&gt;9.77238681493725&lt;/D&gt;&lt;D xsi:type="xsd:double"&gt;11.6674182078412&lt;/D&gt;&lt;D xsi:type="xsd:double"&gt;13.5191725845848&lt;/D&gt;&lt;D xsi:type="xsd:double"&gt;12.5039405067348&lt;/D&gt;&lt;D xsi:type="xsd:double"&gt;12.2537288152089&lt;/D&gt;&lt;D xsi:type="xsd:double"&gt;11.9881117489625&lt;/D&gt;&lt;D xsi:type="xsd:double"&gt;11.8916800614896&lt;/D&gt;&lt;D xsi:type="xsd:double"&gt;13.5032663027255&lt;/D&gt;&lt;D xsi:type="xsd:double"&gt;13.9627591029914&lt;/D&gt;&lt;D xsi:type="xsd:double"&gt;13.7376700811947&lt;/D&gt;&lt;D xsi:type="xsd:double"&gt;10.9632003163578&lt;/D&gt;&lt;D xsi:type="xsd:double"&gt;11.8145686478194&lt;/D&gt;&lt;D xsi:type="xsd:double"&gt;12.0294331458872&lt;/D&gt;&lt;D xsi:type="xsd:double"&gt;12.908065899733&lt;/D&gt;&lt;D xsi:type="xsd:double"&gt;12.7016917835255&lt;/D&gt;&lt;D xsi:type="xsd:double"&gt;12.1315533394631&lt;/D&gt;&lt;D xsi:type="xsd:double"&gt;11.9596612268046&lt;/D&gt;&lt;D xsi:type="xsd:double"&gt;11.6685734217513&lt;/D&gt;&lt;D xsi:type="xsd:double"&gt;12.1221275989748&lt;/D&gt;&lt;D xsi:type="xsd:double"&gt;11.854239559405&lt;/D&gt;&lt;D xsi:type="xsd:double"&gt;10.246359186851&lt;/D&gt;&lt;D xsi:type="xsd:double"&gt;10.8226809710873&lt;/D&gt;&lt;D xsi:type="xsd:double"&gt;10.1652048866066&lt;/D&gt;&lt;D xsi:type="xsd:double"&gt;8.9663909329888&lt;/D&gt;&lt;D xsi:type="xsd:double"&gt;8.91694635967729&lt;/D&gt;&lt;D xsi:type="xsd:double"&gt;6.75279832310309&lt;/D&gt;&lt;D xsi:type="xsd:double"&gt;6.64180738327106&lt;/D&gt;&lt;D xsi:type="xsd:double"&gt;6.89463588390005&lt;/D&gt;&lt;D xsi:type="xsd:double"&gt;6.26790657057893&lt;/D&gt;&lt;D xsi:type="xsd:double"&gt;6.14542038392973&lt;/D&gt;&lt;D xsi:type="xsd:double"&gt;6.07100314928502&lt;/D&gt;&lt;D xsi:type="xsd:double"&gt;7.36747252366389&lt;/D&gt;&lt;D xsi:type="xsd:double"&gt;7.48632900603368&lt;/D&gt;&lt;D xsi:type="xsd:double"&gt;8.11647279406485&lt;/D&gt;&lt;D xsi:type="xsd:double"&gt;7.67939087800719&lt;/D&gt;&lt;D xsi:type="xsd:double"&gt;7.2150461793741&lt;/D&gt;&lt;D xsi:type="xsd:double"&gt;6.75745543267706&lt;/D&gt;&lt;D xsi:type="xsd:double"&gt;7.21538783403006&lt;/D&gt;&lt;D xsi:type="xsd:double"&gt;7.83220697078303&lt;/D&gt;&lt;D xsi:type="xsd:double"&gt;8.38188229930349&lt;/D&gt;&lt;D xsi:type="xsd:double"&gt;8.38287500452187&lt;/D&gt;&lt;D xsi:type="xsd:double"&gt;7.91175248707993&lt;/D&gt;&lt;D xsi:type="xsd:double"&gt;7.96002692675565&lt;/D&gt;&lt;D xsi:type="xsd:double"&gt;8.17134531313012&lt;/D&gt;&lt;D xsi:type="xsd:double"&gt;8.9486504935513&lt;/D&gt;&lt;D xsi:type="xsd:double"&gt;8.28740737797884&lt;/D&gt;&lt;D xsi:type="xsd:double"&gt;8.81783504718091&lt;/D&gt;&lt;D xsi:type="xsd:double"&gt;9.20982868326389&lt;/D&gt;&lt;D xsi:type="xsd:double"&gt;8.7281455231103&lt;/D&gt;&lt;D xsi:type="xsd:double"&gt;8.90091984826703&lt;/D&gt;&lt;D xsi:type="xsd:double"&gt;8.6891833234953&lt;/D&gt;&lt;D xsi:type="xsd:double"&gt;8.77441151308612&lt;/D&gt;&lt;D xsi:type="xsd:double"&gt;7.77306167336824&lt;/D&gt;&lt;D xsi:type="xsd:double"&gt;7.91003771889571&lt;/D&gt;&lt;D xsi:type="xsd:double"&gt;7.87383766084012&lt;/D&gt;&lt;/FQL&gt;&lt;FQL&gt;&lt;Q&gt;DDR3512M-FDS^FG_PRICE(0)/MAX(FG_PRICE(0,-1AY))&lt;/Q&gt;&lt;R&gt;1&lt;/R&gt;&lt;C&gt;1&lt;/C&gt;&lt;D xsi:type="xsd:double"&gt;0.841590528846154&lt;/D&gt;&lt;/FQL&gt;&lt;FQL&gt;&lt;Q&gt;NI-FDS^FG_PRICE_CHANGE(0,-3AM)&lt;/Q&gt;&lt;R&gt;1&lt;/R&gt;&lt;C&gt;1&lt;/C&gt;&lt;D xsi:type="xsd:double"&gt;2.38805970149254&lt;/D&gt;&lt;/FQL&gt;&lt;FQL&gt;&lt;Q&gt;KSA^FG_PRICE_MAVG(0,,,,200)&lt;/Q&gt;&lt;R&gt;1&lt;/R&gt;&lt;C&gt;1&lt;/C&gt;&lt;D xsi:type="xsd:double"&gt;42.4723&lt;/D&gt;&lt;/FQL&gt;&lt;FQL&gt;&lt;Q&gt;INDA^FG_PRICE_MAVG(0,,,,60)&lt;/Q&gt;&lt;R&gt;1&lt;/R&gt;&lt;C&gt;1&lt;/C&gt;&lt;D xsi:type="xsd:double"&gt;57.03025&lt;/D&gt;&lt;/FQL&gt;&lt;FQL&gt;&lt;Q&gt;QAT^FG_TOTAL_RETURNC(0,-3AM)&lt;/Q&gt;&lt;R&gt;1&lt;/R&gt;&lt;C&gt;1&lt;/C&gt;&lt;D xsi:type="xsd:double"&gt;6.0395&lt;/D&gt;&lt;/FQL&gt;&lt;FQL&gt;&lt;Q&gt;GREK^FG_TOTAL_RETURNC(0,-1AM)&lt;/Q&gt;&lt;R&gt;1&lt;/R&gt;&lt;C&gt;1&lt;/C&gt;&lt;D xsi:type="xsd:double"&gt;-1.1481822&lt;/D&gt;&lt;/FQL&gt;&lt;FQL&gt;&lt;Q&gt;EWY^FG_TOTAL_RETURNC(0,-3AM)&lt;/Q&gt;&lt;R&gt;1&lt;/R&gt;&lt;C&gt;1&lt;/C&gt;&lt;D xsi:type="xsd:double"&gt;-7.9796553&lt;/D&gt;&lt;/FQL&gt;&lt;FQL&gt;&lt;Q&gt;EPHE^FG_TOTAL_RETURNC(0,-3AM)&lt;/Q&gt;&lt;R&gt;1&lt;/R&gt;&lt;C&gt;1&lt;/C&gt;&lt;D xsi:type="xsd:double"&gt;15.766132&lt;/D&gt;&lt;/FQL&gt;&lt;FQL&gt;&lt;Q&gt;SPY^PERCENT_CHANGE(FMA_EPS(+1,0,,,,"PORTAGG","MEAN"),FMA_EPS(+1,-3AM,,,,"PORTAGG","MEAN"))&lt;/Q&gt;&lt;R&gt;1&lt;/R&gt;&lt;C&gt;1&lt;/C&gt;&lt;D xsi:type="xsd:double"&gt;-1.39572403423461&lt;/D&gt;&lt;/FQL&gt;&lt;FQL&gt;&lt;Q&gt;GREK^SIZE(FG_CONSTITUENTS)&lt;/Q&gt;&lt;R&gt;1&lt;/R&gt;&lt;C&gt;1&lt;/C&gt;&lt;D xsi:type="xsd:long"&gt;32&lt;/D&gt;&lt;/FQL&gt;&lt;FQL&gt;&lt;Q&gt;EPOL^FMA_COS_UP("EPS","1M",+1,NOW,,,"PORTAGG","MEANR")&lt;/Q&gt;&lt;R&gt;1&lt;/R&gt;&lt;C&gt;1&lt;/C&gt;&lt;D xsi:type="xsd:double"&gt;12&lt;/D&gt;&lt;/FQL&gt;&lt;FQL&gt;&lt;Q&gt;EWW^FMA_RBICS_REV_CURRENT(30, LOC, "PORTAGG")&lt;/Q&gt;&lt;R&gt;1&lt;/R&gt;&lt;C&gt;1&lt;/C&gt;&lt;D xsi:type="xsd:double"&gt;25.7734024021309&lt;/D&gt;&lt;/FQL&gt;&lt;FQL&gt;&lt;Q&gt;EIDO^FG_ROE(0)&lt;/Q&gt;&lt;R&gt;1&lt;/R&gt;&lt;C&gt;1&lt;/C&gt;&lt;D xsi:type="xsd:double"&gt;12.5237385148944&lt;/D&gt;&lt;/FQL&gt;&lt;FQL&gt;&lt;Q&gt;REFSAREPO-FDS^FG_YIELD(NOW,,,0)&lt;/Q&gt;&lt;R&gt;1&lt;/R&gt;&lt;C&gt;1&lt;/C&gt;&lt;D xsi:type="xsd:double"&gt;5.5&lt;/D&gt;&lt;/FQL&gt;&lt;FQL&gt;&lt;Q&gt;REFEUREFI-FDS^FG_YIELD(NOW,,,0)&lt;/Q&gt;&lt;R&gt;1&lt;/R&gt;&lt;C&gt;1&lt;/C&gt;&lt;D xsi:type="xsd:double"&gt;3.65&lt;/D&gt;&lt;/FQL&gt;&lt;FQL&gt;&lt;Q&gt;REFPHRREPO-FDS^(SUBARRAY(NOT_NA(NO_REPEAT_F(FG_YIELD(NOW,-10AY,D))),0,1)-SUBARRAY(NOT_NA(NO_REPEAT_F(FG_YIELD(NOW,-10AY,D))),1,1))*100&lt;/Q&gt;&lt;R&gt;1&lt;/R&gt;&lt;C&gt;1&lt;/C&gt;&lt;D xsi:type="xsd:double"&gt;-25&lt;/D&gt;&lt;/FQL&gt;&lt;FQL&gt;&lt;Q&gt;TIPSCL10Y-FDS^PCTCHG(FG_YIELD(0,,,,"YTM"),FG_YIELD(-3AM,,,,"YTM"))&lt;/Q&gt;&lt;R&gt;1&lt;/R&gt;&lt;C&gt;1&lt;/C&gt;&lt;D xsi:type="xsd:double"&gt;-28.587938&lt;/D&gt;&lt;/FQL&gt;&lt;FQL&gt;&lt;Q&gt;CC_TH^IMF_IFS_RCPI_Q(0)&lt;/Q&gt;&lt;R&gt;0&lt;/R&gt;&lt;C&gt;0&lt;/C&gt;&lt;/FQL&gt;&lt;FQL&gt;&lt;Q&gt;UAE^JULIAN(FMA_DIV_YLD(NTMA,NOW,NOW,M,"PORTAGG","MEANR").DATES)&lt;/Q&gt;&lt;R&gt;1&lt;/R&gt;&lt;C&gt;1&lt;/C&gt;&lt;D xsi:type="xsd:long"&gt;45565&lt;/D&gt;&lt;/FQL&gt;&lt;FQL&gt;&lt;Q&gt;MCHI^FMA_DIV_YLD(NTMA,NOW,NOW,M,"PORTAGG","MEANR")&lt;/Q&gt;&lt;R&gt;1&lt;/R&gt;&lt;C&gt;1&lt;/C&gt;&lt;D xsi:type="xsd:double"&gt;2.50810507474093&lt;/D&gt;&lt;/FQL&gt;&lt;FQL&gt;&lt;Q&gt;EZA^JULIAN(FMA_DIV_YLD(NTMA,NOW,NOW,M,"PORTAGG","MEANR").DATES)&lt;/Q&gt;&lt;R&gt;1&lt;/R&gt;&lt;C&gt;1&lt;/C&gt;&lt;D xsi:type="xsd:long"&gt;45565&lt;/D&gt;&lt;/FQL&gt;&lt;FQL&gt;&lt;Q&gt;EPHE^FMA_EVAL_EBITDA(NTMA,0,,,"PORTAGG","MEANR")&lt;/Q&gt;&lt;R&gt;1&lt;/R&gt;&lt;C&gt;1&lt;/C&gt;&lt;D xsi:type="xsd:double"&gt;8.31921532436534&lt;/D&gt;&lt;/FQL&gt;&lt;FQL&gt;&lt;Q&gt;EPOL^FMA_ROE(NTMA,-20AY,NOW,FY,"PORTAGG","MEANR")&lt;/Q&gt;&lt;R&gt;20&lt;/R&gt;&lt;C&gt;1&lt;/C&gt;&lt;D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</t>
        </r>
      </text>
    </comment>
    <comment ref="A15" authorId="0" shapeId="0" xr:uid="{29059906-AE2F-4382-9B41-5D4640798EC2}">
      <text>
        <r>
          <rPr>
            <b/>
            <sz val="9"/>
            <color indexed="81"/>
            <rFont val="Tahoma"/>
            <charset val="1"/>
          </rPr>
          <t>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xsi:type="xsd:double"&gt;7.20768650788902&lt;/D&gt;&lt;D xsi:type="xsd:double"&gt;10.1460102201106&lt;/D&gt;&lt;D xsi:type="xsd:double"&gt;10.9641857238333&lt;/D&gt;&lt;D xsi:type="xsd:double"&gt;12.3945793275799&lt;/D&gt;&lt;/FQL&gt;&lt;FQL&gt;&lt;Q&gt;CAGDPY@AE^EE_ACTUAL_ANNUAL(MED,0)&lt;/Q&gt;&lt;R&gt;1&lt;/R&gt;&lt;C&gt;1&lt;/C&gt;&lt;D xsi:type="xsd:double"&gt;12.15&lt;/D&gt;&lt;/FQL&gt;&lt;FQL&gt;&lt;Q&gt;CAGDPY@PL^EE_ACTUAL_ANNUAL(MED,+1)&lt;/Q&gt;&lt;R&gt;1&lt;/R&gt;&lt;C&gt;1&lt;/C&gt;&lt;D xsi:type="xsd:double"&gt;0.55&lt;/D&gt;&lt;/FQL&gt;&lt;FQL&gt;&lt;Q&gt;CC_CL^FG_COMPANY_NAME&lt;/Q&gt;&lt;R&gt;1&lt;/R&gt;&lt;C&gt;1&lt;/C&gt;&lt;D xsi:type="xsd:string"&gt;Chile&lt;/D&gt;&lt;/FQL&gt;&lt;FQL&gt;&lt;Q&gt;USDTRY^STD(FG_PRICE_CHANGE(0,-1AY,AM))&lt;/Q&gt;&lt;R&gt;1&lt;/R&gt;&lt;C&gt;1&lt;/C&gt;&lt;D xsi:type="xsd:double"&gt;1.3125805869827&lt;/D&gt;&lt;/FQL&gt;&lt;FQL&gt;&lt;Q&gt;KSA^P_PRICE_RETURNS_PR('52W',2,-10AY,0,AM)&lt;/Q&gt;&lt;R&gt;121&lt;/R&gt;&lt;C&gt;1&lt;/C&gt;&lt;D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xsi:type="xsd:double"&gt;-20.254023&lt;/D&gt;&lt;D xsi:type="xsd:double"&gt;-1.1724412&lt;/D&gt;&lt;D xsi:type="xsd:double"&gt;5.775416&lt;/D&gt;&lt;D xsi:type="xsd:double"&gt;17.154228&lt;/D&gt;&lt;D xsi:type="xsd:double"&gt;25.65453&lt;/D&gt;&lt;D xsi:type="xsd:double"&gt;12.961745&lt;/D&gt;&lt;D xsi:type="xsd:double"&gt;16.085243&lt;/D&gt;&lt;D xsi:type="xsd:double"&gt;7.315755&lt;/D&gt;&lt;D xsi:type="xsd:double"&gt;7.774627&lt;/D&gt;&lt;D xsi:type="xsd:double"&gt;21.53076&lt;/D&gt;&lt;D xsi:type="xsd:double"&gt;15.563309&lt;/D&gt;&lt;D xsi:type="xsd:double"&gt;21.359802&lt;/D&gt;&lt;D xsi:type="xsd:double"&gt;26.398289&lt;/D&gt;&lt;D xsi:type="xsd:double"&gt;9.333253&lt;/D&gt;&lt;D xsi:type="xsd:double"&gt;2.9093146&lt;/D&gt;&lt;D xsi:type="xsd:double"&gt;10.1717&lt;/D&gt;&lt;D xsi:type="xsd:double"&gt;10.324621&lt;/D&gt;&lt;D xsi:type="xsd:double"&gt;18.227936&lt;/D&gt;&lt;D xsi:type="xsd:double"&gt;20.22115&lt;/D&gt;&lt;D xsi:type="xsd:double"&gt;20.648384&lt;/D&gt;&lt;D xsi:type="xsd:double"&gt;28.261292&lt;/D&gt;&lt;D xsi:type="xsd:double"&gt;23.18821&lt;/D&gt;&lt;D xsi:type="xsd:double"&gt;22.143185&lt;/D&gt;&lt;D xsi:type="xsd:double"&gt;10.147643&lt;/D&gt;&lt;D xsi:type="xsd:double"&gt;14.478683&lt;/D&gt;&lt;D xsi:type="xsd:double"&gt;15.598667&lt;/D&gt;&lt;D xsi:type="xsd:double"&gt;15.093064&lt;/D&gt;&lt;D xsi:type="xsd:double"&gt;17.13078&lt;/D&gt;&lt;D xsi:type="xsd:double"&gt;26.4539&lt;/D&gt;&lt;D xsi:type="xsd:double"&gt;19.018995&lt;/D&gt;&lt;D xsi:type="xsd:double"&gt;18.558466&lt;/D&gt;&lt;D xsi:type="xsd:double"&gt;15.988457&lt;/D&gt;&lt;D xsi:type="xsd:double"&gt;10.828638&lt;/D&gt;&lt;D xsi:type="xsd:double"&gt;8.665562&lt;/D&gt;&lt;D xsi:type="xsd:double"&gt;7.66083&lt;/D&gt;&lt;D xsi:type="xsd:double"&gt;8.704937&lt;/D&gt;&lt;D xsi:type="xsd:double"&gt;3.3126116&lt;/D&gt;&lt;D xsi:type="xsd:double"&gt;5.240071&lt;/D&gt;&lt;D xsi:type="xsd:double"&gt;8.613169&lt;/D&gt;&lt;D xsi:type="xsd:double"&gt;3.8054824&lt;/D&gt;&lt;D xsi:type="xsd:double"&gt;-8.3863735&lt;/D&gt;&lt;D xsi:type="xsd:double"&gt;-20.153505&lt;/D&gt;&lt;D xsi:type="xsd:double"&gt;-26.153421&lt;/D&gt;&lt;D xsi:type="xsd:double"&gt;-26.40332&lt;/D&gt;&lt;D xsi:type="xsd:double"&gt;-15.940171&lt;/D&gt;&lt;D xsi:type="xsd:double"&gt;-16.77217&lt;/D&gt;&lt;D xsi:type="xsd:double"&gt;-11.873972&lt;/D&gt;&lt;D xsi:type="xsd:double"&gt;-1.2025177&lt;/D&gt;&lt;D xsi:type="xsd:double"&gt;7.6545&lt;/D&gt;&lt;D xsi:type="xsd:double"&gt;6.709218&lt;/D&gt;&lt;D xsi:type="xsd:double"&gt;6.108296&lt;/D&gt;&lt;D xsi:type="xsd:double"&gt;7.201934&lt;/D&gt;&lt;D xsi:type="xsd:double"&gt;12.508118&lt;/D&gt;&lt;D xsi:type="xsd:double"&gt;41.341232&lt;/D&gt;&lt;D xsi:type="xsd:double"&gt;50.27554&lt;/D&gt;&lt;D xsi:type="xsd:double"&gt;55.271435&lt;/D&gt;&lt;D xsi:type="xsd:double"&gt;44.23882&lt;/D&gt;&lt;D xsi:type="xsd:double"&gt;46.118534&lt;/D&gt;&lt;D xsi:type="xsd:double"&gt;51.96879&lt;/D&gt;&lt;D xsi:type="xsd:double"&gt;46.0567&lt;/D&gt;&lt;D xsi:type="xsd:double"&gt;42.741848&lt;/D&gt;&lt;D xsi:type="xsd:double"&gt;44.137703&lt;/D&gt;&lt;D xsi:type="xsd:double"&gt;28.004456&lt;/D&gt;&lt;D xsi:type="xsd:double"&gt;36.272705&lt;/D&gt;&lt;D xsi:type="xsd:double"&gt;42.77512&lt;/D&gt;&lt;D xsi:type="xsd:double"&gt;38.34294&lt;/D&gt;&lt;D xsi:type="xsd:double"&gt;36.694206&lt;/D&gt;&lt;D xsi:type="xsd:double"&gt;33.92117&lt;/D&gt;&lt;D xsi:type="xsd:double"&gt;16.387665&lt;/D&gt;&lt;D xsi:type="xsd:double"&gt;7.6494455&lt;/D&gt;&lt;D xsi:type="xsd:double"&gt;11.507595&lt;/D&gt;&lt;D xsi:type="xsd:double"&gt;5.0332785&lt;/D&gt;&lt;D xsi:type="xsd:double"&gt;0.24055243&lt;/D&gt;&lt;D xsi:type="xsd:double"&gt;-3.4454584&lt;/D&gt;&lt;D xsi:type="xsd:double"&gt;-4.1161656&lt;/D&gt;&lt;D xsi:type="xsd:double"&gt;-7.7743173&lt;/D&gt;&lt;D xsi:type="xsd:double"&gt;-15.501708&lt;/D&gt;&lt;D xsi:type="xsd:double"&gt;-18.701244&lt;/D&gt;&lt;D xsi:type="xsd:double"&gt;-17.023176&lt;/D&gt;&lt;D xsi:type="xsd:double"&gt;-15.333766&lt;/D&gt;&lt;D xsi:type="xsd:double"&gt;-5.3572474&lt;/D&gt;&lt;D xsi:type="xsd:double"&gt;3.1394482&lt;/D&gt;&lt;D xsi:type="xsd:double"&gt;-8.23614&lt;/D&gt;&lt;D xsi:type="xsd:double"&gt;-4.861617&lt;/D&gt;&lt;D xsi:type="xsd:double"&gt;-8.232653&lt;/D&gt;&lt;D xsi:type="xsd:double"&gt;-4.2249084&lt;/D&gt;&lt;D xsi:type="xsd:double"&gt;9.403431&lt;/D&gt;&lt;D xsi:type="xsd:double"&gt;13.594877&lt;/D&gt;&lt;D xsi:type="xsd:double"&gt;19.265247&lt;/D&gt;&lt;D xsi:type="xsd:double"&gt;21.111631&lt;/D&gt;&lt;D xsi:type="xsd:double"&gt;15.717161&lt;/D&gt;&lt;D xsi:type="xsd:double"&gt;7.573104&lt;/D&gt;&lt;D xsi:type="xsd:double"&gt;1.8917084&lt;/D&gt;&lt;D xsi:type="xsd:double"&gt;0.97191334&lt;/D&gt;&lt;D xsi:type="xsd:double"&gt;3.8187504&lt;/D&gt;&lt;D xsi:type="xsd:double"&gt;7.0116043&lt;/D&gt;&lt;D xsi:type="xsd:double"&gt;13.179898&lt;/D&gt;&lt;/FQL&gt;&lt;FQL&gt;&lt;Q&gt;QAT^FG_TOTAL_RETURNC(-10AY,0,AM)&lt;/Q&gt;&lt;R&gt;121&lt;/R&gt;&lt;C&gt;1&lt;/C&gt;&lt;D xsi:type="xsd:double"&gt;0.5892515&lt;/D&gt;&lt;D xsi:type="xsd:double"&gt;-1.2767494&lt;/D&gt;&lt;D xsi:type="xsd:double"&gt;-10.910612&lt;/D&gt;&lt;D xsi:type="xsd:double"&gt;3.1953454&lt;/D&gt;&lt;D xsi:type="xsd:double"&gt;-0.95158815&lt;/D&gt;&lt;D xsi:type="xsd:double"&gt;-0.2056539&lt;/D&gt;&lt;D xsi:type="xsd:double"&gt;-1.0452449&lt;/D&gt;&lt;D xsi:type="xsd:double"&gt;3.196156&lt;/D&gt;&lt;D xsi:type="xsd:double"&gt;-4.6343565&lt;/D&gt;&lt;D xsi:type="xsd:double"&gt;-1.5158296&lt;/D&gt;&lt;D xsi:type="xsd:double"&gt;-0.4753232&lt;/D&gt;&lt;D xsi:type="xsd:double"&gt;0.4776001&lt;/D&gt;&lt;D xsi:type="xsd:double"&gt;-0.9053886&lt;/D&gt;&lt;D xsi:type="xsd:double"&gt;-6.852442&lt;/D&gt;&lt;D xsi:type="xsd:double"&gt;-10.031879&lt;/D&gt;&lt;D xsi:type="xsd:double"&gt;-2.0342946&lt;/D&gt;&lt;D xsi:type="xsd:double"&gt;-1.252228&lt;/D&gt;&lt;D xsi:type="xsd:double"&gt;9.895682&lt;/D&gt;&lt;D xsi:type="xsd:double"&gt;-0.6670058&lt;/D&gt;&lt;D xsi:type="xsd:double"&gt;-1.7561972&lt;/D&gt;&lt;D xsi:type="xsd:double"&gt;-2.0504773&lt;/D&gt;&lt;D xsi:type="xsd:double"&gt;1.1972547&lt;/D&gt;&lt;D xsi:type="xsd:double"&gt;11.166107&lt;/D&gt;&lt;D xsi:type="xsd:double"&gt;-4.3043017&lt;/D&gt;&lt;D xsi:type="xsd:double"&gt;0.2063036&lt;/D&gt;&lt;D xsi:type="xsd:double"&gt;-5.779147&lt;/D&gt;&lt;D xsi:type="xsd:double"&gt;0.9310007&lt;/D&gt;&lt;D xsi:type="xsd:double"&gt;5.9799314&lt;/D&gt;&lt;D xsi:type="xsd:double"&gt;1.0643959&lt;/D&gt;&lt;D xsi:type="xsd:double"&gt;-1.0891616&lt;/D&gt;&lt;D xsi:type="xsd:double"&gt;1.8693924&lt;/D&gt;&lt;D xsi:type="xsd:double"&gt;-6.284565&lt;/D&gt;&lt;D xsi:type="xsd:double"&gt;-6.0085773&lt;/D&gt;&lt;D xsi:type="xsd:double"&gt;-2.6136339&lt;/D&gt;&lt;D xsi:type="xsd:double"&gt;4.153049&lt;/D&gt;&lt;D xsi:type="xsd:double"&gt;-6.329221&lt;/D&gt;&lt;D xsi:type="xsd:double"&gt;-2.125001&lt;/D&gt;&lt;D xsi:type="xsd:double"&gt;-8.652616&lt;/D&gt;&lt;D xsi:type="xsd:double"&gt;0.1971364&lt;/D&gt;&lt;D xsi:type="xsd:double"&gt;17.914248&lt;/D&gt;&lt;D xsi:type="xsd:double"&gt;-5.7988167&lt;/D&gt;&lt;D xsi:type="xsd:double"&gt;-2.2613049&lt;/D&gt;&lt;D xsi:type="xsd:double"&gt;9.640098&lt;/D&gt;&lt;D xsi:type="xsd:double"&gt;-2.638334&lt;/D&gt;&lt;D xsi:type="xsd:double"&gt;6.623161&lt;/D&gt;&lt;D xsi:type="xsd:double"&gt;-1.0793209&lt;/D&gt;&lt;D xsi:type="xsd:double"&gt;6.205249&lt;/D&gt;&lt;D xsi:type="xsd:double"&gt;-1.4477551&lt;/D&gt;&lt;D xsi:type="xsd:double"&gt;0.5569458&lt;/D&gt;&lt;D xsi:type="xsd:double"&gt;5.895698&lt;/D&gt;&lt;D xsi:type="xsd:double"&gt;3.158462&lt;/D&gt;&lt;D xsi:type="xsd:double"&gt;1.8402576&lt;/D&gt;&lt;D xsi:type="xsd:double"&gt;-3.8974345&lt;/D&gt;&lt;D xsi:type="xsd:double"&gt;-4.6958327&lt;/D&gt;&lt;D xsi:type="xsd:double"&gt;4.367292&lt;/D&gt;&lt;D xsi:type="xsd:double"&gt;-2.9506385&lt;/D&gt;&lt;D xsi:type="xsd:double"&gt;1.326704&lt;/D&gt;&lt;D xsi:type="xsd:double"&gt;3.253281&lt;/D&gt;&lt;D xsi:type="xsd:double"&gt;-7.443899&lt;/D&gt;&lt;D xsi:type="xsd:double"&gt;4.198706&lt;/D&gt;&lt;D xsi:type="xsd:double"&gt;0.2837658&lt;/D&gt;&lt;D xsi:type="xsd:double"&gt;0.14147758&lt;/D&gt;&lt;D xsi:type="xsd:double"&gt;0.8759618&lt;/D&gt;&lt;D xsi:type="xsd:double"&gt;-0.11204481&lt;/D&gt;&lt;D xsi:type="xsd:double"&gt;-2.9164374&lt;/D&gt;&lt;D xsi:type="xsd:double"&gt;-14.523399&lt;/D&gt;&lt;D xsi:type="xsd:double"&gt;9.083533&lt;/D&gt;&lt;D xsi:type="xsd:double"&gt;-0.802964&lt;/D&gt;&lt;D xsi:type="xsd:double"&gt;4.5570374&lt;/D&gt;&lt;D xsi:type="xsd:double"&gt;2.566874&lt;/D&gt;&lt;D xsi:type="xsd:double"&gt;2.3229122&lt;/D&gt;&lt;D xsi:type="xsd:double"&gt;1.9693255&lt;/D&gt;&lt;D xsi:type="xsd:double"&gt;4.5400977&lt;/D&gt;&lt;D xsi:type="xsd:double"&gt;-2.402532&lt;/D&gt;&lt;D xsi:type="xsd:double"&gt;4.3404818&lt;/D&gt;&lt;D xsi:type="xsd:double"&gt;3.247428&lt;/D&gt;&lt;D xsi:type="xsd:double"&gt;-2.674359&lt;/D&gt;&lt;D xsi:type="xsd:double"&gt;-1.0752738&lt;/D&gt;&lt;D xsi:type="xsd:double"&gt;3.0978203&lt;/D&gt;&lt;D xsi:type="xsd:double"&gt;3.9536119&lt;/D&gt;&lt;D xsi:type="xsd:double"&gt;-1.8438935&lt;/D&gt;&lt;D xsi:type="xsd:double"&gt;1.6662717&lt;/D&gt;&lt;D xsi:type="xsd:double"&gt;0.00051259995&lt;/D&gt;&lt;D xsi:type="xsd:double"&gt;2.337134&lt;/D&gt;&lt;D xsi:type="xsd:double"&gt;4.8223257&lt;/D&gt;&lt;D xsi:type="xsd:double"&gt;2.0978212&lt;/D&gt;&lt;D xsi:type="xsd:double"&gt;-2.9559135&lt;/D&gt;&lt;D xsi:type="xsd:double"&gt;2.4460554&lt;/D&gt;&lt;D xsi:type="xsd:double"&gt;7.942581&lt;/D&gt;&lt;D xsi:type="xsd:double"&gt;5.673766&lt;/D&gt;&lt;D xsi:type="xsd:double"&gt;4.6979785&lt;/D&gt;&lt;D xsi:type="xsd:double"&gt;-4.72756&lt;/D&gt;&lt;D xsi:type="xsd:double"&gt;-5.3315344&lt;/D&gt;&lt;D xsi:type="xsd:double"&gt;-4.457718&lt;/D&gt;&lt;D xsi:type="xsd:double"&gt;11.303509&lt;/D&gt;&lt;D xsi:type="xsd:double"&gt;-5.1101923&lt;/D&gt;&lt;D xsi:type="xsd:double"&gt;-0.67175627&lt;/D&gt;&lt;D xsi:type="xsd:double"&gt;0.6419182&lt;/D&gt;&lt;D xsi:type="xsd:double"&gt;-10.159456&lt;/D&gt;&lt;D xsi:type="xsd:double"&gt;0.22851229&lt;/D&gt;&lt;D xsi:type="xsd:double"&gt;-9.271383&lt;/D&gt;&lt;D xsi:type="xsd:double"&gt;3.7650585&lt;/D&gt;&lt;D xsi:type="xsd:double"&gt;-0.8052945&lt;/D&gt;&lt;D xsi:type="xsd:double"&gt;6.318593&lt;/D&gt;&lt;D xsi:type="xsd:double"&gt;-3.5879612&lt;/D&gt;&lt;D xsi:type="xsd:double"&gt;-1.8794894&lt;/D&gt;&lt;D xsi:type="xsd:double"&gt;4.2816877&lt;/D&gt;&lt;D xsi:type="xsd:double"&gt;-4.1599154&lt;/D&gt;&lt;D xsi:type="xsd:double"&gt;-4.7914324&lt;/D&gt;&lt;D xsi:type="xsd:double"&gt;1.8354177&lt;/D&gt;&lt;D xsi:type="xsd:double"&gt;-1.5116274&lt;/D&gt;&lt;D xsi:type="xsd:double"&gt;5.7851195&lt;/D&gt;&lt;D xsi:type="xsd:double"&gt;-4.4642806&lt;/D&gt;&lt;D xsi:type="xsd:double"&gt;4.6144843&lt;/D&gt;&lt;D xsi:type="xsd:double"&gt;-2.2892237&lt;/D&gt;&lt;D xsi:type="xsd:double"&gt;-1.7142832&lt;/D&gt;&lt;D xsi:type="xsd:double"&gt;-0.3488481&lt;/D&gt;&lt;D xsi:type="xsd:double"&gt;5.188036&lt;/D&gt;&lt;D xsi:type="xsd:double"&gt;1.3937235&lt;/D&gt;&lt;D xsi:type="xsd:double"&gt;1.4891148&lt;/D&gt;&lt;D xsi:type="xsd:double"&gt;3.0474067&lt;/D&gt;&lt;/FQL&gt;&lt;FQL&gt;&lt;Q&gt;EWY^FMA_DIV_YLD(NTMA,-10AY,0,AM,"PORTAGG","MEANR")&lt;/Q&gt;&lt;R&gt;121&lt;/R&gt;&lt;C&gt;1&lt;/C&gt;&lt;D xsi:type="xsd:double"&gt;1.44787969143945&lt;/D&gt;&lt;D xsi:type="xsd:double"&gt;1.3972213342275&lt;/D&gt;&lt;D xsi:type="xsd:double"&gt;1.39444119096473&lt;/D&gt;&lt;D xsi:type="xsd:double"&gt;1.51055430724817&lt;/D&gt;&lt;D xsi:type="xsd:double"&gt;1.60068254919166&lt;/D&gt;&lt;D xsi:type="xsd:double"&gt;1.58112132485494&lt;/D&gt;&lt;D xsi:type="xsd:double"&gt;1.5264154252541&lt;/D&gt;&lt;D xsi:type="xsd:double"&gt;1.56719751002297&lt;/D&gt;&lt;D xsi:type="xsd:double"&gt;1.65247535743411&lt;/D&gt;&lt;D xsi:type="xsd:double"&gt;1.70240422884114&lt;/D&gt;&lt;D xsi:type="xsd:double"&gt;1.79105500332608&lt;/D&gt;&lt;D xsi:type="xsd:double"&gt;1.81491861538787&lt;/D&gt;&lt;D xsi:type="xsd:double"&gt;1.73435089087929&lt;/D&gt;&lt;D xsi:type="xsd:double"&gt;1.85762259335043&lt;/D&gt;&lt;D xsi:type="xsd:double"&gt;1.93570124875426&lt;/D&gt;&lt;D xsi:type="xsd:double"&gt;2.01998090053482&lt;/D&gt;&lt;D xsi:type="xsd:double"&gt;1.95970075660612&lt;/D&gt;&lt;D xsi:type="xsd:double"&gt;1.92448160036562&lt;/D&gt;&lt;D xsi:type="xsd:double"&gt;1.94340641468918&lt;/D&gt;&lt;D xsi:type="xsd:double"&gt;1.95957274694349&lt;/D&gt;&lt;D xsi:type="xsd:double"&gt;1.93156845943155&lt;/D&gt;&lt;D xsi:type="xsd:double"&gt;1.9869352087131&lt;/D&gt;&lt;D xsi:type="xsd:double"&gt;1.89440237176804&lt;/D&gt;&lt;D xsi:type="xsd:double"&gt;1.87396700145522&lt;/D&gt;&lt;D xsi:type="xsd:double"&gt;1.88836523879313&lt;/D&gt;&lt;D xsi:type="xsd:double"&gt;1.95829163991936&lt;/D&gt;&lt;D xsi:type="xsd:double"&gt;1.93988795688581&lt;/D&gt;&lt;D xsi:type="xsd:double"&gt;1.96164377593533&lt;/D&gt;&lt;D xsi:type="xsd:double"&gt;1.9319865848551&lt;/D&gt;&lt;D xsi:type="xsd:double"&gt;1.92304211320381&lt;/D&gt;&lt;D xsi:type="xsd:double"&gt;1.93803422004617&lt;/D&gt;&lt;D xsi:type="xsd:double"&gt;1.84578992873088&lt;/D&gt;&lt;D xsi:type="xsd:double"&gt;1.75810547243886&lt;/D&gt;&lt;D xsi:type="xsd:double"&gt;1.78004678659358&lt;/D&gt;&lt;D xsi:type="xsd:double"&gt;1.83061198340077&lt;/D&gt;&lt;D xsi:type="xsd:double"&gt;1.84795954072743&lt;/D&gt;&lt;D xsi:type="xsd:double"&gt;1.75979684911457&lt;/D&gt;&lt;D xsi:type="xsd:double"&gt;1.95580296298037&lt;/D&gt;&lt;D xsi:type="xsd:double"&gt;2.03988860610318&lt;/D&gt;&lt;D xsi:type="xsd:double"&gt;2.02914319437613&lt;/D&gt;&lt;D xsi:type="xsd:double"&gt;2.21057012731831&lt;/D&gt;&lt;D xsi:type="xsd:double"&gt;2.18133554339334&lt;/D&gt;&lt;D xsi:type="xsd:double"&gt;2.22383888818322&lt;/D&gt;&lt;D xsi:type="xsd:double"&gt;2.23286228224045&lt;/D&gt;&lt;D xsi:type="xsd:double"&gt;2.21708949957528&lt;/D&gt;&lt;D xsi:type="xsd:double"&gt;2.37967371142863&lt;/D&gt;&lt;D xsi:type="xsd:double"&gt;2.40340861374535&lt;/D&gt;&lt;D xsi:type="xsd:double"&gt;2.41910286532982&lt;/D&gt;&lt;D xsi:type="xsd:double"&gt;2.4832673900616&lt;/D&gt;&lt;D xsi:type="xsd:double"&gt;2.60403624918519&lt;/D&gt;&lt;D xsi:type="xsd:double"&gt;2.63343146272872&lt;/D&gt;&lt;D xsi:type="xsd:double"&gt;2.64253964743459&lt;/D&gt;&lt;D xsi:type="xsd:double"&gt;2.49018628390269&lt;/D&gt;&lt;D xsi:type="xsd:double"&gt;2.54471885912783&lt;/D&gt;&lt;D xsi:type="xsd:double"&gt;2.44017615467522&lt;/D&gt;&lt;D xsi:type="xsd:double"&gt;2.55121512035095&lt;/D&gt;&lt;D xsi:type="xsd:double"&gt;2.53997395796836&lt;/D&gt;&lt;D xsi:type="xsd:double"&gt;2.56586772777322&lt;/D&gt;&lt;D xsi:type="xsd:double"&gt;2.7022913204829&lt;/D&gt;&lt;D xsi:type="xsd:double"&gt;2.55277047594908&lt;/D&gt;&lt;D xsi:type="xsd:double"&gt;2.5537856325643&lt;/D&gt;&lt;D xsi:type="xsd:double"&gt;2.40815127894407&lt;/D&gt;&lt;D xsi:type="xsd:double"&gt;2.43078669699552&lt;/D&gt;&lt;D xsi:type="xsd:double"&gt;2.32323057283504&lt;/D&gt;&lt;D xsi:type="xsd:double"&gt;2.2783459788789&lt;/D&gt;&lt;D xsi:type="xsd:double"&gt;2.56494319769284&lt;/D&gt;&lt;D xsi:type="xsd:double"&gt;2.68630085164652&lt;/D&gt;&lt;D xsi:type="xsd:double"&gt;2.46342869049833&lt;/D&gt;&lt;D xsi:type="xsd:double"&gt;2.19486254837016&lt;/D&gt;&lt;D xsi:type="xsd:double"&gt;2.25223225850709&lt;/D&gt;&lt;D xsi:type="xsd:double"&gt;2.0619388930223&lt;/D&gt;&lt;D xsi:type="xsd:double"&gt;2.11731370531272&lt;/D&gt;&lt;D xsi:type="xsd:double"&gt;2.09457107369691&lt;/D&gt;&lt;D xsi:type="xsd:double"&gt;2.07801733119647&lt;/D&gt;&lt;D xsi:type="xsd:double"&gt;1.84234510217298&lt;/D&gt;&lt;D xsi:type="xsd:double"&gt;1.62061978212682&lt;/D&gt;&lt;D xsi:type="xsd:double"&gt;1.64246048433231&lt;/D&gt;&lt;D xsi:type="xsd:double"&gt;1.72360672254366&lt;/D&gt;&lt;D xsi:type="xsd:double"&gt;1.68308722039529&lt;/D&gt;&lt;D xsi:type="xsd:double"&gt;1.69632232539815&lt;/D&gt;&lt;D xsi:type="xsd:double"&gt;1.69100580644597&lt;/D&gt;&lt;D xsi:type="xsd:double"&gt;1.71155615014392&lt;/D&gt;&lt;D xsi:type="xsd:double"&gt;1.75390606374684&lt;/D&gt;&lt;D xsi:type="xsd:double"&gt;1.84362901047737&lt;/D&gt;&lt;D xsi:type="xsd:double"&gt;1.96297548022221&lt;/D&gt;&lt;D xsi:type="xsd:double"&gt;2.00428054403816&lt;/D&gt;&lt;D xsi:type="xsd:double"&gt;1.92546524674201&lt;/D&gt;&lt;D xsi:type="xsd:double"&gt;1.9924639818184&lt;/D&gt;&lt;D xsi:type="xsd:double"&gt;2.1951797723876&lt;/D&gt;&lt;D xsi:type="xsd:double"&gt;2.25936897849701&lt;/D&gt;&lt;D xsi:type="xsd:double"&gt;2.26277333116352&lt;/D&gt;&lt;D xsi:type="xsd:double"&gt;2.37917425122552&lt;/D&gt;&lt;D xsi:type="xsd:double"&gt;2.38356351921393&lt;/D&gt;&lt;D xsi:type="xsd:double"&gt;2.63901535556688&lt;/D&gt;&lt;D xsi:type="xsd:double"&gt;2.5141828361599&lt;/D&gt;&lt;D xsi:type="xsd:double"&gt;2.6524572290267&lt;/D&gt;&lt;D xsi:type="xsd:double"&gt;2.77811934350717&lt;/D&gt;&lt;D xsi:type="xsd:double"&gt;2.54221802638321&lt;/D&gt;&lt;D xsi:type="xsd:double"&gt;2.51719935152003&lt;/D&gt;&lt;D xsi:type="xsd:double"&gt;2.54233587568964&lt;/D&gt;&lt;D xsi:type="xsd:double"&gt;2.44863400850749&lt;/D&gt;&lt;D xsi:type="xsd:double"&gt;2.50446324359357&lt;/D&gt;&lt;D xsi:type="xsd:double"&gt;2.34977410393241&lt;/D&gt;&lt;D xsi:type="xsd:double"&gt;2.43056186920821&lt;/D&gt;&lt;D xsi:type="xsd:double"&gt;2.27114334830525&lt;/D&gt;&lt;D xsi:type="xsd:double"&gt;2.41898197392553&lt;/D&gt;&lt;D xsi:type="xsd:double"&gt;2.36834346278805&lt;/D&gt;&lt;D xsi:type="xsd:double"&gt;2.39163275923741&lt;/D&gt;&lt;D xsi:type="xsd:double"&gt;2.55603709447343&lt;/D&gt;&lt;D xsi:type="xsd:double"&gt;2.5326980630051&lt;/D&gt;&lt;D xsi:type="xsd:double"&gt;2.36144523754433&lt;/D&gt;&lt;D xsi:type="xsd:double"&gt;2.34934882788004&lt;/D&gt;&lt;D xsi:type="xsd:double"&gt;2.2363820524521&lt;/D&gt;&lt;D xsi:type="xsd:double"&gt;2.22633455212059&lt;/D&gt;&lt;D xsi:type="xsd:double"&gt;2.18773087631563&lt;/D&gt;&lt;D xsi:type="xsd:double"&gt;2.16682961377918&lt;/D&gt;&lt;D xsi:type="xsd:double"&gt;2.1657221862368&lt;/D&gt;&lt;D xsi:type="xsd:double"&gt;2.03276820625942&lt;/D&gt;&lt;D xsi:type="xsd:double"&gt;2.30986806400335&lt;/D&gt;&lt;D xsi:type="xsd:double"&gt;2.41802441209381&lt;/D&gt;&lt;D xsi:type="xsd:double"&gt;2.35372944718149&lt;/D&gt;&lt;/FQL&gt;&lt;FQL&gt;&lt;Q&gt;BRENT-FDS^MAX(FG_PRICE(0,-5AY))&lt;/Q&gt;&lt;R&gt;1&lt;/R&gt;&lt;C&gt;1&lt;/C&gt;&lt;D xsi:type="xsd:double"&gt;140.85&lt;/D&gt;&lt;/FQL&gt;&lt;FQL&gt;&lt;Q&gt;EWM^FG_PRICE_MAVG(0,,,,200)&lt;/Q&gt;&lt;R&gt;1&lt;/R&gt;&lt;C&gt;1&lt;/C&gt;&lt;D xsi:type="xsd:double"&gt;22.98435&lt;/D&gt;&lt;/FQL&gt;&lt;FQL&gt;&lt;Q&gt;CNYA^FG_PRICE(0)&lt;/Q&gt;&lt;R&gt;1&lt;/R&gt;&lt;C&gt;1&lt;/C&gt;&lt;D xsi:type="xsd:double"&gt;30.35&lt;/D&gt;&lt;/FQL&gt;&lt;FQL&gt;&lt;Q&gt;UAE^FMA_PCT_ABOVE_MAVG(200,0,,,,"PORTAGG")&lt;/Q&gt;&lt;R&gt;1&lt;/R&gt;&lt;C&gt;1&lt;/C&gt;&lt;D xsi:type="xsd:double"&gt;48.780487804878&lt;/D&gt;&lt;/FQL&gt;&lt;FQL&gt;&lt;Q&gt;QAT^FG_TOTAL_RETURNC(0,-1AM)&lt;/Q&gt;&lt;R&gt;1&lt;/R&gt;&lt;C&gt;1&lt;/C&gt;&lt;D xsi:type="xsd:double"&gt;3.0474067&lt;/D&gt;&lt;/FQL&gt;&lt;FQL&gt;&lt;Q&gt;EWM^PERCENT_CHANGE(FMA_EPS(+1,0,,,,"PORTAGG","MEAN"),FMA_EPS(+1,-3AM,,,,"PORTAGG","MEAN"))&lt;/Q&gt;&lt;R&gt;1&lt;/R&gt;&lt;C&gt;1&lt;/C&gt;&lt;D xsi:type="xsd:double"&gt;8.91102627277364&lt;/D&gt;&lt;/FQL&gt;&lt;FQL&gt;&lt;Q&gt;CNYA^P_PRICE(0)/P_PRICE_HIGH_PR(0,,,,,,"PRICE","INTRA","52W")&lt;/Q&gt;&lt;R&gt;1&lt;/R&gt;&lt;C&gt;1&lt;/C&gt;&lt;D xsi:type="xsd:double"&gt;0.7997365&lt;/D&gt;&lt;/FQL&gt;&lt;FQL&gt;&lt;Q&gt;SPY^PERCENT_CHANGE(FMA_EPS(+1,0,,,,"PORTAGG","MEAN"),FMA_EPS(+1,-1AM,,,,"PORTAGG","MEAN"))&lt;/Q&gt;&lt;R&gt;1&lt;/R&gt;&lt;C&gt;1&lt;/C&gt;&lt;D xsi:type="xsd:double"&gt;-1.18526631329981&lt;/D&gt;&lt;/FQL&gt;&lt;FQL&gt;&lt;Q&gt;VGK^SIZE(FG_CONSTITUENTS)&lt;/Q&gt;&lt;R&gt;1&lt;/R&gt;&lt;C&gt;1&lt;/C&gt;&lt;D xsi:type="xsd:long"&gt;1284&lt;/D&gt;&lt;/FQL&gt;&lt;FQL&gt;&lt;Q&gt;EPHE^SIZE(FG_CONSTITUENTS)&lt;/Q&gt;&lt;R&gt;1&lt;/R&gt;&lt;C&gt;1&lt;/C&gt;&lt;D xsi:type="xsd:long"&gt;33&lt;/D&gt;&lt;/FQL&gt;&lt;FQL&gt;&lt;Q&gt;REFPHRREPO-FDS^FG_YIELD(NOW,,,0)&lt;/Q&gt;&lt;R&gt;1&lt;/R&gt;&lt;C&gt;1&lt;/C&gt;&lt;D xsi:type="xsd:double"&gt;6.25&lt;/D&gt;&lt;/FQL&gt;&lt;FQL&gt;&lt;Q&gt;TRYIN10Y-FDS^PCTCHG(FG_YIELD(0,,,,"YTM"),FG_YIELD(-1AM,,,,"YTM"))&lt;/Q&gt;&lt;R&gt;1&lt;/R&gt;&lt;C&gt;1&lt;/C&gt;&lt;D xsi:type="xsd:double"&gt;-1.1458151&lt;/D&gt;&lt;/FQL&gt;&lt;FQL&gt;&lt;Q&gt;TIPSCL10Y-FDS^PCTCHG(FG_YIELD(0,,,,"YTM"),FG_YIELD(-1AM,,,,"YTM"))&lt;/Q&gt;&lt;R&gt;1&lt;/R&gt;&lt;C&gt;1&lt;/C&gt;&lt;D xsi:type="xsd:double"&gt;1.5834396&lt;/D&gt;&lt;/FQL&gt;&lt;FQL&gt;&lt;Q&gt;VGK^FMA_EVAL_EBIT(LTMA,NOW,NOW,M,"PORTAGG","MEANR")&lt;/Q&gt;&lt;R&gt;1&lt;/R&gt;&lt;C&gt;1&lt;/C&gt;&lt;D xsi:type="xsd:double"&gt;13.5324814293996&lt;/D&gt;&lt;/FQL&gt;&lt;FQL&gt;&lt;Q&gt;MCHI^FMA_PE(NTMA,0,,,"PORTAGG","MEANR")&lt;/Q&gt;&lt;R&gt;1&lt;/R&gt;&lt;C&gt;1&lt;/C&gt;&lt;D xsi:type="xsd:double"&gt;11.0109314794053&lt;/D&gt;&lt;/FQL&gt;&lt;FQL&gt;&lt;Q&gt;EWT^FMA_PE(LTM,0,,,"PORTAGG","MEANR")&lt;/Q&gt;&lt;R&gt;1&lt;/R&gt;&lt;C&gt;1&lt;/C&gt;&lt;D xsi:type="xsd:double"&gt;20.871926196795&lt;/D&gt;&lt;/FQL&gt;&lt;FQL&gt;&lt;Q&gt;CNYA^FMA_PE(NTMA,0,,,"PORTAGG","MEANR")&lt;/Q&gt;&lt;R&gt;1&lt;/R&gt;&lt;C&gt;1&lt;/C&gt;&lt;D xsi:type="xsd:double"&gt;13.9100777580498&lt;/D&gt;&lt;/FQL&gt;&lt;FQL&gt;&lt;Q&gt;EIDO^FG_COMPANY_NAME&lt;/Q&gt;&lt;R&gt;1&lt;/R&gt;&lt;C&gt;1&lt;/C&gt;&lt;D xsi:type="xsd:string"&gt;iShares MSCI Indonesia ETF&lt;/D&gt;&lt;/FQL&gt;&lt;FQL&gt;&lt;Q&gt;CAGDPY@TR^EE_ACTUAL_ANNUAL(MED,+1)&lt;/Q&gt;&lt;R&gt;1&lt;/R&gt;&lt;C&gt;1&lt;/C&gt;&lt;D xsi:type="xsd:double"&gt;-2.05&lt;/D&gt;&lt;/FQL&gt;&lt;FQL&gt;&lt;Q&gt;USDBRL^STD(FG_PRICE_CHANGE(0,-1AY,AM))&lt;/Q&gt;&lt;R&gt;1&lt;/R&gt;&lt;C&gt;1&lt;/C&gt;&lt;D xsi:type="xsd:double"&gt;1.81866302364189&lt;/D&gt;&lt;/FQL&gt;&lt;FQL&gt;&lt;Q&gt;USDTWD^FG_PRICE(0)&lt;/Q&gt;&lt;R&gt;1&lt;/R&gt;&lt;C&gt;1&lt;/C&gt;&lt;D xsi:type="xsd:double"&gt;32.195&lt;/D&gt;&lt;/FQL&gt;&lt;FQL&gt;&lt;Q&gt;EWW^FMA_DIV_YLD(NTMA,-10AY,0,AM,"PORTAGG","MEANR")&lt;/Q&gt;&lt;R&gt;121&lt;/R&gt;&lt;C&gt;1&lt;/C&gt;&lt;D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xsi:type="xsd:double"&gt;2.21780503538487&lt;/D&gt;&lt;D xsi:type="xsd:double"&gt;2.17128163233244&lt;/D&gt;&lt;D xsi:type="xsd:double"&gt;2.13252801703153&lt;/D&gt;&lt;D xsi:type="xsd:double"&gt;2.06875775861884&lt;/D&gt;&lt;D xsi:type="xsd:double"&gt;2.0713898986782&lt;/D&gt;&lt;D xsi:type="xsd:double"&gt;2.12258459641761&lt;/D&gt;&lt;D xsi:type="xsd:double"&gt;2.12297095811059&lt;/D&gt;&lt;D xsi:type="xsd:double"&gt;2.03314384915508&lt;/D&gt;&lt;D xsi:type="xsd:double"&gt;2.1042064633238&lt;/D&gt;&lt;D xsi:type="xsd:double"&gt;2.06010674556756&lt;/D&gt;&lt;D xsi:type="xsd:double"&gt;2.26677789473672&lt;/D&gt;&lt;D xsi:type="xsd:double"&gt;2.26402505017209&lt;/D&gt;&lt;D xsi:type="xsd:double"&gt;2.38428199211565&lt;/D&gt;&lt;D xsi:type="xsd:double"&gt;2.34098108771314&lt;/D&gt;&lt;D xsi:type="xsd:double"&gt;2.46332827551892&lt;/D&gt;&lt;D xsi:type="xsd:double"&gt;2.35312981099518&lt;/D&gt;&lt;D xsi:type="xsd:double"&gt;2.39617255199142&lt;/D&gt;&lt;D xsi:type="xsd:double"&gt;2.47624585674491&lt;/D&gt;&lt;D xsi:type="xsd:double"&gt;2.41220963302777&lt;/D&gt;&lt;D xsi:type="xsd:double"&gt;2.41516469049935&lt;/D&gt;&lt;D xsi:type="xsd:double"&gt;2.4718783494157&lt;/D&gt;&lt;D xsi:type="xsd:double"&gt;2.4958335047901&lt;/D&gt;&lt;D xsi:type="xsd:double"&gt;2.55466103608274&lt;/D&gt;&lt;D xsi:type="xsd:double"&gt;2.58893541428835&lt;/D&gt;&lt;D xsi:type="xsd:double"&gt;2.51820939850042&lt;/D&gt;&lt;D xsi:type="xsd:double"&gt;2.62195133916102&lt;/D&gt;&lt;D xsi:type="xsd:double"&gt;2.54861241545404&lt;/D&gt;&lt;D xsi:type="xsd:double"&gt;2.61329103814699&lt;/D&gt;&lt;D xsi:type="xsd:double"&gt;2.78371912429992&lt;/D&gt;&lt;D xsi:type="xsd:double"&gt;2.93071348030009&lt;/D&gt;&lt;D xsi:type="xsd:double"&gt;2.68802513110477&lt;/D&gt;&lt;D xsi:type="xsd:double"&gt;2.7709246127601&lt;/D&gt;&lt;D xsi:type="xsd:double"&gt;2.83901923877078&lt;/D&gt;&lt;D xsi:type="xsd:double"&gt;2.87689644106958&lt;/D&gt;&lt;D xsi:type="xsd:double"&gt;3.29127802214487&lt;/D&gt;&lt;D xsi:type="xsd:double"&gt;3.48221649393554&lt;/D&gt;&lt;D xsi:type="xsd:double"&gt;3.30200245501325&lt;/D&gt;&lt;D xsi:type="xsd:double"&gt;3.31360707152669&lt;/D&gt;&lt;D xsi:type="xsd:double"&gt;3.50156037134182&lt;/D&gt;&lt;D xsi:type="xsd:double"&gt;3.29830731700522&lt;/D&gt;&lt;D xsi:type="xsd:double"&gt;3.46968468145939&lt;/D&gt;&lt;D xsi:type="xsd:double"&gt;3.48360987955019&lt;/D&gt;&lt;D xsi:type="xsd:double"&gt;3.59134402458229&lt;/D&gt;&lt;D xsi:type="xsd:double"&gt;3.83116348580862&lt;/D&gt;&lt;D xsi:type="xsd:double"&gt;3.6328110531303&lt;/D&gt;&lt;D xsi:type="xsd:double"&gt;3.59268992751445&lt;/D&gt;&lt;D xsi:type="xsd:double"&gt;3.52170834617884&lt;/D&gt;&lt;D xsi:type="xsd:double"&gt;3.58763795597557&lt;/D&gt;&lt;D xsi:type="xsd:double"&gt;3.47571598866381&lt;/D&gt;&lt;D xsi:type="xsd:double"&gt;3.50537370774083&lt;/D&gt;&lt;D xsi:type="xsd:double"&gt;3.80508510737396&lt;/D&gt;&lt;D xsi:type="xsd:double"&gt;4.45953905512107&lt;/D&gt;&lt;D xsi:type="xsd:double"&gt;3.59989572229698&lt;/D&gt;&lt;D xsi:type="xsd:double"&gt;3.04086732357504&lt;/D&gt;&lt;D xsi:type="xsd:double"&gt;3.21017039047847&lt;/D&gt;&lt;D xsi:type="xsd:double"&gt;3.01699933741597&lt;/D&gt;&lt;D xsi:type="xsd:double"&gt;3.30755547402784&lt;/D&gt;&lt;D xsi:type="xsd:double"&gt;3.25288256929217&lt;/D&gt;&lt;D xsi:type="xsd:double"&gt;3.27081596780974&lt;/D&gt;&lt;D xsi:type="xsd:double"&gt;3.40579032026365&lt;/D&gt;&lt;D xsi:type="xsd:double"&gt;3.32417488707046&lt;/D&gt;&lt;D xsi:type="xsd:double"&gt;3.49329527507291&lt;/D&gt;&lt;D xsi:type="xsd:double"&gt;3.3768761791453&lt;/D&gt;&lt;D xsi:type="xsd:double"&gt;3.3555809181698&lt;/D&gt;&lt;D xsi:type="xsd:double"&gt;3.1345088050007&lt;/D&gt;&lt;D xsi:type="xsd:double"&gt;3.12013190016339&lt;/D&gt;&lt;D xsi:type="xsd:double"&gt;3.18601070302133&lt;/D&gt;&lt;D xsi:type="xsd:double"&gt;3.20166140009331&lt;/D&gt;&lt;D xsi:type="xsd:double"&gt;3.16414188539079&lt;/D&gt;&lt;D xsi:type="xsd:double"&gt;3.35644721921597&lt;/D&gt;&lt;D xsi:type="xsd:double"&gt;3.48546994676526&lt;/D&gt;&lt;D xsi:type="xsd:double"&gt;3.50965206236834&lt;/D&gt;&lt;D xsi:type="xsd:double"&gt;3.44881903787721&lt;/D&gt;&lt;D xsi:type="xsd:double"&gt;3.66102753842793&lt;/D&gt;&lt;D xsi:type="xsd:double"&gt;3.61819014492103&lt;/D&gt;&lt;D xsi:type="xsd:double"&gt;3.52506980107169&lt;/D&gt;&lt;D xsi:type="xsd:double"&gt;3.93431982294593&lt;/D&gt;&lt;D xsi:type="xsd:double"&gt;4.09571256341645&lt;/D&gt;&lt;D xsi:type="xsd:double"&gt;4.1005462022123&lt;/D&gt;&lt;D xsi:type="xsd:double"&gt;4.07048617853016&lt;/D&gt;&lt;D xsi:type="xsd:double"&gt;4.13281622413036&lt;/D&gt;&lt;D xsi:type="xsd:double"&gt;4.21818561606733&lt;/D&gt;&lt;D xsi:type="xsd:double"&gt;3.70600914414431&lt;/D&gt;&lt;D xsi:type="xsd:double"&gt;3.86968310979349&lt;/D&gt;&lt;D xsi:type="xsd:double"&gt;3.70839123744921&lt;/D&gt;&lt;D xsi:type="xsd:double"&gt;3.6601961645811&lt;/D&gt;&lt;D xsi:type="xsd:double"&gt;3.75279367552163&lt;/D&gt;&lt;D xsi:type="xsd:double"&gt;3.67531085153331&lt;/D&gt;&lt;D xsi:type="xsd:double"&gt;3.53627090010112&lt;/D&gt;&lt;D xsi:type="xsd:double"&gt;3.6942551199231&lt;/D&gt;&lt;D xsi:type="xsd:double"&gt;3.8750393386965&lt;/D&gt;&lt;D xsi:type="xsd:double"&gt;3.96427531913444&lt;/D&gt;&lt;D xsi:type="xsd:double"&gt;4.09946503464566&lt;/D&gt;&lt;D xsi:type="xsd:double"&gt;4.26689287596669&lt;/D&gt;&lt;D xsi:type="xsd:double"&gt;4.21317488562662&lt;/D&gt;&lt;D xsi:type="xsd:double"&gt;3.97186264233577&lt;/D&gt;&lt;D xsi:type="xsd:double"&gt;3.94726742407178&lt;/D&gt;&lt;D xsi:type="xsd:double"&gt;3.76431102524186&lt;/D&gt;&lt;D xsi:type="xsd:double"&gt;4.10860928560089&lt;/D&gt;&lt;D xsi:type="xsd:double"&gt;4.05020448134152&lt;/D&gt;&lt;D xsi:type="xsd:double"&gt;4.124945395843&lt;/D&gt;&lt;D xsi:type="xsd:double"&gt;4.65984454063573&lt;/D&gt;&lt;D xsi:type="xsd:double"&gt;4.37686190985358&lt;/D&gt;&lt;D xsi:type="xsd:double"&gt;4.47332796361745&lt;/D&gt;&lt;D xsi:type="xsd:double"&gt;4.66751932438953&lt;/D&gt;&lt;D xsi:type="xsd:double"&gt;4.92916128807066&lt;/D&gt;&lt;/FQL&gt;&lt;FQL&gt;&lt;Q&gt;EPHE^FMA_PE(NTMA,-10AY,0,AM,"PORTAGG","MEANR")&lt;/Q&gt;&lt;R&gt;121&lt;/R&gt;&lt;C&gt;1&lt;/C&gt;&lt;D xsi:type="xsd:double"&gt;17.3535744962422&lt;/D&gt;&lt;D xsi:type="xsd:double"&gt;17.4867090886276&lt;/D&gt;&lt;D xsi:type="xsd:double"&gt;17.1498295952845&lt;/D&gt;&lt;D xsi:type="xsd:double"&gt;17.5864872290839&lt;/D&gt;&lt;D xsi:type="xsd:double"&gt;18.0528837534722&lt;/D&gt;&lt;D xsi:type="xsd:double"&gt;18.3567211678909&lt;/D&gt;&lt;D xsi:type="xsd:double"&gt;18.7870556172249&lt;/D&gt;&lt;D xsi:type="xsd:double"&gt;18.0196272907258&lt;/D&gt;&lt;D xsi:type="xsd:double"&gt;17.0217122278037&lt;/D&gt;&lt;D xsi:type="xsd:double"&gt;17.1181963503115&lt;/D&gt;&lt;D xsi:type="xsd:double"&gt;17.7087275397894&lt;/D&gt;&lt;D xsi:type="xsd:double"&gt;16.0327268367694&lt;/D&gt;&lt;D xsi:type="xsd:double"&gt;16.7856266708772&lt;/D&gt;&lt;D xsi:type="xsd:double"&gt;16.3988864076555&lt;/D&gt;&lt;D xsi:type="xsd:double"&gt;16.0628160460836&lt;/D&gt;&lt;D xsi:type="xsd:double"&gt;15.2025571349724&lt;/D&gt;&lt;D xsi:type="xsd:double"&gt;15.3833526030083&lt;/D&gt;&lt;D xsi:type="xsd:double"&gt;15.9263453634107&lt;/D&gt;&lt;D xsi:type="xsd:double"&gt;16.8096015378589&lt;/D&gt;&lt;D xsi:type="xsd:double"&gt;15.9908881841952&lt;/D&gt;&lt;D xsi:type="xsd:double"&gt;16.9535393214684&lt;/D&gt;&lt;D xsi:type="xsd:double"&gt;17.395367301618&lt;/D&gt;&lt;D xsi:type="xsd:double"&gt;18.5409399795588&lt;/D&gt;&lt;D xsi:type="xsd:double"&gt;17.7072530363182&lt;/D&gt;&lt;D xsi:type="xsd:double"&gt;16.76291320589&lt;/D&gt;&lt;D xsi:type="xsd:double"&gt;15.9434121617312&lt;/D&gt;&lt;D xsi:type="xsd:double"&gt;15.7636499606745&lt;/D&gt;&lt;D xsi:type="xsd:double"&gt;16.7966090539087&lt;/D&gt;&lt;D xsi:type="xsd:double"&gt;16.5972793303989&lt;/D&gt;&lt;D xsi:type="xsd:double"&gt;16.6365463464823&lt;/D&gt;&lt;D xsi:type="xsd:double"&gt;17.5170804048112&lt;/D&gt;&lt;D xsi:type="xsd:double"&gt;17.6024403617449&lt;/D&gt;&lt;D xsi:type="xsd:double"&gt;17.9208945551251&lt;/D&gt;&lt;D xsi:type="xsd:double"&gt;16.7131401334973&lt;/D&gt;&lt;D xsi:type="xsd:double"&gt;16.4189501238257&lt;/D&gt;&lt;D xsi:type="xsd:double"&gt;16.8688543979884&lt;/D&gt;&lt;D xsi:type="xsd:double"&gt;17.7271905750475&lt;/D&gt;&lt;D xsi:type="xsd:double"&gt;17.968607669941&lt;/D&gt;&lt;D xsi:type="xsd:double"&gt;17.0841005931292&lt;/D&gt;&lt;D xsi:type="xsd:double"&gt;18.2350689017333&lt;/D&gt;&lt;D xsi:type="xsd:double"&gt;17.0196297398124&lt;/D&gt;&lt;D xsi:type="xsd:double"&gt;16.9525308614632&lt;/D&gt;&lt;D xsi:type="xsd:double"&gt;15.8910406982322&lt;/D&gt;&lt;D xsi:type="xsd:double"&gt;15.7144902061461&lt;/D&gt;&lt;D xsi:type="xsd:double"&gt;16.1898408995575&lt;/D&gt;&lt;D xsi:type="xsd:double"&gt;14.7925653489186&lt;/D&gt;&lt;D xsi:type="xsd:double"&gt;15.8902821043236&lt;/D&gt;&lt;D xsi:type="xsd:double"&gt;14.636783650092&lt;/D&gt;&lt;D xsi:type="xsd:double"&gt;13.4045582604621&lt;/D&gt;&lt;D xsi:type="xsd:double"&gt;13.4480659458884&lt;/D&gt;&lt;D xsi:type="xsd:double"&gt;14.3433024376508&lt;/D&gt;&lt;D xsi:type="xsd:double"&gt;15.7446960793694&lt;/D&gt;&lt;D xsi:type="xsd:double"&gt;15.6537647849892&lt;/D&gt;&lt;D xsi:type="xsd:double"&gt;15.1565479269925&lt;/D&gt;&lt;D xsi:type="xsd:double"&gt;15.4303204128368&lt;/D&gt;&lt;D xsi:type="xsd:double"&gt;14.9846754737547&lt;/D&gt;&lt;D xsi:type="xsd:double"&gt;15.5491059025368&lt;/D&gt;&lt;D xsi:type="xsd:double"&gt;15.4869286354955&lt;/D&gt;&lt;D xsi:type="xsd:double"&gt;14.848885171202&lt;/D&gt;&lt;D xsi:type="xsd:double"&gt;14.0223684534015&lt;/D&gt;&lt;D xsi:type="xsd:double"&gt;13.6430386765464&lt;/D&gt;&lt;D xsi:type="xsd:double"&gt;14.0909495791477&lt;/D&gt;&lt;D xsi:type="xsd:double"&gt;14.0058001872485&lt;/D&gt;&lt;D xsi:type="xsd:double"&gt;13.7959906499542&lt;/D&gt;&lt;D xsi:type="xsd:double"&gt;13.2600495807502&lt;/D&gt;&lt;D xsi:type="xsd:double"&gt;11.3975781805152&lt;/D&gt;&lt;D xsi:type="xsd:double"&gt;10.5795745928781&lt;/D&gt;&lt;D xsi:type="xsd:double"&gt;12.2425469233546&lt;/D&gt;&lt;D xsi:type="xsd:double"&gt;16.0091599928832&lt;/D&gt;&lt;D xsi:type="xsd:double"&gt;15.6267860941015&lt;/D&gt;&lt;D xsi:type="xsd:double"&gt;15.3383171114197&lt;/D&gt;&lt;D xsi:type="xsd:double"&gt;15.8194634326653&lt;/D&gt;&lt;D xsi:type="xsd:double"&gt;15.7798242489132&lt;/D&gt;&lt;D xsi:type="xsd:double"&gt;18.0200777574634&lt;/D&gt;&lt;D xsi:type="xsd:double"&gt;16.9694410710563&lt;/D&gt;&lt;D xsi:type="xsd:double"&gt;16.793995708943&lt;/D&gt;&lt;D xsi:type="xsd:double"&gt;16.3727918424313&lt;/D&gt;&lt;D xsi:type="xsd:double"&gt;15.5991746641048&lt;/D&gt;&lt;D xsi:type="xsd:double"&gt;14.934183270834&lt;/D&gt;&lt;D xsi:type="xsd:double"&gt;14.6385879045135&lt;/D&gt;&lt;D xsi:type="xsd:double"&gt;16.5465475377462&lt;/D&gt;&lt;D xsi:type="xsd:double"&gt;15.9303882904926&lt;/D&gt;&lt;D xsi:type="xsd:double"&gt;15.166760478911&lt;/D&gt;&lt;D xsi:type="xsd:double"&gt;16.0824103562222&lt;/D&gt;&lt;D xsi:type="xsd:double"&gt;15.9581076113911&lt;/D&gt;&lt;D xsi:type="xsd:double"&gt;16.6642502692407&lt;/D&gt;&lt;D xsi:type="xsd:double"&gt;15.5400028261457&lt;/D&gt;&lt;D xsi:type="xsd:double"&gt;15.0526492650577&lt;/D&gt;&lt;D xsi:type="xsd:double"&gt;15.3677395215416&lt;/D&gt;&lt;D xsi:type="xsd:double"&gt;14.561132974321&lt;/D&gt;&lt;D xsi:type="xsd:double"&gt;14.3670173119387&lt;/D&gt;&lt;D xsi:type="xsd:double"&gt;13.5140726725989&lt;/D&gt;&lt;D xsi:type="xsd:double"&gt;13.2207516089929&lt;/D&gt;&lt;D xsi:type="xsd:double"&gt;12.7827521268679&lt;/D&gt;&lt;D xsi:type="xsd:double"&gt;12.8922927913212&lt;/D&gt;&lt;D xsi:type="xsd:double"&gt;12.8828527538152&lt;/D&gt;&lt;D xsi:type="xsd:double"&gt;11.2534650180581&lt;/D&gt;&lt;D xsi:type="xsd:double"&gt;11.699658804285&lt;/D&gt;&lt;D xsi:type="xsd:double"&gt;12.5245380679666&lt;/D&gt;&lt;D xsi:type="xsd:double"&gt;12.8884447254256&lt;/D&gt;&lt;D xsi:type="xsd:double"&gt;12.8987566291335&lt;/D&gt;&lt;D xsi:type="xsd:double"&gt;11.8375880577725&lt;/D&gt;&lt;D xsi:type="xsd:double"&gt;11.7226939119907&lt;/D&gt;&lt;D xsi:type="xsd:double"&gt;11.4811360864894&lt;/D&gt;&lt;D xsi:type="xsd:double"&gt;10.253203490609&lt;/D&gt;&lt;D xsi:type="xsd:double"&gt;10.0262464870461&lt;/D&gt;&lt;D xsi:type="xsd:double"&gt;9.92347409963238&lt;/D&gt;&lt;D xsi:type="xsd:double"&gt;9.76204196874711&lt;/D&gt;&lt;D xsi:type="xsd:double"&gt;9.91863601841925&lt;/D&gt;&lt;D xsi:type="xsd:double"&gt;9.54598055796059&lt;/D&gt;&lt;D xsi:type="xsd:double"&gt;9.09553140938958&lt;/D&gt;&lt;D xsi:type="xsd:double"&gt;9.43748629406929&lt;/D&gt;&lt;D xsi:type="xsd:double"&gt;9.84947418576644&lt;/D&gt;&lt;D xsi:type="xsd:double"&gt;9.91676354523936&lt;/D&gt;&lt;D xsi:type="xsd:double"&gt;9.20101977183904&lt;/D&gt;&lt;D xsi:type="xsd:double"&gt;8.88221317377108&lt;/D&gt;&lt;D xsi:type="xsd:double"&gt;8.89239658338278&lt;/D&gt;&lt;D xsi:type="xsd:double"&gt;9.2234256017829&lt;/D&gt;&lt;D xsi:type="xsd:double"&gt;9.38333800806105&lt;/D&gt;&lt;D xsi:type="xsd:double"&gt;9.9787820421916&lt;/D&gt;&lt;D xsi:type="xsd:double"&gt;10.4613296076468&lt;/D&gt;&lt;/FQL&gt;&lt;FQL&gt;&lt;Q&gt;NI-FDS^FG_PRICE_CHANGE(0,-1AM)&lt;/Q&gt;&lt;R&gt;1&lt;/R&gt;&lt;C&gt;1&lt;/C&gt;&lt;D xsi:type="xsd:double"&gt;9.86547085201794&lt;/D&gt;&lt;/FQL&gt;&lt;FQL&gt;&lt;Q&gt;INDA^FG_PRICE_MAVG(0,,,,30)&lt;/Q&gt;&lt;R&gt;1&lt;/R&gt;&lt;C&gt;1&lt;/C&gt;&lt;D xsi:type="xsd:double"&gt;57.765167&lt;/D&gt;&lt;/FQL&gt;&lt;FQL&gt;&lt;Q&gt;EPHE^FG_TOTAL_RETURNC(0,-1AM)&lt;/Q&gt;&lt;R&gt;1&lt;/R&gt;&lt;C&gt;1&lt;/C&gt;&lt;D xsi:type="xsd:double"&gt;1.9169331&lt;/D&gt;&lt;/FQL&gt;&lt;FQL&gt;&lt;Q&gt;EPHE^FMA_COS_DOWN("EPS","1M",+1,NOW,,,"PORTAGG","MEANR")&lt;/Q&gt;&lt;R&gt;1&lt;/R&gt;&lt;C&gt;1&lt;/C&gt;&lt;D xsi:type="xsd:double"&gt;6&lt;/D&gt;&lt;/FQL&gt;&lt;FQL&gt;&lt;Q&gt;EPHE^FG_FCF_YIELD_NTM(0)&lt;/Q&gt;&lt;R&gt;1&lt;/R&gt;&lt;C&gt;1&lt;/C&gt;&lt;D xsi:type="xsd:double"&gt;5.65807828601593&lt;/D&gt;&lt;/FQL&gt;&lt;FQL&gt;&lt;Q&gt;TRYJP10Y-FDS^FG_YIELD(-10AY,0,Y,,"YTM")&lt;/Q&gt;&lt;R&gt;10&lt;/R&gt;&lt;C&gt;1&lt;/C&gt;&lt;D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xsi:type="xsd:double"&gt;0.6127&lt;/D&gt;&lt;/FQL&gt;&lt;FQL&gt;&lt;Q&gt;CAGDPY@PL^EE_ACTUAL_ANNUAL(MED,0)&lt;/Q&gt;&lt;R&gt;1&lt;/R&gt;&lt;C&gt;1&lt;/C&gt;&lt;D xsi:type="xsd:double"&gt;1.8095756577486&lt;/D&gt;&lt;/FQL&gt;&lt;FQL&gt;&lt;Q&gt;MCHI^FG_TOTAL_RETURNC(-10AY,0,AM)&lt;/Q&gt;&lt;R&gt;121&lt;/R&gt;&lt;C&gt;1&lt;/C&gt;&lt;D xsi:type="xsd:double"&gt;-8.245206&lt;/D&gt;&lt;D xsi:type="xsd:double"&gt;3.7780166&lt;/D&gt;&lt;D xsi:type="xsd:double"&gt;-0.20567179&lt;/D&gt;&lt;D xsi:type="xsd:double"&gt;6.752765&lt;/D&gt;&lt;D xsi:type="xsd:double"&gt;-0.42868257&lt;/D&gt;&lt;D xsi:type="xsd:double"&gt;-2.1526396&lt;/D&gt;&lt;D xsi:type="xsd:double"&gt;24.5&lt;/D&gt;&lt;D xsi:type="xsd:double"&gt;-1.0763049&lt;/D&gt;&lt;D xsi:type="xsd:double"&gt;-4.5631704&lt;/D&gt;&lt;D xsi:type="xsd:double"&gt;-10.119444&lt;/D&gt;&lt;D xsi:type="xsd:double"&gt;-2.5439918&lt;/D&gt;&lt;D xsi:type="xsd:double"&gt;-12.50245&lt;/D&gt;&lt;D xsi:type="xsd:double"&gt;6.639743&lt;/D&gt;&lt;D xsi:type="xsd:double"&gt;-1.2200296&lt;/D&gt;&lt;D xsi:type="xsd:double"&gt;-4.344124&lt;/D&gt;&lt;D xsi:type="xsd:double"&gt;-9.753412&lt;/D&gt;&lt;D xsi:type="xsd:double"&gt;-9.104549&lt;/D&gt;&lt;D xsi:type="xsd:double"&gt;9.823883&lt;/D&gt;&lt;D xsi:type="xsd:double"&gt;4.159355&lt;/D&gt;&lt;D xsi:type="xsd:double"&gt;-2.140963&lt;/D&gt;&lt;D xsi:type="xsd:double"&gt;2.1878004&lt;/D&gt;&lt;D xsi:type="xsd:double"&gt;2.5939584&lt;/D&gt;&lt;D xsi:type="xsd:double"&gt;6.8256974&lt;/D&gt;&lt;D xsi:type="xsd:double"&gt;6.190574&lt;/D&gt;&lt;D xsi:type="xsd:double"&gt;3.6019087&lt;/D&gt;&lt;D xsi:type="xsd:double"&gt;-8.05868&lt;/D&gt;&lt;D xsi:type="xsd:double"&gt;1.0054588&lt;/D&gt;&lt;D xsi:type="xsd:double"&gt;0.94884634&lt;/D&gt;&lt;D xsi:type="xsd:double"&gt;5.04328&lt;/D&gt;&lt;D xsi:type="xsd:double"&gt;0.14424324&lt;/D&gt;&lt;D xsi:type="xsd:double"&gt;3.4979463&lt;/D&gt;&lt;D xsi:type="xsd:double"&gt;3.5387754&lt;/D&gt;&lt;D xsi:type="xsd:double"&gt;5.702758&lt;/D&gt;&lt;D xsi:type="xsd:double"&gt;-0.37587285&lt;/D&gt;&lt;D xsi:type="xsd:double"&gt;7.4107885&lt;/D&gt;&lt;D xsi:type="xsd:double"&gt;4.8381567&lt;/D&gt;&lt;D xsi:type="xsd:double"&gt;7.263565&lt;/D&gt;&lt;D xsi:type="xsd:double"&gt;2.0905852&lt;/D&gt;&lt;D xsi:type="xsd:double"&gt;-2.7971566&lt;/D&gt;&lt;D xsi:type="xsd:double"&gt;9.363281&lt;/D&gt;&lt;D xsi:type="xsd:double"&gt;-6.914592&lt;/D&gt;&lt;D xsi:type="xsd:double"&gt;9.524525&lt;/D&gt;&lt;D xsi:type="xsd:double"&gt;-4.188621&lt;/D&gt;&lt;D xsi:type="xsd:double"&gt;1.0567427&lt;/D&gt;&lt;D xsi:type="xsd:double"&gt;1.8335462&lt;/D&gt;&lt;D xsi:type="xsd:double"&gt;-8.551609&lt;/D&gt;&lt;D xsi:type="xsd:double"&gt;-3.9406598&lt;/D&gt;&lt;D xsi:type="xsd:double"&gt;-8.4942045&lt;/D&gt;&lt;D xsi:type="xsd:double"&gt;-6.01266&lt;/D&gt;&lt;D xsi:type="xsd:double"&gt;0.89787245&lt;/D&gt;&lt;D xsi:type="xsd:double"&gt;1.9651532&lt;/D&gt;&lt;D xsi:type="xsd:double"&gt;2.17247&lt;/D&gt;&lt;D xsi:type="xsd:double"&gt;5.6064725&lt;/D&gt;&lt;D xsi:type="xsd:double"&gt;1.4292955&lt;/D&gt;&lt;D xsi:type="xsd:double"&gt;8.975005&lt;/D&gt;&lt;D xsi:type="xsd:double"&gt;-7.43534&lt;/D&gt;&lt;D xsi:type="xsd:double"&gt;-5.521369&lt;/D&gt;&lt;D xsi:type="xsd:double"&gt;4.3738723&lt;/D&gt;&lt;D xsi:type="xsd:double"&gt;-7.3149977&lt;/D&gt;&lt;D xsi:type="xsd:double"&gt;6.848562&lt;/D&gt;&lt;D xsi:type="xsd:double"&gt;-2.485001&lt;/D&gt;&lt;D xsi:type="xsd:double"&gt;7.434094&lt;/D&gt;&lt;D xsi:type="xsd:double"&gt;-1.3086855&lt;/D&gt;&lt;D xsi:type="xsd:double"&gt;11.224472&lt;/D&gt;&lt;D xsi:type="xsd:double"&gt;-4.286355&lt;/D&gt;&lt;D xsi:type="xsd:double"&gt;-2.639848&lt;/D&gt;&lt;D xsi:type="xsd:double"&gt;-5.7617846&lt;/D&gt;&lt;D xsi:type="xsd:double"&gt;4.555571&lt;/D&gt;&lt;D xsi:type="xsd:double"&gt;6.928742&lt;/D&gt;&lt;D xsi:type="xsd:double"&gt;14.349318&lt;/D&gt;&lt;D xsi:type="xsd:double"&gt;-3.3212304&lt;/D&gt;&lt;D xsi:type="xsd:double"&gt;0.013911724&lt;/D&gt;&lt;D xsi:type="xsd:double"&gt;6.7584395&lt;/D&gt;&lt;D xsi:type="xsd:double"&gt;3.347659&lt;/D&gt;&lt;D xsi:type="xsd:double"&gt;1</t>
        </r>
      </text>
    </comment>
    <comment ref="A16" authorId="0" shapeId="0" xr:uid="{070F7BD8-3006-44E9-9EC0-84B5C8FDB820}">
      <text>
        <r>
          <rPr>
            <b/>
            <sz val="9"/>
            <color indexed="81"/>
            <rFont val="Tahoma"/>
            <charset val="1"/>
          </rPr>
          <t>.2730002&lt;/D&gt;&lt;D xsi:type="xsd:double"&gt;7.164812&lt;/D&gt;&lt;D xsi:type="xsd:double"&gt;11.234653&lt;/D&gt;&lt;D xsi:type="xsd:double"&gt;-12.55129&lt;/D&gt;&lt;D xsi:type="xsd:double"&gt;-2.0933628&lt;/D&gt;&lt;D xsi:type="xsd:double"&gt;-3.7232697&lt;/D&gt;&lt;D xsi:type="xsd:double"&gt;4.5786858&lt;/D&gt;&lt;D xsi:type="xsd:double"&gt;-4.92906&lt;/D&gt;&lt;D xsi:type="xsd:double"&gt;-6.6254973&lt;/D&gt;&lt;D xsi:type="xsd:double"&gt;-0.9506762&lt;/D&gt;&lt;D xsi:type="xsd:double"&gt;-3.7835598&lt;/D&gt;&lt;D xsi:type="xsd:double"&gt;-1.084286&lt;/D&gt;&lt;D xsi:type="xsd:double"&gt;-3.683126&lt;/D&gt;&lt;D xsi:type="xsd:double"&gt;-5.0212383&lt;/D&gt;&lt;D xsi:type="xsd:double"&gt;2.20505&lt;/D&gt;&lt;D xsi:type="xsd:double"&gt;-19.08661&lt;/D&gt;&lt;D xsi:type="xsd:double"&gt;3.5616875&lt;/D&gt;&lt;D xsi:type="xsd:double"&gt;-12.704378&lt;/D&gt;&lt;D xsi:type="xsd:double"&gt;15.743279&lt;/D&gt;&lt;D xsi:type="xsd:double"&gt;3.872776&lt;/D&gt;&lt;D xsi:type="xsd:double"&gt;-11.833572&lt;/D&gt;&lt;D xsi:type="xsd:double"&gt;-1.2053132&lt;/D&gt;&lt;D xsi:type="xsd:double"&gt;-13.895786&lt;/D&gt;&lt;D xsi:type="xsd:double"&gt;-0.9365976&lt;/D&gt;&lt;D xsi:type="xsd:double"&gt;18.157578&lt;/D&gt;&lt;D xsi:type="xsd:double"&gt;10.309828&lt;/D&gt;&lt;D xsi:type="xsd:double"&gt;-3.1710088&lt;/D&gt;&lt;D xsi:type="xsd:double"&gt;-8.908379&lt;/D&gt;&lt;D xsi:type="xsd:double"&gt;5.991864&lt;/D&gt;&lt;D xsi:type="xsd:double"&gt;-5.0070643&lt;/D&gt;&lt;D xsi:type="xsd:double"&gt;-2.3938894&lt;/D&gt;&lt;D xsi:type="xsd:double"&gt;-1.2310445&lt;/D&gt;&lt;D xsi:type="xsd:double"&gt;5.096817&lt;/D&gt;&lt;D xsi:type="xsd:double"&gt;-7.0520997&lt;/D&gt;&lt;D xsi:type="xsd:double"&gt;0.04557371&lt;/D&gt;&lt;D xsi:type="xsd:double"&gt;-3.2111108&lt;/D&gt;&lt;D xsi:type="xsd:double"&gt;-4.8235297&lt;/D&gt;&lt;D xsi:type="xsd:double"&gt;-2.5639832&lt;/D&gt;&lt;D xsi:type="xsd:double"&gt;-2.0811617&lt;/D&gt;&lt;D xsi:type="xsd:double"&gt;3.5069108&lt;/D&gt;&lt;D xsi:type="xsd:double"&gt;3.2597542&lt;/D&gt;&lt;D xsi:type="xsd:double"&gt;12.304258&lt;/D&gt;&lt;D xsi:type="xsd:double"&gt;-2.7224422&lt;/D&gt;&lt;D xsi:type="xsd:double"&gt;-2.4165988&lt;/D&gt;&lt;D xsi:type="xsd:double"&gt;-2.7868927&lt;/D&gt;&lt;D xsi:type="xsd:double"&gt;-2.6017785&lt;/D&gt;&lt;D xsi:type="xsd:double"&gt;29.483055&lt;/D&gt;&lt;/FQL&gt;&lt;FQL&gt;&lt;Q&gt;EWM^FG_PRICE_MAVG(0,,,,60)&lt;/Q&gt;&lt;R&gt;1&lt;/R&gt;&lt;C&gt;1&lt;/C&gt;&lt;D xsi:type="xsd:double"&gt;25.106&lt;/D&gt;&lt;/FQL&gt;&lt;FQL&gt;&lt;Q&gt;CNYA^FG_TOTAL_RETURNC(0,-6AM)&lt;/Q&gt;&lt;R&gt;1&lt;/R&gt;&lt;C&gt;1&lt;/C&gt;&lt;D xsi:type="xsd:double"&gt;18.26042&lt;/D&gt;&lt;/FQL&gt;&lt;FQL&gt;&lt;Q&gt;VGK^FMA_COS_DOWN("EPS","1M",+1,NOW,,,"PORTAGG","MEANR")&lt;/Q&gt;&lt;R&gt;1&lt;/R&gt;&lt;C&gt;1&lt;/C&gt;&lt;D xsi:type="xsd:double"&gt;601&lt;/D&gt;&lt;/FQL&gt;&lt;FQL&gt;&lt;Q&gt;REFIDRREPO-FDS^(SUBARRAY(NOT_NA(NO_REPEAT_F(FG_YIELD(NOW,-10AY,D))),0,1)-SUBARRAY(NOT_NA(NO_REPEAT_F(FG_YIELD(NOW,-10AY,D))),1,1))*100&lt;/Q&gt;&lt;R&gt;1&lt;/R&gt;&lt;C&gt;1&lt;/C&gt;&lt;D xsi:type="xsd:double"&gt;-25&lt;/D&gt;&lt;/FQL&gt;&lt;FQL&gt;&lt;Q&gt;TRYGR10Y-FDS^PCTCHG(FG_YIELD(0,,,,"YTM"),FG_YIELD(-3AM,,,,"YTM"))&lt;/Q&gt;&lt;R&gt;1&lt;/R&gt;&lt;C&gt;1&lt;/C&gt;&lt;D xsi:type="xsd:double"&gt;-9.52651&lt;/D&gt;&lt;/FQL&gt;&lt;FQL&gt;&lt;Q&gt;TRYKR10Y-FDS^FG_YIELD(0,,,,"YTM")&lt;/Q&gt;&lt;R&gt;1&lt;/R&gt;&lt;C&gt;1&lt;/C&gt;&lt;D xsi:type="xsd:double"&gt;3.087&lt;/D&gt;&lt;/FQL&gt;&lt;FQL&gt;&lt;Q&gt;VGK^FMA_EVAL_EBITDA(NTMA,0,,,"PORTAGG","MEANR")&lt;/Q&gt;&lt;R&gt;1&lt;/R&gt;&lt;C&gt;1&lt;/C&gt;&lt;D xsi:type="xsd:double"&gt;9.05765139470749&lt;/D&gt;&lt;/FQL&gt;&lt;FQL&gt;&lt;Q&gt;MCHI^FMA_PE(LTM,0,,,"PORTAGG","MEANR")&lt;/Q&gt;&lt;R&gt;1&lt;/R&gt;&lt;C&gt;1&lt;/C&gt;&lt;D xsi:type="xsd:double"&gt;15.6415430187774&lt;/D&gt;&lt;/FQL&gt;&lt;FQL&gt;&lt;Q&gt;EWT^JULIAN(FMA_DIV_YLD(NTMA,NOW,NOW,M,"PORTAGG","MEANR").DATES)&lt;/Q&gt;&lt;R&gt;1&lt;/R&gt;&lt;C&gt;1&lt;/C&gt;&lt;D xsi:type="xsd:long"&gt;45565&lt;/D&gt;&lt;/FQL&gt;&lt;FQL&gt;&lt;Q&gt;CNYA^FMA_PE(LTM,0,,,"PORTAGG","MEANR")&lt;/Q&gt;&lt;R&gt;1&lt;/R&gt;&lt;C&gt;1&lt;/C&gt;&lt;D xsi:type="xsd:double"&gt;17.1695538185877&lt;/D&gt;&lt;/FQL&gt;&lt;FQL&gt;&lt;Q&gt;ECH^FG_COMPANY_NAME&lt;/Q&gt;&lt;R&gt;1&lt;/R&gt;&lt;C&gt;1&lt;/C&gt;&lt;D xsi:type="xsd:string"&gt;iShares MSCI Chile ETF&lt;/D&gt;&lt;/FQL&gt;&lt;FQL&gt;&lt;Q&gt;CAGDPY@TR^EE_ACTUAL_ANNUAL(MED,0)&lt;/Q&gt;&lt;R&gt;1&lt;/R&gt;&lt;C&gt;1&lt;/C&gt;&lt;D xsi:type="xsd:double"&gt;-4.50702519391192&lt;/D&gt;&lt;/FQL&gt;&lt;FQL&gt;&lt;Q&gt;USDBRL^FG_PRICE_CHANGE(0,-6AM)&lt;/Q&gt;&lt;R&gt;1&lt;/R&gt;&lt;C&gt;1&lt;/C&gt;&lt;D xsi:type="xsd:double"&gt;10.18784&lt;/D&gt;&lt;/FQL&gt;&lt;FQL&gt;&lt;Q&gt;EIDO^FMA_PE(NTMA,-10AY,0,AM,"PORTAGG","MEANR")&lt;/Q&gt;&lt;R&gt;121&lt;/R&gt;&lt;C&gt;1&lt;/C&gt;&lt;D xsi:type="xsd:double"&gt;13.9976871833086&lt;/D&gt;&lt;D xsi:type="xsd:double"&gt;14.0204128380497&lt;/D&gt;&lt;D xsi:type="xsd:double"&gt;15.0000834239234&lt;/D&gt;&lt;D xsi:type="xsd:double"&gt;14.984575094229&lt;/D&gt;&lt;D xsi:type="xsd:double"&gt;15.6272120045489&lt;/D&gt;&lt;D xsi:type="xsd:double"&gt;16.0547976417582&lt;/D&gt;&lt;D xsi:type="xsd:double"&gt;16.1628740267528&lt;/D&gt;&lt;D xsi:type="xsd:double"&gt;15.1490638111494&lt;/D&gt;&lt;D xsi:type="xsd:double"&gt;14.3863938858195&lt;/D&gt;&lt;D xsi:type="xsd:double"&gt;14.3205759100749&lt;/D&gt;&lt;D xsi:type="xsd:double"&gt;14.3845891517574&lt;/D&gt;&lt;D xsi:type="xsd:double"&gt;13.2204521519991&lt;/D&gt;&lt;D xsi:type="xsd:double"&gt;14.3767821807305&lt;/D&gt;&lt;D xsi:type="xsd:double"&gt;13.8576443512665&lt;/D&gt;&lt;D xsi:type="xsd:double"&gt;14.1034749418325&lt;/D&gt;&lt;D xsi:type="xsd:double"&gt;14.321721400686&lt;/D&gt;&lt;D xsi:type="xsd:double"&gt;14.9813369250256&lt;/D&gt;&lt;D xsi:type="xsd:double"&gt;15.1276297525035&lt;/D&gt;&lt;D xsi:type="xsd:double"&gt;15.0784222456173&lt;/D&gt;&lt;D xsi:type="xsd:double"&gt;14.4608130525032&lt;/D&gt;&lt;D xsi:type="xsd:double"&gt;14.8804265388344&lt;/D&gt;&lt;D xsi:type="xsd:double"&gt;15.4218997958557&lt;/D&gt;&lt;D xsi:type="xsd:double"&gt;17.054288177687&lt;/D&gt;&lt;D xsi:type="xsd:double"&gt;16.0312291495945&lt;/D&gt;&lt;D xsi:type="xsd:double"&gt;16.3611479069298&lt;/D&gt;&lt;D xsi:type="xsd:double"&gt;16.081043590974&lt;/D&gt;&lt;D xsi:type="xsd:double"&gt;15.3427617614703&lt;/D&gt;&lt;D xsi:type="xsd:double"&gt;15.3722451149896&lt;/D&gt;&lt;D xsi:type="xsd:double"&gt;15.2839238448763&lt;/D&gt;&lt;D xsi:type="xsd:double"&gt;14.979951078592&lt;/D&gt;&lt;D xsi:type="xsd:double"&gt;15.47958466852&lt;/D&gt;&lt;D xsi:type="xsd:double"&gt;15.6606480257237&lt;/D&gt;&lt;D xsi:type="xsd:double"&gt;15.351596559288&lt;/D&gt;&lt;D xsi:type="xsd:double"&gt;15.5416382068724&lt;/D&gt;&lt;D xsi:type="xsd:double"&gt;15.6882935779184&lt;/D&gt;&lt;D xsi:type="xsd:double"&gt;15.442496832236&lt;/D&gt;&lt;D xsi:type="xsd:double"&gt;15.5756305701268&lt;/D&gt;&lt;D xsi:type="xsd:double"&gt;15.4098210594894&lt;/D&gt;&lt;D xsi:type="xsd:double"&gt;15.1589826232076&lt;/D&gt;&lt;D xsi:type="xsd:double"&gt;15.8547889796971&lt;/D&gt;&lt;D xsi:type="xsd:double"&gt;15.3782153882724&lt;/D&gt;&lt;D xsi:type="xsd:double"&gt;14.9681836153253&lt;/D&gt;&lt;D xsi:type="xsd:double"&gt;14.9399488459312&lt;/D&gt;&lt;D xsi:type="xsd:double"&gt;13.625418581109&lt;/D&gt;&lt;D xsi:type="xsd:double"&gt;13.366046901976&lt;/D&gt;&lt;D xsi:type="xsd:double"&gt;12.8513376636126&lt;/D&gt;&lt;D xsi:type="xsd:double"&gt;13.9944468153982&lt;/D&gt;&lt;D xsi:type="xsd:double"&gt;13.1549734262362&lt;/D&gt;&lt;D xsi:type="xsd:double"&gt;13.2662513097727&lt;/D&gt;&lt;D xsi:type="xsd:double"&gt;13.3918797415114&lt;/D&gt;&lt;D xsi:type="xsd:double"&gt;13.9416744625932&lt;/D&gt;&lt;D xsi:type="xsd:double"&gt;14.4694221587098&lt;/D&gt;&lt;D xsi:type="xsd:double"&gt;14.7515494748775&lt;/D&gt;&lt;D xsi:type="xsd:double"&gt;14.2724397687103&lt;/D&gt;&lt;D xsi:type="xsd:double"&gt;14.292384433104&lt;/D&gt;&lt;D xsi:type="xsd:double"&gt;13.3601404252896&lt;/D&gt;&lt;D xsi:type="xsd:double"&gt;13.9072249244335&lt;/D&gt;&lt;D xsi:type="xsd:double"&gt;14.3196769865213&lt;/D&gt;&lt;D xsi:type="xsd:double"&gt;14.6632004749149&lt;/D&gt;&lt;D xsi:type="xsd:double"&gt;14.7715355502529&lt;/D&gt;&lt;D xsi:type="xsd:double"&gt;13.9054570851059&lt;/D&gt;&lt;D xsi:type="xsd:double"&gt;14.6247193459299&lt;/D&gt;&lt;D xsi:type="xsd:double"&gt;14.7866085599736&lt;/D&gt;&lt;D xsi:type="xsd:double"&gt;15.3825287376618&lt;/D&gt;&lt;D xsi:type="xsd:double"&gt;14.7488193246526&lt;/D&gt;&lt;D xsi:type="xsd:double"&gt;12.7081052830206&lt;/D&gt;&lt;D xsi:type="xsd:double"&gt;11.0514865159738&lt;/D&gt;&lt;D xsi:type="xsd:double"&gt;11.9309373987867&lt;/D&gt;&lt;D xsi:type="xsd:double"&gt;15.3274527229354&lt;/D&gt;&lt;D xsi:type="xsd:double"&gt;16.3808709961584&lt;/D&gt;&lt;D xsi:type="xsd:double"&gt;16.48151024685&lt;/D&gt;&lt;D xsi:type="xsd:double"&gt;15.3846075140703&lt;/D&gt;&lt;D xsi:type="xsd:double"&gt;15.5837384981505&lt;/D&gt;&lt;D xsi:type="xsd:double"&gt;17.0020807849662&lt;/D&gt;&lt;D xsi:type="xsd:double"&gt;18.063628128131&lt;/D&gt;&lt;D xsi:type="xsd:double"&gt;18.0332238072889&lt;/D&gt;&lt;D xsi:type="xsd:double"&gt;17.4406272904416&lt;/D&gt;&lt;D xsi:type="xsd:double"&gt;16.7665088536918&lt;/D&gt;&lt;D xsi:type="xsd:double"&gt;16.1197976298828&lt;/D&gt;&lt;D xsi:type="xsd:double"&gt;15.7566382656739&lt;/D&gt;&lt;D xsi:type="xsd:double"&gt;16.0431733221559&lt;/D&gt;&lt;D xsi:type="xsd:double"&gt;14.6896969401228&lt;/D&gt;&lt;D xsi:type="xsd:double"&gt;14.6829009333409&lt;/D&gt;&lt;D xsi:type="xsd:double"&gt;15.0478145165601&lt;/D&gt;&lt;D xsi:type="xsd:double"&gt;15.4399095691703&lt;/D&gt;&lt;D xsi:type="xsd:double"&gt;15.2513127721997&lt;/D&gt;&lt;D xsi:type="xsd:double"&gt;14.8485940330564&lt;/D&gt;&lt;D xsi:type="xsd:double"&gt;14.697283448739&lt;/D&gt;&lt;D xsi:type="xsd:double"&gt;15.1846643488347&lt;/D&gt;&lt;D xsi:type="xsd:double"&gt;15.0061067526567&lt;/D&gt;&lt;D xsi:type="xsd:double"&gt;14.9359226444227&lt;/D&gt;&lt;D xsi:type="xsd:double"&gt;13.5886188175676&lt;/D&gt;&lt;D xsi:type="xsd:double"&gt;13.0526130997264&lt;/D&gt;&lt;D xsi:type="xsd:double"&gt;12.2247156687399&lt;/D&gt;&lt;D xsi:type="xsd:double"&gt;12.8541320106895&lt;/D&gt;&lt;D xsi:type="xsd:double"&gt;13.0470554558815&lt;/D&gt;&lt;D xsi:type="xsd:double"&gt;12.4699574766563&lt;/D&gt;&lt;D xsi:type="xsd:double"&gt;12.5599163722345&lt;/D&gt;&lt;D xsi:type="xsd:double"&gt;12.1839760235033&lt;/D&gt;&lt;D xsi:type="xsd:double"&gt;11.711497246702&lt;/D&gt;&lt;D xsi:type="xsd:double"&gt;12.3537290474244&lt;/D&gt;&lt;D xsi:type="xsd:double"&gt;11.7063872138031&lt;/D&gt;&lt;D xsi:type="xsd:double"&gt;12.0054851154423&lt;/D&gt;&lt;D xsi:type="xsd:double"&gt;12.0642431040714&lt;/D&gt;&lt;D xsi:type="xsd:double"&gt;13.6546150838256&lt;/D&gt;&lt;D xsi:type="xsd:double"&gt;13.3358851492798&lt;/D&gt;&lt;D xsi:type="xsd:double"&gt;13.6619389235327&lt;/D&gt;&lt;D xsi:type="xsd:double"&gt;13.430834342426&lt;/D&gt;&lt;D xsi:type="xsd:double"&gt;12.9750128000416&lt;/D&gt;&lt;D xsi:type="xsd:double"&gt;12.3397111874428&lt;/D&gt;&lt;D xsi:type="xsd:double"&gt;12.4672757151316&lt;/D&gt;&lt;D xsi:type="xsd:double"&gt;12.8754187949973&lt;/D&gt;&lt;D xsi:type="xsd:double"&gt;12.9342755215059&lt;/D&gt;&lt;D xsi:type="xsd:double"&gt;13.2484422897005&lt;/D&gt;&lt;D xsi:type="xsd:double"&gt;12.6678365577089&lt;/D&gt;&lt;D xsi:type="xsd:double"&gt;11.7594292623875&lt;/D&gt;&lt;D xsi:type="xsd:double"&gt;12.1184108346325&lt;/D&gt;&lt;D xsi:type="xsd:double"&gt;12.3251367512585&lt;/D&gt;&lt;D xsi:type="xsd:double"&gt;12.4319490657593&lt;/D&gt;&lt;D xsi:type="xsd:double"&gt;13.533281291201&lt;/D&gt;&lt;D xsi:type="xsd:double"&gt;13.2483683562215&lt;/D&gt;&lt;/FQL&gt;&lt;FQL&gt;&lt;Q&gt;NI-FDS^FG_PRICE_MAVG(0,,,,30)&lt;/Q&gt;&lt;R&gt;1&lt;/R&gt;&lt;C&gt;1&lt;/C&gt;&lt;D xsi:type="xsd:double"&gt;16529.166&lt;/D&gt;&lt;/FQL&gt;&lt;FQL&gt;&lt;Q&gt;GREK^FG_PRICE_MAVG(0,,,,60)&lt;/Q&gt;&lt;R&gt;1&lt;/R&gt;&lt;C&gt;1&lt;/C&gt;&lt;D xsi:type="xsd:double"&gt;42.05579&lt;/D&gt;&lt;/FQL&gt;&lt;FQL&gt;&lt;Q&gt;EWY^PERCENT_CHANGE(FMA_EPS(+1,0,,,,"PORTAGG","MEAN"),FMA_EPS(+1,-1AM,,,,"PORTAGG","MEAN"))&lt;/Q&gt;&lt;R&gt;1&lt;/R&gt;&lt;C&gt;1&lt;/C&gt;&lt;D xsi:type="xsd:double"&gt;-0.767892032365403&lt;/D&gt;&lt;/FQL&gt;&lt;FQL&gt;&lt;Q&gt;EPHE^PERCENT_CHANGE(FMA_EPS(+1,0,,,,"PORTAGG","MEAN"),FMA_EPS(+1,-3AM,,,,"PORTAGG","MEAN"))&lt;/Q&gt;&lt;R&gt;1&lt;/R&gt;&lt;C&gt;1&lt;/C&gt;&lt;D xsi:type="xsd:double"&gt;3.00293850296752&lt;/D&gt;&lt;/FQL&gt;&lt;FQL&gt;&lt;Q&gt;EZA^SIZE(FG_CONSTITUENTS)&lt;/Q&gt;&lt;R&gt;1&lt;/R&gt;&lt;C&gt;1&lt;/C&gt;&lt;D xsi:type="xsd:long"&gt;33&lt;/D&gt;&lt;/FQL&gt;&lt;FQL&gt;&lt;Q&gt;REFVNDISC-FDS^(SUBARRAY(NOT_NA(NO_REPEAT_F(FG_YIELD(NOW,-10AY,D))),0,1)-SUBARRAY(NOT_NA(NO_REPEAT_F(FG_YIELD(NOW,-10AY,D))),1,1))*100&lt;/Q&gt;&lt;R&gt;1&lt;/R&gt;&lt;C&gt;1&lt;/C&gt;&lt;D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xsi:type="xsd:double"&gt;-50&lt;/D&gt;&lt;/FQL&gt;&lt;FQL&gt;&lt;Q&gt;VGK^FG_FCF_YIELD_NTM(0)&lt;/Q&gt;&lt;R&gt;1&lt;/R&gt;&lt;C&gt;1&lt;/C&gt;&lt;D xsi:type="xsd:double"&gt;5.28323894400439&lt;/D&gt;&lt;/FQL&gt;&lt;FQL&gt;&lt;Q&gt;TUR^FMA_EVAL_EBITDA(NTMA,0,,,"PORTAGG","MEANR")&lt;/Q&gt;&lt;R&gt;1&lt;/R&gt;&lt;C&gt;1&lt;/C&gt;&lt;D xsi:type="xsd:double"&gt;4.42667856045309&lt;/D&gt;&lt;/FQL&gt;&lt;FQL&gt;&lt;Q&gt;CNYA^FMA_ROE(NTMA,-20AY,NOW,FY,"PORTAGG","MEANR")&lt;/Q&gt;&lt;R&gt;20&lt;/R&gt;&lt;C&gt;1&lt;/C&gt;&lt;D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xsi:type="xsd:double"&gt;13.4756717168111&lt;/D&gt;&lt;D xsi:type="xsd:double"&gt;12.9923016382757&lt;/D&gt;&lt;D xsi:type="xsd:double"&gt;13.766644845854&lt;/D&gt;&lt;D xsi:type="xsd:double"&gt;13.3712630657165&lt;/D&gt;&lt;D xsi:type="xsd:double"&gt;12.0222723103633&lt;/D&gt;&lt;/FQL&gt;&lt;FQL&gt;&lt;Q&gt;CAGDPY@PH^EE_ACTUAL_ANNUAL(MED,+1)&lt;/Q&gt;&lt;R&gt;1&lt;/R&gt;&lt;C&gt;1&lt;/C&gt;&lt;D xsi:type="xsd:double"&gt;-2.4&lt;/D&gt;&lt;/FQL&gt;&lt;FQL&gt;&lt;Q&gt;USDSAR^STD(FG_PRICE_CHANGE(0,-3AY,M))&lt;/Q&gt;&lt;R&gt;1&lt;/R&gt;&lt;C&gt;1&lt;/C&gt;&lt;D xsi:type="xsd:double"&gt;0.0437191799140736&lt;/D&gt;&lt;/FQL&gt;&lt;FQL&gt;&lt;Q&gt;USDINR^STD(FG_PRICE_CHANGE(0,-3AY,M))&lt;/Q&gt;&lt;R&gt;1&lt;/R&gt;&lt;C&gt;1&lt;/C&gt;&lt;D xsi:type="xsd:double"&gt;0.847220689513896&lt;/D&gt;&lt;/FQL&gt;&lt;FQL&gt;&lt;Q&gt;SET-BKK^P_PRICE_RETURNS_PR('52W',2,-10AY,0,AM)&lt;/Q&gt;&lt;R&gt;121&lt;/R&gt;&lt;C&gt;1&lt;/C&gt;&lt;D xsi:type="xsd:double"&gt;6.9432616&lt;/D&gt;&lt;D xsi:type="xsd:double"&gt;11.552059&lt;/D&gt;&lt;D xsi:type="xsd:double"&gt;14.051283&lt;/D&gt;&lt;D xsi:type="xsd:double"&gt;21.550392&lt;/D&gt;&lt;D xsi:type="xsd:double"&gt;23.577082&lt;/D&gt;&lt;D xsi:type="xsd:double"&gt;13.490236&lt;/D&gt;&lt;D xsi:type="xsd:double"&gt;11.389923&lt;/D&gt;&lt;D xsi:type="xsd:double"&gt;9.535027&lt;/D&gt;&lt;D xsi:type="xsd:double"&gt;2.3720622&lt;/D&gt;&lt;D xsi:type="xsd:double"&gt;-2.1811426&lt;/D&gt;&lt;D xsi:type="xsd:double"&gt;-6.5894485&lt;/D&gt;&lt;D xsi:type="xsd:double"&gt;-11.754406&lt;/D&gt;&lt;D xsi:type="xsd:double"&gt;-9.565491&lt;/D&gt;&lt;D xsi:type="xsd:double"&gt;-10.780048&lt;/D&gt;&lt;D xsi:type="xsd:double"&gt;-16.782946&lt;/D&gt;&lt;D xsi:type="xsd:double"&gt;-18.233198&lt;/D&gt;&lt;D xsi:type="xsd:double"&gt;-18.196064&lt;/D&gt;&lt;D xsi:type="xsd:double"&gt;-9.926581&lt;/D&gt;&lt;D xsi:type="xsd:double"&gt;-11.342126&lt;/D&gt;&lt;D xsi:type="xsd:double"&gt;-7.969493&lt;/D&gt;&lt;D xsi:type="xsd:double"&gt;-4.975271&lt;/D&gt;&lt;D xsi:type="xsd:double"&gt;-0.9930253&lt;/D&gt;&lt;D xsi:type="xsd:double"&gt;9.01326&lt;/D&gt;&lt;D xsi:type="xsd:double"&gt;3.5085797&lt;/D&gt;&lt;D xsi:type="xsd:double"&gt;3.2373786&lt;/D&gt;&lt;D xsi:type="xsd:double"&gt;8.286726&lt;/D&gt;&lt;D xsi:type="xsd:double"&gt;17.60645&lt;/D&gt;&lt;D xsi:type="xsd:double"&gt;26.356304&lt;/D&gt;&lt;D xsi:type="xsd:double"&gt;21.498537&lt;/D&gt;&lt;D xsi:type="xsd:double"&gt;11.663734&lt;/D&gt;&lt;D xsi:type="xsd:double"&gt;15.445662&lt;/D&gt;&lt;D xsi:type="xsd:double"&gt;11.919176&lt;/D&gt;&lt;D xsi:type="xsd:double"&gt;9.124792&lt;/D&gt;&lt;D xsi:type="xsd:double"&gt;7.7379346&lt;/D&gt;&lt;D xsi:type="xsd:double"&gt;1.5186071&lt;/D&gt;&lt;D xsi:type="xsd:double"&gt;12.383711&lt;/D&gt;&lt;D xsi:type="xsd:double"&gt;17.153502&lt;/D&gt;&lt;D xsi:type="xsd:double"&gt;11.558127&lt;/D&gt;&lt;D xsi:type="xsd:double"&gt;11.872875&lt;/D&gt;&lt;D xsi:type="xsd:double"&gt;14.173401&lt;/D&gt;&lt;D xsi:type="xsd:double"&gt;12.834358&lt;/D&gt;&lt;D xsi:type="xsd:double"&gt;14.596188&lt;/D&gt;&lt;D xsi:type="xsd:double"&gt;11.368656&lt;/D&gt;&lt;D xsi:type="xsd:double"&gt;11.957872&lt;/D&gt;&lt;D xsi:type="xsd:double"&gt;9.664524&lt;/D&gt;&lt;D xsi:type="xsd:double"&gt;4.7252536&lt;/D&gt;&lt;D xsi:type="xsd:double"&gt;8.546484&lt;/D&gt;&lt;D xsi:type="xsd:double"&gt;3.4176826&lt;/D&gt;&lt;D xsi:type="xsd:double"&gt;0.8711457&lt;/D&gt;&lt;D xsi:type="xsd:double"&gt;-2.026391&lt;/D&gt;&lt;D xsi:type="xsd:double"&gt;-3.1337857&lt;/D&gt;&lt;D xsi:type="xsd:double"&gt;-11.548704&lt;/D&gt;&lt;D xsi:type="xsd:double"&gt;-7.554877&lt;/D&gt;&lt;D xsi:type="xsd:double"&gt;-8.363599&lt;/D&gt;&lt;D xsi:type="xsd:double"&gt;-5.6117415&lt;/D&gt;&lt;D xsi:type="xsd:double"&gt;-5.6214213&lt;/D&gt;&lt;D xsi:type="xsd:double"&gt;-3.3280313&lt;/D&gt;&lt;D xsi:type="xsd:double"&gt;5.8305025&lt;/D&gt;&lt;D xsi:type="xsd:double"&gt;-4.1707277&lt;/D&gt;&lt;D xsi:type="xsd:double"&gt;-1.5122533&lt;/D&gt;&lt;D xsi:type="xsd:double"&gt;-6.6394806&lt;/D&gt;&lt;D xsi:type="xsd:double"&gt;-2.6092172&lt;/D&gt;&lt;D xsi:type="xsd:double"&gt;-5.880642&lt;/D&gt;&lt;D xsi:type="xsd:double"&gt;-0.44090748&lt;/D&gt;&lt;D xsi:type="xsd:double"&gt;-7.1301994&lt;/D&gt;&lt;D xsi:type="xsd:double"&gt;-22.014946&lt;/D&gt;&lt;D xsi:type="xsd:double"&gt;-26.117086&lt;/D&gt;&lt;D xsi:type="xsd:double"&gt;-23.457533&lt;/D&gt;&lt;D xsi:type="xsd:double"&gt;-14.774763&lt;/D&gt;&lt;D xsi:type="xsd:double"&gt;-22.359627&lt;/D&gt;&lt;D xsi:type="xsd:double"&gt;-19.909245&lt;/D&gt;&lt;D xsi:type="xsd:double"&gt;-22.512352&lt;/D&gt;&lt;D xsi:type="xsd:double"&gt;-21.596605&lt;/D&gt;&lt;D xsi:type="xsd:double"&gt;-18.109715&lt;/D&gt;&lt;D xsi:type="xsd:double"&gt;-4.5261917&lt;/D&gt;&lt;D xsi:type="xsd:double"&gt;-1.4641523&lt;/D&gt;&lt;D xsi:type="xsd:double"&gt;-1.1919975&lt;/D&gt;&lt;D xsi:type="xsd:double"&gt;23.740423&lt;/D&gt;&lt;D xsi:type="xsd:double"&gt;29.39825&lt;/D&gt;&lt;D xsi:type="xsd:double"&gt;25.444305&lt;/D&gt;&lt;D xsi:type="xsd:double"&gt;14.554858&lt;/D&gt;&lt;D xsi:type="xsd:double"&gt;13.6387825&lt;/D&gt;&lt;D xsi:type="xsd:double"&gt;16.687466&lt;/D&gt;&lt;D xsi:type="xsd:double"&gt;26.683914&lt;/D&gt;&lt;D xsi:type="xsd:double"&gt;28.598331&lt;/D&gt;&lt;D xsi:type="xsd:double"&gt;21.564377&lt;/D&gt;&lt;D xsi:type="xsd:double"&gt;9.14296&lt;/D&gt;&lt;D xsi:type="xsd:double"&gt;7.850623&lt;/D&gt;&lt;D xsi:type="xsd:double"&gt;12.2654915&lt;/D&gt;&lt;D xsi:type="xsd:double"&gt;4.7061324&lt;/D&gt;&lt;D xsi:type="xsd:double"&gt;8.15804&lt;/D&gt;&lt;D xsi:type="xsd:double"&gt;2.1805286&lt;/D&gt;&lt;D xsi:type="xsd:double"&gt;0.45223236&lt;/D&gt;&lt;D xsi:type="xsd:double"&gt;0.9198785&lt;/D&gt;&lt;D xsi:type="xsd:double"&gt;4.8352838&lt;/D&gt;&lt;D xsi:type="xsd:double"&gt;1.5652657&lt;/D&gt;&lt;D xsi:type="xsd:double"&gt;-4.1990757&lt;/D&gt;&lt;D xsi:type="xsd:double"&gt;-0.68936944&lt;/D&gt;&lt;D xsi:type="xsd:double"&gt;0.30280352&lt;/D&gt;&lt;D xsi:type="xsd:double"&gt;2.0729423&lt;/D&gt;&lt;D xsi:type="xsd:double"&gt;-2.256608&lt;/D&gt;&lt;D xsi:type="xsd:double"&gt;-2.8796375&lt;/D&gt;&lt;D xsi:type="xsd:double"&gt;-5.5083036&lt;/D&gt;&lt;D xsi:type="xsd:double"&gt;-3.2795548&lt;/D&gt;&lt;D xsi:type="xsd:double"&gt;-5.2536306&lt;/D&gt;&lt;D xsi:type="xsd:double"&gt;-3.9143205&lt;/D&gt;&lt;D xsi:type="xsd:double"&gt;-5.18176&lt;/D&gt;&lt;D xsi:type="xsd:double"&gt;-5.6603613&lt;/D&gt;&lt;D xsi:type="xsd:double"&gt;-8.666915&lt;/D&gt;&lt;D xsi:type="xsd:double"&gt;-14.183289&lt;/D&gt;&lt;D xsi:type="xsd:double"&gt;-14.779478&lt;/D&gt;&lt;D xsi:type="xsd:double"&gt;-16.42949&lt;/D&gt;&lt;D xsi:type="xsd:double"&gt;-16.822737&lt;/D&gt;&lt;D xsi:type="xsd:double"&gt;-14.025795&lt;/D&gt;&lt;D xsi:type="xsd:double"&gt;-11.609846&lt;/D&gt;&lt;D xsi:type="xsd:double"&gt;-12.593341&lt;/D&gt;&lt;D xsi:type="xsd:double"&gt;-15.210504&lt;/D&gt;&lt;D xsi:type="xsd:double"&gt;-11.598044&lt;/D&gt;&lt;D xsi:type="xsd:double"&gt;-15.129889&lt;/D&gt;&lt;D xsi:type="xsd:double"&gt;-7.700515&lt;/D&gt;&lt;D xsi:type="xsd:double"&gt;2.375126&lt;/D&gt;&lt;/FQL&gt;&lt;FQL&gt;&lt;Q&gt;EPOL^FMA_DIV_YLD(NTMA,-10AY,0,AM,"PORTAGG","MEANR")&lt;/Q&gt;&lt;R&gt;121&lt;/R&gt;&lt;C&gt;1&lt;/C&gt;&lt;D xsi:type="xsd:double"&gt;4.14753154415322&lt;/D&gt;&lt;D xsi:type="xsd:double"&gt;4.03670738990848&lt;/D&gt;&lt;D xsi:type="xsd:double"&gt;3.96659228641274&lt;/D&gt;&lt;D xsi:type="xsd:double"&gt;3.97514636390677&lt;/D&gt;&lt;D xsi:type="xsd:double"&gt;3.82146622140248&lt;/D&gt;&lt;D xsi:type="xsd:double"&gt;3.75919385523549&lt;/D&gt;&lt;D xsi:type="xsd:double"&gt;3.43042570350937&lt;/D&gt;&lt;D xsi:type="xsd:double"&gt;3.27015924806074&lt;/D&gt;&lt;D xsi:type="xsd:double"&gt;3.52428085278241&lt;/D&gt;&lt;D xsi:type="xsd:double"&gt;3.66161394409701&lt;/D&gt;&lt;D xsi:type="xsd:double"&gt;3.6501269436346&lt;/D&gt;&lt;D xsi:type="xsd:double"&gt;3.65518798118911&lt;/D&gt;&lt;D xsi:type="xsd:double"&gt;3.66815867127852&lt;/D&gt;&lt;D xsi:type="xsd:double"&gt;3.78613845629141&lt;/D&gt;&lt;D xsi:type="xsd:double"&gt;4.25771506721755&lt;/D&gt;&lt;D xsi:type="xsd:double"&gt;4.41601759411743&lt;/D&gt;&lt;D xsi:type="xsd:double"&gt;4.20045066325253&lt;/D&gt;&lt;D xsi:type="xsd:double"&gt;3.90145056947574&lt;/D&gt;&lt;D xsi:type="xsd:double"&gt;3.70743855213406&lt;/D&gt;&lt;D xsi:type="xsd:double"&gt;3.84297140103025&lt;/D&gt;&lt;D xsi:type="xsd:double"&gt;3.81694214409189&lt;/D&gt;&lt;D xsi:type="xsd:double"&gt;3.86936485082495&lt;/D&gt;&lt;D xsi:type="xsd:double"&gt;3.47427262398748&lt;/D&gt;&lt;D xsi:type="xsd:double"&gt;3.61240557054095&lt;/D&gt;&lt;D xsi:type="xsd:double"&gt;3.44220095308302&lt;/D&gt;&lt;D xsi:type="xsd:double"&gt;3.34559081857847&lt;/D&gt;&lt;D xsi:type="xsd:double"&gt;3.11195818208&lt;/D&gt;&lt;D xsi:type="xsd:double"&gt;2.94166667373206&lt;/D&gt;&lt;D xsi:type="xsd:double"&gt;2.63197410352955&lt;/D&gt;&lt;D xsi:type="xsd:double"&gt;2.46730377604791&lt;/D&gt;&lt;D xsi:type="xsd:double"&gt;2.56780833128091&lt;/D&gt;&lt;D xsi:type="xsd:double"&gt;2.43716613608381&lt;/D&gt;&lt;D xsi:type="xsd:double"&gt;2.45810965725149&lt;/D&gt;&lt;D xsi:type="xsd:double"&gt;2.47816963205338&lt;/D&gt;&lt;D xsi:type="xsd:double"&gt;2.338507366896&lt;/D&gt;&lt;D xsi:type="xsd:double"&gt;2.47626515762903&lt;/D&gt;&lt;D xsi:type="xsd:double"&gt;2.46329261867911&lt;/D&gt;&lt;D xsi:type="xsd:double"&gt;2.41541430114711&lt;/D&gt;&lt;D xsi:type="xsd:double"&gt;2.76899059218036&lt;/D&gt;&lt;D xsi:type="xsd:double"&gt;2.81793904442547&lt;/D&gt;&lt;D xsi:type="xsd:double"&gt;3.00254355886672&lt;/D&gt;&lt;D xsi:type="xsd:double"&gt;3.05717313166665&lt;/D&gt;&lt;D xsi:type="xsd:double"&gt;3.09199792535583&lt;/D&gt;&lt;D xsi:type="xsd:double"&gt;2.99717062987985&lt;/D&gt;&lt;D xsi:type="xsd:double"&gt;3.10896416729813&lt;/D&gt;&lt;D xsi:type="xsd:double"&gt;3.05535340213512&lt;/D&gt;&lt;D xsi:type="xsd:double"&gt;2.88703600203536&lt;/D&gt;&lt;D xsi:type="xsd:double"&gt;2.92379924929568&lt;/D&gt;&lt;D xsi:type="xsd:double"&gt;3.11137090452477&lt;/D&gt;&lt;D xsi:type="xsd:double"&gt;3.1359507999024&lt;/D&gt;&lt;D xsi:type="xsd:double"&gt;3.19077649184136&lt;/D&gt;&lt;D xsi:type="xsd:double"&gt;3.08950011778858&lt;/D&gt;&lt;D xsi:type="xsd:double"&gt;3.02188591912244&lt;/D&gt;&lt;D xsi:type="xsd:double"&gt;3.07661510535355&lt;/D&gt;&lt;D xsi:type="xsd:double"&gt;3.0287252610996&lt;/D&gt;&lt;D xsi:type="xsd:double"&gt;3.37815255783589&lt;/D&gt;&lt;D xsi:type="xsd:double"&gt;3.25197875410465&lt;/D&gt;&lt;D xsi:type="xsd:double"&gt;3.28248731227738&lt;/D&gt;&lt;D xsi:type="xsd:double"&gt;3.65127286030538&lt;/D&gt;&lt;D xsi:type="xsd:double"&gt;3.63453348799388&lt;/D&gt;&lt;D xsi:type="xsd:double"&gt;3.64527716157906&lt;/D&gt;&lt;D xsi:type="xsd:double"&gt;3.34027354916107&lt;/D&gt;&lt;D xsi:type="xsd:double"&gt;3.62805605842311&lt;/D&gt;&lt;D xsi:type="xsd:double"&gt;3.5957442340345&lt;/D&gt;&lt;D xsi:type="xsd:double"&gt;3.83262703320594&lt;/D&gt;&lt;D xsi:type="xsd:double"&gt;4.50720008711319&lt;/D&gt;&lt;D xsi:type="xsd:double"&gt;3.85495608645512&lt;/D&gt;&lt;D xsi:type="xsd:double"&gt;3.34331610611996&lt;/D&gt;&lt;D xsi:type="xsd:double"&gt;2.38752179837449&lt;/D&gt;&lt;D xsi:type="xsd:double"&gt;2.46903987323829&lt;/D&gt;&lt;D xsi:type="xsd:double"&gt;2.66751287838073&lt;/D&gt;&lt;D xsi:type="xsd:double"&gt;2.85047711951289&lt;/D&gt;&lt;D xsi:type="xsd:double"&gt;3.16105378230774&lt;/D&gt;&lt;D xsi:type="xsd:double"&gt;2.66537829394004&lt;/D&gt;&lt;D xsi:type="xsd:double"&gt;2.69523261291511&lt;/D&gt;&lt;D xsi:type="xsd:double"&gt;2.64076184378225&lt;/D&gt;&lt;D xsi:type="xsd:double"&gt;2.87941321710553&lt;/D&gt;&lt;D xsi:type="xsd:double"&gt;2.89602968379449&lt;/D&gt;&lt;D xsi:type="xsd:double"&gt;2.84754236065837&lt;/D&gt;&lt;D xsi:type="xsd:double"&gt;2.81965940243278&lt;/D&gt;&lt;D xsi:type="xsd:double"&gt;2.98557138482203&lt;/D&gt;&lt;D xsi:type="xsd:double"&gt;3.04584272011331&lt;/D&gt;&lt;D xsi:type="xsd:double"&gt;2.9394358455826&lt;/D&gt;&lt;D xsi:type="xsd:double"&gt;2.93964275301264&lt;/D&gt;&lt;D xsi:type="xsd:double"&gt;3.025809780495&lt;/D&gt;&lt;D xsi:type="xsd:double"&gt;3.06819034949844&lt;/D&gt;&lt;D xsi:type="xsd:double"&gt;3.39584851658811&lt;/D&gt;&lt;D xsi:type="xsd:double"&gt;3.26351792712651&lt;/D&gt;&lt;D xsi:type="xsd:double"&gt;3.31878226759496&lt;/D&gt;&lt;D xsi:type="xsd:double"&gt;3.74666472770477&lt;/D&gt;&lt;D xsi:type="xsd:double"&gt;3.48948373270583&lt;/D&gt;&lt;D xsi:type="xsd:double"&gt;4.0471529896526&lt;/D&gt;&lt;D xsi:type="xsd:double"&gt;4.26419892799121&lt;/D&gt;&lt;D xsi:type="xsd:double"&gt;3.96177897919967&lt;/D&gt;&lt;D xsi:type="xsd:double"&gt;4.27592685123782&lt;/D&gt;&lt;D xsi:type="xsd:double"&gt;4.57907298211259&lt;/D&gt;&lt;D xsi:type="xsd:double"&gt;5.34224476133781&lt;/D&gt;&lt;D xsi:type="xsd:double"&gt;4.24671790922187&lt;/D&gt;&lt;D xsi:type="xsd:double"&gt;4.15020139162188&lt;/D&gt;&lt;D xsi:type="xsd:double"&gt;3.89187149922094&lt;/D&gt;&lt;D xsi:type="xsd:double"&gt;4.24406508993825&lt;/D&gt;&lt;D xsi:type="xsd:double"&gt;4.47833610210236&lt;/D&gt;&lt;D xsi:type="xsd:double"&gt;4.7534126730767&lt;/D&gt;&lt;D xsi:type="xsd:double"&gt;4.33284161746205&lt;/D&gt;&lt;D xsi:type="xsd:double"&gt;3.84733997414254&lt;/D&gt;&lt;D xsi:type="xsd:double"&gt;4.25083751935821&lt;/D&gt;&lt;D xsi:type="xsd:double"&gt;3.83650916388126&lt;/D&gt;&lt;D xsi:type="xsd:double"&gt;4.28814070066405&lt;/D&gt;&lt;D xsi:type="xsd:double"&gt;4.28768965960711&lt;/D&gt;&lt;D xsi:type="xsd:double"&gt;4.43840240884047&lt;/D&gt;&lt;D xsi:type="xsd:double"&gt;4.96636845233867&lt;/D&gt;&lt;D xsi:type="xsd:double"&gt;4.89142939647185&lt;/D&gt;&lt;D xsi:type="xsd:double"&gt;4.90387133492195&lt;/D&gt;&lt;D xsi:type="xsd:double"&gt;5.01244665868552&lt;/D&gt;&lt;D xsi:type="xsd:double"&gt;4.8602238797538&lt;/D&gt;&lt;D xsi:type="xsd:double"&gt;5.02571825824492&lt;/D&gt;&lt;D xsi:type="xsd:double"&gt;5.25853408786265&lt;/D&gt;&lt;D xsi:type="xsd:double"&gt;5.07685405483987&lt;/D&gt;&lt;D xsi:type="xsd:double"&gt;5.85113790733195&lt;/D&gt;&lt;D xsi:type="xsd:double"&gt;5.73225078656924&lt;/D&gt;&lt;D xsi:type="xsd:double"&gt;5.81406705872352&lt;/D&gt;&lt;/FQL&gt;&lt;FQL&gt;&lt;Q&gt;EWM^FG_PRICE_MAVG(0,,,,30)&lt;/Q&gt;&lt;R&gt;1&lt;/R&gt;&lt;C&gt;1&lt;/C&gt;&lt;D xsi:type="xsd:double"&gt;26.205334&lt;/D&gt;&lt;/FQL&gt;&lt;FQL&gt;&lt;Q&gt;TUR^P_PRICE(0)/P_PRICE_LOW_PR(0,,,,,,"PRICE","INTRA","52W")-1&lt;/Q&gt;&lt;R&gt;1&lt;/R&gt;&lt;C&gt;1&lt;/C&gt;&lt;D xsi:type="xsd:double"&gt;0.07257974&lt;/D&gt;&lt;/FQL&gt;&lt;FQL&gt;&lt;Q&gt;USDMXN^FG_PRICE_CHANGE(0,-6AM)&lt;/Q&gt;&lt;R&gt;1&lt;/R&gt;&lt;C&gt;1&lt;/C&gt;&lt;D xsi:type="xsd:double"&gt;18.36462&lt;/D&gt;&lt;/FQL&gt;&lt;FQL&gt;&lt;Q&gt;USDCLP^STD(FG_PRICE_CHANGE(0,-3AY,M))&lt;/Q&gt;&lt;R&gt;1&lt;/R&gt;&lt;C&gt;1&lt;/C&gt;&lt;D xsi:type="xsd:double"&gt;4.44020421102828&lt;/D&gt;&lt;/FQL&gt;&lt;FQL&gt;&lt;Q&gt;PASP-FDS^FG_PRICE_CHANGE(0,-6AM)&lt;/Q&gt;&lt;R&gt;1&lt;/R&gt;&lt;C&gt;1&lt;/C&gt;&lt;D xsi:type="xsd:double"&gt;0.187441424554824&lt;/D&gt;&lt;/FQL&gt;&lt;FQL&gt;&lt;Q&gt;SET-BKK^FG_PRICE_MAVG(0,,,,30)&lt;/Q&gt;&lt;R&gt;1&lt;/R&gt;&lt;C&gt;1&lt;/C&gt;&lt;D xsi:type="xsd:double"&gt;1432.2937&lt;/D&gt;&lt;/FQL&gt;&lt;FQL&gt;&lt;Q&gt;EIDO^FG_PRICE_MAVG(0,,,,60)&lt;/Q&gt;&lt;R&gt;1&lt;/R&gt;&lt;C&gt;1&lt;/C&gt;&lt;D xsi:type="xsd:double"&gt;21.539&lt;/D&gt;&lt;/FQL&gt;&lt;FQL&gt;&lt;Q&gt;SET-BKK^PERCENT_CHANGE(FMA_EPS(+1,0,,,,"PORTAGG","MEAN"),FMA_EPS(+1,-1AM,,,,"PORTAGG","MEAN"))&lt;/Q&gt;&lt;R&gt;1&lt;/R&gt;&lt;C&gt;1&lt;/C&gt;&lt;D xsi:type="xsd:double"&gt;-1.79169800353408&lt;/D&gt;&lt;/FQL&gt;&lt;FQL&gt;&lt;Q&gt;EZA^FG_TOTAL_RETURNC(0,-1AM)&lt;/Q&gt;&lt;R&gt;1&lt;/R&gt;&lt;C&gt;1&lt;/C&gt;&lt;D xsi:type="xsd:double"&gt;8.353483&lt;/D&gt;&lt;/FQL&gt;&lt;FQL&gt;&lt;Q&gt;EPU^FG_TOTAL_RETURNC(0,-3AM)&lt;/Q&gt;&lt;R&gt;1&lt;/R&gt;&lt;C&gt;1&lt;/C&gt;&lt;D xsi:type="xsd:double"&gt;3.0856848&lt;/D&gt;&lt;/FQL&gt;&lt;FQL&gt;&lt;Q&gt;REFINREPO-FDS^(SUBARRAY(NOT_NA(NO_REPEAT_F(FG_YIELD(NOW,-10AY,D))),0,1)-SUBARRAY(NOT_NA(NO_REPEAT_F(FG_YIELD(NOW,-10AY,D))),1,1))*100&lt;/Q&gt;&lt;R&gt;1&lt;/R&gt;&lt;C&gt;1&lt;/C&gt;&lt;D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xsi:type="xsd:double"&gt;25&lt;/D&gt;&lt;/FQL&gt;&lt;FQL&gt;&lt;Q&gt;TUR^FMA_PE(LTM,0,,,"PORTAGG","MEANR")&lt;/Q&gt;&lt;R&gt;1&lt;/R&gt;&lt;C&gt;1&lt;/C&gt;&lt;D xsi:type="xsd:double"&gt;7.94318226598167&lt;/D&gt;&lt;/FQL&gt;&lt;FQL&gt;&lt;Q&gt;EWZ^FMA_PE(LTM,0,,,"PORTAGG","MEANR")&lt;/Q&gt;&lt;R&gt;1&lt;/R&gt;&lt;C&gt;1&lt;/C&gt;&lt;D xsi:type="xsd:double"&gt;9.27991780692177&lt;/D&gt;&lt;/FQL&gt;&lt;FQL&gt;&lt;Q&gt;SPY^FG_TOTAL_RETURNC(0,-6AM)&lt;/Q&gt;&lt;R&gt;1&lt;/R&gt;&lt;C&gt;1&lt;/C&gt;&lt;D xsi:type="xsd:double"&gt;12.768734&lt;/D&gt;&lt;/FQL&gt;&lt;FQL&gt;&lt;Q&gt;TRYTH10Y-FDS^PCTCHG(FG_YIELD(0,,,,"YTM"),FG_YIELD(-1AM,,,,"YTM"))&lt;/Q&gt;&lt;R&gt;1&lt;/R&gt;&lt;C&gt;1&lt;/C&gt;&lt;D xsi:type="xsd:double"&gt;-0.15348238&lt;/D&gt;&lt;/FQL&gt;&lt;FQL&gt;&lt;Q&gt;SET-BKK^FMA_EVAL_EBIT(LTMA,NOW,NOW,M,"PORTAGG","MEANR")&lt;/Q&gt;&lt;R&gt;1&lt;/R&gt;&lt;C&gt;1&lt;/C&gt;&lt;D xsi:type="xsd:double"&gt;18.3294549969417&lt;/D&gt;&lt;/FQL&gt;&lt;FQL&gt;&lt;Q&gt;USDMXN^FG_PRICE_CHANGE(0,-1AM)&lt;/Q&gt;&lt;R&gt;1&lt;/R&gt;&lt;C&gt;1&lt;/C&gt;&lt;D xsi:type="xsd:double"&gt;-2.760744&lt;/D&gt;&lt;/FQL&gt;&lt;FQL&gt;&lt;Q&gt;VWO^FG_FCF_YIELD_NTM(0)&lt;/Q&gt;&lt;R&gt;1&lt;/R&gt;&lt;C&gt;1&lt;/C&gt;&lt;D xsi:type="xsd:double"&gt;5.36906998689637&lt;/D&gt;&lt;/FQL&gt;&lt;FQL&gt;&lt;Q&gt;USDMXN^FG_PRICE_CHANGE(0,-1AY)&lt;/Q&gt;&lt;R&gt;1&lt;/R&gt;&lt;C&gt;1&lt;/C&gt;&lt;D xsi:type="xsd:double"&gt;8.144199&lt;/D&gt;&lt;/FQL&gt;&lt;FQL&gt;&lt;Q&gt;EWZ^PERCENT_CHANGE(FMA_EPS(+1,0,,,,"PORTAGG","MEAN"),FMA_EPS(+1,-1AM,,,,"PORTAGG","MEAN"))&lt;/Q&gt;&lt;R&gt;1&lt;/R&gt;&lt;C&gt;1&lt;/C&gt;&lt;D xsi:type="xsd:double"&gt;1.79800821635654&lt;/D&gt;&lt;/FQL&gt;&lt;FQL&gt;&lt;Q&gt;PASP-FDS^FG_PRICE_MAVG(0,,,,30)&lt;/Q&gt;&lt;R&gt;1&lt;/R&gt;&lt;C&gt;1&lt;/C&gt;&lt;D xsi:type="xsd:double"&gt;1026.1&lt;/D&gt;&lt;/FQL&gt;&lt;FQL&gt;&lt;Q&gt;QAT^P_PRICE(0)/P_PRICE_LOW_PR(0,,,,,,"PRICE","INTRA","52W")-1&lt;/Q&gt;&lt;R&gt;1&lt;/R&gt;&lt;C&gt;1&lt;/C&gt;&lt;D xsi:type="xsd:double"&gt;0.16602814&lt;/D&gt;&lt;/FQL&gt;&lt;FQL&gt;&lt;Q&gt;USDQAR^FG_COMPANY_NAME&lt;/Q&gt;&lt;R&gt;1&lt;/R&gt;&lt;C&gt;1&lt;/C&gt;&lt;D xsi:type="xsd:string"&gt;Qatari Rial per U.S. Dollar&lt;/D&gt;&lt;/FQL&gt;&lt;FQL&gt;&lt;Q&gt;MCHI^FG_PRICE_MAVG(0,,,,30)&lt;/Q&gt;&lt;R&gt;1&lt;/R&gt;&lt;C&gt;1&lt;/C&gt;&lt;D xsi:type="xsd:double"&gt;46.252167&lt;/D&gt;&lt;/FQL&gt;&lt;FQL&gt;&lt;Q&gt;VWO^P_PRICE(0)/P_PRICE_LOW_PR(0,,,,,,"PRICE","INTRA","52W")-1&lt;/Q&gt;&lt;R&gt;1&lt;/R&gt;&lt;C&gt;1&lt;/C&gt;&lt;D xsi:type="xsd:double"&gt;0.27646506&lt;/D&gt;&lt;/FQL&gt;&lt;FQL&gt;&lt;Q&gt;TRYGR10Y-FDS^PCTCHG(FG_YIELD(0,,,,"YTM"),FG_YIELD(-1AM,,,,"YTM"))&lt;/Q&gt;&lt;R&gt;1&lt;/R&gt;&lt;C&gt;1&lt;/C&gt;&lt;D xsi:type="xsd:double"&gt;-0.31240207&lt;/D&gt;&lt;/FQL&gt;&lt;FQL&gt;&lt;Q&gt;CC_TW^FG_COMPANY_NAME&lt;/Q&gt;&lt;R&gt;1&lt;/R&gt;&lt;C&gt;1&lt;/C&gt;&lt;D xsi:type="xsd:string"&gt;Taiwan, China&lt;/D&gt;&lt;/FQL&gt;&lt;FQL&gt;&lt;Q&gt;ECH^FG_PRICE_MAVG(0,,,,30)&lt;/Q&gt;&lt;R&gt;1&lt;/R&gt;&lt;C&gt;1&lt;/C&gt;&lt;D xsi:type="xsd:double"&gt;26.177&lt;/D&gt;&lt;/FQL&gt;&lt;FQL&gt;&lt;Q&gt;QAT^P_PRICE(0)/P_PRICE_HIGH_PR(0,,,,,,"PRICE","INTRA","52W")&lt;/Q&gt;&lt;R&gt;1&lt;/R&gt;&lt;C&gt;1&lt;/C&gt;&lt;D xsi:type="xsd:double"&gt;0.9848975&lt;/D&gt;&lt;/FQL&gt;&lt;FQL&gt;&lt;Q&gt;ECH^FMA_COS_DOWN("EPS","1M",+1,NOW,,,"PORTAGG","MEANR")&lt;/Q&gt;&lt;R&gt;1&lt;/R&gt;&lt;C&gt;1&lt;/C&gt;&lt;D xsi:type="xsd:double"&gt;6&lt;/D&gt;&lt;/FQL&gt;&lt;FQL&gt;&lt;Q&gt;VWO^FG_PE_NTM(0,,,90,0)&lt;/Q&gt;&lt;R&gt;1&lt;/R&gt;&lt;C&gt;1&lt;/C&gt;&lt;D xsi:type="xsd:double"&gt;12.8384353290412&lt;/D&gt;&lt;/FQL&gt;&lt;FQL&gt;&lt;Q&gt;ECH^FG_FCF_YIELD_NTM(0)&lt;/Q&gt;&lt;R&gt;1&lt;/R&gt;&lt;C&gt;1&lt;/C&gt;&lt;D xsi:type="xsd:double"&gt;9.60320156455815&lt;/D&gt;&lt;/FQL&gt;&lt;FQL&gt;&lt;Q&gt;CAGDPY@QA^EE_ACTUAL_ANNUAL(MED,+1)&lt;/Q&gt;&lt;R&gt;1&lt;/R&gt;&lt;C&gt;1&lt;/C&gt;&lt;D xsi:type="xsd:double"&gt;15&lt;/D&gt;&lt;/FQL&gt;&lt;FQL&gt;&lt;Q&gt;REFKRBASE-FDS^(SUBARRAY(NOT_NA(NO_REPEAT_F(FG_YIELD(NOW,-10AY,D))),0,1)-SUBARRAY(NOT_NA(NO_REPEAT_F(FG_YIELD(NOW,-10AY,D))),1,1))*100&lt;/Q&gt;&lt;R&gt;1&lt;/R&gt;&lt;C&gt;1&lt;/C&gt;&lt;D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xsi:type="xsd:double"&gt;25&lt;/D&gt;&lt;/FQL&gt;&lt;FQL&gt;&lt;Q&gt;USDSAR^FG_PRICE_CHANGE(0,-3AM)&lt;/Q&gt;&lt;R&gt;1&lt;/R&gt;&lt;C&gt;1&lt;/C&gt;&lt;D xsi:type="xsd:double"&gt;0.10664463&lt;/D&gt;&lt;/FQL&gt;&lt;FQL&gt;&lt;Q&gt;KSA^FG_TOTAL_RETURNC(0,-1AM)&lt;/Q&gt;&lt;R&gt;1&lt;/R&gt;&lt;C&gt;1&lt;/C&gt;&lt;D xsi:type="xsd:double"&gt;0&lt;/D&gt;&lt;/FQL&gt;&lt;FQL&gt;&lt;Q&gt;VWO^FG_PE(0)&lt;/Q&gt;&lt;R&gt;1&lt;/R&gt;&lt;C&gt;1&lt;/C&gt;&lt;D xsi:type="xsd:double"&gt;15.2576029382882&lt;/D&gt;&lt;/FQL&gt;&lt;FQL&gt;&lt;Q&gt;VNM^FMA_EPS(NTMA,-20AY,0,CY,,"PORTAGG","MEANR")&lt;/Q&gt;&lt;R&gt;20&lt;/R&gt;&lt;C&gt;1&lt;/C&gt;&lt;D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xsi:type="xsd:double"&gt;1.11601821980585&lt;/D&gt;&lt;D xsi:type="xsd:double"&gt;1.03737378869621&lt;/D&gt;&lt;D xsi:type="xsd:double"&gt;1.28884333622767&lt;/D&gt;&lt;D xsi:type="xsd:double"&gt;1.11127493421201&lt;/D&gt;&lt;D xsi:type="xsd:double"&gt;0.886057286970892&lt;/D&gt;&lt;/FQL&gt;&lt;FQL&gt;&lt;Q&gt;EPHE^P_PRICE(0)/P_PRICE_LOW_PR(0,,,,,,"PRICE","INTRA","52W")-1&lt;/Q&gt;&lt;R&gt;1&lt;/R&gt;&lt;C&gt;1&lt;/C&gt;&lt;D xsi:type="xsd:double"&gt;0.24178195&lt;/D&gt;&lt;/FQL&gt;&lt;FQL&gt;&lt;Q&gt;TRYZA10Y-FDS^PCTCHG(FG_YIELD(0,,,,"YTM"),FG_YIELD(-1AM,,,,"YTM"))&lt;/Q&gt;&lt;R&gt;1&lt;/R&gt;&lt;C&gt;1&lt;/C&gt;&lt;D xsi:type="xsd:double"&gt;-0.40749386&lt;/D&gt;&lt;/FQL&gt;&lt;FQL&gt;&lt;Q&gt;USDINR^FG_PRICE_CHANGE(0,-1AY)&lt;/Q&gt;&lt;R&gt;1&lt;/R&gt;&lt;C&gt;1&lt;/C&gt;&lt;D xsi:type="xsd:double"&gt;0.8678198&lt;/D&gt;&lt;/FQL&gt;&lt;FQL&gt;&lt;Q&gt;TUR^FMA_PE(LTMA,-10AY,0,AM,"PORTAGG","MEANR")&lt;/Q&gt;&lt;R&gt;121&lt;/R&gt;&lt;C&gt;1&lt;/C&gt;&lt;D xsi:type="xsd:double"&gt;10.15832721455&lt;/D&gt;&lt;D xsi:type="xsd:double"&gt;10.7319172674565&lt;/D&gt;&lt;D xsi:type="xsd:double"&gt;11.6163947507948&lt;/D&gt;&lt;D xsi:type="xsd:double"&gt;12.1320509633394&lt;/D&gt;&lt;D xsi:type="xsd:double"&gt;11.7695896374324&lt;/D&gt;&lt;D xsi:type="xsd:double"&gt;11.7372919706424&lt;/D&gt;&lt;D xsi:type="xsd:double"&gt;11.7093412928747&lt;/D&gt;&lt;D xsi:type="xsd:double"&gt;11.7432705925267&lt;/D&gt;&lt;D xsi:type="xsd:double"&gt;11.4080551485818&lt;/D&gt;&lt;D xsi:type="xsd:double"&gt;11.5401260943866&lt;/D&gt;&lt;D xsi:type="xsd:double"&gt;11.0040431820627&lt;/D&gt;&lt;D xsi:type="xsd:double"&gt;10.3205300181647&lt;/D&gt;&lt;D xsi:type="xsd:double"&gt;11.0290536580718&lt;/D&gt;&lt;D xsi:type="xsd:double"&gt;11.369156700822&lt;/D&gt;&lt;D xsi:type="xsd:double"&gt;10.057860745191&lt;/D&gt;&lt;D xsi:type="xsd:double"&gt;9.55202517845595&lt;/D&gt;&lt;D xsi:type="xsd:double"&gt;9.60591822248269&lt;/D&gt;&lt;D xsi:type="xsd:double"&gt;9.78189559609875&lt;/D&gt;&lt;D xsi:type="xsd:double"&gt;9.79114487572052&lt;/D&gt;&lt;D xsi:type="xsd:double"&gt;9.64156413791079&lt;/D&gt;&lt;D xsi:type="xsd:double"&gt;9.50232737534295&lt;/D&gt;&lt;D xsi:type="xsd:double"&gt;9.48741864158223&lt;/D&gt;&lt;D xsi:type="xsd:double"&gt;9.41752073789314&lt;/D&gt;&lt;D xsi:type="xsd:double"&gt;9.48079609736616&lt;/D&gt;&lt;D xsi:type="xsd:double"&gt;9.43983469581256&lt;/D&gt;&lt;D xsi:type="xsd:double"&gt;9.09749496402486&lt;/D&gt;&lt;D xsi:type="xsd:double"&gt;8.83886067548025&lt;/D&gt;&lt;D xsi:type="xsd:double"&gt;8.78832224322192&lt;/D&gt;&lt;D xsi:type="xsd:double"&gt;9.83865337355867&lt;/D&gt;&lt;D xsi:type="xsd:double"&gt;9.85556160227161&lt;/D&gt;&lt;D xsi:type="xsd:double"&gt;9.7659374075456&lt;/D&gt;&lt;D xsi:type="xsd:double"&gt;9.7957565604458&lt;/D&gt;&lt;D xsi:type="xsd:double"&gt;9.72081591206313&lt;/D&gt;&lt;D xsi:type="xsd:double"&gt;9.62342479581763&lt;/D&gt;&lt;D xsi:type="xsd:double"&gt;9.6224926896406&lt;/D&gt;&lt;D xsi:type="xsd:double"&gt;9.46847269034864&lt;/D&gt;&lt;D xsi:type="xsd:double"&gt;8.96843387221033&lt;/D&gt;&lt;D xsi:type="xsd:double"&gt;9.07763565028955&lt;/D&gt;&lt;D xsi:type="xsd:double"&gt;8.81594097869298&lt;/D&gt;&lt;D xsi:type="xsd:double"&gt;8.8798535959554&lt;/D&gt;&lt;D xsi:type="xsd:double"&gt;8.72752064253473&lt;/D&gt;&lt;D xsi:type="xsd:double"&gt;9.17294894706732&lt;/D&gt;&lt;D xsi:type="xsd:double"&gt;8.92539528469254&lt;/D&gt;&lt;D xsi:type="xsd:double"&gt;8.5902159733399&lt;/D&gt;&lt;D xsi:type="xsd:double"&gt;8.19944120107091&lt;/D&gt;&lt;D xsi:type="xsd:double"&gt;8.00210368379507&lt;/D&gt;&lt;D xsi:type="xsd:double"&gt;7.65729206766721&lt;/D&gt;&lt;D xsi:type="xsd:double"&gt;7.2551473947675&lt;/D&gt;&lt;D xsi:type="xsd:double"&gt;7.38826624371639&lt;/D&gt;&lt;D xsi:type="xsd:double"&gt;6.96961536740513&lt;/D&gt;&lt;D xsi:type="xsd:double"&gt;6.77732117296361&lt;/D&gt;&lt;D xsi:type="xsd:double"&gt;6.63545929922574&lt;/D&gt;&lt;D xsi:type="xsd:double"&gt;7.41938934637794&lt;/D&gt;&lt;D xsi:type="xsd:double"&gt;7.44268506982973&lt;/D&gt;&lt;D xsi:type="xsd:double"&gt;7.24777212102717&lt;/D&gt;&lt;D xsi:type="xsd:double"&gt;7.01482325633168&lt;/D&gt;&lt;D xsi:type="xsd:double"&gt;7.22357373326119&lt;/D&gt;&lt;D xsi:type="xsd:double"&gt;7.4299491880239&lt;/D&gt;&lt;D xsi:type="xsd:double"&gt;7.55908807746731&lt;/D&gt;&lt;D xsi:type="xsd:double"&gt;7.66321315042595&lt;/D&gt;&lt;D xsi:type="xsd:double"&gt;7.58769887069168&lt;/D&gt;&lt;D xsi:type="xsd:double"&gt;8.08363168024735&lt;/D&gt;&lt;D xsi:type="xsd:double"&gt;8.50592479255186&lt;/D&gt;&lt;D xsi:type="xsd:double"&gt;9.40144071266134&lt;/D&gt;&lt;D xsi:type="xsd:double"&gt;9.04694781694952&lt;/D&gt;&lt;D xsi:type="xsd:double"&gt;7.98000085461767&lt;/D&gt;&lt;D xsi:type="xsd:double"&gt;7.7799546115478&lt;/D&gt;&lt;D xsi:type="xsd:double"&gt;7.99148165713354&lt;/D&gt;&lt;D xsi:type="xsd:double"&gt;8.98937645344342&lt;/D&gt;&lt;D xsi:type="xsd:double"&gt;9.53065040725417&lt;/D&gt;&lt;D xsi:type="xsd:double"&gt;9.38710544794387&lt;/D&gt;&lt;D xsi:type="xsd:double"&gt;9.99524291881912&lt;/D&gt;&lt;D xsi:type="xsd:double"&gt;10.7306355286174&lt;/D&gt;&lt;D xsi:type="xsd:double"&gt;12.4747915208956&lt;/D&gt;&lt;D xsi:type="xsd:double"&gt;12.2624562885042&lt;/D&gt;&lt;D xsi:type="xsd:double"&gt;13.9470311385411&lt;/D&gt;&lt;D xsi:type="xsd:double"&gt;12.7228755583899&lt;/D&gt;&lt;D xsi:type="xsd:double"&gt;11.4613439037108&lt;/D&gt;&lt;D xsi:type="xsd:double"&gt;10.8410691136967&lt;/D&gt;&lt;D xsi:type="xsd:double"&gt;10.4111140786597&lt;/D&gt;&lt;D xsi:type="xsd:double"&gt;9.88268717603605&lt;/D&gt;&lt;D xsi:type="xsd:double"&gt;9.20501780212481&lt;/D&gt;&lt;D xsi:type="xsd:double"&gt;8.6579286149331&lt;/D&gt;&lt;D xsi:type="xsd:double"&gt;7.93377517542424&lt;/D&gt;&lt;D xsi:type="xsd:double"&gt;7.27283041225657&lt;/D&gt;&lt;D xsi:type="xsd:double"&gt;7.10878906163871&lt;/D&gt;&lt;D xsi:type="xsd:double"&gt;7.73021742770784&lt;/D&gt;&lt;D xsi:type="xsd:double"&gt;7.2256326489758&lt;/D&gt;&lt;D xsi:type="xsd:double"&gt;6.24599868569286&lt;/D&gt;&lt;D xsi:type="xsd:double"&gt;5.74063101206341&lt;/D&gt;&lt;D xsi:type="xsd:double"&gt;5.77924910138935&lt;/D&gt;&lt;D xsi:type="xsd:double"&gt;5.53702228357812&lt;/D&gt;&lt;D xsi:type="xsd:double"&gt;5.51202576399862&lt;/D&gt;&lt;D xsi:type="xsd:double"&gt;5.16152324696289&lt;/D&gt;&lt;D xsi:type="xsd:double"&gt;5.04759229837431&lt;/D&gt;&lt;D xsi:type="xsd:double"&gt;5.06824036787732&lt;/D&gt;&lt;D xsi:type="xsd:double"&gt;4.80326643752479&lt;/D&gt;&lt;D xsi:type="xsd:double"&gt;5.02120305508386&lt;/D&gt;&lt;D xsi:type="xsd:double"&gt;4.85431239433423&lt;/D&gt;&lt;D xsi:type="xsd:double"&gt;4.86290505535109&lt;/D&gt;&lt;D xsi:type="xsd:double"&gt;4.18612493778721&lt;/D&gt;&lt;D xsi:type="xsd:double"&gt;4.74670521932575&lt;/D&gt;&lt;D xsi:type="xsd:double"&gt;4.7166148231066&lt;/D&gt;&lt;D xsi:type="xsd:double"&gt;4.51577283602287&lt;/D&gt;&lt;D xsi:type="xsd:double"&gt;4.91274058940591&lt;/D&gt;&lt;D xsi:type="xsd:double"&gt;5.25265880746072&lt;/D&gt;&lt;D xsi:type="xsd:double"&gt;5.93215298571401&lt;/D&gt;&lt;D xsi:type="xsd:double"&gt;6.51827768430409&lt;/D&gt;&lt;D xsi:type="xsd:double"&gt;6.57517043581726&lt;/D&gt;&lt;D xsi:type="xsd:double"&gt;5.67326973192752&lt;/D&gt;&lt;D xsi:type="xsd:double"&gt;5.66917277617767&lt;/D&gt;&lt;D xsi:type="xsd:double"&gt;5.66880751843555&lt;/D&gt;&lt;D xsi:type="xsd:double"&gt;6.33197975681648&lt;/D&gt;&lt;D xsi:type="xsd:double"&gt;6.59516000266897&lt;/D&gt;&lt;D xsi:type="xsd:double"&gt;6.62390305189813&lt;/D&gt;&lt;D xsi:type="xsd:double"&gt;6.63940425880179&lt;/D&gt;&lt;D xsi:type="xsd:double"&gt;6.61853296213997&lt;/D&gt;&lt;D xsi:type="xsd:double"&gt;6.98170026366315&lt;/D&gt;&lt;D xsi:type="xsd:double"&gt;6.76686153857565&lt;/D&gt;&lt;D xsi:type="xsd:double"&gt;7.01013349841812&lt;/D&gt;&lt;D xsi:type="xsd:double"&gt;7.38412762396262&lt;/D&gt;&lt;/FQL&gt;&lt;FQL&gt;&lt;Q&gt;PLATI-FDS^FG_PRICE_CHANGE(0,-1AM)&lt;/Q&gt;&lt;R&gt;1&lt;/R&gt;&lt;C&gt;1&lt;/C&gt;&lt;D xsi:type="xsd:double"&gt;0.734522560335771&lt;/D&gt;&lt;/FQL&gt;&lt;FQL&gt;&lt;Q&gt;EWW^FG_TOTAL_RETURNC(0,-6AM)&lt;/Q&gt;&lt;R&gt;1&lt;/R&gt;&lt;C&gt;1&lt;/C&gt;&lt;D xsi:type="xsd:double"&gt;-19.714092&lt;/D&gt;&lt;/FQL&gt;&lt;FQL&gt;&lt;Q&gt;VGK^FG_TOTAL_RETURNC(0,-6AM)&lt;/Q&gt;&lt;R&gt;1&lt;/R&gt;&lt;C&gt;1&lt;/C&gt;&lt;D xsi:type="xsd:double"&gt;6.5</t>
        </r>
      </text>
    </comment>
    <comment ref="A17" authorId="0" shapeId="0" xr:uid="{B51F0078-8FE7-4D23-B720-AECA428E8B18}">
      <text>
        <r>
          <rPr>
            <b/>
            <sz val="9"/>
            <color indexed="81"/>
            <rFont val="Tahoma"/>
            <charset val="1"/>
          </rPr>
          <t>093637&lt;/D&gt;&lt;/FQL&gt;&lt;FQL&gt;&lt;Q&gt;QAT^FMA_ROE(NTMA,-20AY,NOW,FY,"PORTAGG","MEANR")&lt;/Q&gt;&lt;R&gt;20&lt;/R&gt;&lt;C&gt;1&lt;/C&gt;&lt;D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xsi:type="xsd:double"&gt;12.1192289718939&lt;/D&gt;&lt;/FQL&gt;&lt;FQL&gt;&lt;Q&gt;CC_GR^FG_COMPANY_NAME&lt;/Q&gt;&lt;R&gt;1&lt;/R&gt;&lt;C&gt;1&lt;/C&gt;&lt;D xsi:type="xsd:string"&gt;Greece&lt;/D&gt;&lt;/FQL&gt;&lt;FQL&gt;&lt;Q&gt;USDQAR^FG_PRICE_CHANGE(0,-3AM)&lt;/Q&gt;&lt;R&gt;1&lt;/R&gt;&lt;C&gt;1&lt;/C&gt;&lt;D xsi:type="xsd:double"&gt;0&lt;/D&gt;&lt;/FQL&gt;&lt;FQL&gt;&lt;Q&gt;EIDO^P_PRICE_RETURNS_PR('52W',2,-10AY,0,AM)&lt;/Q&gt;&lt;R&gt;121&lt;/R&gt;&lt;C&gt;1&lt;/C&gt;&lt;D xsi:type="xsd:double"&gt;-0.6657064&lt;/D&gt;&lt;D xsi:type="xsd:double"&gt;7.786572&lt;/D&gt;&lt;D xsi:type="xsd:double"&gt;18.642843&lt;/D&gt;&lt;D xsi:type="xsd:double"&gt;23.412073&lt;/D&gt;&lt;D xsi:type="xsd:double"&gt;17.325127&lt;/D&gt;&lt;D xsi:type="xsd:double"&gt;1.360786&lt;/D&gt;&lt;D xsi:type="xsd:double"&gt;2.9886007&lt;/D&gt;&lt;D xsi:type="xsd:double"&gt;-5.922204&lt;/D&gt;&lt;D xsi:type="xsd:double"&gt;-12.274801&lt;/D&gt;&lt;D xsi:type="xsd:double"&gt;-17.525953&lt;/D&gt;&lt;D xsi:type="xsd:double"&gt;-19.404024&lt;/D&gt;&lt;D xsi:type="xsd:double"&gt;-32.532394&lt;/D&gt;&lt;D xsi:type="xsd:double"&gt;-13.707775&lt;/D&gt;&lt;D xsi:type="xsd:double"&gt;-22.757494&lt;/D&gt;&lt;D xsi:type="xsd:double"&gt;-24.61444&lt;/D&gt;&lt;D xsi:type="xsd:double"&gt;-23.459154&lt;/D&gt;&lt;D xsi:type="xsd:double"&gt;-16.276001&lt;/D&gt;&lt;D xsi:type="xsd:double"&gt;-11.360943&lt;/D&gt;&lt;D xsi:type="xsd:double"&gt;-14.587277&lt;/D&gt;&lt;D xsi:type="xsd:double"&gt;-10.616141&lt;/D&gt;&lt;D xsi:type="xsd:double"&gt;-2.8170526&lt;/D&gt;&lt;D xsi:type="xsd:double"&gt;7.6815844&lt;/D&gt;&lt;D xsi:type="xsd:double"&gt;19.841362&lt;/D&gt;&lt;D xsi:type="xsd:double"&gt;35.01183&lt;/D&gt;&lt;D xsi:type="xsd:double"&gt;21.094656&lt;/D&gt;&lt;D xsi:type="xsd:double"&gt;22.508657&lt;/D&gt;&lt;D xsi:type="xsd:double"&gt;23.581636&lt;/D&gt;&lt;D xsi:type="xsd:double"&gt;23.651398&lt;/D&gt;&lt;D xsi:type="xsd:double"&gt;13.320721&lt;/D&gt;&lt;D xsi:type="xsd:double"&gt;7.7517033&lt;/D&gt;&lt;D xsi:type="xsd:double"&gt;12.997902&lt;/D&gt;&lt;D xsi:type="xsd:double"&gt;19.07853&lt;/D&gt;&lt;D xsi:type="xsd:double"&gt;15.24061&lt;/D&gt;&lt;D xsi:type="xsd:double"&gt;10.672152&lt;/D&gt;&lt;D xsi:type="xsd:double"&gt;0.8023143&lt;/D&gt;&lt;D xsi:type="xsd:double"&gt;5.687225&lt;/D&gt;&lt;D xsi:type="xsd:double"&gt;3.0677676&lt;/D&gt;&lt;D xsi:type="xsd:double"&gt;11.0302925&lt;/D&gt;&lt;D xsi:type="xsd:double"&gt;11.366677&lt;/D&gt;&lt;D xsi:type="xsd:double"&gt;18.463934&lt;/D&gt;&lt;D xsi:type="xsd:double"&gt;15.712643&lt;/D&gt;&lt;D xsi:type="xsd:double"&gt;17.665577&lt;/D&gt;&lt;D xsi:type="xsd:double"&gt;7.578349&lt;/D&gt;&lt;D xsi:type="xsd:double"&gt;-3.0794978&lt;/D&gt;&lt;D xsi:type="xsd:double"&gt;-4.186577&lt;/D&gt;&lt;D xsi:type="xsd:double"&gt;-10.424816&lt;/D&gt;&lt;D xsi:type="xsd:double"&gt;-7.4611607&lt;/D&gt;&lt;D xsi:type="xsd:double"&gt;-16.361273&lt;/D&gt;&lt;D xsi:type="xsd:double"&gt;-19.835876&lt;/D&gt;&lt;D xsi:type="xsd:double"&gt;-13.198996&lt;/D&gt;&lt;D xsi:type="xsd:double"&gt;-8.254444&lt;/D&gt;&lt;D xsi:type="xsd:double"&gt;-5.3809586&lt;/D&gt;&lt;D xsi:type="xsd:double"&gt;-1.5537441&lt;/D&gt;&lt;D xsi:type="xsd:double"&gt;-9.584368&lt;/D&gt;&lt;D xsi:type="xsd:double"&gt;-2.971542&lt;/D&gt;&lt;D xsi:type="xsd:double"&gt;-2.6594043&lt;/D&gt;&lt;D xsi:type="xsd:double"&gt;2.6295185&lt;/D&gt;&lt;D xsi:type="xsd:double"&gt;14.507985&lt;/D&gt;&lt;D xsi:type="xsd:double"&gt;4.2443633&lt;/D&gt;&lt;D xsi:type="xsd:double"&gt;18.268501&lt;/D&gt;&lt;D xsi:type="xsd:double"&gt;15.948927&lt;/D&gt;&lt;D xsi:type="xsd:double"&gt;8.421993&lt;/D&gt;&lt;D xsi:type="xsd:double"&gt;4.7926545&lt;/D&gt;&lt;D xsi:type="xsd:double"&gt;-0.4351139&lt;/D&gt;&lt;D xsi:type="xsd:double"&gt;-7.0797324&lt;/D&gt;&lt;D xsi:type="xsd:double"&gt;-16.068077&lt;/D&gt;&lt;D xsi:type="xsd:double"&gt;-40.593445&lt;/D&gt;&lt;D xsi:type="xsd:double"&gt;-31.985165&lt;/D&gt;&lt;D xsi:type="xsd:double"&gt;-23.95519&lt;/D&gt;&lt;D xsi:type="xsd:double"&gt;-27.282328&lt;/D&gt;&lt;D xsi:type="xsd:double"&gt;-22.790993&lt;/D&gt;&lt;D xsi:type="xsd:double"&gt;-31.497347&lt;/D&gt;&lt;D xsi:type="xsd:double"&gt;-21.981638&lt;/D&gt;&lt;D xsi:type="xsd:double"&gt;-12.506092&lt;/D&gt;&lt;D xsi:type="xsd:double"&gt;-5.562377&lt;/D&gt;&lt;D xsi:type="xsd:double"&gt;-2.8132617&lt;/D&gt;&lt;D xsi:type="xsd:double"&gt;-1.0330439&lt;/D&gt;&lt;D xsi:type="xsd:double"&gt;12.781572&lt;/D&gt;&lt;D xsi:type="xsd:double"&gt;43.355705&lt;/D&gt;&lt;D xsi:type="xsd:double"&gt;35.370277&lt;/D&gt;&lt;D xsi:type="xsd:double"&gt;19.714308&lt;/D&gt;&lt;D xsi:type="xsd:double"&gt;8.081543&lt;/D&gt;&lt;D xsi:type="xsd:double"&gt;7.603073&lt;/D&gt;&lt;D xsi:type="xsd:double"&gt;24.657845&lt;/D&gt;&lt;D xsi:type="xsd:double"&gt;30.110884&lt;/D&gt;&lt;D xsi:type="xsd:double"&gt;10.8963375&lt;/D&gt;&lt;D xsi:type="xsd:double"&gt;1.7728686&lt;/D&gt;&lt;D xsi:type="xsd:double"&gt;-3.7379026&lt;/D&gt;&lt;D xsi:type="xsd:double"&gt;1.176095&lt;/D&gt;&lt;D xsi:type="xsd:double"&gt;8.208597&lt;/D&gt;&lt;D xsi:type="xsd:double"&gt;15.830601&lt;/D&gt;&lt;D xsi:type="xsd:double"&gt;10.356522&lt;/D&gt;&lt;D xsi:type="xsd:double"&gt;6.0953617&lt;/D&gt;&lt;D xsi:type="xsd:double"&gt;11.309301&lt;/D&gt;&lt;D xsi:type="xsd:double"&gt;21.099281&lt;/D&gt;&lt;D xsi:type="xsd:double"&gt;16.464043&lt;/D&gt;&lt;D xsi:type="xsd:double"&gt;1.2093544&lt;/D&gt;&lt;D xsi:type="xsd:double"&gt;2.0841122&lt;/D&gt;&lt;D xsi:type="xsd:double"&gt;-2.4717033&lt;/D&gt;&lt;D xsi:type="xsd:double"&gt;-4.470885&lt;/D&gt;&lt;D xsi:type="xsd:double"&gt;0.5859375&lt;/D&gt;&lt;D xsi:type="xsd:double"&gt;-7.331318&lt;/D&gt;&lt;D xsi:type="xsd:double"&gt;-2.9373944&lt;/D&gt;&lt;D xsi:type="xsd:double"&gt;4.460573&lt;/D&gt;&lt;D xsi:type="xsd:double"&gt;1.7164588&lt;/D&gt;&lt;D xsi:type="xsd:double"&gt;8.159864&lt;/D&gt;&lt;D xsi:type="xsd:double"&gt;-0.7624924&lt;/D&gt;&lt;D xsi:type="xsd:double"&gt;-3.2815635&lt;/D&gt;&lt;D xsi:type="xsd:double"&gt;-2.50538&lt;/D&gt;&lt;D xsi:type="xsd:double"&gt;-9.0412855&lt;/D&gt;&lt;D xsi:type="xsd:double"&gt;-2.0851374&lt;/D&gt;&lt;D xsi:type="xsd:double"&gt;5.741048&lt;/D&gt;&lt;D xsi:type="xsd:double"&gt;-1.6230166&lt;/D&gt;&lt;D xsi:type="xsd:double"&gt;5.9535623&lt;/D&gt;&lt;D xsi:type="xsd:double"&gt;-4.767376&lt;/D&gt;&lt;D xsi:type="xsd:double"&gt;-13.026738&lt;/D&gt;&lt;D xsi:type="xsd:double"&gt;-14.574963&lt;/D&gt;&lt;D xsi:type="xsd:double"&gt;-8.001685&lt;/D&gt;&lt;D xsi:type="xsd:double"&gt;-7.362497&lt;/D&gt;&lt;D xsi:type="xsd:double"&gt;1.2296557&lt;/D&gt;&lt;D xsi:type="xsd:double"&gt;3.161645&lt;/D&gt;&lt;/FQL&gt;&lt;FQL&gt;&lt;Q&gt;GREK^FMA_PE(NTMA,-10AY,0,AM,"PORTAGG","MEANR")&lt;/Q&gt;&lt;R&gt;121&lt;/R&gt;&lt;C&gt;1&lt;/C&gt;&lt;D xsi:type="xsd:double"&gt;6.6081092386401&lt;/D&gt;&lt;D xsi:type="xsd:double"&gt;6.48353136648797&lt;/D&gt;&lt;D xsi:type="xsd:double"&gt;5.87181388917692&lt;/D&gt;&lt;D xsi:type="xsd:double"&gt;4.20723315486766&lt;/D&gt;&lt;D xsi:type="xsd:double"&gt;4.52498381524036&lt;/D&gt;&lt;D xsi:type="xsd:double"&gt;4.88143270299094&lt;/D&gt;&lt;D xsi:type="xsd:double"&gt;5.19763675639732&lt;/D&gt;&lt;D xsi:type="xsd:double"&gt;5.35077874305589&lt;/D&gt;&lt;D xsi:type="xsd:double"&gt;5.48699961584374&lt;/D&gt;&lt;D xsi:type="xsd:double"&gt;4.92650275046102&lt;/D&gt;&lt;D xsi:type="xsd:double"&gt;4.59656006778881&lt;/D&gt;&lt;D xsi:type="xsd:double"&gt;3.82863052209932&lt;/D&gt;&lt;D xsi:type="xsd:double"&gt;4.32537087158562&lt;/D&gt;&lt;D xsi:type="xsd:double"&gt;4.2291795534637&lt;/D&gt;&lt;D xsi:type="xsd:double"&gt;3.72641672353548&lt;/D&gt;&lt;D xsi:type="xsd:double"&gt;9.54535724697918&lt;/D&gt;&lt;D xsi:type="xsd:double"&gt;7.68836055090769&lt;/D&gt;&lt;D xsi:type="xsd:double"&gt;9.10774116469897&lt;/D&gt;&lt;D xsi:type="xsd:double"&gt;8.72187588466405&lt;/D&gt;&lt;D xsi:type="xsd:double"&gt;10.7552595753173&lt;/D&gt;&lt;D xsi:type="xsd:double"&gt;9.83311946286077&lt;/D&gt;&lt;D xsi:type="xsd:double"&gt;8.43555827340595&lt;/D&gt;&lt;D xsi:type="xsd:double"&gt;8.78953668104585&lt;/D&gt;&lt;D xsi:type="xsd:double"&gt;8.62535468227826&lt;/D&gt;&lt;D xsi:type="xsd:double"&gt;9.11866786210934&lt;/D&gt;&lt;D xsi:type="xsd:double"&gt;8.69670250419603&lt;/D&gt;&lt;D xsi:type="xsd:double"&gt;9.84357126309417&lt;/D&gt;&lt;D xsi:type="xsd:double"&gt;9.17689687848797&lt;/D&gt;&lt;D xsi:type="xsd:double"&gt;8.46488026590253&lt;/D&gt;&lt;D xsi:type="xsd:double"&gt;9.16082911267516&lt;/D&gt;&lt;D xsi:type="xsd:double"&gt;10.9244924672058&lt;/D&gt;&lt;D xsi:type="xsd:double"&gt;13.4260058890989&lt;/D&gt;&lt;D xsi:type="xsd:double"&gt;13.392052671186&lt;/D&gt;&lt;D xsi:type="xsd:double"&gt;13.0299755611579&lt;/D&gt;&lt;D xsi:type="xsd:double"&gt;12.5773717788823&lt;/D&gt;&lt;D xsi:type="xsd:double"&gt;11.3978233088629&lt;/D&gt;&lt;D xsi:type="xsd:double"&gt;11.8800228177369&lt;/D&gt;&lt;D xsi:type="xsd:double"&gt;11.8837365859588&lt;/D&gt;&lt;D xsi:type="xsd:double"&gt;12.7222139623142&lt;/D&gt;&lt;D xsi:type="xsd:double"&gt;14.2023168056799&lt;/D&gt;&lt;D xsi:type="xsd:double"&gt;14.1345746316748&lt;/D&gt;&lt;D xsi:type="xsd:double"&gt;14.1137913616649&lt;/D&gt;&lt;D xsi:type="xsd:double"&gt;13.9586495219519&lt;/D&gt;&lt;D xsi:type="xsd:double"&gt;14.7327867017353&lt;/D&gt;&lt;D xsi:type="xsd:double"&gt;14.4201159005173&lt;/D&gt;&lt;D xsi:type="xsd:double"&gt;14.6971305239939&lt;/D&gt;&lt;D xsi:type="xsd:double"&gt;15.1341829019057&lt;/D&gt;&lt;D xsi:type="xsd:double"&gt;14.4853072809525&lt;/D&gt;&lt;D xsi:type="xsd:double"&gt;12.5060532214251&lt;/D&gt;&lt;D xsi:type="xsd:double"&gt;12.3299262107652&lt;/D&gt;&lt;D xsi:type="xsd:double"&gt;12.340015961878&lt;/D&gt;&lt;D xsi:type="xsd:double"&gt;11.1772076085575&lt;/D&gt;&lt;D xsi:type="xsd:double"&gt;11.4534868017084&lt;/D&gt;&lt;D xsi:type="xsd:double"&gt;12.5967530571035&lt;/D&gt;&lt;D xsi:type="xsd:double"&gt;13.8356505546746&lt;/D&gt;&lt;D xsi:type="xsd:double"&gt;12.9353551844085&lt;/D&gt;&lt;D xsi:type="xsd:double"&gt;14.0665542130632&lt;/D&gt;&lt;D xsi:type="xsd:double"&gt;14.1133818279576&lt;/D&gt;&lt;D xsi:type="xsd:double"&gt;12.7521486480395&lt;/D&gt;&lt;D xsi:type="xsd:double"&gt;13.7893445368349&lt;/D&gt;&lt;D xsi:type="xsd:double"&gt;12.3440815709319&lt;/D&gt;&lt;D xsi:type="xsd:double"&gt;11.4856462071122&lt;/D&gt;&lt;D xsi:type="xsd:double"&gt;11.0927431127833&lt;/D&gt;&lt;D xsi:type="xsd:double"&gt;11.1049888396485&lt;/D&gt;&lt;D xsi:type="xsd:double"&gt;10.7132444591136&lt;/D&gt;&lt;D xsi:type="xsd:double"&gt;7.45228305914588&lt;/D&gt;&lt;D xsi:type="xsd:double"&gt;7.75839984742087&lt;/D&gt;&lt;D xsi:type="xsd:double"&gt;9.83143506726709&lt;/D&gt;&lt;D xsi:type="xsd:double"&gt;12.1959400805502&lt;/D&gt;&lt;D xsi:type="xsd:double"&gt;13.2572266707589&lt;/D&gt;&lt;D xsi:type="xsd:double"&gt;11.9031443125472&lt;/D&gt;&lt;D xsi:type="xsd:double"&gt;12.1115508771951&lt;/D&gt;&lt;D xsi:type="xsd:double"&gt;11.4854094866047&lt;/D&gt;&lt;D xsi:type="xsd:double"&gt;10.3549244954864&lt;/D&gt;&lt;D xsi:type="xsd:double"&gt;11.8828676486566&lt;/D&gt;&lt;D xsi:type="xsd:double"&gt;12.1279416342218&lt;/D&gt;&lt;D xsi:type="xsd:double"&gt;11.2296892015608&lt;/D&gt;&lt;D xsi:type="xsd:double"&gt;12.1667813523933&lt;/D&gt;&lt;D xsi:type="xsd:double"&gt;12.2825110239255&lt;/D&gt;&lt;D xsi:type="xsd:double"&gt;6.77600683475845&lt;/D&gt;&lt;D xsi:type="xsd:double"&gt;13.3088258168939&lt;/D&gt;&lt;D xsi:type="xsd:double"&gt;11.8587985806973&lt;/D&gt;&lt;D xsi:type="xsd:double"&gt;11.1076863733947&lt;/D&gt;&lt;D xsi:type="xsd:double"&gt;10.4778248406043&lt;/D&gt;&lt;D xsi:type="xsd:double"&gt;10.4245772034109&lt;/D&gt;&lt;D xsi:type="xsd:double"&gt;11.2110588220878&lt;/D&gt;&lt;D xsi:type="xsd:double"&gt;9.92669411012938&lt;/D&gt;&lt;D xsi:type="xsd:double"&gt;9.79006457167276&lt;/D&gt;&lt;D xsi:type="xsd:double"&gt;10.3439382969048&lt;/D&gt;&lt;D xsi:type="xsd:double"&gt;8.79864195832088&lt;/D&gt;&lt;D xsi:type="xsd:double"&gt;10.2494059753084&lt;/D&gt;&lt;D xsi:type="xsd:double"&gt;9.1276478553799&lt;/D&gt;&lt;D xsi:type="xsd:double"&gt;8.93377912641525&lt;/D&gt;&lt;D xsi:type="xsd:double"&gt;7.78255439537934&lt;/D&gt;&lt;D xsi:type="xsd:double"&gt;8.24243813627455&lt;/D&gt;&lt;D xsi:type="xsd:double"&gt;6.96680255147145&lt;/D&gt;&lt;D xsi:type="xsd:double"&gt;6.65657175277286&lt;/D&gt;&lt;D xsi:type="xsd:double"&gt;6.99791091204309&lt;/D&gt;&lt;D xsi:type="xsd:double"&gt;6.67244275166232&lt;/D&gt;&lt;D xsi:type="xsd:double"&gt;6.47869721241827&lt;/D&gt;&lt;D xsi:type="xsd:double"&gt;7.73661828054584&lt;/D&gt;&lt;D xsi:type="xsd:double"&gt;7.34232697956&lt;/D&gt;&lt;D xsi:type="xsd:double"&gt;7.11054969966504&lt;/D&gt;&lt;D xsi:type="xsd:double"&gt;7.1686352215007&lt;/D&gt;&lt;D xsi:type="xsd:double"&gt;7.75133958795717&lt;/D&gt;&lt;D xsi:type="xsd:double"&gt;7.8496385405017&lt;/D&gt;&lt;D xsi:type="xsd:double"&gt;7.77085628255029&lt;/D&gt;&lt;D xsi:type="xsd:double"&gt;6.93082725452766&lt;/D&gt;&lt;D xsi:type="xsd:double"&gt;6.42525198230061&lt;/D&gt;&lt;D xsi:type="xsd:double"&gt;6.51711288456313&lt;/D&gt;&lt;D xsi:type="xsd:double"&gt;6.55281695718023&lt;/D&gt;&lt;D xsi:type="xsd:double"&gt;6.78866109928374&lt;/D&gt;&lt;D xsi:type="xsd:double"&gt;7.05957698575789&lt;/D&gt;&lt;D xsi:type="xsd:double"&gt;7.22447349232743&lt;/D&gt;&lt;D xsi:type="xsd:double"&gt;7.03049313887961&lt;/D&gt;&lt;D xsi:type="xsd:double"&gt;7.24679327575618&lt;/D&gt;&lt;D xsi:type="xsd:double"&gt;7.22098679527351&lt;/D&gt;&lt;D xsi:type="xsd:double"&gt;7.08274048578478&lt;/D&gt;&lt;D xsi:type="xsd:double"&gt;6.71877785740251&lt;/D&gt;&lt;D xsi:type="xsd:double"&gt;6.8637322181218&lt;/D&gt;&lt;D xsi:type="xsd:double"&gt;6.73527090868393&lt;/D&gt;&lt;/FQL&gt;&lt;FQL&gt;&lt;Q&gt;SPY^P_PRICE(0)/P_PRICE_HIGH_PR(0,,,,,,"PRICE","INTRA","52W")&lt;/Q&gt;&lt;R&gt;1&lt;/R&gt;&lt;C&gt;1&lt;/C&gt;&lt;D xsi:type="xsd:double"&gt;0.99726504&lt;/D&gt;&lt;/FQL&gt;&lt;FQL&gt;&lt;Q&gt;KSA^SIZE(FG_CONSTITUENTS)&lt;/Q&gt;&lt;R&gt;1&lt;/R&gt;&lt;C&gt;1&lt;/C&gt;&lt;D xsi:type="xsd:long"&gt;126&lt;/D&gt;&lt;/FQL&gt;&lt;FQL&gt;&lt;Q&gt;REFINREPO-FDS^FG_YIELD(NOW,,,0)&lt;/Q&gt;&lt;R&gt;1&lt;/R&gt;&lt;C&gt;1&lt;/C&gt;&lt;D xsi:type="xsd:double"&gt;6.5&lt;/D&gt;&lt;/FQL&gt;&lt;FQL&gt;&lt;Q&gt;TRYTH10Y-FDS^PCTCHG(FG_YIELD(0,,,,"YTM"),FG_YIELD(-3AM,,,,"YTM"))&lt;/Q&gt;&lt;R&gt;1&lt;/R&gt;&lt;C&gt;1&lt;/C&gt;&lt;D xsi:type="xsd:double"&gt;-4.774365&lt;/D&gt;&lt;/FQL&gt;&lt;FQL&gt;&lt;Q&gt;TRYCN10Y-FDS^FG_YIELD(0,,,,"YTM")&lt;/Q&gt;&lt;R&gt;1&lt;/R&gt;&lt;C&gt;1&lt;/C&gt;&lt;D xsi:type="xsd:double"&gt;2.1609&lt;/D&gt;&lt;/FQL&gt;&lt;FQL&gt;&lt;Q&gt;EWZ^JULIAN(FMA_DIV_YLD(NTMA,NOW,NOW,M,"PORTAGG","MEANR").DATES)&lt;/Q&gt;&lt;R&gt;1&lt;/R&gt;&lt;C&gt;1&lt;/C&gt;&lt;D xsi:type="xsd:long"&gt;45565&lt;/D&gt;&lt;/FQL&gt;&lt;FQL&gt;&lt;Q&gt;EPHE^FMA_PE(NTMA,0,,,"PORTAGG","MEANR")&lt;/Q&gt;&lt;R&gt;1&lt;/R&gt;&lt;C&gt;1&lt;/C&gt;&lt;D xsi:type="xsd:double"&gt;10.4613296076468&lt;/D&gt;&lt;/FQL&gt;&lt;FQL&gt;&lt;Q&gt;EWM^FG_COMPANY_NAME&lt;/Q&gt;&lt;R&gt;1&lt;/R&gt;&lt;C&gt;1&lt;/C&gt;&lt;D xsi:type="xsd:string"&gt;iShares MSCI Malaysia ETF&lt;/D&gt;&lt;/FQL&gt;&lt;FQL&gt;&lt;Q&gt;USDQAR^FG_PRICE_CHANGE(0,-1AY)&lt;/Q&gt;&lt;R&gt;1&lt;/R&gt;&lt;C&gt;1&lt;/C&gt;&lt;D xsi:type="xsd:double"&gt;0.02746582&lt;/D&gt;&lt;/FQL&gt;&lt;FQL&gt;&lt;Q&gt;REFINREPO-FDS^PROPER_NAME(0,,,"SECURITY","NAME")&lt;/Q&gt;&lt;R&gt;1&lt;/R&gt;&lt;C&gt;1&lt;/C&gt;&lt;D xsi:type="xsd:string"&gt;India Repo Rate&lt;/D&gt;&lt;/FQL&gt;&lt;FQL&gt;&lt;Q&gt;EPHE^JULIAN(FMA_DIV_YLD(NTMA,NOW,NOW,M,"PORTAGG","MEANR").DATES)&lt;/Q&gt;&lt;R&gt;1&lt;/R&gt;&lt;C&gt;1&lt;/C&gt;&lt;D xsi:type="xsd:long"&gt;45565&lt;/D&gt;&lt;/FQL&gt;&lt;FQL&gt;&lt;Q&gt;USDCLP^FG_PRICE_CHANGE(0,-1AY)&lt;/Q&gt;&lt;R&gt;1&lt;/R&gt;&lt;C&gt;1&lt;/C&gt;&lt;D xsi:type="xsd:double"&gt;0.3514886&lt;/D&gt;&lt;/FQL&gt;&lt;FQL&gt;&lt;Q&gt;QAT^FG_TOTAL_RETURNC(0,-12AM)&lt;/Q&gt;&lt;R&gt;1&lt;/R&gt;&lt;C&gt;1&lt;/C&gt;&lt;D xsi:type="xsd:double"&gt;13.191867&lt;/D&gt;&lt;/FQL&gt;&lt;FQL&gt;&lt;Q&gt;USDQAR^FG_PRICE(0)&lt;/Q&gt;&lt;R&gt;1&lt;/R&gt;&lt;C&gt;1&lt;/C&gt;&lt;D xsi:type="xsd:double"&gt;3.641&lt;/D&gt;&lt;/FQL&gt;&lt;FQL&gt;&lt;Q&gt;KSA^FG_TOTAL_RETURNC(-10AY,0,AM)&lt;/Q&gt;&lt;R&gt;121&lt;/R&gt;&lt;C&gt;1&lt;/C&gt;&lt;D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xsi:type="xsd:double"&gt;-8.826858&lt;/D&gt;&lt;D xsi:type="xsd:double"&gt;1.73769&lt;/D&gt;&lt;D xsi:type="xsd:double"&gt;-11.537069&lt;/D&gt;&lt;D xsi:type="xsd:double"&gt;-5.7254553&lt;/D&gt;&lt;D xsi:type="xsd:double"&gt;9.414637&lt;/D&gt;&lt;D xsi:type="xsd:double"&gt;0.20062923&lt;/D&gt;&lt;D xsi:type="xsd:double"&gt;7.897663&lt;/D&gt;&lt;D xsi:type="xsd:double"&gt;-3.3195913&lt;/D&gt;&lt;D xsi:type="xsd:double"&gt;-4.2743263&lt;/D&gt;&lt;D xsi:type="xsd:double"&gt;2.391076&lt;/D&gt;&lt;D xsi:type="xsd:double"&gt;-3.6013484&lt;/D&gt;&lt;D xsi:type="xsd:double"&gt;-4.6004353&lt;/D&gt;&lt;D xsi:type="xsd:double"&gt;12.98902&lt;/D&gt;&lt;D xsi:type="xsd:double"&gt;8.624434&lt;/D&gt;&lt;D xsi:type="xsd:double"&gt;-1.7810047&lt;/D&gt;&lt;D xsi:type="xsd:double"&gt;1.1147857&lt;/D&gt;&lt;D xsi:type="xsd:double"&gt;-1.6377032&lt;/D&gt;&lt;D xsi:type="xsd:double"&gt;2.9712677&lt;/D&gt;&lt;D xsi:type="xsd:double"&gt;-0.25331974&lt;/D&gt;&lt;D xsi:type="xsd:double"&gt;-1.3531804&lt;/D&gt;&lt;D xsi:type="xsd:double"&gt;6.24454&lt;/D&gt;&lt;D xsi:type="xsd:double"&gt;-2.6365697&lt;/D&gt;&lt;D xsi:type="xsd:double"&gt;3.4466505&lt;/D&gt;&lt;D xsi:type="xsd:double"&gt;-2.765113&lt;/D&gt;&lt;D xsi:type="xsd:double"&gt;-2.2656262&lt;/D&gt;&lt;D xsi:type="xsd:double"&gt;2.1982431&lt;/D&gt;&lt;D xsi:type="xsd:double"&gt;5.195558&lt;/D&gt;&lt;D xsi:type="xsd:double"&gt;0.2260685&lt;/D&gt;&lt;D xsi:type="xsd:double"&gt;6.165409&lt;/D&gt;&lt;D xsi:type="xsd:double"&gt;5.0283313&lt;/D&gt;&lt;D xsi:type="xsd:double"&gt;0.10114908&lt;/D&gt;&lt;D xsi:type="xsd:double"&gt;4.7490716&lt;/D&gt;&lt;D xsi:type="xsd:double"&gt;2.161479&lt;/D&gt;&lt;D xsi:type="xsd:double"&gt;-3.4625173&lt;/D&gt;&lt;D xsi:type="xsd:double"&gt;-6.7127285&lt;/D&gt;&lt;D xsi:type="xsd:double"&gt;1.058197&lt;/D&gt;&lt;D xsi:type="xsd:double"&gt;-0.6980777&lt;/D&gt;&lt;D xsi:type="xsd:double"&gt;1.1247754&lt;/D&gt;&lt;D xsi:type="xsd:double"&gt;7.0580482&lt;/D&gt;&lt;D xsi:type="xsd:double"&gt;6.6578746&lt;/D&gt;&lt;D xsi:type="xsd:double"&gt;-1.8232405&lt;/D&gt;&lt;D xsi:type="xsd:double"&gt;8.026433&lt;/D&gt;&lt;D xsi:type="xsd:double"&gt;-2.068764&lt;/D&gt;&lt;D xsi:type="xsd:double"&gt;0.089251995&lt;/D&gt;&lt;D xsi:type="xsd:double"&gt;0.16754866&lt;/D&gt;&lt;D xsi:type="xsd:double"&gt;-4.0718555&lt;/D&gt;&lt;D xsi:type="xsd:double"&gt;-6.086147&lt;/D&gt;&lt;D xsi:type="xsd:double"&gt;-3.954804&lt;/D&gt;&lt;D xsi:type="xsd:double"&gt;1.9723177&lt;/D&gt;&lt;D xsi:type="xsd:double"&gt;3.5290122&lt;/D&gt;&lt;D xsi:type="xsd:double"&gt;2.319193&lt;/D&gt;&lt;D xsi:type="xsd:double"&gt;-5.8690014&lt;/D&gt;&lt;D xsi:type="xsd:double"&gt;-14.433348&lt;/D&gt;&lt;D xsi:type="xsd:double"&gt;-0.64412355&lt;/D&gt;&lt;D xsi:type="xsd:double"&gt;-0.6888151&lt;/D&gt;&lt;D xsi:type="xsd:double"&gt;12.9742985&lt;/D&gt;&lt;D xsi:type="xsd:double"&gt;-0.82387924&lt;/D&gt;&lt;D xsi:type="xsd:double"&gt;1.5737891&lt;/D&gt;&lt;D xsi:type="xsd:double"&gt;5.286181&lt;/D&gt;&lt;D xsi:type="xsd:double"&gt;5.090034&lt;/D&gt;&lt;D xsi:type="xsd:double"&gt;0.65897703&lt;/D&gt;&lt;D xsi:type="xsd:double"&gt;2.9459953&lt;/D&gt;&lt;D xsi:type="xsd:double"&gt;1.2620568&lt;/D&gt;&lt;D xsi:type="xsd:double"&gt;0.8503914&lt;/D&gt;&lt;D xsi:type="xsd:double"&gt;7.495308&lt;/D&gt;&lt;D xsi:type="xsd:double"&gt;5.636263&lt;/D&gt;&lt;D xsi:type="xsd:double"&gt;2.6127577&lt;/D&gt;&lt;D xsi:type="xsd:double"&gt;4.9470544&lt;/D&gt;&lt;D xsi:type="xsd:double"&gt;0.74762106&lt;/D&gt;&lt;D xsi:type="xsd:double"&gt;5.347991&lt;/D&gt;&lt;D xsi:type="xsd:double"&gt;1.1901855&lt;/D&gt;&lt;D xsi:type="xsd:double"&gt;2.4003863&lt;/D&gt;&lt;D xsi:type="xsd:double"&gt;1.9456267&lt;/D&gt;&lt;D xsi:type="xsd:double"&gt;-8.576691&lt;/D&gt;&lt;D xsi:type="xsd:double"&gt;7.8029156&lt;/D&gt;&lt;D xsi:type="xsd:double"&gt;5.662596&lt;/D&gt;&lt;D xsi:type="xsd:double"&gt;4.15833&lt;/D&gt;&lt;D xsi:type="xsd:double"&gt;4.2912006&lt;/D&gt;&lt;D xsi:type="xsd:double"&gt;0.6141305&lt;/D&gt;&lt;D xsi:type="xsd:double"&gt;-8.793044&lt;/D&gt;&lt;D xsi:type="xsd:double"&gt;-7.0786533&lt;/D&gt;&lt;D xsi:type="xsd:double"&gt;9.4316845&lt;/D&gt;&lt;D xsi:type="xsd:double"&gt;-4.68508&lt;/D&gt;&lt;D xsi:type="xsd:double"&gt;-2.2722006&lt;/D&gt;&lt;D xsi:type="xsd:double"&gt;-1.8030882&lt;/D&gt;&lt;D xsi:type="xsd:double"&gt;-9.325928&lt;/D&gt;&lt;D xsi:type="xsd:double"&gt;3.8205862&lt;/D&gt;&lt;D xsi:type="xsd:double"&gt;-3.1906605&lt;/D&gt;&lt;D xsi:type="xsd:double"&gt;0.21436214&lt;/D&gt;&lt;D xsi:type="xsd:double"&gt;6.443846&lt;/D&gt;&lt;D xsi:type="xsd:double"&gt;2.6626468&lt;/D&gt;&lt;D xsi:type="xsd:double"&gt;2.2520304&lt;/D&gt;&lt;D xsi:type="xsd:double"&gt;0.9685278&lt;/D&gt;&lt;D xsi:type="xsd:double"&gt;-2.637893&lt;/D&gt;&lt;D xsi:type="xsd:double"&gt;-1.4778316&lt;/D&gt;&lt;D xsi:type="xsd:double"&gt;-5.4499984&lt;/D&gt;&lt;D xsi:type="xsd:double"&gt;2.485454&lt;/D&gt;&lt;D xsi:type="xsd:double"&gt;3.3281803&lt;/D&gt;&lt;D xsi:type="xsd:double"&gt;8.057284&lt;/D&gt;&lt;D xsi:type="xsd:double"&gt;1.2877584&lt;/D&gt;&lt;D xsi:type="xsd:double"&gt;2.3809552&lt;/D&gt;&lt;D xsi:type="xsd:double"&gt;1.4450192&lt;/D&gt;&lt;D xsi:type="xsd:double"&gt;-4.562652&lt;/D&gt;&lt;D xsi:type="xsd:double"&gt;-3.1483233&lt;/D&gt;&lt;D xsi:type="xsd:double"&gt;0.057053566&lt;/D&gt;&lt;D xsi:type="xsd:double"&gt;-0.9037614&lt;/D&gt;&lt;D xsi:type="xsd:double"&gt;2.5881171&lt;/D&gt;&lt;D xsi:type="xsd:double"&gt;0&lt;/D&gt;&lt;/FQL&gt;&lt;FQL&gt;&lt;Q&gt;EWZ^FMA_PE(NTMA,-10AY,0,AM,"PORTAGG","MEANR")&lt;/Q&gt;&lt;R&gt;121&lt;/R&gt;&lt;C&gt;1&lt;/C&gt;&lt;D xsi:type="xsd:double"&gt;11.5643388893894&lt;/D&gt;&lt;D xsi:type="xsd:double"&gt;11.3926287037643&lt;/D&gt;&lt;D xsi:type="xsd:double"&gt;10.6655614901973&lt;/D&gt;&lt;D xsi:type="xsd:double"&gt;10.9645191045607&lt;/D&gt;&lt;D xsi:type="xsd:double"&gt;11.3633465216402&lt;/D&gt;&lt;D xsi:type="xsd:double"&gt;11.6695928051754&lt;/D&gt;&lt;D xsi:type="xsd:double"&gt;13.6239991905129&lt;/D&gt;&lt;D xsi:type="xsd:double"&gt;14.6036372238079&lt;/D&gt;&lt;D xsi:type="xsd:double"&gt;13.5697731467105&lt;/D&gt;&lt;D xsi:type="xsd:double"&gt;12.7779435611214&lt;/D&gt;&lt;D xsi:type="xsd:double"&gt;11.7958376112663&lt;/D&gt;&lt;D xsi:type="xsd:double"&gt;11.0803447365001&lt;/D&gt;&lt;D xsi:type="xsd:double"&gt;11.7062641756679&lt;/D&gt;&lt;D xsi:type="xsd:double"&gt;10.8599698332188&lt;/D&gt;&lt;D xsi:type="xsd:double"&gt;10.9939547054792&lt;/D&gt;&lt;D xsi:type="xsd:double"&gt;9.71706835231715&lt;/D&gt;&lt;D xsi:type="xsd:double"&gt;10.304066479668&lt;/D&gt;&lt;D xsi:type="xsd:double"&gt;12.7526960949816&lt;/D&gt;&lt;D xsi:type="xsd:double"&gt;13.3690516855679&lt;/D&gt;&lt;D xsi:type="xsd:double"&gt;13.0106665424441&lt;/D&gt;&lt;D xsi:type="xsd:double"&gt;12.0731146474506&lt;/D&gt;&lt;D xsi:type="xsd:double"&gt;12.91633583044&lt;/D&gt;&lt;D xsi:type="xsd:double"&gt;13.5867587372985&lt;/D&gt;&lt;D xsi:type="xsd:double"&gt;13.8487872477164&lt;/D&gt;&lt;D xsi:type="xsd:double"&gt;14.2982215836103&lt;/D&gt;&lt;D xsi:type="xsd:double"&gt;13.8217447333986&lt;/D&gt;&lt;D xsi:type="xsd:double"&gt;12.9747502587271&lt;/D&gt;&lt;D xsi:type="xsd:double"&gt;12.9340430678189&lt;/D&gt;&lt;D xsi:type="xsd:double"&gt;13.3937134890203&lt;/D&gt;&lt;D xsi:type="xsd:double"&gt;12.9653353464646&lt;/D&gt;&lt;D xsi:type="xsd:double"&gt;12.5847226757029&lt;/D&gt;&lt;D xsi:type="xsd:double"&gt;13.0248085271422&lt;/D&gt;&lt;D xsi:type="xsd:double"&gt;11.8620857495572&lt;/D&gt;&lt;D xsi:type="xsd:double"&gt;11.9179328480634&lt;/D&gt;&lt;D xsi:type="xsd:double"&gt;12.7446160102783&lt;/D&gt;&lt;D xsi:type="xsd:double"&gt;13.6195673705545&lt;/D&gt;&lt;D xsi:type="xsd:double"&gt;14.1556949644081&lt;/D&gt;&lt;D xsi:type="xsd:double"&gt;12.9165489959071&lt;/D&gt;&lt;D xsi:type="xsd:double"&gt;12.8550870586063&lt;/D&gt;&lt;D xsi:type="xsd:double"&gt;13.5742330666105&lt;/D&gt;&lt;D xsi:type="xsd:double"&gt;13.2597571582226&lt;/D&gt;&lt;D xsi:type="xsd:double"&gt;13.2363577937301&lt;/D&gt;&lt;D xsi:type="xsd:double"&gt;12.7188394699408&lt;/D&gt;&lt;D xsi:type="xsd:double"&gt;12.5718945894417&lt;/D&gt;&lt;D xsi:type="xsd:double"&gt;10.7517988615468&lt;/D&gt;&lt;D xsi:type="xsd:double"&gt;10.7040200470648&lt;/D&gt;&lt;D xsi:type="xsd:double"&gt;10.77908889975&lt;/D&gt;&lt;D xsi:type="xsd:double"&gt;10.633642106814&lt;/D&gt;&lt;D xsi:type="xsd:double"&gt;10.8451271619952&lt;/D&gt;&lt;D xsi:type="xsd:double"&gt;11.2970466473152&lt;/D&gt;&lt;D xsi:type="xsd:double"&gt;11.4612025655694&lt;/D&gt;&lt;D xsi:type="xsd:double"&gt;12.5571153092504&lt;/D&gt;&lt;D xsi:type="xsd:double"&gt;12.7009184668341&lt;/D&gt;&lt;D xsi:type="xsd:double"&gt;12.153870909629&lt;/D&gt;&lt;D xsi:type="xsd:double"&gt;11.8103126969594&lt;/D&gt;&lt;D xsi:type="xsd:double"&gt;11.5356317019292&lt;/D&gt;&lt;D xsi:type="xsd:double"&gt;12.0566349023275&lt;/D&gt;&lt;D xsi:type="xsd:double"&gt;12.9011029683941&lt;/D&gt;&lt;D xsi:type="xsd:double"&gt;12.9395675249283&lt;/D&gt;&lt;D xsi:type="xsd:double"&gt;12.8561576828945&lt;/D&gt;&lt;D xsi:type="xsd:double"&gt;12.5913621125734&lt;/D&gt;&lt;D xsi:type="xsd:double"&gt;13.3687740721166&lt;/D&gt;&lt;D xsi:type="xsd:double"&gt;13.640602668027&lt;/D&gt;&lt;D xsi:type="xsd:double"&gt;14.3796662149079&lt;/D&gt;&lt;D xsi:type="xsd:double"&gt;13.903478281449&lt;/D&gt;&lt;D xsi:type="xsd:double"&gt;11.6312881340925&lt;/D&gt;&lt;D xsi:type="xsd:double"&gt;11.7222397671869&lt;/D&gt;&lt;D xsi:type="xsd:double"&gt;14.3618675598581&lt;/D&gt;&lt;D xsi:type="xsd:double"&gt;18.071485247606&lt;/D&gt;&lt;D xsi:type="xsd:double"&gt;26.7833244791092&lt;/D&gt;&lt;D xsi:type="xsd:double"&gt;25.7854692423754&lt;/D&gt;&lt;D xsi:type="xsd:double"&gt;21.5201148031115&lt;/D&gt;&lt;D xsi:type="xsd:double"&gt;16.9877274595415&lt;/D&gt;&lt;D xsi:type="xsd:double"&gt;15.016074517396&lt;/D&gt;&lt;D xsi:type="xsd:double"&gt;13.7911360587166&lt;/D&gt;&lt;D xsi:type="xsd:double"&gt;13.1598985394062&lt;/D&gt;&lt;D xsi:type="xsd:double"&gt;11.0225373546307&lt;/D&gt;&lt;D xsi:type="xsd:double"&gt;9.81103103087244&lt;/D&gt;&lt;D xsi:type="xsd:double"&gt;9.20213726735459&lt;/D&gt;&lt;D xsi:type="xsd:double"&gt;8.96598851134651&lt;/D&gt;&lt;D xsi:type="xsd:double"&gt;9.53089585983841&lt;/D&gt;&lt;D xsi:type="xsd:double"&gt;8.79746794249044&lt;/D&gt;&lt;D xsi:type="xsd:double"&gt;8.1248709948501&lt;/D&gt;&lt;D xsi:type="xsd:double"&gt;7.67001992304281&lt;/D&gt;&lt;D xsi:type="xsd:double"&gt;7.95770630475039&lt;/D&gt;&lt;D xsi:type="xsd:double"&gt;7.44520475063529&lt;/D&gt;&lt;D xsi:type="xsd:double"&gt;7.97747602173613&lt;/D&gt;&lt;D xsi:type="xsd:double"&gt;7.51854386398005&lt;/D&gt;&lt;D xsi:type="xsd:double"&gt;8.17394451563893&lt;/D&gt;&lt;D xsi:type="xsd:double"&gt;7.87614169542115&lt;/D&gt;&lt;D xsi:type="xsd:double"&gt;7.59262273923506&lt;/D&gt;&lt;D xsi:type="xsd:double"&gt;6.32714297115402&lt;/D&gt;&lt;D xsi:type="xsd:double"&gt;6.34537471505098&lt;/D&gt;&lt;D xsi:type="xsd:double"&gt;6.06175131971975&lt;/D&gt;&lt;D xsi:type="xsd:double"&gt;6.53955734258783&lt;/D&gt;&lt;D xsi:type="xsd:double"&gt;6.491000020542&lt;/D&gt;&lt;D xsi:type="xsd:double"&gt;6.97105980392962&lt;/D&gt;&lt;D xsi:type="xsd:double"&gt;6.74000244163859&lt;/D&gt;&lt;D xsi:type="xsd:double"&gt;6.74826878215742&lt;/D&gt;&lt;D xsi:type="xsd:double"&gt;7.04787022553907&lt;/D&gt;&lt;D xsi:type="xsd:double"&gt;7.04429968274363&lt;/D&gt;&lt;D xsi:type="xsd:double"&gt;6.64897608568043&lt;/D&gt;&lt;D xsi:type="xsd:double"&gt;6.55751379174063&lt;/D&gt;&lt;D xsi:type="xsd:double"&gt;6.95080101277235&lt;/D&gt;&lt;D xsi:type="xsd:double"&gt;7.77761662276164&lt;/D&gt;&lt;D xsi:type="xsd:double"&gt;7.87886761748574&lt;/D&gt;&lt;D xsi:type="xsd:double"&gt;7.94304172117363&lt;/D&gt;&lt;D xsi:type="xsd:double"&gt;7.79440202962612&lt;/D&gt;&lt;D xsi:type="xsd:double"&gt;7.64021452426034&lt;/D&gt;&lt;D xsi:type="xsd:double"&gt;7.65110606879537&lt;/D&gt;&lt;D xsi:type="xsd:double"&gt;7.65195678037272&lt;/D&gt;&lt;D xsi:type="xsd:double"&gt;7.74850794490459&lt;/D&gt;&lt;D xsi:type="xsd:double"&gt;7.84038244361592&lt;/D&gt;&lt;D xsi:type="xsd:double"&gt;7.79075974811774&lt;/D&gt;&lt;D xsi:type="xsd:double"&gt;7.72936059570463&lt;/D&gt;&lt;D xsi:type="xsd:double"&gt;7.57887385334417&lt;/D&gt;&lt;D xsi:type="xsd:double"&gt;7.04303185565093&lt;/D&gt;&lt;D xsi:type="xsd:double"&gt;7.26718693786855&lt;/D&gt;&lt;D xsi:type="xsd:double"&gt;7.34315333669937&lt;/D&gt;&lt;D xsi:type="xsd:double"&gt;8.2767402948249&lt;/D&gt;&lt;D xsi:type="xsd:double"&gt;8.147359792992&lt;/D&gt;&lt;/FQL&gt;&lt;FQL&gt;&lt;Q&gt;TRYIN10Y-FDS^FG_YIELD(0,,,,"YTM")&lt;/Q&gt;&lt;R&gt;1&lt;/R&gt;&lt;C&gt;1&lt;/C&gt;&lt;D xsi:type="xsd:double"&gt;6.7725&lt;/D&gt;&lt;/FQL&gt;&lt;FQL&gt;&lt;Q&gt;VNM^FG_TOTAL_RETURNC(-10AY,0,AM)&lt;/Q&gt;&lt;R&gt;121&lt;/R&gt;&lt;C&gt;1&lt;/C&gt;&lt;D xsi:type="xsd:double"&gt;-6.498039&lt;/D&gt;&lt;D xsi:type="xsd:double"&gt;-1.5858233&lt;/D&gt;&lt;D xsi:type="xsd:double"&gt;-7.109004&lt;/D&gt;&lt;D xsi:type="xsd:double"&gt;-0.441283&lt;/D&gt;&lt;D xsi:type="xsd:double"&gt;-0.8425474&lt;/D&gt;&lt;D xsi:type="xsd:double"&gt;-1.5400887&lt;/D&gt;&lt;D xsi:type="xsd:double"&gt;-6.418556&lt;/D&gt;&lt;D xsi:type="xsd:double"&gt;-0.23055077&lt;/D&gt;&lt;D xsi:type="xsd:double"&gt;2.137494&lt;/D&gt;&lt;D xsi:type="xsd:double"&gt;7.692313&lt;/D&gt;&lt;D xsi:type="xsd:double"&gt;-4.7794223&lt;/D&gt;&lt;D xsi:type="xsd:double"&gt;-11.5278425&lt;/D&gt;&lt;D xsi:type="xsd:double"&gt;11.097252&lt;/D&gt;&lt;D xsi:type="xsd:double"&gt;-7.0145903&lt;/D&gt;&lt;D xsi:type="xsd:double"&gt;-8.8714485&lt;/D&gt;&lt;D xsi:type="xsd:double"&gt;-3.9540946&lt;/D&gt;&lt;D xsi:type="xsd:double"&gt;-5.4402294&lt;/D&gt;&lt;D xsi:type="xsd:double"&gt;9.765327&lt;/D&gt;&lt;D xsi:type="xsd:double"&gt;-4.3448267&lt;/D&gt;&lt;D xsi:type="xsd:double"&gt;1.8024564&lt;/D&gt;&lt;D xsi:type="xsd:double"&gt;4.957509&lt;/D&gt;&lt;D xsi:type="xsd:double"&gt;1.889348&lt;/D&gt;&lt;D xsi:type="xsd:double"&gt;-1.5894115&lt;/D&gt;&lt;D xsi:type="xsd:double"&gt;-2.0188391&lt;/D&gt;&lt;D xsi:type="xsd:double"&gt;2.335155&lt;/D&gt;&lt;D xsi:type="xsd:double"&gt;-8.791942&lt;/D&gt;&lt;D xsi:type="xsd:double"&gt;-0.7358372&lt;/D&gt;&lt;D xsi:type="xsd:double"&gt;1.6277075&lt;/D&gt;&lt;D xsi:type="xsd:double"&gt;2.541113&lt;/D&gt;&lt;D xsi:type="xsd:double"&gt;-1.8221557&lt;/D&gt;&lt;D xsi:type="xsd:double"&gt;4.9740195&lt;/D&gt;&lt;D xsi:type="xsd:double"&gt;-0.9900987&lt;/D&gt;&lt;D xsi:type="xsd:double"&gt;3.7142873&lt;/D&gt;&lt;D xsi:type="xsd:double"&gt;0.5509615&lt;/D&gt;&lt;D xsi:type="xsd:double"&gt;-3.1506836&lt;/D&gt;&lt;D xsi:type="xsd:double"&gt;4.8797727&lt;/D&gt;&lt;D xsi:type="xsd:double"&gt;2.1577835&lt;/D&gt;&lt;D xsi:type="xsd:double"&gt;6.534648&lt;/D&gt;&lt;D xsi:type="xsd:double"&gt;3.407693&lt;/D&gt;&lt;D xsi:type="xsd:double"&gt;11.519421&lt;/D&gt;&lt;D xsi:type="xsd:double"&gt;-6.188923&lt;/D&gt;&lt;D xsi:type="xsd:double"&gt;9.953701&lt;/D&gt;&lt;D xsi:type="xsd:double"&gt;6.157899&lt;/D&gt;&lt;D xsi:type="xsd:double"&gt;-11.403072&lt;/D&gt;&lt;D xsi:type="xsd:double"&gt;-2.1264732&lt;/D&gt;&lt;D xsi:type="xsd:double"&gt;-11.492282&lt;/D&gt;&lt;D xsi:type="xsd:double"&gt;4.3281674&lt;/D&gt;&lt;D xsi:type="xsd:double"&gt;0&lt;/D&gt;&lt;D xsi:type="xsd:double"&gt;-3.0959725&lt;/D&gt;&lt;D xsi:type="xsd:double"&gt;-2.300316&lt;/D&gt;&lt;D xsi:type="xsd:double"&gt;2.0274758&lt;/D&gt;&lt;D xsi:type="xsd:double"&gt;-1.1873424&lt;/D&gt;&lt;D xsi:type="xsd:double"&gt;1.3080478&lt;/D&gt;&lt;D xsi:type="xsd:double"&gt;4.260814&lt;/D&gt;&lt;D xsi:type="xsd:double"&gt;4.3343663&lt;/D&gt;&lt;D xsi:type="xsd:double"&gt;-3.3234417&lt;/D&gt;&lt;D xsi:type="xsd:double"&gt;0.2455473&lt;/D&gt;&lt;D xsi:type="xsd:double"&gt;-0.24493933&lt;/D&gt;&lt;D xsi:type="xsd:double"&gt;-3.9287984&lt;/D&gt;&lt;D xsi:type="xsd:double"&gt;0&lt;/D&gt;&lt;D xsi:type="xsd:double"&gt;2.7476072&lt;/D&gt;&lt;D xsi:type="xsd:double"&gt;3.2960296&lt;/D&gt;&lt;D xsi:type="xsd:double"&gt;-4.6959696&lt;/D&gt;&lt;D xsi:type="xsd:double"&gt;1.2748241&lt;/D&gt;&lt;D xsi:type="xsd:double"&gt;-5.7196736&lt;/D&gt;&lt;D xsi:type="xsd:double"&gt;-14.466667&lt;/D&gt;&lt;D xsi:type="xsd:double"&gt;-6.7420063&lt;/D&gt;&lt;D xsi:type="xsd:double"&gt;10.488928&lt;/D&gt;&lt;D xsi:type="xsd:double"&gt;9.682298&lt;/D&gt;&lt;D xsi:type="xsd:double"&gt;-1.862073&lt;/D&gt;&lt;D xsi:type="xsd:double"&gt;3.7245274&lt;/D&gt;&lt;D xsi:type="xsd:double"&gt;0&lt;/D&gt;&lt;D xsi:type="xsd:double"&gt;2.642274&lt;/D&gt;&lt;D xsi:type="xsd:double"&gt;2.574265&lt;/D&gt;&lt;D xsi:type="xsd:double"&gt;7.271552&lt;/D&gt;&lt;D xsi:type="xsd:double"&gt;10.9574795&lt;/D&gt;&lt;D xsi:type="xsd:double"&gt;-3.36591&lt;/D&gt;&lt;D xsi:type="xsd:double"&gt;-1.1235893&lt;/D&gt;&lt;D xsi:type="xsd:double"&gt;5.681813&lt;/D&gt;&lt;D xsi:type="xsd:double"&gt;3.2795668&lt;/D&gt;&lt;D xsi:type="xsd:double"&gt;3.3836603&lt;/D&gt;&lt;D xsi:type="xsd:double"&gt;0.3524661&lt;/D&gt;&lt;D xsi:type="xsd:double"&gt;0.30105114&lt;/D&gt;&lt;D xsi:type="xsd:double"&gt;0.20010471&lt;/D&gt;&lt;D xsi:type="xsd:double"&gt;-2.1467805&lt;/D&gt;&lt;D xsi:type="xsd:double"&gt;5.051017&lt;/D&gt;&lt;D xsi:type="xsd:double"&gt;0.4371047&lt;/D&gt;&lt;D xsi:type="xsd:double"&gt;3.0275822&lt;/D&gt;&lt;D xsi:type="xsd:double"&gt;-6.2735853&lt;/D&gt;&lt;D xsi:type="xsd:double"&gt;-4.5294466&lt;/D&gt;&lt;D xsi:type="xsd:double"&gt;-1.0542929&lt;/D&gt;&lt;D xsi:type="xsd:double"&gt;-14.011728&lt;/D&gt;&lt;D xsi:type="xsd:double"&gt;-3.0359328&lt;/D&gt;&lt;D xsi:type="xsd:double"&gt;-8.753991&lt;/D&gt;&lt;D xsi:type="xsd:double"&gt;8.613443&lt;/D&gt;&lt;D xsi:type="xsd:double"&gt;-2.9658258&lt;/D&gt;&lt;D xsi:type="xsd:double"&gt;-17.475086&lt;/D&gt;&lt;D xsi:type="xsd:double"&gt;-11.755234&lt;/D&gt;&lt;D xsi:type="xsd:double"&gt;17.24453&lt;/D&gt;&lt;D xsi:type="xsd:double"&gt;-2.2028446&lt;/D&gt;&lt;D xsi:type="xsd:double"&gt;-4.0160656&lt;/D&gt;&lt;D xsi:type="xsd:double"&gt;-2.4267793&lt;/D&gt;&lt;D xsi:type="xsd:double"&gt;5.4888487&lt;/D&gt;&lt;D xsi:type="xsd:double"&gt;-0.32520294&lt;/D&gt;&lt;D xsi:type="xsd:double"&gt;7.259381&lt;/D&gt;&lt;D xsi:type="xsd:double"&gt;4.4106483&lt;/D&gt;&lt;D xsi:type="xsd:double"&gt;8.667159&lt;/D&gt;&lt;D xsi:type="xsd:double"&gt;3.6193013&lt;/D&gt;&lt;D xsi:type="xsd:double"&gt;-12.354464&lt;/D&gt;&lt;D xsi:type="xsd:double"&gt;-2.7306259&lt;/D&gt;&lt;D xsi:type="xsd:double"&gt;2.2761703&lt;/D&gt;&lt;D xsi:type="xsd:double"&gt;1.0988951&lt;/D&gt;&lt;D xsi:type="xsd:double"&gt;1.0831714&lt;/D&gt;&lt;D xsi:type="xsd:double"&gt;3.0233502&lt;/D&gt;&lt;D xsi:type="xsd:double"&gt;-1.0401189&lt;/D&gt;&lt;D xsi:type="xsd:double"&gt;-5.7057023&lt;/D&gt;&lt;D xsi:type="xsd:double"&gt;2.2292972&lt;/D&gt;&lt;D xsi:type="xsd:double"&gt;-2.803743&lt;/D&gt;&lt;D xsi:type="xsd:double"&gt;-5.1281986&lt;/D&gt;&lt;D xsi:type="xsd:double"&gt;5.152023&lt;/D&gt;&lt;D xsi:type="xsd:double"&gt;0.40160418&lt;/D&gt;&lt;/FQL&gt;&lt;FQL&gt;&lt;Q&gt;VWO^FMA_DIV_YLD(NTMA,NOW,NOW,M,"PORTAGG","MEANR")&lt;/Q&gt;&lt;R&gt;1&lt;/R&gt;&lt;C&gt;1&lt;/C&gt;&lt;D xsi:type="xsd:double"&gt;2.98151369325415&lt;/D&gt;&lt;/FQL&gt;&lt;FQL&gt;&lt;Q&gt;EWW^FG_FCF_YIELD_NTM(0)&lt;/Q&gt;&lt;R&gt;1&lt;/R&gt;&lt;C&gt;1&lt;/C&gt;&lt;D xsi:type="xsd:double"&gt;9.91445064847528&lt;/D&gt;&lt;/FQL&gt;&lt;FQL&gt;&lt;Q&gt;UAE^FG_TOTAL_RETURNC(-10AY,0,AM)&lt;/Q&gt;&lt;R&gt;121&lt;/R&gt;&lt;C&gt;1&lt;/C&gt;&lt;D xsi:type="xsd:double"&gt;-3.360653&lt;/D&gt;&lt;D xsi:type="xsd:double"&gt;-4.6225605&lt;/D&gt;&lt;D xsi:type="xsd:double"&gt;-10.804802&lt;/D&gt;&lt;D xsi:type="xsd:double"&gt;-4.227&lt;/D&gt;&lt;D xsi:type="xsd:double"&gt;1.9179463&lt;/D&gt;&lt;D xsi:type="xsd:double"&gt;-0.8363843&lt;/D&gt;&lt;D xsi:type="xsd:double"&gt;4.059863&lt;/D&gt;&lt;D xsi:type="xsd:double"&gt;5.1178575&lt;/D&gt;&lt;D xsi:type="xsd:double"&gt;0.98757744&lt;/D&gt;&lt;D xsi:type="xsd:double"&gt;-2.599305&lt;/D&gt;&lt;D xsi:type="xsd:double"&gt;3.323257&lt;/D&gt;&lt;D xsi:type="xsd:double"&gt;-12.694931&lt;/D&gt;&lt;D xsi:type="xsd:double"&gt;1.6868472&lt;/D&gt;&lt;D xsi:type="xsd:double"&gt;-11.868996&lt;/D&gt;&lt;D xsi:type="xsd:double"&gt;-8.128309&lt;/D&gt;&lt;D xsi:type="xsd:double"&gt;1.8250346&lt;/D&gt;&lt;D xsi:type="xsd:double"&gt;0.26737452&lt;/D&gt;&lt;D xsi:type="xsd:double"&gt;11.155331&lt;/D&gt;&lt;D xsi:type="xsd:double"&gt;1.7195106&lt;/D&gt;&lt;D xsi:type="xsd:double"&gt;-1.0619104&lt;/D&gt;&lt;D xsi:type="xsd:double"&gt;0.47736168&lt;/D&gt;&lt;D xsi:type="xsd:double"&gt;2.1178365&lt;/D&gt;&lt;D xsi:type="xsd:double"&gt;4.70227&lt;/D&gt;&lt;D xsi:type="xsd:double"&gt;-1.507771&lt;/D&gt;&lt;D xsi:type="xsd:double"&gt;-3.846717&lt;/D&gt;&lt;D xsi:type="xsd:double"&gt;-4.2814612&lt;/D&gt;&lt;D xsi:type="xsd:double"&gt;8.474064&lt;/D&gt;&lt;D xsi:type="xsd:double"&gt;4.00697&lt;/D&gt;&lt;D xsi:type="xsd:double"&gt;0.11370182&lt;/D&gt;&lt;D xsi:type="xsd:double"&gt;-4.9965916&lt;/D&gt;&lt;D xsi:type="xsd:double"&gt;2.5098443&lt;/D&gt;&lt;D xsi:type="xsd:double"&gt;-0.058311224&lt;/D&gt;&lt;D xsi:type="xsd:double"&gt;2.0420074&lt;/D&gt;&lt;D xsi:type="xsd:double"&gt;-1.3213694&lt;/D&gt;&lt;D xsi:type="xsd:double"&gt;5.1785707&lt;/D&gt;&lt;D xsi:type="xsd:double"&gt;0.92812777&lt;/D&gt;&lt;D xsi:type="xsd:double"&gt;-0.58315396&lt;/D&gt;&lt;D xsi:type="xsd:double"&gt;-5.358142&lt;/D&gt;&lt;D xsi:type="xsd:double"&gt;-0.47675967&lt;/D&gt;&lt;D xsi:type="xsd:double"&gt;7.29723&lt;/D&gt;&lt;D xsi:type="xsd:double"&gt;-3.9865196&lt;/D&gt;&lt;D xsi:type="xsd:double"&gt;-1.2865543&lt;/D&gt;&lt;D xsi:type="xsd:double"&gt;-1.1848271&lt;/D&gt;&lt;D xsi:type="xsd:double"&gt;-3.8369238&lt;/D&gt;&lt;D xsi:type="xsd:double"&gt;3.7406445&lt;/D&gt;&lt;D xsi:type="xsd:double"&gt;-3.245473&lt;/D&gt;&lt;D xsi:type="xsd:double"&gt;2.0540476&lt;/D&gt;&lt;D xsi:type="xsd:double"&gt;-1.493007&lt;/D&gt;&lt;D xsi:type="xsd:double"&gt;-3.6439896&lt;/D&gt;&lt;D xsi:type="xsd:double"&gt;1.0709524&lt;/D&gt;&lt;D xsi:type="xsd:double"&gt;-9.006625&lt;/D&gt;&lt;D xsi:type="xsd:double"&gt;4.628587&lt;/D&gt;&lt;D xsi:type="xsd:double"&gt;-1.9580424&lt;/D&gt;&lt;D xsi:type="xsd:double"&gt;0.71326494&lt;/D&gt;&lt;D xsi:type="xsd:double"&gt;6.055248&lt;/D&gt;&lt;D xsi:type="xsd:double"&gt;-2.7712822&lt;/D&gt;&lt;D xsi:type="xsd:double"&gt;-4.12088&lt;/D&gt;&lt;D xsi:type="xsd:double"&gt;2.2115946&lt;/D&gt;&lt;D xsi:type="xsd:double"&gt;1.3071895&lt;/D&gt;&lt;D xsi:type="xsd:double"&gt;1.3620138&lt;/D&gt;&lt;D xsi:type="xsd:double"&gt;-2.1923661&lt;/D&gt;&lt;D xsi:type="xsd:double"&gt;0.28922558&lt;/D&gt;&lt;D xsi:type="xsd:double"&gt;-2.6676297&lt;/D&gt;&lt;D xsi:type="xsd:double"&gt;-2.9259264&lt;/D&gt;&lt;D xsi:type="xsd:double"&gt;-1.3635993&lt;/D&gt;&lt;D xsi:type="xsd:double"&gt;-16.681492&lt;/D&gt;&lt;D xsi:type="xsd:double"&gt;-7.520896&lt;/D&gt;&lt;D xsi:type="xsd:double"&gt;-0.20080805&lt;/D&gt;&lt;D xsi:type="xsd:double"&gt;8.148897&lt;/D&gt;&lt;D xsi:type="xsd:double"&gt;-1.4828622&lt;/D&gt;&lt;D xsi:type="xsd:double"&gt;4.6314716&lt;/D&gt;&lt;D xsi:type="xsd:double"&gt;2.9985666&lt;/D&gt;&lt;D xsi:type="xsd:double"&gt;-1.8484293999999999&lt;/D&gt;&lt;D xsi:type="xsd:double"&gt;1.2241125&lt;/D&gt;&lt;D xsi:type="xsd:double"&gt;12.558138&lt;/D&gt;&lt;D xsi:type="xsd:double"&gt;4.6933413&lt;/D&gt;&lt;D xsi:type="xsd:double"&gt;3.8309693&lt;/D&gt;&lt;D xsi:type="xsd:double"&gt;1.1791587&lt;/D&gt;&lt;D xsi:type="xsd:double"&gt;-0.37593842&lt;/D&gt;&lt;D xsi:type="xsd:double"&gt;4.150939&lt;/D&gt;&lt;D xsi:type="xsd:double"&gt;7.9359055&lt;/D&gt;&lt;D xsi:type="xsd:double"&gt;-2.1542788&lt;/D&gt;&lt;D xsi:type="xsd:double"&gt;2.66335&lt;/D&gt;&lt;D xsi:type="xsd:double"&gt;5.15393&lt;/D&gt;&lt;D xsi:type="xsd:double"&gt;-3.124994&lt;/D&gt;&lt;D xsi:type="xsd:double"&gt;7.898128&lt;/D&gt;&lt;D xsi:type="xsd:double"&gt;8.887207&lt;/D&gt;&lt;D xsi:type="xsd:double"&gt;-3.814119&lt;/D&gt;&lt;D xsi:type="xsd:double"&gt;3.237617&lt;/D&gt;&lt;D xsi:type="xsd:double"&gt;7.692313&lt;/D&gt;&lt;D xsi:type="xsd:double"&gt;5.631864&lt;/D&gt;&lt;D xsi:type="xsd:double"&gt;-5.799741&lt;/D&gt;&lt;D xsi:type="xsd:double"&gt;-8.292609&lt;/D&gt;&lt;D xsi:type="xsd:double"&gt;-5.6034446&lt;/D&gt;&lt;D xsi:type="xsd:double"&gt;9.98044&lt;/D&gt;&lt;D xsi:type="xsd:double"&gt;-8.362997&lt;/D&gt;&lt;D xsi:type="xsd:double"&gt;-1.2770236&lt;/D&gt;&lt;D xsi:type="xsd:double"&gt;5.0305843&lt;/D&gt;&lt;D xsi:type="xsd:double"&gt;-5.742824&lt;/D&gt;&lt;D xsi:type="xsd:double"&gt;0.21820068&lt;/D&gt;&lt;D xsi:type="xsd:double"&gt;0.04966259&lt;/D&gt;&lt;D xsi:type="xsd:double"&gt;-4.4183373&lt;/D&gt;&lt;D xsi:type="xsd:double"&gt;-0.9695232&lt;/D&gt;&lt;D xsi:type="xsd:double"&gt;5.9440494&lt;/D&gt;&lt;D xsi:type="xsd:double"&gt;-3.177309&lt;/D&gt;&lt;D xsi:type="xsd:double"&gt;3.1512618&lt;/D&gt;&lt;D xsi:type="xsd:double"&gt;3.8696527&lt;/D&gt;&lt;D xsi:type="xsd:double"&gt;-2.222222&lt;/D&gt;&lt;D xsi:type="xsd:double"&gt;-1.0026693&lt;/D&gt;&lt;D xsi:type="xsd:double"&gt;-0.27008653&lt;/D&gt;&lt;D xsi:type="xsd:double"&gt;-2.9790163&lt;/D&gt;&lt;D xsi:type="xsd:double"&gt;6.623447&lt;/D&gt;&lt;D xsi:type="xsd:double"&gt;-4.1482267&lt;/D&gt;&lt;D xsi:type="xsd:double"&gt;-0.826782&lt;/D&gt;&lt;D xsi:type="xsd:double"&gt;3.1877995&lt;/D&gt;&lt;D xsi:type="xsd:double"&gt;-2.4177313&lt;/D&gt;&lt;D xsi:type="xsd:double"&gt;-4.0605664&lt;/D&gt;&lt;D xsi:type="xsd:double"&gt;2.595055&lt;/D&gt;&lt;D xsi:type="xsd:double"&gt;5.1598787&lt;/D&gt;&lt;D xsi:type="xsd:double"&gt;4.561162&lt;/D&gt;&lt;D xsi:type="xsd:double"&gt;-1.9828141&lt;/D&gt;&lt;/FQL&gt;&lt;FQL&gt;&lt;Q&gt;CAGDPY@VN^EE_ACTUAL_ANNUAL(MED,+1)&lt;/Q&gt;&lt;R&gt;0&lt;/R&gt;&lt;C&gt;0&lt;/C&gt;&lt;/FQL&gt;&lt;FQL&gt;&lt;Q&gt;USDCLP^FG_COMPANY_NAME&lt;/Q&gt;&lt;R&gt;1&lt;/R&gt;&lt;C&gt;1&lt;/C&gt;&lt;</t>
        </r>
      </text>
    </comment>
    <comment ref="A18" authorId="0" shapeId="0" xr:uid="{9640BEBD-F7F6-4E7F-8234-B821FCADA7BC}">
      <text>
        <r>
          <rPr>
            <b/>
            <sz val="9"/>
            <color indexed="81"/>
            <rFont val="Tahoma"/>
            <charset val="1"/>
          </rPr>
          <t>D xsi:type="xsd:string"&gt;Chilean Peso per U.S. Dollar&lt;/D&gt;&lt;/FQL&gt;&lt;FQL&gt;&lt;Q&gt;NI-FDS^FG_PRICE_CHANGE(0,-1AY)&lt;/Q&gt;&lt;R&gt;1&lt;/R&gt;&lt;C&gt;1&lt;/C&gt;&lt;D xsi:type="xsd:double"&gt;-6.07886089813801&lt;/D&gt;&lt;/FQL&gt;&lt;FQL&gt;&lt;Q&gt;TIOS-FDS^FG_PRICE(0)&lt;/Q&gt;&lt;R&gt;1&lt;/R&gt;&lt;C&gt;1&lt;/C&gt;&lt;D xsi:type="xsd:double"&gt;105.81&lt;/D&gt;&lt;/FQL&gt;&lt;FQL&gt;&lt;Q&gt;QAT^FMA_PE(NTMA,0,,,"PORTAGG","MEANR")&lt;/Q&gt;&lt;R&gt;1&lt;/R&gt;&lt;C&gt;1&lt;/C&gt;&lt;D xsi:type="xsd:double"&gt;10.8965848680641&lt;/D&gt;&lt;/FQL&gt;&lt;FQL&gt;&lt;Q&gt;ECH^FMA_PE(NTMA,-10AY,0,AM,"PORTAGG","MEANR")&lt;/Q&gt;&lt;R&gt;121&lt;/R&gt;&lt;C&gt;1&lt;/C&gt;&lt;D xsi:type="xsd:double"&gt;13.6954031649392&lt;/D&gt;&lt;D xsi:type="xsd:double"&gt;13.9310409351698&lt;/D&gt;&lt;D xsi:type="xsd:double"&gt;13.7259866027131&lt;/D&gt;&lt;D xsi:type="xsd:double"&gt;13.2316103650282&lt;/D&gt;&lt;D xsi:type="xsd:double"&gt;13.1405969154122&lt;/D&gt;&lt;D xsi:type="xsd:double"&gt;13.1179981799106&lt;/D&gt;&lt;D xsi:type="xsd:double"&gt;13.7970313415294&lt;/D&gt;&lt;D xsi:type="xsd:double"&gt;14.3176825032873&lt;/D&gt;&lt;D xsi:type="xsd:double"&gt;13.7453094575387&lt;/D&gt;&lt;D xsi:type="xsd:double"&gt;12.9447764430776&lt;/D&gt;&lt;D xsi:type="xsd:double"&gt;12.5475671084626&lt;/D&gt;&lt;D xsi:type="xsd:double"&gt;12.6103151707027&lt;/D&gt;&lt;D xsi:type="xsd:double"&gt;12.8257849104878&lt;/D&gt;&lt;D xsi:type="xsd:double"&gt;13.3940930004024&lt;/D&gt;&lt;D xsi:type="xsd:double"&gt;12.4469459290385&lt;/D&gt;&lt;D xsi:type="xsd:double"&gt;11.8746844697465&lt;/D&gt;&lt;D xsi:type="xsd:double"&gt;12.1100359724933&lt;/D&gt;&lt;D xsi:type="xsd:double"&gt;12.9285138928211&lt;/D&gt;&lt;D xsi:type="xsd:double"&gt;13.2165498582024&lt;/D&gt;&lt;D xsi:type="xsd:double"&gt;13.6997429345673&lt;/D&gt;&lt;D xsi:type="xsd:double"&gt;13.5810468847357&lt;/D&gt;&lt;D xsi:type="xsd:double"&gt;14.6727098124431&lt;/D&gt;&lt;D xsi:type="xsd:double"&gt;15.6068632887407&lt;/D&gt;&lt;D xsi:type="xsd:double"&gt;15.4345232850878&lt;/D&gt;&lt;D xsi:type="xsd:double"&gt;15.7151287563599&lt;/D&gt;&lt;D xsi:type="xsd:double"&gt;16.4421898480853&lt;/D&gt;&lt;D xsi:type="xsd:double"&gt;16.1453295470402&lt;/D&gt;&lt;D xsi:type="xsd:double"&gt;15.4094590510503&lt;/D&gt;&lt;D xsi:type="xsd:double"&gt;15.9361932305427&lt;/D&gt;&lt;D xsi:type="xsd:double"&gt;16.0809480711577&lt;/D&gt;&lt;D xsi:type="xsd:double"&gt;17.3445917343126&lt;/D&gt;&lt;D xsi:type="xsd:double"&gt;17.2691251193626&lt;/D&gt;&lt;D xsi:type="xsd:double"&gt;16.8218253867076&lt;/D&gt;&lt;D xsi:type="xsd:double"&gt;17.2487213788202&lt;/D&gt;&lt;D xsi:type="xsd:double"&gt;17.5128420144217&lt;/D&gt;&lt;D xsi:type="xsd:double"&gt;18.6221962080739&lt;/D&gt;&lt;D xsi:type="xsd:double"&gt;15.5199698074076&lt;/D&gt;&lt;D xsi:type="xsd:double"&gt;14.5367141149447&lt;/D&gt;&lt;D xsi:type="xsd:double"&gt;12.6204571616106&lt;/D&gt;&lt;D xsi:type="xsd:double"&gt;14.4590556803342&lt;/D&gt;&lt;D xsi:type="xsd:double"&gt;14.0148303633947&lt;/D&gt;&lt;D xsi:type="xsd:double"&gt;14.3145042418564&lt;/D&gt;&lt;D xsi:type="xsd:double"&gt;13.7811426712388&lt;/D&gt;&lt;D xsi:type="xsd:double"&gt;13.4113625139861&lt;/D&gt;&lt;D xsi:type="xsd:double"&gt;12.3338419375744&lt;/D&gt;&lt;D xsi:type="xsd:double"&gt;11.6558230180916&lt;/D&gt;&lt;D xsi:type="xsd:double"&gt;11.7260934978313&lt;/D&gt;&lt;D xsi:type="xsd:double"&gt;11.4915485648781&lt;/D&gt;&lt;D xsi:type="xsd:double"&gt;15.8169672384738&lt;/D&gt;&lt;D xsi:type="xsd:double"&gt;15.0969721224767&lt;/D&gt;&lt;D xsi:type="xsd:double"&gt;14.4429567086209&lt;/D&gt;&lt;D xsi:type="xsd:double"&gt;8.99121708863487&lt;/D&gt;&lt;D xsi:type="xsd:double"&gt;8.85992591661941&lt;/D&gt;&lt;D xsi:type="xsd:double"&gt;8.85676530162334&lt;/D&gt;&lt;D xsi:type="xsd:double"&gt;8.54145041769947&lt;/D&gt;&lt;D xsi:type="xsd:double"&gt;9.19242884851572&lt;/D&gt;&lt;D xsi:type="xsd:double"&gt;8.2515031572363&lt;/D&gt;&lt;D xsi:type="xsd:double"&gt;8.87572972584714&lt;/D&gt;&lt;D xsi:type="xsd:double"&gt;8.76257893885894&lt;/D&gt;&lt;D xsi:type="xsd:double"&gt;9.17122809254889&lt;/D&gt;&lt;D xsi:type="xsd:double"&gt;9.37278829546033&lt;/D&gt;&lt;D xsi:type="xsd:double"&gt;8.23406350841514&lt;/D&gt;&lt;D xsi:type="xsd:double"&gt;8.32104120350298&lt;/D&gt;&lt;D xsi:type="xsd:double"&gt;9.44106255563625&lt;/D&gt;&lt;D xsi:type="xsd:double"&gt;8.63971367658072&lt;/D&gt;&lt;D xsi:type="xsd:double"&gt;7.38502594719301&lt;/D&gt;&lt;D xsi:type="xsd:double"&gt;7.71790841382848&lt;/D&gt;&lt;D xsi:type="xsd:double"&gt;122.89217018467&lt;/D&gt;&lt;D xsi:type="xsd:double"&gt;14.4737851956793&lt;/D&gt;&lt;D xsi:type="xsd:double"&gt;15.0302483368642&lt;/D&gt;&lt;D xsi:type="xsd:double"&gt;15.6973457575989&lt;/D&gt;&lt;D xsi:type="xsd:double"&gt;14.2406057142443&lt;/D&gt;&lt;D xsi:type="xsd:double"&gt;13.9359390475774&lt;/D&gt;&lt;D xsi:type="xsd:double"&gt;14.7916631561645&lt;/D&gt;&lt;D xsi:type="xsd:double"&gt;14.3454004940814&lt;/D&gt;&lt;D xsi:type="xsd:double"&gt;15.0362906552422&lt;/D&gt;&lt;D xsi:type="xsd:double"&gt;14.4120205023849&lt;/D&gt;&lt;D xsi:type="xsd:double"&gt;15.0962742034616&lt;/D&gt;&lt;D xsi:type="xsd:double"&gt;14.1363086121515&lt;/D&gt;&lt;D xsi:type="xsd:double"&gt;12.7155740034218&lt;/D&gt;&lt;D xsi:type="xsd:double"&gt;11.342482246522&lt;/D&gt;&lt;D xsi:type="xsd:double"&gt;10.8665538231117&lt;/D&gt;&lt;D xsi:type="xsd:double"&gt;10.6116432980127&lt;/D&gt;&lt;D xsi:type="xsd:double"&gt;10.2594128649601&lt;/D&gt;&lt;D xsi:type="xsd:double"&gt;9.47600815090927&lt;/D&gt;&lt;D xsi:type="xsd:double"&gt;9.93862027690158&lt;/D&gt;&lt;D xsi:type="xsd:double"&gt;9.68776132598701&lt;/D&gt;&lt;D xsi:type="xsd:double"&gt;9.08052257393124&lt;/D&gt;&lt;D xsi:type="xsd:double"&gt;10.1915275532783&lt;/D&gt;&lt;D xsi:type="xsd:double"&gt;9.40991960411893&lt;/D&gt;&lt;D xsi:type="xsd:double"&gt;9.53202626852033&lt;/D&gt;&lt;D xsi:type="xsd:double"&gt;8.30981211025822&lt;/D&gt;&lt;D xsi:type="xsd:double"&gt;7.14701722384741&lt;/D&gt;&lt;D xsi:type="xsd:double"&gt;6.48755968974649&lt;/D&gt;&lt;D xsi:type="xsd:double"&gt;6.63584585852296&lt;/D&gt;&lt;D xsi:type="xsd:double"&gt;6.94548321528993&lt;/D&gt;&lt;D xsi:type="xsd:double"&gt;7.13859551051397&lt;/D&gt;&lt;D xsi:type="xsd:double"&gt;7.81425452674355&lt;/D&gt;&lt;D xsi:type="xsd:double"&gt;7.21500011982113&lt;/D&gt;&lt;D xsi:type="xsd:double"&gt;7.23778164936346&lt;/D&gt;&lt;D xsi:type="xsd:double"&gt;7.91343754798214&lt;/D&gt;&lt;D xsi:type="xsd:double"&gt;7.80504151480324&lt;/D&gt;&lt;D xsi:type="xsd:double"&gt;7.32355123848825&lt;/D&gt;&lt;D xsi:type="xsd:double"&gt;8.43380329669693&lt;/D&gt;&lt;D xsi:type="xsd:double"&gt;8.29050534631694&lt;/D&gt;&lt;D xsi:type="xsd:double"&gt;8.88601473621074&lt;/D&gt;&lt;D xsi:type="xsd:double"&gt;9.30883340163951&lt;/D&gt;&lt;D xsi:type="xsd:double"&gt;8.65019727719687&lt;/D&gt;&lt;D xsi:type="xsd:double"&gt;8.60618398809283&lt;/D&gt;&lt;D xsi:type="xsd:double"&gt;8.26737478135311&lt;/D&gt;&lt;D xsi:type="xsd:double"&gt;9.32377921092715&lt;/D&gt;&lt;D xsi:type="xsd:double"&gt;9.54406551127428&lt;/D&gt;&lt;D xsi:type="xsd:double"&gt;9.41365380733767&lt;/D&gt;&lt;D xsi:type="xsd:double"&gt;10.0458649142612&lt;/D&gt;&lt;D xsi:type="xsd:double"&gt;10.1055003147424&lt;/D&gt;&lt;D xsi:type="xsd:double"&gt;10.2508626237018&lt;/D&gt;&lt;D xsi:type="xsd:double"&gt;10.1868659118887&lt;/D&gt;&lt;D xsi:type="xsd:double"&gt;9.72069307569812&lt;/D&gt;&lt;D xsi:type="xsd:double"&gt;9.19475255962757&lt;/D&gt;&lt;D xsi:type="xsd:double"&gt;9.045349509152&lt;/D&gt;&lt;D xsi:type="xsd:double"&gt;9.37887020616838&lt;/D&gt;&lt;/FQL&gt;&lt;FQL&gt;&lt;Q&gt;MCHI^FG_TOTAL_RETURNC(0,-6AM)&lt;/Q&gt;&lt;R&gt;1&lt;/R&gt;&lt;C&gt;1&lt;/C&gt;&lt;D xsi:type="xsd:double"&gt;30.699408&lt;/D&gt;&lt;/FQL&gt;&lt;FQL&gt;&lt;Q&gt;VWO^P_PRICE(0)/P_PRICE_HIGH_PR(0,,,,,,"PRICE","INTRA","52W")&lt;/Q&gt;&lt;R&gt;1&lt;/R&gt;&lt;C&gt;1&lt;/C&gt;&lt;D xsi:type="xsd:double"&gt;0.9644947&lt;/D&gt;&lt;/FQL&gt;&lt;FQL&gt;&lt;Q&gt;TRYZA10Y-FDS^PCTCHG(FG_YIELD(0,,,,"YTM"),FG_YIELD(-3AM,,,,"YTM"))&lt;/Q&gt;&lt;R&gt;1&lt;/R&gt;&lt;C&gt;1&lt;/C&gt;&lt;D xsi:type="xsd:double"&gt;-5.796954&lt;/D&gt;&lt;/FQL&gt;&lt;FQL&gt;&lt;Q&gt;EWW^FMA_PE(NTMA,0,,,"PORTAGG","MEANR")&lt;/Q&gt;&lt;R&gt;1&lt;/R&gt;&lt;C&gt;1&lt;/C&gt;&lt;D xsi:type="xsd:double"&gt;10.8032984285862&lt;/D&gt;&lt;/FQL&gt;&lt;FQL&gt;&lt;Q&gt;CAGDPY@CN^EE_ACTUAL_ANNUAL(MED,+1)&lt;/Q&gt;&lt;R&gt;1&lt;/R&gt;&lt;C&gt;1&lt;/C&gt;&lt;D xsi:type="xsd:double"&gt;1.3&lt;/D&gt;&lt;/FQL&gt;&lt;FQL&gt;&lt;Q&gt;PLATI-FDS^FG_PRICE(0)/MAX(FG_PRICE(0,-1AY))&lt;/Q&gt;&lt;R&gt;1&lt;/R&gt;&lt;C&gt;1&lt;/C&gt;&lt;D xsi:type="xsd:double"&gt;0.898035547240412&lt;/D&gt;&lt;/FQL&gt;&lt;FQL&gt;&lt;Q&gt;MCHI^FG_TOTAL_RETURNC(0,-3AM)&lt;/Q&gt;&lt;R&gt;1&lt;/R&gt;&lt;C&gt;1&lt;/C&gt;&lt;D xsi:type="xsd:double"&gt;22.59953&lt;/D&gt;&lt;/FQL&gt;&lt;FQL&gt;&lt;Q&gt;VGK^P_PRICE(0)/P_PRICE_HIGH_PR(0,,,,,,"PRICE","INTRA","52W")&lt;/Q&gt;&lt;R&gt;1&lt;/R&gt;&lt;C&gt;1&lt;/C&gt;&lt;D xsi:type="xsd:double"&gt;0.9605993&lt;/D&gt;&lt;/FQL&gt;&lt;FQL&gt;&lt;Q&gt;REFKRBASE-FDS^FG_YIELD(NOW,,,0)&lt;/Q&gt;&lt;R&gt;1&lt;/R&gt;&lt;C&gt;1&lt;/C&gt;&lt;D xsi:type="xsd:double"&gt;3.5&lt;/D&gt;&lt;/FQL&gt;&lt;FQL&gt;&lt;Q&gt;ECH^FMA_PE(LTM,0,,,"PORTAGG","MEANR")&lt;/Q&gt;&lt;R&gt;1&lt;/R&gt;&lt;C&gt;1&lt;/C&gt;&lt;D xsi:type="xsd:double"&gt;12.4326281752786&lt;/D&gt;&lt;/FQL&gt;&lt;FQL&gt;&lt;Q&gt;KSA^PERCENT_CHANGE(FMA_EPS(+1,0,,,,"PORTAGG","MEAN"),FMA_EPS(+1,-3AM,,,,"PORTAGG","MEAN"))&lt;/Q&gt;&lt;R&gt;1&lt;/R&gt;&lt;C&gt;1&lt;/C&gt;&lt;D xsi:type="xsd:double"&gt;-2.46457894912677&lt;/D&gt;&lt;/FQL&gt;&lt;FQL&gt;&lt;Q&gt;USDSAR^FG_PRICE_CHANGE(0,-1AY)&lt;/Q&gt;&lt;R&gt;1&lt;/R&gt;&lt;C&gt;1&lt;/C&gt;&lt;D xsi:type="xsd:double"&gt;0.10397434&lt;/D&gt;&lt;/FQL&gt;&lt;FQL&gt;&lt;Q&gt;EZA^FG_PRICE_MAVG(0,,,,200)&lt;/Q&gt;&lt;R&gt;1&lt;/R&gt;&lt;C&gt;1&lt;/C&gt;&lt;D xsi:type="xsd:double"&gt;42.218&lt;/D&gt;&lt;/FQL&gt;&lt;FQL&gt;&lt;Q&gt;MCHI^FG_TOTAL_RETURNC(0,-1AM)&lt;/Q&gt;&lt;R&gt;1&lt;/R&gt;&lt;C&gt;1&lt;/C&gt;&lt;D xsi:type="xsd:double"&gt;29.483055&lt;/D&gt;&lt;/FQL&gt;&lt;FQL&gt;&lt;Q&gt;USDMXN^FG_PRICE_CHANGE(0,-3AM)&lt;/Q&gt;&lt;R&gt;1&lt;/R&gt;&lt;C&gt;1&lt;/C&gt;&lt;D xsi:type="xsd:double"&gt;9.359407&lt;/D&gt;&lt;/FQL&gt;&lt;FQL&gt;&lt;Q&gt;USDCLP^FG_PRICE_CHANGE(0,-3AM)&lt;/Q&gt;&lt;R&gt;1&lt;/R&gt;&lt;C&gt;1&lt;/C&gt;&lt;D xsi:type="xsd:double"&gt;1.233387&lt;/D&gt;&lt;/FQL&gt;&lt;FQL&gt;&lt;Q&gt;PASP-FDS^FG_PRICE_CHANGE(0,-3AM)&lt;/Q&gt;&lt;R&gt;1&lt;/R&gt;&lt;C&gt;1&lt;/C&gt;&lt;D xsi:type="xsd:double"&gt;6.15690168818273&lt;/D&gt;&lt;/FQL&gt;&lt;FQL&gt;&lt;Q&gt;TIOS-FDS^FG_PRICE_CHANGE(0,-3AM)&lt;/Q&gt;&lt;R&gt;1&lt;/R&gt;&lt;C&gt;1&lt;/C&gt;&lt;D xsi:type="xsd:double"&gt;-2.69450064373735&lt;/D&gt;&lt;/FQL&gt;&lt;FQL&gt;&lt;Q&gt;EIDO^FG_PRICE_MAVG(0,,,,30)&lt;/Q&gt;&lt;R&gt;1&lt;/R&gt;&lt;C&gt;1&lt;/C&gt;&lt;D xsi:type="xsd:double"&gt;22.342&lt;/D&gt;&lt;/FQL&gt;&lt;FQL&gt;&lt;Q&gt;SET-BKK^FMA_PCT_ABOVE_MAVG(200,0,,,,"PORTAGG")&lt;/Q&gt;&lt;R&gt;1&lt;/R&gt;&lt;C&gt;1&lt;/C&gt;&lt;D xsi:type="xsd:double"&gt;41.5430267062315&lt;/D&gt;&lt;/FQL&gt;&lt;FQL&gt;&lt;Q&gt;EWZ^FG_TOTAL_RETURNC(0,-1AM)&lt;/Q&gt;&lt;R&gt;1&lt;/R&gt;&lt;C&gt;1&lt;/C&gt;&lt;D xsi:type="xsd:double"&gt;-1.7235458&lt;/D&gt;&lt;/FQL&gt;&lt;FQL&gt;&lt;Q&gt;EPU^FG_TOTAL_RETURNC(0,-1AM)&lt;/Q&gt;&lt;R&gt;1&lt;/R&gt;&lt;C&gt;1&lt;/C&gt;&lt;D xsi:type="xsd:double"&gt;12.396479&lt;/D&gt;&lt;/FQL&gt;&lt;FQL&gt;&lt;Q&gt;EIDO^SIZE(FG_CONSTITUENTS)&lt;/Q&gt;&lt;R&gt;1&lt;/R&gt;&lt;C&gt;1&lt;/C&gt;&lt;D xsi:type="xsd:long"&gt;74&lt;/D&gt;&lt;/FQL&gt;&lt;FQL&gt;&lt;Q&gt;TUR^JULIAN(FMA_DIV_YLD(NTMA,NOW,NOW,M,"PORTAGG","MEANR").DATES)&lt;/Q&gt;&lt;R&gt;1&lt;/R&gt;&lt;C&gt;1&lt;/C&gt;&lt;D xsi:type="xsd:long"&gt;45565&lt;/D&gt;&lt;/FQL&gt;&lt;FQL&gt;&lt;Q&gt;EWY^FMA_EVAL_EBIT(LTMA,NOW,NOW,M,"PORTAGG","MEANR")&lt;/Q&gt;&lt;R&gt;1&lt;/R&gt;&lt;C&gt;1&lt;/C&gt;&lt;D xsi:type="xsd:double"&gt;14.220451244646&lt;/D&gt;&lt;/FQL&gt;&lt;FQL&gt;&lt;Q&gt;EPHE^FMA_PE(LTM,0,,,"PORTAGG","MEANR")&lt;/Q&gt;&lt;R&gt;1&lt;/R&gt;&lt;C&gt;1&lt;/C&gt;&lt;D xsi:type="xsd:double"&gt;12.1113827043926&lt;/D&gt;&lt;/FQL&gt;&lt;FQL&gt;&lt;Q&gt;CNYA^FG_COMPANY_NAME&lt;/Q&gt;&lt;R&gt;1&lt;/R&gt;&lt;C&gt;1&lt;/C&gt;&lt;D xsi:type="xsd:string"&gt;iShares MSCI China A ETF&lt;/D&gt;&lt;/FQL&gt;&lt;FQL&gt;&lt;Q&gt;ECH^P_PRICE_RETURNS_PR('52W',2,-10AY,0,AM)&lt;/Q&gt;&lt;R&gt;121&lt;/R&gt;&lt;C&gt;1&lt;/C&gt;&lt;D xsi:type="xsd:double"&gt;-19.516325&lt;/D&gt;&lt;D xsi:type="xsd:double"&gt;-11.936087&lt;/D&gt;&lt;D xsi:type="xsd:double"&gt;-12.879342&lt;/D&gt;&lt;D xsi:type="xsd:double"&gt;-13.268709&lt;/D&gt;&lt;D xsi:type="xsd:double"&gt;-2.4632633&lt;/D&gt;&lt;D xsi:type="xsd:double"&gt;-7.1804523&lt;/D&gt;&lt;D xsi:type="xsd:double"&gt;-9.687674&lt;/D&gt;&lt;D xsi:type="xsd:double"&gt;-4.993314&lt;/D&gt;&lt;D xsi:type="xsd:double"&gt;-13.530886&lt;/D&gt;&lt;D xsi:type="xsd:double"&gt;-18.315052&lt;/D&gt;&lt;D xsi:type="xsd:double"&gt;-15.460038&lt;/D&gt;&lt;D xsi:type="xsd:double"&gt;-20.810722&lt;/D&gt;&lt;D xsi:type="xsd:double"&gt;-13.765979&lt;/D&gt;&lt;D xsi:type="xsd:double"&gt;-18.221123&lt;/D&gt;&lt;D xsi:type="xsd:double"&gt;-19.553345&lt;/D&gt;&lt;D xsi:type="xsd:double"&gt;-21.641588&lt;/D&gt;&lt;D xsi:type="xsd:double"&gt;-17.302597&lt;/D&gt;&lt;D xsi:type="xsd:double"&gt;-7.3346853&lt;/D&gt;&lt;D xsi:type="xsd:double"&gt;-13.143909&lt;/D&gt;&lt;D xsi:type="xsd:double"&gt;-14.589554&lt;/D&gt;&lt;D xsi:type="xsd:double"&gt;-8.246994&lt;/D&gt;&lt;D xsi:type="xsd:double"&gt;5.8164&lt;/D&gt;&lt;D xsi:type="xsd:double"&gt;9.265078&lt;/D&gt;&lt;D xsi:type="xsd:double"&gt;10.304106&lt;/D&gt;&lt;D xsi:type="xsd:double"&gt;6.295657&lt;/D&gt;&lt;D xsi:type="xsd:double"&gt;15.43001&lt;/D&gt;&lt;D xsi:type="xsd:double"&gt;28.450357&lt;/D&gt;&lt;D xsi:type="xsd:double"&gt;26.909184&lt;/D&gt;&lt;D xsi:type="xsd:double"&gt;29.594028&lt;/D&gt;&lt;D xsi:type="xsd:double"&gt;17.163063&lt;/D&gt;&lt;D xsi:type="xsd:double"&gt;29.381191&lt;/D&gt;&lt;D xsi:type="xsd:double"&gt;18.887222&lt;/D&gt;&lt;D xsi:type="xsd:double"&gt;21.122515&lt;/D&gt;&lt;D xsi:type="xsd:double"&gt;17.96769&lt;/D&gt;&lt;D xsi:type="xsd:double"&gt;19.255936&lt;/D&gt;&lt;D xsi:type="xsd:double"&gt;31.451845&lt;/D&gt;&lt;D xsi:type="xsd:double"&gt;38.97407&lt;/D&gt;&lt;D xsi:type="xsd:double"&gt;31.506264&lt;/D&gt;&lt;D xsi:type="xsd:double"&gt;12.530732&lt;/D&gt;&lt;D xsi:type="xsd:double"&gt;47.13788&lt;/D&gt;&lt;D xsi:type="xsd:double"&gt;33.624817&lt;/D&gt;&lt;D xsi:type="xsd:double"&gt;36.272503&lt;/D&gt;&lt;D xsi:type="xsd:double"&gt;21.376587&lt;/D&gt;&lt;D xsi:type="xsd:double"&gt;26.306332&lt;/D&gt;&lt;D xsi:type="xsd:double"&gt;17.515396&lt;/D&gt;&lt;D xsi:type="xsd:double"&gt;10.333384&lt;/D&gt;&lt;D xsi:type="xsd:double"&gt;1.6682506&lt;/D&gt;&lt;D xsi:type="xsd:double"&gt;-11.115813&lt;/D&gt;&lt;D xsi:type="xsd:double"&gt;-14.443522&lt;/D&gt;&lt;D xsi:type="xsd:double"&gt;-11.989695&lt;/D&gt;&lt;D xsi:type="xsd:double"&gt;-1.1470497&lt;/D&gt;&lt;D xsi:type="xsd:double"&gt;-15.97684&lt;/D&gt;&lt;D xsi:type="xsd:double"&gt;-11.142707&lt;/D&gt;&lt;D xsi:type="xsd:double"&gt;-15.516126999999999&lt;/D&gt;&lt;D xsi:type="xsd:double"&gt;-15.788144&lt;/D&gt;&lt;D xsi:type="xsd:double"&gt;-20.946194&lt;/D&gt;&lt;D xsi:type="xsd:double"&gt;-18.78193&lt;/D&gt;&lt;D xsi:type="xsd:double"&gt;-11.614961&lt;/D&gt;&lt;D xsi:type="xsd:double"&gt;-17.142605&lt;/D&gt;&lt;D xsi:type="xsd:double"&gt;-10.270441&lt;/D&gt;&lt;D xsi:type="xsd:double"&gt;-9.091407&lt;/D&gt;&lt;D xsi:type="xsd:double"&gt;-22.197319&lt;/D&gt;&lt;D xsi:type="xsd:double"&gt;-21.31769&lt;/D&gt;&lt;D xsi:type="xsd:double"&gt;-20.867104&lt;/D&gt;&lt;D xsi:type="xsd:double"&gt;-30.724037&lt;/D&gt;&lt;D xsi:type="xsd:double"&gt;-38.781834&lt;/D&gt;&lt;D xsi:type="xsd:double"&gt;-44.716812&lt;/D&gt;&lt;D xsi:type="xsd:double"&gt;-37.278862&lt;/D&gt;&lt;D xsi:type="xsd:double"&gt;-28.691715&lt;/D&gt;&lt;D xsi:type="xsd:double"&gt;-33.07336&lt;/D&gt;&lt;D xsi:type="xsd:double"&gt;-29.079353&lt;/D&gt;&lt;D xsi:type="xsd:double"&gt;-31.365417&lt;/D&gt;&lt;D xsi:type="xsd:double"&gt;-34.447323&lt;/D&gt;&lt;D xsi:type="xsd:double"&gt;-16.48639&lt;/D&gt;&lt;D xsi:type="xsd:double"&gt;-9.439683&lt;/D&gt;&lt;D xsi:type="xsd:double"&gt;-2.8289258&lt;/D&gt;&lt;D xsi:type="xsd:double"&gt;5.04092&lt;/D&gt;&lt;D xsi:type="xsd:double"&gt;32.1388&lt;/D&gt;&lt;D xsi:type="xsd:double"&gt;48.71142&lt;/D&gt;&lt;D xsi:type="xsd:double"&gt;33.46776&lt;/D&gt;&lt;D xsi:type="xsd:double"&gt;9.183275&lt;/D&gt;&lt;D xsi:type="xsd:double"&gt;6.753993&lt;/D&gt;&lt;D xsi:type="xsd:double"&gt;7.268095&lt;/D&gt;&lt;D xsi:type="xsd:double"&gt;14.726675&lt;/D&gt;&lt;D xsi:type="xsd:double"&gt;5.890894&lt;/D&gt;&lt;D xsi:type="xsd:double"&gt;1.4811397&lt;/D&gt;&lt;D xsi:type="xsd:double"&gt;-10.599446&lt;/D&gt;&lt;D xsi:type="xsd:double"&gt;-23.687565&lt;/D&gt;&lt;D xsi:type="xsd:double"&gt;-13.569498&lt;/D&gt;&lt;D xsi:type="xsd:double"&gt;-17.20341&lt;/D&gt;&lt;D xsi:type="xsd:double"&gt;-14.54556&lt;/D&gt;&lt;D xsi:type="xsd:double"&gt;-20.556427&lt;/D&gt;&lt;D xsi:type="xsd:double"&gt;1.6686201&lt;/D&gt;&lt;D xsi:type="xsd:double"&gt;-6.687993&lt;/D&gt;&lt;D xsi:type="xsd:double"&gt;6.7211747&lt;/D&gt;&lt;D xsi:type="xsd:double"&gt;12.211919&lt;/D&gt;&lt;D xsi:type="xsd:double"&gt;7.0375443&lt;/D&gt;&lt;D xsi:type="xsd:double"&gt;8.73493&lt;/D&gt;&lt;D xsi:type="xsd:double"&gt;15.776884&lt;/D&gt;&lt;D xsi:type="xsd:double"&gt;22.420288&lt;/D&gt;&lt;D xsi:type="xsd:double"&gt;18.64159&lt;/D&gt;&lt;D xsi:type="xsd:double"&gt;14.980936&lt;/D&gt;&lt;D xsi:type="xsd:double"&gt;3.5702825&lt;/D&gt;&lt;D xsi:type="xsd:double"&gt;28.008806&lt;/D&gt;&lt;D xsi:type="xsd:double"&gt;10.509682&lt;/D&gt;&lt;D xsi:type="xsd:double"&gt;35.154045&lt;/D&gt;&lt;D xsi:type="xsd:double"&gt;17.975294&lt;/D&gt;&lt;D xsi:type="xsd:double"&gt;-1.8392265&lt;/D&gt;&lt;D xsi:type="xsd:double"&gt;9.75616&lt;/D&gt;&lt;D xsi:type="xsd:double"&gt;-4.3447375&lt;/D&gt;&lt;D xsi:type="xsd:double"&gt;7.6465607&lt;/D&gt;&lt;D xsi:type="xsd:double"&gt;1.4092803&lt;/D&gt;&lt;D xsi:type="xsd:double"&gt;-11.040926&lt;/D&gt;&lt;D xsi:type="xsd:double"&gt;-6.516308&lt;/D&gt;&lt;D xsi:type="xsd:double"&gt;4.6935797&lt;/D&gt;&lt;D xsi:type="xsd:double"&gt;-1.574713&lt;/D&gt;&lt;D xsi:type="xsd:double"&gt;-3.7877083&lt;/D&gt;&lt;D xsi:type="xsd:double"&gt;-7.3893127&lt;/D&gt;&lt;D xsi:type="xsd:double"&gt;-10.850853&lt;/D&gt;&lt;D xsi:type="xsd:double"&gt;-2.9173493&lt;/D&gt;&lt;D xsi:type="xsd:double"&gt;8.991361&lt;/D&gt;&lt;/FQL&gt;&lt;FQL&gt;&lt;Q&gt;EPOL^P_PRICE(0)/P_PRICE_LOW_PR(0,,,,,,"PRICE","INTRA","52W")-1&lt;/Q&gt;&lt;R&gt;1&lt;/R&gt;&lt;C&gt;1&lt;/C&gt;&lt;D xsi:type="xsd:double"&gt;0.33333325&lt;/D&gt;&lt;/FQL&gt;&lt;FQL&gt;&lt;Q&gt;CC_BR^FG_COMPANY_NAME&lt;/Q&gt;&lt;R&gt;1&lt;/R&gt;&lt;C&gt;1&lt;/C&gt;&lt;D xsi:type="xsd:string"&gt;Brazil&lt;/D&gt;&lt;/FQL&gt;&lt;FQL&gt;&lt;Q&gt;PASP-FDS^FG_PRICE_CHANGE(0,-1AM)&lt;/Q&gt;&lt;R&gt;1&lt;/R&gt;&lt;C&gt;1&lt;/C&gt;&lt;D xsi:type="xsd:double"&gt;10.2061855670103&lt;/D&gt;&lt;/FQL&gt;&lt;FQL&gt;&lt;Q&gt;QAT^FG_PRICE_MAVG(0,,,,200)&lt;/Q&gt;&lt;R&gt;1&lt;/R&gt;&lt;C&gt;1&lt;/C&gt;&lt;D xsi:type="xsd:double"&gt;17.499315&lt;/D&gt;&lt;/FQL&gt;&lt;FQL&gt;&lt;Q&gt;UAE^SIZE(FG_CONSTITUENTS)&lt;/Q&gt;&lt;R&gt;1&lt;/R&gt;&lt;C&gt;1&lt;/C&gt;&lt;D xsi:type="xsd:long"&gt;46&lt;/D&gt;&lt;/FQL&gt;&lt;FQL&gt;&lt;Q&gt;QAT^FG_FCF_YIELD_NTM(0)&lt;/Q&gt;&lt;R&gt;0&lt;/R&gt;&lt;C&gt;0&lt;/C&gt;&lt;/FQL&gt;&lt;FQL&gt;&lt;Q&gt;CC_KR^FG_COMPANY_NAME&lt;/Q&gt;&lt;R&gt;1&lt;/R&gt;&lt;C&gt;1&lt;/C&gt;&lt;D xsi:type="xsd:string"&gt;South Korea&lt;/D&gt;&lt;/FQL&gt;&lt;FQL&gt;&lt;Q&gt;MCHI^FG_PRICE_MAVG(0,,,,60)&lt;/Q&gt;&lt;R&gt;1&lt;/R&gt;&lt;C&gt;1&lt;/C&gt;&lt;D xsi:type="xsd:double"&gt;43.94625&lt;/D&gt;&lt;/FQL&gt;&lt;FQL&gt;&lt;Q&gt;EPOL^PERCENT_CHANGE(FMA_EPS(+1,0,,,,"PORTAGG","MEAN"),FMA_EPS(+1,-3AM,,,,"PORTAGG","MEAN"))&lt;/Q&gt;&lt;R&gt;1&lt;/R&gt;&lt;C&gt;1&lt;/C&gt;&lt;D xsi:type="xsd:double"&gt;-0.861396520656655&lt;/D&gt;&lt;/FQL&gt;&lt;FQL&gt;&lt;Q&gt;REFBRSELIC-FDS^FG_YIELD(NOW,,,0)&lt;/Q&gt;&lt;R&gt;1&lt;/R&gt;&lt;C&gt;1&lt;/C&gt;&lt;D xsi:type="xsd:double"&gt;10.75&lt;/D&gt;&lt;/FQL&gt;&lt;FQL&gt;&lt;Q&gt;EWY^FG_FCF_YIELD_NTM(0)&lt;/Q&gt;&lt;R&gt;1&lt;/R&gt;&lt;C&gt;1&lt;/C&gt;&lt;D xsi:type="xsd:double"&gt;7.44109764196567&lt;/D&gt;&lt;/FQL&gt;&lt;FQL&gt;&lt;Q&gt;CC_MX^FG_COMPANY_NAME&lt;/Q&gt;&lt;R&gt;1&lt;/R&gt;&lt;C&gt;1&lt;/C&gt;&lt;D xsi:type="xsd:string"&gt;Mexico&lt;/D&gt;&lt;/FQL&gt;&lt;FQL&gt;&lt;Q&gt;EIDO^FMA_COS_UP("EPS","1M",+1,NOW,,,"PORTAGG","MEANR")&lt;/Q&gt;&lt;R&gt;1&lt;/R&gt;&lt;C&gt;1&lt;/C&gt;&lt;D xsi:type="xsd:double"&gt;15&lt;/D&gt;&lt;/FQL&gt;&lt;FQL&gt;&lt;Q&gt;EWM^FMA_PE(NTMA,-10AY,0,AM,"PORTAGG","MEANR")&lt;/Q&gt;&lt;R&gt;121&lt;/R&gt;&lt;C&gt;1&lt;/C&gt;&lt;D xsi:type="xsd:double"&gt;15.3235222599883&lt;/D&gt;&lt;D xsi:type="xsd:double"&gt;15.3405229764209&lt;/D&gt;&lt;D xsi:type="xsd:double"&gt;15.1600875045037&lt;/D&gt;&lt;D xsi:type="xsd:double"&gt;14.8987512000946&lt;/D&gt;&lt;D xsi:type="xsd:double"&gt;15.4529060527055&lt;/D&gt;&lt;D xsi:type="xsd:double"&gt;15.5821296016089&lt;/D&gt;&lt;D xsi:type="xsd:double"&gt;16.0597324617278&lt;/D&gt;&lt;D xsi:type="xsd:double"&gt;15.743405845743&lt;/D&gt;&lt;D xsi:type="xsd:double"&gt;15.4258581964886&lt;/D&gt;&lt;D xsi:type="xsd:double"&gt;15.196309421572&lt;/D&gt;&lt;D xsi:type="xsd:double"&gt;14.6189144309964&lt;/D&gt;&lt;D xsi:type="xsd:double"&gt;14.5529072420154&lt;/D&gt;&lt;D xsi:type="xsd:double"&gt;15.5091618656211&lt;/D&gt;&lt;D xsi:type="xsd:double"&gt;15.3127369054409&lt;/D&gt;&lt;D xsi:type="xsd:double"&gt;15.2196292930497&lt;/D&gt;&lt;D xsi:type="xsd:double"&gt;15.2468757450782&lt;/D&gt;&lt;D xsi:type="xsd:double"&gt;15.2180550895074&lt;/D&gt;&lt;D xsi:type="xsd:double"&gt;15.8985799436052&lt;/D&gt;&lt;D xsi:type="xsd:double"&gt;16.2158090055567&lt;/D&gt;&lt;D xsi:type="xsd:double"&gt;15.4437549984439&lt;/D&gt;&lt;D xsi:type="xsd:double"&gt;16.0943332979653&lt;/D&gt;&lt;D xsi:type="xsd:double"&gt;16.1816321563159&lt;/D&gt;&lt;D xsi:type="xsd:double"&gt;16.5158257885684&lt;/D&gt;&lt;D xsi:type="xsd:double"&gt;16.8920222653775&lt;/D&gt;&lt;D xsi:type="xsd:double"&gt;16.7618824976766&lt;/D&gt;&lt;D xsi:type="xsd:double"&gt;16.5169390475569&lt;/D&gt;&lt;D xsi:type="xsd:double"&gt;16.4350333925981&lt;/D&gt;&lt;D xsi:type="xsd:double"&gt;16.6346648367367&lt;/D&gt;&lt;D xsi:type="xsd:double"&gt;16.7527256319644&lt;/D&gt;&lt;D xsi:type="xsd:double"&gt;16.7421626241055&lt;/D&gt;&lt;D xsi:type="xsd:double"&gt;16.8138988052167&lt;/D&gt;&lt;D xsi:type="xsd:double"&gt;16.99893487907&lt;/D&gt;&lt;D xsi:type="xsd:double"&gt;16.7736947450587&lt;/D&gt;&lt;D xsi:type="xsd:double"&gt;16.3591562006005&lt;/D&gt;&lt;D xsi:type="xsd:double"&gt;16.364497530763&lt;/D&gt;&lt;D xsi:type="xsd:double"&gt;16.5187639759449&lt;/D&gt;&lt;D xsi:type="xsd:double"&gt;16.1830770160293&lt;/D&gt;&lt;D xsi:type="xsd:double"&gt;15.820654230795&lt;/D&gt;&lt;D xsi:type="xsd:double"&gt;15.8503690925854&lt;/D&gt;&lt;D xsi:type="xsd:double"&gt;16.6882321645351&lt;/D&gt;&lt;D xsi:type="xsd:double"&gt;16.5197852005975&lt;/D&gt;&lt;D xsi:type="xsd:double"&gt;16.2800313780444&lt;/D&gt;&lt;D xsi:type="xsd:double"&gt;16.450183765034&lt;/D&gt;&lt;D xsi:type="xsd:double"&gt;16.1650576316624&lt;/D&gt;&lt;D xsi:type="xsd:double"&gt;16.2438738288332&lt;/D&gt;&lt;D xsi:type="xsd:double"&gt;15.3732561489101&lt;/D&gt;&lt;D xsi:type="xsd:double"&gt;16.5038169333639&lt;/D&gt;&lt;D xsi:type="xsd:double"&gt;16.4953724657428&lt;/D&gt;&lt;D xsi:type="xsd:double"&gt;15.7624915034816&lt;/D&gt;&lt;D xsi:type="xsd:double"&gt;15.7269475937354&lt;/D&gt;&lt;D xsi:type="xsd:double"&gt;15.7203727589978&lt;/D&gt;&lt;D xsi:type="xsd:double"&gt;16.024859027717&lt;/D&gt;&lt;D xsi:type="xsd:double"&gt;16.2162824888996&lt;/D&gt;&lt;D xsi:type="xsd:double"&gt;16.421799803957&lt;/D&gt;&lt;D xsi:type="xsd:double"&gt;16.1029751453564&lt;/D&gt;&lt;D xsi:type="xsd:double"&gt;15.7367390711844&lt;/D&gt;&lt;D xsi:type="xsd:double"&gt;16.5851204091486&lt;/D&gt;&lt;D xsi:type="xsd:double"&gt;16.729205354237&lt;/D&gt;&lt;D xsi:type="xsd:double"&gt;16.0859217467801&lt;/D&gt;&lt;D xsi:type="xsd:double"&gt;16.0781862525598&lt;/D&gt;&lt;D xsi:type="xsd:double"&gt;15.5727740955687&lt;/D&gt;&lt;D xsi:type="xsd:double"&gt;16.1112795009748&lt;/D&gt;&lt;D xsi:type="xsd:double"&gt;15.7904219970029&lt;/D&gt;&lt;D xsi:type="xsd:double"&gt;16.0174665907436&lt;/D&gt;&lt;D xsi:type="xsd:double"&gt;15.5153164602036&lt;/D&gt;&lt;D xsi:type="xsd:double"&gt;15.1007214061982&lt;/D&gt;&lt;D xsi:type="xsd:double"&gt;15.2052489054921&lt;/D&gt;&lt;D xsi:type="xsd:double"&gt;16.0796758967151&lt;/D&gt;&lt;D xsi:type="xsd:double"&gt;20.0187347482162&lt;/D&gt;&lt;D xsi:type="xsd:double"&gt;19.9551475796642&lt;/D&gt;&lt;D xsi:type="xsd:double"&gt;18.9217071756101&lt;/D&gt;&lt;D xsi:type="xsd:double"&gt;17.847782690166&lt;/D&gt;&lt;D xsi:type="xsd:double"&gt;17.5415384648198&lt;/D&gt;&lt;D xsi:type="xsd:double"&gt;16.5645996499439&lt;/D&gt;&lt;D xsi:type="xsd:double"&gt;15.7604750434525&lt;/D&gt;&lt;D xsi:type="xsd:double"&gt;14.8766274319722&lt;/D&gt;&lt;D xsi:type="xsd:double"&gt;14.3564938610593&lt;/D&gt;&lt;D xsi:type="xsd:double"&gt;14.5682552029241&lt;/D&gt;&lt;D xsi:type="xsd:double"&gt;14.3489651645872&lt;/D&gt;&lt;D xsi:type="xsd:double"&gt;14.0227008394685&lt;/D&gt;&lt;D xsi:type="xsd:double"&gt;14.0277931567615&lt;/D&gt;&lt;D xsi:type="xsd:double"&gt;13.4420273248143&lt;/D&gt;&lt;D xsi:type="xsd:double"&gt;13.3597310833072&lt;/D&gt;&lt;D xsi:type="xsd:double"&gt;14.0547499914923&lt;/D&gt;&lt;D xsi:type="xsd:double"&gt;14.3550270680056&lt;/D&gt;&lt;D xsi:type="xsd:double"&gt;14.1988720294737&lt;/D&gt;&lt;D xsi:type="xsd:double"&gt;14.9444629971879&lt;/D&gt;&lt;D xsi:type="xsd:double"&gt;15.5704052580471&lt;/D&gt;&lt;D xsi:type="xsd:double"&gt;15.582161331003&lt;/D&gt;&lt;D xsi:type="xsd:double"&gt;15.2432994412403&lt;/D&gt;&lt;D xsi:type="xsd:double"&gt;15.3020164408984&lt;/D&gt;&lt;D xsi:type="xsd:double"&gt;14.5823035754872&lt;/D&gt;&lt;D xsi:type="xsd:double"&gt;13.9646426778665&lt;/D&gt;&lt;D xsi:type="xsd:double"&gt;13.295402771202&lt;/D&gt;&lt;D xsi:type="xsd:double"&gt;13.8714181499809&lt;/D&gt;&lt;D xsi:type="xsd:double"&gt;13.8158867736119&lt;/D&gt;&lt;D xsi:type="xsd:double"&gt;12.8553573441155&lt;/D&gt;&lt;D xsi:type="xsd:double"&gt;13.128814670247&lt;/D&gt;&lt;D xsi:type="xsd:double"&gt;13.4465861606019&lt;/D&gt;&lt;D xsi:type="xsd:double"&gt;13.484118857555&lt;/D&gt;&lt;D xsi:type="xsd:double"&gt;13.3423501821552&lt;/D&gt;&lt;D xsi:type="xsd:double"&gt;13.0576524697621&lt;/D&gt;&lt;D xsi:type="xsd:double"&gt;13.1010680075827&lt;/D&gt;&lt;D xsi:type="xsd:double"&gt;13.0882637066239&lt;/D&gt;&lt;D xsi:type="xsd:double"&gt;13.2001467669303&lt;/D&gt;&lt;D xsi:type="xsd:double"&gt;13.2118402025741&lt;/D&gt;&lt;D xsi:type="xsd:double"&gt;13.8370309020266&lt;/D&gt;&lt;D xsi:type="xsd:double"&gt;13.8314710820906&lt;/D&gt;&lt;D xsi:type="xsd:double"&gt;13.5936913281403&lt;/D&gt;&lt;D xsi:type="xsd:double"&gt;13.5560102013726&lt;/D&gt;&lt;D xsi:type="xsd:double"&gt;13.5700335727691&lt;/D&gt;&lt;D xsi:type="xsd:double"&gt;13.7761519507061&lt;/D&gt;&lt;D xsi:type="xsd:double"&gt;13.840535447416&lt;/D&gt;&lt;D xsi:type="xsd:double"&gt;14.003221737652&lt;/D&gt;&lt;D xsi:type="xsd:double"&gt;14.0443586528176&lt;/D&gt;&lt;D xsi:type="xsd:double"&gt;14.3505412227429&lt;/D&gt;&lt;D xsi:type="xsd:double"&gt;14.1387568579396&lt;/D&gt;&lt;D xsi:type="xsd:double"&gt;14.185166039565&lt;/D&gt;&lt;D xsi:type="xsd:double"&gt;13.872964002949&lt;/D&gt;&lt;D xsi:type="xsd:double"&gt;14.4513688300557&lt;/D&gt;&lt;D xsi:type="xsd:double"&gt;14.1661056853189&lt;/D&gt;&lt;/FQL&gt;&lt;FQL&gt;&lt;Q&gt;EPOL^PERCENT_CHANGE(FMA_EPS(+1,0,,,,"PORTAGG","MEAN"),FMA_EPS(+1,-1AM,,,,"PORTAGG","MEAN"))&lt;/Q&gt;&lt;R&gt;1&lt;/R&gt;&lt;C&gt;1&lt;/C&gt;&lt;D xsi:type="xsd:double"&gt;-3.02322659819985&lt;/D&gt;&lt;/FQL&gt;&lt;FQL&gt;&lt;Q&gt;REFBRSELIC-FDS^PROPER_NAME(0,,,"SECURITY","NAME")&lt;/Q&gt;&lt;R&gt;1&lt;/R&gt;&lt;C&gt;1&lt;/C&gt;&lt;D xsi:type="xsd:string"&gt;Brazil Target Selic Rate&lt;/D&gt;&lt;/FQL&gt;&lt;FQL&gt;&lt;Q&gt;EWT^FMA_ROE(NTMA,-20AY,NOW,FY,"PORTAGG","MEANR")&lt;/Q&gt;&lt;R&gt;20&lt;/R&gt;&lt;C&gt;1&lt;/C&gt;&lt;D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xsi:type="xsd:double"&gt;10.8983132441362&lt;/D&gt;&lt;D xsi:type="xsd:double"&gt;11.6209108336754&lt;/D&gt;&lt;D xsi:type="xsd:double"&gt;14.7244118880078&lt;/D&gt;&lt;D xsi:type="xsd:double"&gt;12.9407917731186&lt;/D&gt;&lt;D xsi:type="xsd:double"&gt;11.9161171814971&lt;/D&gt;&lt;/FQL&gt;&lt;FQL&gt;&lt;Q&gt;EWY^P_PRICE(0)/P_PRICE_HIGH_PR(0,,,,,,"PRICE","INTRA","52W")&lt;/Q&gt;&lt;R&gt;1&lt;/R&gt;&lt;C&gt;1&lt;/C&gt;&lt;D xsi:type="xsd:double"&gt;0.9107387&lt;/D&gt;&lt;/FQL&gt;&lt;FQL&gt;&lt;Q&gt;EWW^FMA_DIV_YLD(NTMA,NOW,NOW,M,"PORTAGG","MEANR")&lt;/Q&gt;&lt;R&gt;1&lt;/R&gt;&lt;C&gt;1&lt;/C&gt;&lt;D xsi:type="xsd:double"&gt;4.8761892702337&lt;/D&gt;&lt;/FQL&gt;&lt;FQL&gt;&lt;Q&gt;USDMYR^STD(FG_PRICE_CHANGE(0,-3AY,M))&lt;/Q&gt;&lt;R&gt;1&lt;/R&gt;&lt;C&gt;1&lt;/C&gt;&lt;D xsi:type="xsd:double"&gt;2.57610853714431&lt;/D&gt;&lt;/FQL&gt;&lt;FQL&gt;&lt;Q&gt;FC0000SA^FMA_EPS(NTMA,-20AY,0,CY,,"PORTAGG","MEANR")&lt;/Q&gt;&lt;R&gt;20&lt;/R&gt;&lt;C&gt;1&lt;/C&gt;&lt;D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xsi:type="xsd:double"&gt;2.35315851118074&lt;/D&gt;&lt;D xsi:type="xsd:double"&gt;1.93303149869795&lt;/D&gt;&lt;D xsi:type="xsd:double"&gt;3.07367882843683&lt;/D&gt;&lt;D xsi:type="xsd:double"&gt;3.62922601692517&lt;/D&gt;&lt;D xsi:type="xsd:double"&gt;3.01150373764985&lt;/D&gt;&lt;/FQL&gt;&lt;FQL&gt;&lt;Q&gt;KSA^FG_TOTAL_RETURNC(0,-6AM)&lt;/Q&gt;&lt;R&gt;1&lt;/R&gt;&lt;C&gt;1&lt;/C&gt;&lt;D xsi:type="xsd:double"&gt;-5.9784355&lt;/D&gt;&lt;/FQL&gt;&lt;FQL&gt;&lt;Q&gt;EPHE^FG_TOTAL_RETURNC(0,-12AM)&lt;/Q&gt;&lt;R&gt;1&lt;/R&gt;&lt;C&gt;1&lt;/C&gt;&lt;D xsi:type="xsd:double"&gt;18.194412&lt;/D&gt;&lt;/FQL&gt;&lt;FQL&gt;&lt;Q&gt;USDINR^STD(FG_PRICE_CHANGE(0,-1AY,AM))&lt;/Q&gt;&lt;R&gt;1&lt;/R&gt;&lt;C&gt;1&lt;/C&gt;&lt;D xsi:type="xsd:double"&gt;0.278799073399433&lt;/D&gt;&lt;/FQL&gt;&lt;FQL&gt;&lt;Q&gt;EWW^FG_TOTAL_RETURNC(-10AY,0,AM)&lt;/Q&gt;&lt;R&gt;121&lt;/R&gt;&lt;C&gt;1&lt;/C&gt;&lt;D xsi:type="xsd:double"&gt;-6.9845796&lt;/D&gt;&lt;D xsi:type="xsd:double"&gt;0.9197831&lt;/D&gt;&lt;D xsi:type="xsd:double"&gt;-12.92395&lt;/D&gt;&lt;D xsi:type="xsd:double"&gt;2.5097847&lt;/D&gt;&lt;D xsi:type="xsd:double"&gt;-1.9084573&lt;/D&gt;&lt;D xsi:type="xsd:double"&gt;-4.0117083&lt;/D&gt;&lt;D xsi:type="xsd:double"&gt;7.1748853&lt;/D&gt;&lt;D xsi:type="xsd:double"&gt;0.36820173&lt;/D&gt;&lt;D xsi:type="xsd:double"&gt;-3.3850312&lt;/D&gt;&lt;D xsi:type="xsd:double"&gt;-0.2084136&lt;/D&gt;&lt;D xsi:type="xsd:double"&gt;-0.9928584&lt;/D&gt;&lt;D xsi:type="xsd:double"&gt;-8.427167&lt;/D&gt;&lt;D xsi:type="xsd:double"&gt;5.6292057&lt;/D&gt;&lt;D xsi:type="xsd:double"&gt;-2.3281157&lt;/D&gt;&lt;D xsi:type="xsd:double"&gt;-5.959034&lt;/D&gt;&lt;D xsi:type="xsd:double"&gt;-8.829605&lt;/D&gt;&lt;D xsi:type="xsd:double"&gt;-0.044083595&lt;/D&gt;&lt;D xsi:type="xsd:double"&gt;11.091518&lt;/D&gt;&lt;D xsi:type="xsd:double"&gt;1.6673326&lt;/D&gt;&lt;D xsi:type="xsd:double"&gt;0.60522556&lt;/D&gt;&lt;D xsi:type="xsd:double"&gt;-4.696292&lt;/D&gt;&lt;D xsi:type="xsd:double"&gt;2.3631573&lt;/D&gt;&lt;D xsi:type="xsd:double"&gt;4.628706&lt;/D&gt;&lt;D xsi:type="xsd:double"&gt;-5.3856554&lt;/D&gt;&lt;D xsi:type="xsd:double"&gt;3.516972&lt;/D&gt;&lt;D xsi:type="xsd:double"&gt;-13.1971655&lt;/D&gt;&lt;D xsi:type="xsd:double"&gt;3.710401&lt;/D&gt;&lt;D xsi:type="xsd:double"&gt;-8.046305&lt;/D&gt;&lt;D xsi:type="xsd:double"&gt;11.105812&lt;/D&gt;&lt;D xsi:type="xsd:double"&gt;1.9948483&lt;/D&gt;&lt;D xsi:type="xsd:double"&gt;9.526825&lt;/D&gt;&lt;D xsi:type="xsd:double"&gt;-0.09601116&lt;/D&gt;&lt;D xsi:type="xsd:double"&gt;2.5562167&lt;/D&gt;&lt;D xsi:type="xsd:double"&gt;4.685557&lt;/D&gt;&lt;D xsi:type="xsd:double"&gt;0.5972862&lt;/D&gt;&lt;D xsi:type="xsd:double"&gt;0.50377846&lt;/D&gt;&lt;D xsi:type="xsd:double"&gt;-5.853921&lt;/D&gt;&lt;D xsi:type="xsd:double"&gt;-5.4002643&lt;/D&gt;&lt;D xsi:type="xsd:double"&gt;0.5628109&lt;/D&gt;&lt;D xsi:type="xsd:double"&gt;-0.08285642&lt;/D&gt;&lt;D xsi:type="xsd:double"&gt;1.7380714&lt;/D&gt;&lt;D xsi:type="xsd:double"&gt;3.0393243&lt;/D&gt;&lt;D xsi:type="xsd:double"&gt;2.0628452&lt;/D&gt;&lt;D xsi:type="xsd:double"&gt;-8.273512&lt;/D&gt;&lt;D xsi:type="xsd:double"&gt;-7.495886&lt;/D&gt;&lt;D xsi:type="xsd:double"&gt;14.799822&lt;/D&gt;&lt;D xsi:type="xsd:double"&gt;-2.5338829&lt;/D&gt;&lt;D xsi:type="xsd:double"&gt;-0.6448984&lt;/D&gt;&lt;D xsi:type="xsd:double"&gt;-1.2981713&lt;/D&gt;&lt;D xsi:type="xsd:double"&gt;-12.166047&lt;/D&gt;&lt;D xsi:type="xsd:double"&gt;-6.013113&lt;/D&gt;&lt;D xsi:type="xsd:double"&gt;11.683464&lt;/D&gt;&lt;D xsi:type="xsd:double"&gt;-0.044995546&lt;/D&gt;&lt;D xsi:type="xsd:double"&gt;-5.5367947&lt;/D&gt;&lt;D xsi:type="xsd:double"&gt;11.055517&lt;/D&gt;&lt;D xsi:type="xsd:double"&gt;-4.3338356&lt;/D&gt;&lt;D xsi:type="xsd:double"&gt;0.6055236&lt;/D&gt;&lt;D xsi:type="xsd:double"&gt;-1.8286407&lt;/D&gt;&lt;D xsi:type="xsd:double"&gt;-6.139946&lt;/D&gt;&lt;D xsi:type="xsd:double"&gt;4.887688&lt;/D&gt;&lt;D xsi:type="xsd:double"&gt;2.3534894&lt;/D&gt;&lt;D xsi:type="xsd:double"&gt;3.518045&lt;/D&gt;&lt;D xsi:type="xsd:double"&gt;-2.598852&lt;/D&gt;&lt;D xsi:type="xsd:double"&gt;6.79754&lt;/D&gt;&lt;D xsi:type="xsd:double"&gt;-0.43112636&lt;/D&gt;&lt;D xsi:type="xsd:double"&gt;-18.337297&lt;/D&gt;&lt;D xsi:type="xsd:double"&gt;-25.079536&lt;/D&gt;&lt;D xsi:type="xsd:double"&gt;9.200287&lt;/D&gt;&lt;D xsi:type="xsd:double"&gt;11.082304&lt;/D&gt;&lt;D xsi:type="xsd:double"&gt;-7.585806&lt;/D&gt;&lt;D xsi:type="xsd:double"&gt;6.2103987&lt;/D&gt;&lt;D xsi:type="xsd:double"&gt;-1.7303169&lt;/D&gt;&lt;D xsi:type="xsd:double"&gt;8.743179&lt;/D&gt;&lt;D xsi:type="xsd:double"&gt;8.570635&lt;/D&gt;&lt;D xsi:type="xsd:double"&gt;9.642577&lt;/D&gt;&lt;D xsi:type="xsd:double"&gt;6.9754004&lt;/D&gt;&lt;D xsi:type="xsd:double"&gt;-5.30051&lt;/D&gt;&lt;D xsi:type="xsd:double"&gt;1.7798543&lt;/D&gt;&lt;D xsi:type="xsd:double"&gt;3.842616&lt;/D&gt;&lt;D xsi:type="xsd:double"&gt;5.251491&lt;/D&gt;&lt;D xsi:type="xsd:double"&gt;4.7936797&lt;/D&gt;&lt;D xsi:type="xsd:double"&gt;-3.1180441&lt;/D&gt;&lt;D xsi:type="xsd:double"&gt;1.9017816&lt;/D&gt;&lt;D xsi:type="xsd:double"&gt;2.563572&lt;/D&gt;&lt;D xsi:type="xsd:double"&gt;-3.919214&lt;/D&gt;&lt;D xsi:type="xsd:double"&gt;1.456821&lt;/D&gt;&lt;D xsi:type="xsd:double"&gt;-1.3743579&lt;/D&gt;&lt;D xsi:type="xsd:double"&gt;6.3945174&lt;/D&gt;&lt;D xsi:type="xsd:double"&gt;-1.3877809&lt;/D&gt;&lt;D xsi:type="xsd:double"&gt;-1.0454357&lt;/D&gt;&lt;D xsi:type="xsd:double"&gt;8.004868&lt;/D&gt;&lt;D xsi:type="xsd:double"&gt;-10.4025545&lt;/D&gt;&lt;D xsi:type="xsd:double"&gt;1.0649323&lt;/D&gt;&lt;D xsi:type="xsd:double"&gt;-3.0584276&lt;/D&gt;&lt;D xsi:type="xsd:double"&gt;2.6109695&lt;/D&gt;&lt;D xsi:type="xsd:double"&gt;-1.0602176&lt;/D&gt;&lt;D xsi:type="xsd:double"&gt;-2.6789546&lt;/D&gt;&lt;D xsi:type="xsd:double"&gt;17.000664&lt;/D&gt;&lt;D xsi:type="xsd:double"&gt;-3.030306&lt;/D&gt;&lt;D xsi:type="xsd:double"&gt;7.9309225&lt;/D&gt;&lt;D xsi:type="xsd:double"&gt;3.3400655&lt;/D&gt;&lt;D xsi:type="xsd:double"&gt;1.1898398&lt;/D&gt;&lt;D xsi:type="xsd:double"&gt;3.7030578&lt;/D&gt;&lt;D xsi:type="xsd:double"&gt;6.4308643&lt;/D&gt;&lt;D xsi:type="xsd:double"&gt;0.7882476&lt;/D&gt;&lt;D xsi:type="xsd:double"&gt;-0.47679543&lt;/D&gt;&lt;D xsi:type="xsd:double"&gt;0.27148724&lt;/D&gt;&lt;D xsi:type="xsd:double"&gt;-5.4307995&lt;/D&gt;&lt;D xsi:type="xsd:double"&gt;-5.304819&lt;/D&gt;&lt;D xsi:type="xsd:double"&gt;4.943979&lt;/D&gt;&lt;D xsi:type="xsd:double"&gt;8.337569&lt;/D&gt;&lt;D xsi:type="xsd:double"&gt;4.0847063&lt;/D&gt;&lt;D xsi:type="xsd:double"&gt;2.8841734&lt;/D&gt;&lt;D xsi:type="xsd:double"&gt;-2.71433&lt;/D&gt;&lt;D xsi:type="xsd:double"&gt;4.3451786&lt;/D&gt;&lt;D xsi:type="xsd:double"&gt;0.043833256&lt;/D&gt;&lt;D xsi:type="xsd:double"&gt;-15.525049&lt;/D&gt;&lt;D xsi:type="xsd:double"&gt;5.111325&lt;/D&gt;&lt;D xsi:type="xsd:double"&gt;-7.6961336&lt;/D&gt;&lt;D xsi:type="xsd:double"&gt;-8.3378315&lt;/D&gt;&lt;D xsi:type="xsd:double"&gt;6.8221927&lt;/D&gt;&lt;/FQL&gt;&lt;FQL&gt;&lt;Q&gt;SET-BKK^FMA_RBICS_REV_CURRENT(30, LOC, "PORTAGG")&lt;/Q&gt;&lt;R&gt;1&lt;/R&gt;&lt;C&gt;1&lt;/C&gt;&lt;D xsi:type="xsd:double"&gt;23.7213793470415&lt;/D&gt;&lt;/FQL&gt;&lt;FQL&gt;&lt;Q&gt;QAT^FMA_PE(LTM,0,,,"PORTAGG","MEANR")&lt;/Q&gt;&lt;R&gt;1&lt;/R&gt;&lt;C&gt;1&lt;/C&gt;&lt;D xsi:type="xsd:double"&gt;11.8508509263323&lt;/D&gt;&lt;/FQL&gt;&lt;FQL&gt;&lt;Q&gt;VGK^JULIAN(FMA_DIV_YLD(NTMA,NOW,NOW,M,"PORTAGG","MEANR").DATES)&lt;/Q&gt;&lt;R&gt;1&lt;/R&gt;&lt;C&gt;1&lt;/C&gt;&lt;D xsi:type="xsd:long"&gt;45504&lt;/D&gt;&lt;/FQL&gt;&lt;FQL&gt;&lt;Q&gt;EWT^FG_TOTAL_RETURNC(-10AY,0,AM)&lt;/Q&gt;&lt;R&gt;121&lt;/R&gt;&lt;C&gt;1&lt;/C&gt;&lt;D xsi:type="xsd:double"&gt;-8.69565&lt;/D&gt;&lt;D xsi:type="xsd:double"&gt;5.7679415&lt;/D&gt;&lt;D xsi:type="xsd:double"&gt;-3.8046956&lt;/D&gt;&lt;D xsi:type="xsd:double"&gt;-0.1715064&lt;/D&gt;&lt;D xsi:type="xsd:double"&gt;4.377103&lt;/D&gt;&lt;D xsi:type="xsd:double"&gt;-0.7741928&lt;/D&gt;&lt;D xsi:type="xsd:double"&gt;4.031205&lt;/D&gt;&lt;D xsi:type="xsd:double"&gt;2.7500033&lt;/D&gt;&lt;D xsi:type="xsd:double"&gt;-4.1362524&lt;/D&gt;&lt;D xsi:type="xsd:double"&gt;-3.04569&lt;/D&gt;&lt;D xsi:type="xsd:double"&gt;-5.3010464&lt;/D&gt;&lt;D xsi:type="xsd:double"&gt;-5.8051167&lt;/D&gt;&lt;D xsi:type="xsd:double"&gt;3.9618492&lt;/D&gt;&lt;D xsi:type="xsd:double"&gt;-3.0345798&lt;/D&gt;&lt;D xsi:type="xsd:double"&gt;-4.1484714&lt;/D&gt;&lt;D xsi:type="xsd:double"&gt;-8.261043&lt;/D&gt;&lt;D xsi:type="xsd:double"&gt;3.412962&lt;/D&gt;&lt;D xsi:type="xsd:double"&gt;10.72607&lt;/D&gt;&lt;D xsi:type="xsd:double"&gt;-1.0432243&lt;/D&gt;&lt;D xsi:type="xsd:double"&gt;-4.819274&lt;/D&gt;&lt;D xsi:type="xsd:double"&gt;7.6740503&lt;/D&gt;&lt;D xsi:type="xsd:double"&gt;3.8207293&lt;/D&gt;&lt;D xsi:type="xsd:double"&gt;10.969567&lt;/D&gt;&lt;D xsi:type="xsd:double"&gt;-4.0816364&lt;/D&gt;&lt;D xsi:type="xsd:double"&gt;5.651593&lt;/D&gt;&lt;D xsi:type="xsd:double"&gt;-5.695409&lt;/D&gt;&lt;D xsi:type="xsd:double"&gt;4.6379805&lt;/D&gt;&lt;D xsi:type="xsd:double"&gt;-0.696373&lt;/D&gt;&lt;D xsi:type="xsd:double"&gt;6.1143994&lt;/D&gt;&lt;D xsi:type="xsd:double"&gt;-0.8054495&lt;/D&gt;&lt;D xsi:type="xsd:double"&gt;3.4353495&lt;/D&gt;&lt;D xsi:type="xsd:double"&gt;3.6533952&lt;/D&gt;&lt;D xsi:type="xsd:double"&gt;1.3108015&lt;/D&gt;&lt;D xsi:type="xsd:double"&gt;2.3289323&lt;/D&gt;&lt;D xsi:type="xsd:double"&gt;1.0396123&lt;/D&gt;&lt;D xsi:type="xsd:double"&gt;4.115689&lt;/D&gt;&lt;D xsi:type="xsd:double"&gt;-1.5491426&lt;/D&gt;&lt;D xsi:type="xsd:double"&gt;1.8990755&lt;/D&gt;&lt;D xsi:type="xsd:double"&gt;-3.4078896&lt;/D&gt;&lt;D xsi:type="xsd:double"&gt;4.787314&lt;/D&gt;&lt;D xsi:type="xsd:double"&gt;-2.7875602&lt;/D&gt;&lt;D xsi:type="xsd:double"&gt;6.3196063&lt;/D&gt;&lt;D xsi:type="xsd:double"&gt;0.07855892&lt;/D&gt;&lt;D xsi:type="xsd:double"&gt;-3.008902&lt;/D&gt;&lt;D xsi:type="xsd:double"&gt;1.5915871&lt;/D&gt;&lt;D xsi:type="xsd:double"&gt;-3.5847008&lt;/D&gt;&lt;D xsi:type="xsd:double"&gt;2.7815938&lt;/D&gt;&lt;D xsi:type="xsd:double"&gt;-1.9828439&lt;/D&gt;&lt;D xsi:type="xsd:double"&gt;-6.8343344&lt;/D&gt;&lt;D xsi:type="xsd:double"&gt;-2.8169096&lt;/D&gt;&lt;D xsi:type="xsd:double"&gt;-2.2644937&lt;/D&gt;&lt;D xsi:type="xsd:double"&gt;1.5578747&lt;/D&gt;&lt;D xsi:type="xsd:double"&gt;2.9808521&lt;/D&gt;&lt;D xsi:type="xsd:double"&gt;0.27422905&lt;/D&gt;&lt;D xsi:type="xsd:double"&gt;7.9611063&lt;/D&gt;&lt;D xsi:type="xsd:double"&gt;-1.3791084&lt;/D&gt;&lt;D xsi:type="xsd:double"&gt;-3.9668918&lt;/D&gt;&lt;D xsi:type="xsd:double"&gt;5.646348&lt;/D&gt;&lt;D xsi:type="xsd:double"&gt;-4.078764&lt;/D&gt;&lt;D xsi:type="xsd:double"&gt;5.1612973&lt;/D&gt;&lt;D xsi:type="xsd:double"&gt;3.8204074&lt;/D&gt;&lt;D xsi:type="xsd:double"&gt;7.8699946&lt;/D&gt;&lt;D xsi:type="xsd:double"&gt;-0.17430186&lt;/D&gt;&lt;D xsi:type="xsd:double"&gt;5.0860524&lt;/D&gt;&lt;D xsi:type="xsd:double"&gt;-3.2360077&lt;/D&gt;&lt;D xsi:type="xsd:double"&gt;-4.978627&lt;/D&gt;&lt;D xsi:type="xsd:double"&gt;-9.341103&lt;/D&gt;&lt;D xsi:type="xsd:double"&gt;8.844137&lt;/D&gt;&lt;D xsi:type="xsd:double"&gt;8.608198&lt;/D&gt;&lt;D xsi:type="xsd:double"&gt;4.222214&lt;/D&gt;&lt;D xsi:type="xsd:double"&gt;7.7706814&lt;/D&gt;&lt;D xsi:type="xsd:double"&gt;-2.681911&lt;/D&gt;&lt;D xsi:type="xsd:double"&gt;5.6471705&lt;/D&gt;&lt;D xsi:type="xsd:double"&gt;1.2614965&lt;/D&gt;&lt;D xsi:type="xsd:double"&gt;10.472965&lt;/D&gt;&lt;D xsi:type="xsd:double"&gt;9.589804&lt;/D&gt;&lt;D xsi:type="xsd:double"&gt;4.4250846&lt;/D&gt;&lt;D xsi:type="xsd:double"&gt;-2.450645&lt;/D&gt;&lt;D xsi:type="xsd:double"&gt;6.245637&lt;/D&gt;&lt;D xsi:type="xsd:double"&gt;3.5632133&lt;/D&gt;&lt;D xsi:type="xsd:double"&gt;0.66592693&lt;/D&gt;&lt;D xsi:type="xsd:double"&gt;1.5277982&lt;/D&gt;&lt;D xsi:type="xsd:double"&gt;-1.0549188&lt;/D&gt;&lt;D xsi:type="xsd:double"&gt;2.1636963&lt;/D&gt;&lt;D xsi:type="xsd:double"&gt;-6.0313106&lt;/D&gt;&lt;D xsi:type="xsd:double"&gt;5.35686&lt;/D&gt;&lt;D xsi:type="xsd:double"&gt;3.6583543&lt;/D&gt;&lt;D xsi:type="xsd:double"&gt;1.8617511&lt;/D&gt;&lt;D xsi:type="xsd:double"&gt;-0.5129039&lt;/D&gt;&lt;D xsi:type="xsd:double"&gt;-6.929487&lt;/D&gt;&lt;D xsi:type="xsd:double"&gt;-2.525252&lt;/D&gt;&lt;D xsi:type="xsd:double"&gt;-9.744281&lt;/D&gt;&lt;D xsi:type="xsd:double"&gt;1.6111135&lt;/D&gt;&lt;D xsi:type="xsd:double"&gt;-9.586292&lt;/D&gt;&lt;D xsi:type="xsd:double"&gt;5.0393105&lt;/D&gt;&lt;D xsi:type="xsd:double"&gt;-5.008638&lt;/D&gt;&lt;D xsi:type="xsd:double"&gt;-13.696968&lt;/D&gt;&lt;D xsi:type="xsd:double"&gt;9.035587&lt;/D&gt;&lt;D xsi:type="xsd:double"&gt;6.247318&lt;/D&gt;&lt;D xsi:type="xsd:double"&gt;2.5670648&lt;/D&gt;&lt;D xsi:type="xsd:double"&gt;4.3943286&lt;/D&gt;&lt;D xsi:type="xsd:double"&gt;-3.1403124&lt;/D&gt;&lt;D xsi:type="xsd:double"&gt;3.334093&lt;/D&gt;&lt;D xsi:type="xsd:double"&gt;-1.9581616&lt;/D&gt;&lt;D xsi:type="xsd:double"&gt;8.034492&lt;/D&gt;&lt;D xsi:type="xsd:double"&gt;-2.8781474&lt;/D&gt;&lt;D xsi:type="xsd:double"&gt;-0.12978911&lt;/D&gt;&lt;D xsi:type="xsd:double"&gt;-2.2092223&lt;/D&gt;&lt;D xsi:type="xsd:double"&gt;1.4839411&lt;/D&gt;&lt;D xsi:type="xsd:double"&gt;0.9</t>
        </r>
      </text>
    </comment>
    <comment ref="A19" authorId="0" shapeId="0" xr:uid="{A265E4CD-95DD-407F-A1D6-F3753313E0B4}">
      <text>
        <r>
          <rPr>
            <b/>
            <sz val="9"/>
            <color indexed="81"/>
            <rFont val="Tahoma"/>
            <charset val="1"/>
          </rPr>
          <t>16636&lt;/D&gt;&lt;D xsi:type="xsd:double"&gt;4.995668&lt;/D&gt;&lt;D xsi:type="xsd:double"&gt;1.9991755&lt;/D&gt;&lt;D xsi:type="xsd:double"&gt;6.282723&lt;/D&gt;&lt;D xsi:type="xsd:double"&gt;3.7909627&lt;/D&gt;&lt;D xsi:type="xsd:double"&gt;1.650846&lt;/D&gt;&lt;D xsi:type="xsd:double"&gt;0.40601492&lt;/D&gt;&lt;D xsi:type="xsd:double"&gt;4.2660713&lt;/D&gt;&lt;D xsi:type="xsd:double"&gt;10.29669&lt;/D&gt;&lt;D xsi:type="xsd:double"&gt;-9.493673&lt;/D&gt;&lt;D xsi:type="xsd:double"&gt;-1.3209045&lt;/D&gt;&lt;D xsi:type="xsd:double"&gt;7.1653485&lt;/D&gt;&lt;/FQL&gt;&lt;FQL&gt;&lt;Q&gt;QAT^JULIAN(FMA_DIV_YLD(NTMA,NOW,NOW,M,"PORTAGG","MEANR").DATES)&lt;/Q&gt;&lt;R&gt;1&lt;/R&gt;&lt;C&gt;1&lt;/C&gt;&lt;D xsi:type="xsd:long"&gt;45565&lt;/D&gt;&lt;/FQL&gt;&lt;FQL&gt;&lt;Q&gt;USDMYR^FG_PRICE_CHANGE(0,-6AM)&lt;/Q&gt;&lt;R&gt;1&lt;/R&gt;&lt;C&gt;1&lt;/C&gt;&lt;D xsi:type="xsd:double"&gt;-9.60505&lt;/D&gt;&lt;/FQL&gt;&lt;FQL&gt;&lt;Q&gt;EZA^FMA_PE(NTMA,-10AY,0,AM,"PORTAGG","MEANR")&lt;/Q&gt;&lt;R&gt;121&lt;/R&gt;&lt;C&gt;1&lt;/C&gt;&lt;D xsi:type="xsd:double"&gt;13.9919316522639&lt;/D&gt;&lt;D xsi:type="xsd:double"&gt;15.0391906919643&lt;/D&gt;&lt;D xsi:type="xsd:double"&gt;14.8890080851306&lt;/D&gt;&lt;D xsi:type="xsd:double"&gt;15.7666008360334&lt;/D&gt;&lt;D xsi:type="xsd:double"&gt;16.9015460400001&lt;/D&gt;&lt;D xsi:type="xsd:double"&gt;16.5081189604542&lt;/D&gt;&lt;D xsi:type="xsd:double"&gt;17.6458506931862&lt;/D&gt;&lt;D xsi:type="xsd:double"&gt;17.0757160627312&lt;/D&gt;&lt;D xsi:type="xsd:double"&gt;16.0698614416204&lt;/D&gt;&lt;D xsi:type="xsd:double"&gt;16.0947404358753&lt;/D&gt;&lt;D xsi:type="xsd:double"&gt;15.8774968630663&lt;/D&gt;&lt;D xsi:type="xsd:double"&gt;14.9600263085543&lt;/D&gt;&lt;D xsi:type="xsd:double"&gt;16.1709369639381&lt;/D&gt;&lt;D xsi:type="xsd:double"&gt;15.4618573512927&lt;/D&gt;&lt;D xsi:type="xsd:double"&gt;13.8444179284382&lt;/D&gt;&lt;D xsi:type="xsd:double"&gt;13.4797476344775&lt;/D&gt;&lt;D xsi:type="xsd:double"&gt;13.6754532087478&lt;/D&gt;&lt;D xsi:type="xsd:double"&gt;14.2661737558917&lt;/D&gt;&lt;D xsi:type="xsd:double"&gt;14.7375703844485&lt;/D&gt;&lt;D xsi:type="xsd:double"&gt;14.2731178873087&lt;/D&gt;&lt;D xsi:type="xsd:double"&gt;14.8789805079684&lt;/D&gt;&lt;D xsi:type="xsd:double"&gt;14.5338266789222&lt;/D&gt;&lt;D xsi:type="xsd:double"&gt;15.6566840364878&lt;/D&gt;&lt;D xsi:type="xsd:double"&gt;15.2113808733332&lt;/D&gt;&lt;D xsi:type="xsd:double"&gt;14.8236245162847&lt;/D&gt;&lt;D xsi:type="xsd:double"&gt;14.349513309551&lt;/D&gt;&lt;D xsi:type="xsd:double"&gt;14.3301063144412&lt;/D&gt;&lt;D xsi:type="xsd:double"&gt;14.8300246143283&lt;/D&gt;&lt;D xsi:type="xsd:double"&gt;15.157141189483&lt;/D&gt;&lt;D xsi:type="xsd:double"&gt;15.5966466331467&lt;/D&gt;&lt;D xsi:type="xsd:double"&gt;15.5649272285937&lt;/D&gt;&lt;D xsi:type="xsd:double"&gt;16.2974239380299&lt;/D&gt;&lt;D xsi:type="xsd:double"&gt;15.2066800246751&lt;/D&gt;&lt;D xsi:type="xsd:double"&gt;14.9226015310397&lt;/D&gt;&lt;D xsi:type="xsd:double"&gt;15.8560979549238&lt;/D&gt;&lt;D xsi:type="xsd:double"&gt;15.2965414886961&lt;/D&gt;&lt;D xsi:type="xsd:double"&gt;15.4228722603746&lt;/D&gt;&lt;D xsi:type="xsd:double"&gt;15.5218494584122&lt;/D&gt;&lt;D xsi:type="xsd:double"&gt;14.353743499941&lt;/D&gt;&lt;D xsi:type="xsd:double"&gt;14.9908531695187&lt;/D&gt;&lt;D xsi:type="xsd:double"&gt;14.1789614774479&lt;/D&gt;&lt;D xsi:type="xsd:double"&gt;15.4550194546501&lt;/D&gt;&lt;D xsi:type="xsd:double"&gt;15.2493442003072&lt;/D&gt;&lt;D xsi:type="xsd:double"&gt;15.1539384646916&lt;/D&gt;&lt;D xsi:type="xsd:double"&gt;14.4624183012416&lt;/D&gt;&lt;D xsi:type="xsd:double"&gt;14.2391637334225&lt;/D&gt;&lt;D xsi:type="xsd:double"&gt;13.6774057733164&lt;/D&gt;&lt;D xsi:type="xsd:double"&gt;13.0811371687865&lt;/D&gt;&lt;D xsi:type="xsd:double"&gt;12.0775012422355&lt;/D&gt;&lt;D xsi:type="xsd:double"&gt;12.4650728526041&lt;/D&gt;&lt;D xsi:type="xsd:double"&gt;12.1026957585009&lt;/D&gt;&lt;D xsi:type="xsd:double"&gt;12.8851743593284&lt;/D&gt;&lt;D xsi:type="xsd:double"&gt;12.8036405041647&lt;/D&gt;&lt;D xsi:type="xsd:double"&gt;12.7750337470867&lt;/D&gt;&lt;D xsi:type="xsd:double"&gt;13.6005669888934&lt;/D&gt;&lt;D xsi:type="xsd:double"&gt;13.3052816398736&lt;/D&gt;&lt;D xsi:type="xsd:double"&gt;13.2616514475648&lt;/D&gt;&lt;D xsi:type="xsd:double"&gt;13.0212813245272&lt;/D&gt;&lt;D xsi:type="xsd:double"&gt;12.1736443738167&lt;/D&gt;&lt;D xsi:type="xsd:double"&gt;12.094106262513&lt;/D&gt;&lt;D xsi:type="xsd:double"&gt;11.6563276409136&lt;/D&gt;&lt;D xsi:type="xsd:double"&gt;11.8334883399451&lt;/D&gt;&lt;D xsi:type="xsd:double"&gt;11.7551030234105&lt;/D&gt;&lt;D xsi:type="xsd:double"&gt;12.3316501887666&lt;/D&gt;&lt;D xsi:type="xsd:double"&gt;11.7049371813157&lt;/D&gt;&lt;D xsi:type="xsd:double"&gt;9.70650518194783&lt;/D&gt;&lt;D xsi:type="xsd:double"&gt;9.24392734221798&lt;/D&gt;&lt;D xsi:type="xsd:double"&gt;10.6359471977831&lt;/D&gt;&lt;D xsi:type="xsd:double"&gt;11.1924423009136&lt;/D&gt;&lt;D xsi:type="xsd:double"&gt;11.669168365689&lt;/D&gt;&lt;D xsi:type="xsd:double"&gt;11.2947952365028&lt;/D&gt;&lt;D xsi:type="xsd:double"&gt;11.1682661686559&lt;/D&gt;&lt;D xsi:type="xsd:double"&gt;10.3813389884584&lt;/D&gt;&lt;D xsi:type="xsd:double"&gt;10.7288040811789&lt;/D&gt;&lt;D xsi:type="xsd:double"&gt;9.85604798104431&lt;/D&gt;&lt;D xsi:type="xsd:double"&gt;9.93456073422914&lt;/D&gt;&lt;D xsi:type="xsd:double"&gt;10.4630889839394&lt;/D&gt;&lt;D xsi:type="xsd:double"&gt;10.4047408495826&lt;/D&gt;&lt;D xsi:type="xsd:double"&gt;9.9300211043596&lt;/D&gt;&lt;D xsi:type="xsd:double"&gt;9.64045468808616&lt;/D&gt;&lt;D xsi:type="xsd:double"&gt;9.84468979604062&lt;/D&gt;&lt;D xsi:type="xsd:double"&gt;9.34848977292992&lt;/D&gt;&lt;D xsi:type="xsd:double"&gt;9.56679723692594&lt;/D&gt;&lt;D xsi:type="xsd:double"&gt;8.82444692814887&lt;/D&gt;&lt;D xsi:type="xsd:double"&gt;9.48355841395889&lt;/D&gt;&lt;D xsi:type="xsd:double"&gt;9.60250143983002&lt;/D&gt;&lt;D xsi:type="xsd:double"&gt;9.49322536873398&lt;/D&gt;&lt;D xsi:type="xsd:double"&gt;9.70365332742067&lt;/D&gt;&lt;D xsi:type="xsd:double"&gt;10.0793749755063&lt;/D&gt;&lt;D xsi:type="xsd:double"&gt;10.0306489923422&lt;/D&gt;&lt;D xsi:type="xsd:double"&gt;9.73633500768144&lt;/D&gt;&lt;D xsi:type="xsd:double"&gt;8.59296706411931&lt;/D&gt;&lt;D xsi:type="xsd:double"&gt;8.49580768110112&lt;/D&gt;&lt;D xsi:type="xsd:double"&gt;8.89594153524336&lt;/D&gt;&lt;D xsi:type="xsd:double"&gt;8.98394522192315&lt;/D&gt;&lt;D xsi:type="xsd:double"&gt;8.54621303586325&lt;/D&gt;&lt;D xsi:type="xsd:double"&gt;8.12947724584794&lt;/D&gt;&lt;D xsi:type="xsd:double"&gt;8.91305317754285&lt;/D&gt;&lt;D xsi:type="xsd:double"&gt;9.13445053216508&lt;/D&gt;&lt;D xsi:type="xsd:double"&gt;9.41486529432208&lt;/D&gt;&lt;D xsi:type="xsd:double"&gt;9.12972975123235&lt;/D&gt;&lt;D xsi:type="xsd:double"&gt;8.77709497496254&lt;/D&gt;&lt;D xsi:type="xsd:double"&gt;9.04998499137424&lt;/D&gt;&lt;D xsi:type="xsd:double"&gt;9.03877104188799&lt;/D&gt;&lt;D xsi:type="xsd:double"&gt;9.13668683998559&lt;/D&gt;&lt;D xsi:type="xsd:double"&gt;9.27636839796146&lt;/D&gt;&lt;D xsi:type="xsd:double"&gt;10.034104138312&lt;/D&gt;&lt;D xsi:type="xsd:double"&gt;9.60131033346746&lt;/D&gt;&lt;D xsi:type="xsd:double"&gt;9.56698420379019&lt;/D&gt;&lt;D xsi:type="xsd:double"&gt;9.38524053553142&lt;/D&gt;&lt;D xsi:type="xsd:double"&gt;9.54361884776823&lt;/D&gt;&lt;D xsi:type="xsd:double"&gt;9.37021072019582&lt;/D&gt;&lt;D xsi:type="xsd:double"&gt;9.35612271943395&lt;/D&gt;&lt;D xsi:type="xsd:double"&gt;9.50780182409696&lt;/D&gt;&lt;D xsi:type="xsd:double"&gt;9.58638434120203&lt;/D&gt;&lt;D xsi:type="xsd:double"&gt;9.79677521360413&lt;/D&gt;&lt;D xsi:type="xsd:double"&gt;9.18529138850527&lt;/D&gt;&lt;D xsi:type="xsd:double"&gt;9.8413906812778&lt;/D&gt;&lt;D xsi:type="xsd:double"&gt;9.94677010728724&lt;/D&gt;&lt;D xsi:type="xsd:double"&gt;9.96998915998203&lt;/D&gt;&lt;D xsi:type="xsd:double"&gt;10.5066606294224&lt;/D&gt;&lt;/FQL&gt;&lt;FQL&gt;&lt;Q&gt;EWY^FMA_EVAL_EBITDA(NTMA,0,,,"PORTAGG","MEANR")&lt;/Q&gt;&lt;R&gt;1&lt;/R&gt;&lt;C&gt;1&lt;/C&gt;&lt;D xsi:type="xsd:double"&gt;5.69071691519522&lt;/D&gt;&lt;/FQL&gt;&lt;FQL&gt;&lt;Q&gt;TIOS-FDS^FG_PRICE_CHANGE(0,-1AM)&lt;/Q&gt;&lt;R&gt;1&lt;/R&gt;&lt;C&gt;1&lt;/C&gt;&lt;D xsi:type="xsd:double"&gt;15.9180543382997&lt;/D&gt;&lt;/FQL&gt;&lt;FQL&gt;&lt;Q&gt;EIDO^FG_PRICE(0)&lt;/Q&gt;&lt;R&gt;1&lt;/R&gt;&lt;C&gt;1&lt;/C&gt;&lt;D xsi:type="xsd:double"&gt;21.65&lt;/D&gt;&lt;/FQL&gt;&lt;FQL&gt;&lt;Q&gt;EWZ^PERCENT_CHANGE(FMA_EPS(+1,0,,,,"PORTAGG","MEAN"),FMA_EPS(+1,-3AM,,,,"PORTAGG","MEAN"))&lt;/Q&gt;&lt;R&gt;1&lt;/R&gt;&lt;C&gt;1&lt;/C&gt;&lt;D xsi:type="xsd:double"&gt;-17.007651074091&lt;/D&gt;&lt;/FQL&gt;&lt;FQL&gt;&lt;Q&gt;EIDO^FMA_COS_DOWN("EPS","1M",+1,NOW,,,"PORTAGG","MEANR")&lt;/Q&gt;&lt;R&gt;1&lt;/R&gt;&lt;C&gt;1&lt;/C&gt;&lt;D xsi:type="xsd:double"&gt;24&lt;/D&gt;&lt;/FQL&gt;&lt;FQL&gt;&lt;Q&gt;EIDO^FMA_EVAL_EBIT(LTMA,NOW,NOW,M,"PORTAGG","MEANR")&lt;/Q&gt;&lt;R&gt;1&lt;/R&gt;&lt;C&gt;1&lt;/C&gt;&lt;D xsi:type="xsd:double"&gt;10.0879815900991&lt;/D&gt;&lt;/FQL&gt;&lt;FQL&gt;&lt;Q&gt;URTH^FG_TOTAL_RETURNC(0,-6AM)&lt;/Q&gt;&lt;R&gt;1&lt;/R&gt;&lt;C&gt;1&lt;/C&gt;&lt;D xsi:type="xsd:double"&gt;11.020994&lt;/D&gt;&lt;/FQL&gt;&lt;FQL&gt;&lt;Q&gt;TRYQA10Y-FDS^PCTCHG(FG_YIELD(0,,,,"YTM"),FG_YIELD(-3AM,,,,"YTM"))&lt;/Q&gt;&lt;R&gt;0&lt;/R&gt;&lt;C&gt;0&lt;/C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xsi:type="xsd:double"&gt;12.1561921303081&lt;/D&gt;&lt;D xsi:type="xsd:double"&gt;11.8826113185115&lt;/D&gt;&lt;D xsi:type="xsd:double"&gt;13.7657830016044&lt;/D&gt;&lt;D xsi:type="xsd:double"&gt;13.3394699173982&lt;/D&gt;&lt;D xsi:type="xsd:double"&gt;13.7129718327555&lt;/D&gt;&lt;/FQL&gt;&lt;FQL&gt;&lt;Q&gt;USDMXN^FG_PRICE(0)&lt;/Q&gt;&lt;R&gt;1&lt;/R&gt;&lt;C&gt;1&lt;/C&gt;&lt;D xsi:type="xsd:double"&gt;19.513&lt;/D&gt;&lt;/FQL&gt;&lt;FQL&gt;&lt;Q&gt;USDCLP^FG_PRICE(0)&lt;/Q&gt;&lt;R&gt;1&lt;/R&gt;&lt;C&gt;1&lt;/C&gt;&lt;D xsi:type="xsd:double"&gt;930.76&lt;/D&gt;&lt;/FQL&gt;&lt;FQL&gt;&lt;Q&gt;TIOS-FDS^FG_PRICE_MAVG(0,,,,30)&lt;/Q&gt;&lt;R&gt;1&lt;/R&gt;&lt;C&gt;1&lt;/C&gt;&lt;D xsi:type="xsd:double"&gt;97.17067&lt;/D&gt;&lt;/FQL&gt;&lt;FQL&gt;&lt;Q&gt;ECH^FG_PRICE_MAVG(0,,,,60)&lt;/Q&gt;&lt;R&gt;1&lt;/R&gt;&lt;C&gt;1&lt;/C&gt;&lt;D xsi:type="xsd:double"&gt;26.055916&lt;/D&gt;&lt;/FQL&gt;&lt;FQL&gt;&lt;Q&gt;EWY^P_PRICE(0)/P_PRICE_LOW_PR(0,,,,,,"PRICE","INTRA","52W")-1&lt;/Q&gt;&lt;R&gt;1&lt;/R&gt;&lt;C&gt;1&lt;/C&gt;&lt;D xsi:type="xsd:double"&gt;0.16186452&lt;/D&gt;&lt;/FQL&gt;&lt;FQL&gt;&lt;Q&gt;UAE^FMA_COS_DOWN("EPS","1M",+1,NOW,,,"PORTAGG","MEANR")&lt;/Q&gt;&lt;R&gt;1&lt;/R&gt;&lt;C&gt;1&lt;/C&gt;&lt;D xsi:type="xsd:double"&gt;9&lt;/D&gt;&lt;/FQL&gt;&lt;FQL&gt;&lt;Q&gt;QAT^FMA_DIV_YLD(NTMA,NOW,NOW,M,"PORTAGG","MEANR")&lt;/Q&gt;&lt;R&gt;1&lt;/R&gt;&lt;C&gt;1&lt;/C&gt;&lt;D xsi:type="xsd:double"&gt;5.32753758864514&lt;/D&gt;&lt;/FQL&gt;&lt;FQL&gt;&lt;Q&gt;EIDO^FMA_EVAL_EBITDA(NTMA,0,,,"PORTAGG","MEANR")&lt;/Q&gt;&lt;R&gt;1&lt;/R&gt;&lt;C&gt;1&lt;/C&gt;&lt;D xsi:type="xsd:double"&gt;6.82574223312841&lt;/D&gt;&lt;/FQL&gt;&lt;FQL&gt;&lt;Q&gt;USDMXN^FG_COMPANY_NAME&lt;/Q&gt;&lt;R&gt;1&lt;/R&gt;&lt;C&gt;1&lt;/C&gt;&lt;D xsi:type="xsd:string"&gt;Mexican Peso per U.S. Dollar&lt;/D&gt;&lt;/FQL&gt;&lt;FQL&gt;&lt;Q&gt;SET-BKK^FMA_COS_UP("EPS","1M",+1,NOW,,,"PORTAGG","MEANR")&lt;/Q&gt;&lt;R&gt;1&lt;/R&gt;&lt;C&gt;1&lt;/C&gt;&lt;D xsi:type="xsd:double"&gt;44&lt;/D&gt;&lt;/FQL&gt;&lt;FQL&gt;&lt;Q&gt;TUR^FG_TOTAL_RETURNC(-10AY,0,AM)&lt;/Q&gt;&lt;R&gt;121&lt;/R&gt;&lt;C&gt;1&lt;/C&gt;&lt;D xsi:type="xsd:double"&gt;-12.332785&lt;/D&gt;&lt;D xsi:type="xsd:double"&gt;7.441473&lt;/D&gt;&lt;D xsi:type="xsd:double"&gt;6.5953255&lt;/D&gt;&lt;D xsi:type="xsd:double"&gt;3.595543&lt;/D&gt;&lt;D xsi:type="xsd:double"&gt;-12.91402&lt;/D&gt;&lt;D xsi:type="xsd:double"&gt;-11.389846&lt;/D&gt;&lt;D xsi:type="xsd:double"&gt;8.515978&lt;/D&gt;&lt;D xsi:type="xsd:double"&gt;-0.799489&lt;/D&gt;&lt;D xsi:type="xsd:double"&gt;-5.790037&lt;/D&gt;&lt;D xsi:type="xsd:double"&gt;5.825615&lt;/D&gt;&lt;D xsi:type="xsd:double"&gt;-9.821426&lt;/D&gt;&lt;D xsi:type="xsd:double"&gt;-14.803189&lt;/D&gt;&lt;D xsi:type="xsd:double"&gt;14.597511&lt;/D&gt;&lt;D xsi:type="xsd:double"&gt;2.9433608&lt;/D&gt;&lt;D xsi:type="xsd:double"&gt;-12.349833&lt;/D&gt;&lt;D xsi:type="xsd:double"&gt;-6.634301&lt;/D&gt;&lt;D xsi:type="xsd:double"&gt;5.3450823&lt;/D&gt;&lt;D xsi:type="xsd:double"&gt;12.991357&lt;/D&gt;&lt;D xsi:type="xsd:double"&gt;6.4890265&lt;/D&gt;&lt;D xsi:type="xsd:double"&gt;-7.0667267&lt;/D&gt;&lt;D xsi:type="xsd:double"&gt;-1.5208185&lt;/D&gt;&lt;D xsi:type="xsd:double"&gt;4.132116&lt;/D&gt;&lt;D xsi:type="xsd:double"&gt;-2.386278&lt;/D&gt;&lt;D xsi:type="xsd:double"&gt;-2.9284477&lt;/D&gt;&lt;D xsi:type="xsd:double"&gt;-1.2067139&lt;/D&gt;&lt;D xsi:type="xsd:double"&gt;-9.426445&lt;/D&gt;&lt;D xsi:type="xsd:double"&gt;-6.185871&lt;/D&gt;&lt;D xsi:type="xsd:double"&gt;-6.1018825&lt;/D&gt;&lt;D xsi:type="xsd:double"&gt;16.56667&lt;/D&gt;&lt;D xsi:type="xsd:double"&gt;0.6862998&lt;/D&gt;&lt;D xsi:type="xsd:double"&gt;3.0957103&lt;/D&gt;&lt;D xsi:type="xsd:double"&gt;10.440779&lt;/D&gt;&lt;D xsi:type="xsd:double"&gt;3.3923745&lt;/D&gt;&lt;D xsi:type="xsd:double"&gt;0.9186506&lt;/D&gt;&lt;D xsi:type="xsd:double"&gt;7.1813703&lt;/D&gt;&lt;D xsi:type="xsd:double"&gt;5.145204&lt;/D&gt;&lt;D xsi:type="xsd:double"&gt;-12.570679&lt;/D&gt;&lt;D xsi:type="xsd:double"&gt;0.69651604&lt;/D&gt;&lt;D xsi:type="xsd:double"&gt;-0.074106455&lt;/D&gt;&lt;D xsi:type="xsd:double"&gt;6.013477&lt;/D&gt;&lt;D xsi:type="xsd:double"&gt;-0.37418008&lt;/D&gt;&lt;D xsi:type="xsd:double"&gt;4.342723&lt;/D&gt;&lt;D xsi:type="xsd:double"&gt;-11.698538&lt;/D&gt;&lt;D xsi:type="xsd:double"&gt;-8.891726&lt;/D&gt;&lt;D xsi:type="xsd:double"&gt;-10.346746&lt;/D&gt;&lt;D xsi:type="xsd:double"&gt;-6.07059&lt;/D&gt;&lt;D xsi:type="xsd:double"&gt;-26.59356&lt;/D&gt;&lt;D xsi:type="xsd:double"&gt;-5.0420165&lt;/D&gt;&lt;D xsi:type="xsd:double"&gt;9.783673&lt;/D&gt;&lt;D xsi:type="xsd:double"&gt;8.777439&lt;/D&gt;&lt;D xsi:type="xsd:double"&gt;1.7702699&lt;/D&gt;&lt;D xsi:type="xsd:double"&gt;-0.33910275&lt;/D&gt;&lt;D xsi:type="xsd:double"&gt;14.291536&lt;/D&gt;&lt;D xsi:type="xsd:double"&gt;-4.951906&lt;/D&gt;&lt;D xsi:type="xsd:double"&gt;-7.646179&lt;/D&gt;&lt;D xsi:type="xsd:double"&gt;-11.323047&lt;/D&gt;&lt;D xsi:type="xsd:double"&gt;9.153318&lt;/D&gt;&lt;D xsi:type="xsd:double"&gt;6.8819046&lt;/D&gt;&lt;D xsi:type="xsd:double"&gt;5.0322056&lt;/D&gt;&lt;D xsi:type="xsd:double"&gt;-2.5680363&lt;/D&gt;&lt;D xsi:type="xsd:double"&gt;-3.7765563&lt;/D&gt;&lt;D xsi:type="xsd:double"&gt;5.396569&lt;/D&gt;&lt;D xsi:type="xsd:double"&gt;2.792859&lt;/D&gt;&lt;D xsi:type="xsd:double"&gt;8.71222&lt;/D&gt;&lt;D xsi:type="xsd:double"&gt;-4.3524027&lt;/D&gt;&lt;D xsi:type="xsd:double"&gt;-13.724768&lt;/D&gt;&lt;D xsi:type="xsd:double"&gt;-15.09996&lt;/D&gt;&lt;D xsi:type="xsd:double"&gt;-3.0060053&lt;/D&gt;&lt;D xsi:type="xsd:double"&gt;17.303705&lt;/D&gt;&lt;D xsi:type="xsd:double"&gt;1.648736&lt;/D&gt;&lt;D xsi:type="xsd:double"&gt;-12.0366335&lt;/D&gt;&lt;D xsi:type="xsd:double"&gt;-0.24788976&lt;/D&gt;&lt;D xsi:type="xsd:double"&gt;-1.0934472&lt;/D&gt;&lt;D xsi:type="xsd:double"&gt;2.5125623&lt;/D&gt;&lt;D xsi:type="xsd:double"&gt;15.049017&lt;/D&gt;&lt;D xsi:type="xsd:double"&gt;20.290316&lt;/D&gt;&lt;D xsi:type="xsd:double"&gt;4.0511727&lt;/D&gt;&lt;D xsi:type="xsd:double"&gt;-4.3374357&lt;/D&gt;&lt;D xsi:type="xsd:double"&gt;-16.815424&lt;/D&gt;&lt;D xsi:type="xsd:double"&gt;3.5193205&lt;/D&gt;&lt;D xsi:type="xsd:double"&gt;-0.48400164&lt;/D&gt;&lt;D xsi:type="xsd:double"&gt;-7.722002&lt;/D&gt;&lt;D xsi:type="xsd:double"&gt;4.3700576&lt;/D&gt;&lt;D xsi:type="xsd:double"&gt;1.6481042&lt;/D&gt;&lt;D xsi:type="xsd:double"&gt;-7.5372458&lt;/D&gt;&lt;D xsi:type="xsd:double"&gt;6.350708&lt;/D&gt;&lt;D xsi:type="xsd:double"&gt;-11.363644&lt;/D&gt;&lt;D xsi:type="xsd:double"&gt;0.7495761&lt;/D&gt;&lt;D xsi:type="xsd:double"&gt;1.9047618&lt;/D&gt;&lt;D xsi:type="xsd:double"&gt;-9.936058&lt;/D&gt;&lt;D xsi:type="xsd:double"&gt;20.37139&lt;/D&gt;&lt;D xsi:type="xsd:double"&gt;0.45371056&lt;/D&gt;&lt;D xsi:type="xsd:double"&gt;-10.028374&lt;/D&gt;&lt;D xsi:type="xsd:double"&gt;-4.3882313&lt;/D&gt;&lt;D xsi:type="xsd:double"&gt;13.174939&lt;/D&gt;&lt;D xsi:type="xsd:double"&gt;19.561077&lt;/D&gt;&lt;D xsi:type="xsd:double"&gt;-0.55865645&lt;/D&gt;&lt;D xsi:type="xsd:double"&gt;22.512043&lt;/D&gt;&lt;D xsi:type="xsd:double"&gt;11.038327&lt;/D&gt;&lt;D xsi:type="xsd:double"&gt;-0.06437898&lt;/D&gt;&lt;D xsi:type="xsd:double"&gt;-12.933845&lt;/D&gt;&lt;D xsi:type="xsd:double"&gt;24.87223&lt;/D&gt;&lt;D xsi:type="xsd:double"&gt;-5.8663073&lt;/D&gt;&lt;D xsi:type="xsd:double"&gt;-11.391306&lt;/D&gt;&lt;D xsi:type="xsd:double"&gt;2.682209&lt;/D&gt;&lt;D xsi:type="xsd:double"&gt;1.3696432&lt;/D&gt;&lt;D xsi:type="xsd:double"&gt;12.713659&lt;/D&gt;&lt;D xsi:type="xsd:double"&gt;13.431549&lt;/D&gt;&lt;D xsi:type="xsd:double"&gt;-0.91673136&lt;/D&gt;&lt;D xsi:type="xsd:double"&gt;-10.948336&lt;/D&gt;&lt;D xsi:type="xsd:double"&gt;0.7792115&lt;/D&gt;&lt;D xsi:type="xsd:double"&gt;-2.9916704&lt;/D&gt;&lt;D xsi:type="xsd:double"&gt;12.380659&lt;/D&gt;&lt;D xsi:type="xsd:double"&gt;-3.3713758&lt;/D&gt;&lt;D xsi:type="xsd:double"&gt;6.620884&lt;/D&gt;&lt;D xsi:type="xsd:double"&gt;6.441641&lt;/D&gt;&lt;D xsi:type="xsd:double"&gt;-2.2754848&lt;/D&gt;&lt;D xsi:type="xsd:double"&gt;6.604314&lt;/D&gt;&lt;D xsi:type="xsd:double"&gt;-10.30345&lt;/D&gt;&lt;D xsi:type="xsd:double"&gt;-4.825598&lt;/D&gt;&lt;D xsi:type="xsd:double"&gt;-6.751174&lt;/D&gt;&lt;/FQL&gt;&lt;FQL&gt;&lt;Q&gt;NI-FDS^FG_PRICE(0)&lt;/Q&gt;&lt;R&gt;1&lt;/R&gt;&lt;C&gt;1&lt;/C&gt;&lt;D xsi:type="xsd:double"&gt;17150&lt;/D&gt;&lt;/FQL&gt;&lt;FQL&gt;&lt;Q&gt;GREK^FG_PRICE_MAVG(0,,,,30)&lt;/Q&gt;&lt;R&gt;1&lt;/R&gt;&lt;C&gt;1&lt;/C&gt;&lt;D xsi:type="xsd:double"&gt;42.19755&lt;/D&gt;&lt;/FQL&gt;&lt;FQL&gt;&lt;Q&gt;QAT^SIZE(FG_CONSTITUENTS)&lt;/Q&gt;&lt;R&gt;1&lt;/R&gt;&lt;C&gt;1&lt;/C&gt;&lt;D xsi:type="xsd:long"&gt;35&lt;/D&gt;&lt;/FQL&gt;&lt;FQL&gt;&lt;Q&gt;TUR^FMA_RBICS_REV_CURRENT(30, LOC, "PORTAGG")&lt;/Q&gt;&lt;R&gt;1&lt;/R&gt;&lt;C&gt;1&lt;/C&gt;&lt;D xsi:type="xsd:double"&gt;23.6199035082148&lt;/D&gt;&lt;/FQL&gt;&lt;FQL&gt;&lt;Q&gt;EWM^JULIAN(FMA_ROE(NTMA,-20AY,NOW,FY,"PORTAGG","MEANR").DATES)&lt;/Q&gt;&lt;R&gt;20&lt;/R&gt;&lt;C&gt;1&lt;/C&gt;&lt;D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TW10Y-FDS^FG_YIELD(0,,,,"YTM")&lt;/Q&gt;&lt;R&gt;0&lt;/R&gt;&lt;C&gt;0&lt;/C&gt;&lt;/FQL&gt;&lt;FQL&gt;&lt;Q&gt;ECH^FMA_DIV_YLD(NTMA,NOW,NOW,M,"PORTAGG","MEANR")&lt;/Q&gt;&lt;R&gt;1&lt;/R&gt;&lt;C&gt;1&lt;/C&gt;&lt;D xsi:type="xsd:double"&gt;4.77100937751293&lt;/D&gt;&lt;/FQL&gt;&lt;FQL&gt;&lt;Q&gt;USDMYR^STD(FG_PRICE_CHANGE(0,-1AY,AM))&lt;/Q&gt;&lt;R&gt;1&lt;/R&gt;&lt;C&gt;1&lt;/C&gt;&lt;D xsi:type="xsd:double"&gt;2.02029713329457&lt;/D&gt;&lt;/FQL&gt;&lt;FQL&gt;&lt;Q&gt;GREK^FG_PRICE(0)&lt;/Q&gt;&lt;R&gt;1&lt;/R&gt;&lt;C&gt;1&lt;/C&gt;&lt;D xsi:type="xsd:double"&gt;41.0927&lt;/D&gt;&lt;/FQL&gt;&lt;FQL&gt;&lt;Q&gt;EWY^FMA_PCT_ABOVE_MAVG(200,0,,,,"PORTAGG")&lt;/Q&gt;&lt;R&gt;1&lt;/R&gt;&lt;C&gt;1&lt;/C&gt;&lt;D xsi:type="xsd:double"&gt;50&lt;/D&gt;&lt;/FQL&gt;&lt;FQL&gt;&lt;Q&gt;QAT^FMA_COS_DOWN("EPS","1M",+1,NOW,,,"PORTAGG","MEANR")&lt;/Q&gt;&lt;R&gt;1&lt;/R&gt;&lt;C&gt;1&lt;/C&gt;&lt;D xsi:type="xsd:double"&gt;5&lt;/D&gt;&lt;/FQL&gt;&lt;FQL&gt;&lt;Q&gt;TRYMY10Y-FDS^FG_YIELD_NAME&lt;/Q&gt;&lt;R&gt;1&lt;/R&gt;&lt;C&gt;1&lt;/C&gt;&lt;D xsi:type="xsd:string"&gt;Treasury - Malaysia Benchmark Bond 10Y&lt;/D&gt;&lt;/FQL&gt;&lt;FQL&gt;&lt;Q&gt;USDSAR^FG_PRICE_CHANGE(0,-1AM)&lt;/Q&gt;&lt;R&gt;1&lt;/R&gt;&lt;C&gt;1&lt;/C&gt;&lt;D xsi:type="xsd:double"&gt;0.07195473&lt;/D&gt;&lt;/FQL&gt;&lt;FQL&gt;&lt;Q&gt;INDA^FMA_RBICS_REV_CURRENT(30, LOC, "PORTAGG")&lt;/Q&gt;&lt;R&gt;1&lt;/R&gt;&lt;C&gt;1&lt;/C&gt;&lt;D xsi:type="xsd:double"&gt;30.4038446451613&lt;/D&gt;&lt;/FQL&gt;&lt;FQL&gt;&lt;Q&gt;EWW^FMA_PE(LTM,0,,,"PORTAGG","MEANR")&lt;/Q&gt;&lt;R&gt;1&lt;/R&gt;&lt;C&gt;1&lt;/C&gt;&lt;D xsi:type="xsd:double"&gt;13.5580380086371&lt;/D&gt;&lt;/FQL&gt;&lt;FQL&gt;&lt;Q&gt;CAGDPY@CN^EE_ACTUAL_ANNUAL(MED,0)&lt;/Q&gt;&lt;R&gt;1&lt;/R&gt;&lt;C&gt;1&lt;/C&gt;&lt;D xsi:type="xsd:double"&gt;1.41410583295463&lt;/D&gt;&lt;/FQL&gt;&lt;FQL&gt;&lt;Q&gt;FC0000AE^FMA_EPS(NTMA,-20AY,0,CY,,"PORTAGG","MEANR")&lt;/Q&gt;&lt;R&gt;20&lt;/R&gt;&lt;C&gt;1&lt;/C&gt;&lt;D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xsi:type="xsd:double"&gt;7.02059333437227&lt;/D&gt;&lt;D xsi:type="xsd:double"&gt;5.12773396645605&lt;/D&gt;&lt;D xsi:type="xsd:double"&gt;7.54796836254382&lt;/D&gt;&lt;D xsi:type="xsd:double"&gt;11.3918613623253&lt;/D&gt;&lt;D xsi:type="xsd:double"&gt;11.0560462161177&lt;/D&gt;&lt;/FQL&gt;&lt;FQL&gt;&lt;Q&gt;USDAED^STD(FG_PRICE_CHANGE(0,-1AY,AM))&lt;/Q&gt;&lt;R&gt;1&lt;/R&gt;&lt;C&gt;1&lt;/C&gt;&lt;D xsi:type="xsd:double"&gt;0.00994452767530463&lt;/D&gt;&lt;/FQL&gt;&lt;FQL&gt;&lt;Q&gt;USDZAR^STD(FG_PRICE_CHANGE(0,-1AY,AM))&lt;/Q&gt;&lt;R&gt;1&lt;/R&gt;&lt;C&gt;1&lt;/C&gt;&lt;D xsi:type="xsd:double"&gt;1.72031643866463&lt;/D&gt;&lt;/FQL&gt;&lt;FQL&gt;&lt;Q&gt;FC0000MX^FMA_EPS(NTMA,-20AY,0,CY,,"PORTAGG","MEANR")&lt;/Q&gt;&lt;R&gt;20&lt;/R&gt;&lt;C&gt;1&lt;/C&gt;&lt;D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xsi:type="xsd:double"&gt;25.5496376147783&lt;/D&gt;&lt;D xsi:type="xsd:double"&gt;22.575311410808&lt;/D&gt;&lt;D xsi:type="xsd:double"&gt;28.4030522869017&lt;/D&gt;&lt;D xsi:type="xsd:double"&gt;32.5319871501689&lt;/D&gt;&lt;D xsi:type="xsd:double"&gt;39.4423843258939&lt;/D&gt;&lt;/FQL&gt;&lt;FQL&gt;&lt;Q&gt;TUR^FMA_DIV_YLD(NTMA,-10AY,0,AM,"PORTAGG","MEANR")&lt;/Q&gt;&lt;R&gt;121&lt;/R&gt;&lt;C&gt;1&lt;/C&gt;&lt;D xsi:type="xsd:double"&gt;3.27011211607205&lt;/D&gt;&lt;D xsi:type="xsd:double"&gt;3.02648441790043&lt;/D&gt;&lt;D xsi:type="xsd:double"&gt;2.77032964745388&lt;/D&gt;&lt;D xsi:type="xsd:double"&gt;2.66464707798519&lt;/D&gt;&lt;D xsi:type="xsd:double"&gt;2.96118847442625&lt;/D&gt;&lt;D xsi:type="xsd:double"&gt;3.11899277151087&lt;/D&gt;&lt;D xsi:type="xsd:double"&gt;2.94192172638793&lt;/D&gt;&lt;D xsi:type="xsd:double"&gt;2.87330127412002&lt;/D&gt;&lt;D xsi:type="xsd:double"&gt;3.08666471107301&lt;/D&gt;&lt;D xsi:type="xsd:double"&gt;2.99948624552813&lt;/D&gt;&lt;D xsi:type="xsd:double"&gt;3.19944123518332&lt;/D&gt;&lt;D xsi:type="xsd:double"&gt;3.44848383653545&lt;/D&gt;&lt;D xsi:type="xsd:double"&gt;3.17196483661338&lt;/D&gt;&lt;D xsi:type="xsd:double"&gt;3.12715060955244&lt;/D&gt;&lt;D xsi:type="xsd:double"&gt;3.55998193421598&lt;/D&gt;&lt;D xsi:type="xsd:double"&gt;3.63390073717877&lt;/D&gt;&lt;D xsi:type="xsd:double"&gt;3.64805923635291&lt;/D&gt;&lt;D xsi:type="xsd:double"&gt;3.22344687920371&lt;/D&gt;&lt;D xsi:type="xsd:double"&gt;3.27049754721289&lt;/D&gt;&lt;D xsi:type="xsd:double"&gt;3.42749450625408&lt;/D&gt;&lt;D xsi:type="xsd:double"&gt;3.56039383367256&lt;/D&gt;&lt;D xsi:type="xsd:double"&gt;3.53924028796324&lt;/D&gt;&lt;D xsi:type="xsd:double"&gt;3.48241842816796&lt;/D&gt;&lt;D xsi:type="xsd:double"&gt;3.53880021143009&lt;/D&gt;&lt;D xsi:type="xsd:double"&gt;3.58981603047558&lt;/D&gt;&lt;D xsi:type="xsd:double"&gt;3.63356842857734&lt;/D&gt;&lt;D xsi:type="xsd:double"&gt;3.82552647009454&lt;/D&gt;&lt;D xsi:type="xsd:double"&gt;3.8717640359743&lt;/D&gt;&lt;D xsi:type="xsd:double"&gt;3.54195983625428&lt;/D&gt;&lt;D xsi:type="xsd:double"&gt;3.51467821634384&lt;/D&gt;&lt;D xsi:type="xsd:double"&gt;3.55381289584493&lt;/D&gt;&lt;D xsi:type="xsd:double"&gt;3.65084835240465&lt;/D&gt;&lt;D xsi:type="xsd:double"&gt;3.58109049420358&lt;/D&gt;&lt;D xsi:type="xsd:double"&gt;3.63303015425851&lt;/D&gt;&lt;D xsi:type="xsd:double"&gt;3.73758639836781&lt;/D&gt;&lt;D xsi:type="xsd:double"&gt;3.89210705000986&lt;/D&gt;&lt;D xsi:type="xsd:double"&gt;4.25990050225026&lt;/D&gt;&lt;D xsi:type="xsd:double"&gt;4.19240755619032&lt;/D&gt;&lt;D xsi:type="xsd:double"&gt;4.23644992187465&lt;/D&gt;&lt;D xsi:type="xsd:double"&gt;4.14063111900873&lt;/D&gt;&lt;D xsi:type="xsd:double"&gt;4.26109236178735&lt;/D&gt;&lt;D xsi:type="xsd:double"&gt;4.28620681445753&lt;/D&gt;&lt;D xsi:type="xsd:double"&gt;4.74461124785771&lt;/D&gt;&lt;D xsi:type="xsd:double"&gt;5.19983737449251&lt;/D&gt;&lt;D xsi:type="xsd:double"&gt;5.58372946614&lt;/D&gt;&lt;D xsi:type="xsd:double"&gt;5.4296022849886&lt;/D&gt;&lt;D xsi:type="xsd:double"&gt;5.49996029430951&lt;/D&gt;&lt;D xsi:type="xsd:double"&gt;5.90261253398611&lt;/D&gt;&lt;D xsi:type="xsd:double"&gt;5.52822236765756&lt;/D&gt;&lt;D xsi:type="xsd:double"&gt;5.38105178559284&lt;/D&gt;&lt;D xsi:type="xsd:double"&gt;5.55204138636668&lt;/D&gt;&lt;D xsi:type="xsd:double"&gt;5.27764774642026&lt;/D&gt;&lt;D xsi:type="xsd:double"&gt;4.55589573021444&lt;/D&gt;&lt;D xsi:type="xsd:double"&gt;4.47648191829597&lt;/D&gt;&lt;D xsi:type="xsd:double"&gt;4.98353607769617&lt;/D&gt;&lt;D xsi:type="xsd:double"&gt;5.45237963195391&lt;/D&gt;&lt;D xsi:type="xsd:double"&gt;4.90620548812704&lt;/D&gt;&lt;D xsi:type="xsd:double"&gt;4.52995336155261&lt;/D&gt;&lt;D xsi:type="xsd:double"&gt;4.68911345100395&lt;/D&gt;&lt;D xsi:type="xsd:double"&gt;4.93797209936222&lt;/D&gt;&lt;D xsi:type="xsd:double"&gt;5.20241309558136&lt;/D&gt;&lt;D xsi:type="xsd:double"&gt;4.58913848540021&lt;/D&gt;&lt;D xsi:type="xsd:double"&gt;4.62655808341404&lt;/D&gt;&lt;D xsi:type="xsd:double"&gt;4.42968103353851&lt;/D&gt;&lt;D xsi:type="xsd:double"&gt;4.50491882994281&lt;/D&gt;&lt;D xsi:type="xsd:double"&gt;5.09041814541592&lt;/D&gt;&lt;D xsi:type="xsd:double"&gt;5.39922508966467&lt;/D&gt;&lt;D xsi:type="xsd:double"&gt;4.11468367072353&lt;/D&gt;&lt;D xsi:type="xsd:double"&gt;3.21030366626305&lt;/D&gt;&lt;D xsi:type="xsd:double"&gt;3.46394968023777&lt;/D&gt;&lt;D xsi:type="xsd:double"&gt;4.1428023536719&lt;/D&gt;&lt;D xsi:type="xsd:double"&gt;4.47326781632706&lt;/D&gt;&lt;D xsi:type="xsd:double"&gt;4.43497278368021&lt;/D&gt;&lt;D xsi:type="xsd:double"&gt;4.14012877550702&lt;/D&gt;&lt;D xsi:type="xsd:double"&gt;3.78497731879659&lt;/D&gt;&lt;D xsi:type="xsd:double"&gt;3.65869179968241&lt;/D&gt;&lt;D xsi:type="xsd:double"&gt;4.1773345857324&lt;/D&gt;&lt;D xsi:type="xsd:double"&gt;4.45734014023968&lt;/D&gt;&lt;D xsi:type="xsd:double"&gt;5.25619107935327&lt;/D&gt;&lt;D xsi:type="xsd:double"&gt;5.2574477540617&lt;/D&gt;&lt;D xsi:type="xsd:double"&gt;5.53238901159941&lt;/D&gt;&lt;D xsi:type="xsd:double"&gt;5.79354411957645&lt;/D&gt;&lt;D xsi:type="xsd:double"&gt;6.10204789321491&lt;/D&gt;&lt;D xsi:type="xsd:double"&gt;6.04656020122277&lt;/D&gt;&lt;D xsi:type="xsd:double"&gt;6.16086739154978&lt;/D&gt;&lt;D xsi:type="xsd:double"&gt;5.53042553740974&lt;/D&gt;&lt;D xsi:type="xsd:double"&gt;4.67368165284197&lt;/D&gt;&lt;D xsi:type="xsd:double"&gt;5.13231250713237&lt;/D&gt;&lt;D xsi:type="xsd:double"&gt;5.81799080129979&lt;/D&gt;&lt;D xsi:type="xsd:double"&gt;6.17489107625502&lt;/D&gt;&lt;D xsi:type="xsd:double"&gt;5.46236209808891&lt;/D&gt;&lt;D xsi:type="xsd:double"&gt;5.45008663341546&lt;/D&gt;&lt;D xsi:type="xsd:double"&gt;5.47167204624107&lt;/D&gt;&lt;D xsi:type="xsd:double"&gt;6.13029218614573&lt;/D&gt;&lt;D xsi:type="xsd:double"&gt;5.46175284084606&lt;/D&gt;&lt;D xsi:type="xsd:double"&gt;4.43710194028905&lt;/D&gt;&lt;D xsi:type="xsd:double"&gt;5.1074831253197&lt;/D&gt;&lt;D xsi:type="xsd:double"&gt;4.94046365961264&lt;/D&gt;&lt;D xsi:type="xsd:double"&gt;4.92099596318224&lt;/D&gt;&lt;D xsi:type="xsd:double"&gt;4.54951922950817&lt;/D&gt;&lt;D xsi:type="xsd:double"&gt;5.76475630468832&lt;/D&gt;&lt;D xsi:type="xsd:double"&gt;4.8699653038499&lt;/D&gt;&lt;D xsi:type="xsd:double"&gt;5.13238092810981&lt;/D&gt;&lt;D xsi:type="xsd:double"&gt;5.49119348086149&lt;/D&gt;&lt;D xsi:type="xsd:double"&gt;4.68696758454214&lt;/D&gt;&lt;D xsi:type="xsd:double"&gt;4.26986343614717&lt;/D&gt;&lt;D xsi:type="xsd:double"&gt;3.67826181897677&lt;/D&gt;&lt;D xsi:type="xsd:double"&gt;3.4964377396457&lt;/D&gt;&lt;D xsi:type="xsd:double"&gt;3.7423185497789&lt;/D&gt;&lt;D xsi:type="xsd:double"&gt;4.4211385558883&lt;/D&gt;&lt;D xsi:type="xsd:double"&gt;4.42736521355581&lt;/D&gt;&lt;D xsi:type="xsd:double"&gt;4.4407769923655&lt;/D&gt;&lt;D xsi:type="xsd:double"&gt;4.14085449680013&lt;/D&gt;&lt;D xsi:type="xsd:double"&gt;4.20397364336566&lt;/D&gt;&lt;D xsi:type="xsd:double"&gt;3.8986065912443&lt;/D&gt;&lt;D xsi:type="xsd:double"&gt;4.19169656782668&lt;/D&gt;&lt;D xsi:type="xsd:double"&gt;4.19864594167255&lt;/D&gt;&lt;D xsi:type="xsd:double"&gt;3.87150862463403&lt;/D&gt;&lt;D xsi:type="xsd:double"&gt;4.18250260503931&lt;/D&gt;&lt;D xsi:type="xsd:double"&gt;4.44243889728333&lt;/D&gt;&lt;D xsi:type="xsd:double"&gt;5.24230319648604&lt;/D&gt;&lt;/FQL&gt;&lt;FQL&gt;&lt;Q&gt;UAE^P_PRICE(0)/P_PRICE_LOW_PR(0,,,,,,"PRICE","INTRA","52W")-1&lt;/Q&gt;&lt;R&gt;1&lt;/R&gt;&lt;C&gt;1&lt;/C&gt;&lt;D xsi:type="xsd:double"&gt;0.11966777&lt;/D&gt;&lt;/FQL&gt;&lt;FQL&gt;&lt;Q&gt;INDA^PERCENT_CHANGE(FMA_EPS(+1,0,,,,"PORTAGG","MEAN"),FMA_EPS(+1,-3AM,,,,"PORTAGG","MEAN"))&lt;/Q&gt;&lt;R&gt;1&lt;/R&gt;&lt;C&gt;1&lt;/C&gt;&lt;D xsi:type="xsd:double"&gt;-5.02483996068271&lt;/D&gt;&lt;/FQL&gt;&lt;FQL&gt;&lt;Q&gt;EWT^FG_TOTAL_RETURNC(0,-1AM)&lt;/Q&gt;&lt;R&gt;1&lt;/R&gt;&lt;C&gt;1&lt;/C&gt;&lt;D xsi:type="xsd:double"&gt;7.1653485&lt;/D&gt;&lt;/FQL&gt;&lt;FQL&gt;&lt;Q&gt;EZA^FMA_COS_UP("EPS","1M",+1,NOW,,,"PORTAGG","MEANR")&lt;/Q&gt;&lt;R&gt;1&lt;/R&gt;&lt;C&gt;1&lt;/C&gt;&lt;D xsi:type="xsd:double"&gt;11&lt;/D&gt;&lt;/FQL&gt;&lt;FQL&gt;&lt;Q&gt;EIDO^FMA_RBICS_REV_CURRENT(30, LOC, "PORTAGG")&lt;/Q&gt;&lt;R&gt;1&lt;/R&gt;&lt;C&gt;1&lt;/C&gt;&lt;D xsi:type="xsd:double"&gt;53.2717331572157&lt;/D&gt;&lt;/FQL&gt;&lt;FQL&gt;&lt;Q&gt;TIPSCL10Y-FDS^FG_YIELD_NAME&lt;/Q&gt;&lt;R&gt;1&lt;/R&gt;&lt;C&gt;1&lt;/C&gt;&lt;D xsi:type="xsd:string"&gt;Treasury - Chile Inflation-Indexed (TIPS) Bond 10Y&lt;/D&gt;&lt;/FQL&gt;&lt;FQL&gt;&lt;Q&gt;REFPEMPR-FDS^FG_YIELD(NOW,,,0)&lt;/Q&gt;&lt;R&gt;1&lt;/R&gt;&lt;C&gt;1&lt;/C&gt;&lt;D xsi:type="xsd:double"&gt;5.25&lt;/D&gt;&lt;/FQL&gt;&lt;FQL&gt;&lt;Q&gt;INDA^FMA_DIV_YLD(NTMA,NOW,NOW,M,"PORTAGG","MEANR")&lt;/Q&gt;&lt;R&gt;1&lt;/R&gt;&lt;C&gt;1&lt;/C&gt;&lt;D xsi:type="xsd:double"&gt;1.21341275131075&lt;/D&gt;&lt;/FQL&gt;&lt;FQL&gt;&lt;Q&gt;CAGDPY@MX^EE_ACTUAL_ANNUAL(MED,0)&lt;/Q&gt;&lt;R&gt;1&lt;/R&gt;&lt;C&gt;1&lt;/C&gt;&lt;D xsi:type="xsd:double"&gt;-0.465&lt;/D&gt;&lt;/FQL&gt;&lt;FQL&gt;&lt;Q&gt;USDPLN^STD(FG_PRICE_CHANGE(0,-1AY,AM))&lt;/Q&gt;&lt;R&gt;1&lt;/R&gt;&lt;C&gt;1&lt;/C&gt;&lt;D xsi:type="xsd:double"&gt;1.75860361244779&lt;/D&gt;&lt;/FQL&gt;&lt;FQL&gt;&lt;Q&gt;FC0000TW^FMA_EPS(NTMA,-20AY,0,CY,,"PORTAGG","MEANR")&lt;/Q&gt;&lt;R&gt;20&lt;/R&gt;&lt;C&gt;1&lt;/C&gt;&lt;D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xsi:type="xsd:double"&gt;12.9785143592628&lt;/D&gt;&lt;D xsi:type="xsd:double"&gt;15.9424367037871&lt;/D&gt;&lt;D xsi:type="xsd:double"&gt;24.304723994153&lt;/D&gt;&lt;D xsi:type="xsd:double"&gt;19.7599951476487&lt;/D&gt;&lt;D xsi:type="xsd:double"&gt;19.0976028527307&lt;/D&gt;&lt;/FQL&gt;&lt;FQL&gt;&lt;Q&gt;EWM^FMA_PE(LTMA,-10AY,0,AM,"PORTAGG","MEANR")&lt;/Q&gt;&lt;R&gt;121&lt;/R&gt;&lt;C&gt;1&lt;/C&gt;&lt;D xsi:type="xsd:double"&gt;16.4584581781191&lt;/D&gt;&lt;D xsi:type="xsd:double"&gt;16.4661975232507&lt;/D&gt;&lt;D xsi:type="xsd:double"&gt;16.3674130682705&lt;/D&gt;&lt;D xsi:type="xsd:double"&gt;16.0597226136654&lt;/D&gt;&lt;D xsi:type="xsd:double"&gt;16.5687680444995&lt;/D&gt;&lt;D xsi:type="xsd:double"&gt;17.0183829083282&lt;/D&gt;&lt;D xsi:type="xsd:double"&gt;17.0447720628433&lt;/D&gt;&lt;D xsi:type="xsd:double"&gt;16.8923724588095&lt;/D&gt;&lt;D xsi:type="xsd:double"&gt;16.7056709251568&lt;/D&gt;&lt;D xsi:type="xsd:double"&gt;16.5439343840025&lt;/D&gt;&lt;D xsi:type="xsd:double"&gt;16.1716226628423&lt;/D&gt;&lt;D xsi:type="xsd:double"&gt;15.9888709043742&lt;/D&gt;&lt;D xsi:type="xsd:double"&gt;16.7347227865879&lt;/D&gt;&lt;D xsi:type="xsd:double"&gt;16.6324848131641&lt;/D&gt;&lt;D xsi:type="xsd:double"&gt;16.508831603303&lt;/D&gt;&lt;D xsi:type="xsd:double"&gt;16.4650111941104&lt;/D&gt;&lt;D xsi:type="xsd:double"&gt;16.3531280559985&lt;/D&gt;&lt;D xsi:type="xsd:double"&gt;16.6345133017965&lt;/D&gt;&lt;D xsi:type="xsd:double"&gt;16.6816104371835&lt;/D&gt;&lt;D xsi:type="xsd:double"&gt;16.4093466275543&lt;/D&gt;&lt;D xsi:type="xsd:double"&gt;16.610979068383&lt;/D&gt;&lt;D xsi:type="xsd:double"&gt;16.6717939988412&lt;/D&gt;&lt;D xsi:type="xsd:double"&gt;16.8935949801017&lt;/D&gt;&lt;D xsi:type="xsd:double"&gt;17.2663756669211&lt;/D&gt;&lt;D xsi:type="xsd:double"&gt;17.3066491771541&lt;/D&gt;&lt;D xsi:type="xsd:double"&gt;17.2197944156966&lt;/D&gt;&lt;D xsi:type="xsd:double"&gt;17.0927673515057&lt;/D&gt;&lt;D xsi:type="xsd:double"&gt;17.2630735823501&lt;/D&gt;&lt;D xsi:type="xsd:double"&gt;17.227534050209&lt;/D&gt;&lt;D xsi:type="xsd:double"&gt;17.0639837211469&lt;/D&gt;&lt;D xsi:type="xsd:double"&gt;17.1254030534543&lt;/D&gt;&lt;D xsi:type="xsd:double"&gt;17.2602824646786&lt;/D&gt;&lt;D xsi:type="xsd:double"&gt;17.27323605908&lt;/D&gt;&lt;D xsi:type="xsd:double"&gt;17.1816089861692&lt;/D&gt;&lt;D xsi:type="xsd:double"&gt;17.2909904732404&lt;/D&gt;&lt;D xsi:type="xsd:double"&gt;17.5712078704687&lt;/D&gt;&lt;D xsi:type="xsd:double"&gt;17.4509455058378&lt;/D&gt;&lt;D xsi:type="xsd:double"&gt;17.3421746868302&lt;/D&gt;&lt;D xsi:type="xsd:double"&gt;17.5336423427625&lt;/D&gt;&lt;D xsi:type="xsd:double"&gt;18.6265420400073&lt;/D&gt;&lt;D xsi:type="xsd:double"&gt;18.3184124079802&lt;/D&gt;&lt;D xsi:type="xsd:double"&gt;18.4931888917109&lt;/D&gt;&lt;D xsi:type="xsd:double"&gt;18.3598862480337&lt;/D&gt;&lt;D xsi:type="xsd:double"&gt;18.1182289586149&lt;/D&gt;&lt;D xsi:type="xsd:double"&gt;18.0075250229752&lt;/D&gt;&lt;D xsi:type="xsd:double"&gt;17.4025136436867&lt;/D&gt;&lt;D xsi:type="xsd:double"&gt;17.93837917218&lt;/D&gt;&lt;D xsi:type="xsd:double"&gt;17.791929747568&lt;/D&gt;&lt;D xsi:type="xsd:double"&gt;17.0806667949512&lt;/D&gt;&lt;D xsi:type="xsd:double"&gt;16.6915086597194&lt;/D&gt;&lt;D xsi:type="xsd:double"&gt;16.5913219245476&lt;/D&gt;&lt;D xsi:type="xsd:double"&gt;16.7933305365123&lt;/D&gt;&lt;D xsi:type="xsd:double"&gt;16.9289892620587&lt;/D&gt;&lt;D xsi:type="xsd:double"&gt;17.0606646761044&lt;/D&gt;&lt;D xsi:type="xsd:double"&gt;16.9443012676019&lt;/D&gt;&lt;D xsi:type="xsd:double"&gt;16.77565495994&lt;/D&gt;&lt;D xsi:type="xsd:double"&gt;17.1232042046048&lt;/D&gt;&lt;D xsi:type="xsd:double"&gt;17.2354278908909&lt;/D&gt;&lt;D xsi:type="xsd:double"&gt;16.901038549615&lt;/D&gt;&lt;D xsi:type="xsd:double"&gt;16.8596210553374&lt;/D&gt;&lt;D xsi:type="xsd:double"&gt;16.4829430102759&lt;/D&gt;&lt;D xsi:type="xsd:double"&gt;16.9138588910012&lt;/D&gt;&lt;D xsi:type="xsd:double"&gt;16.6848622716177&lt;/D&gt;&lt;D xsi:type="xsd:double"&gt;17.0043008019823&lt;/D&gt;&lt;D xsi:type="xsd:double"&gt;16.4199954079629&lt;/D&gt;&lt;D xsi:type="xsd:double"&gt;16.3109855060388&lt;/D&gt;&lt;D xsi:type="xsd:double"&gt;16.2873970532011&lt;/D&gt;&lt;D xsi:type="xsd:double"&gt;16.6193390525745&lt;/D&gt;&lt;D xsi:type="xsd:double"&gt;18.8075853190927&lt;/D&gt;&lt;D xsi:type="xsd:double"&gt;19.5050936728074&lt;/D&gt;&lt;D xsi:type="xsd:double"&gt;19.6072686579519&lt;/D&gt;&lt;D xsi:type="xsd:double"&gt;19.8928792783169&lt;/D&gt;&lt;D xsi:type="xsd:double"&gt;20.5803280015515&lt;/D&gt;&lt;D xsi:type="xsd:double"&gt;20.782207267391&lt;/D&gt;&lt;D xsi:type="xsd:double"&gt;21.5351839133135&lt;/D&gt;&lt;D xsi:type="xsd:double"&gt;21.1224247174139&lt;/D&gt;&lt;D xsi:type="xsd:double"&gt;19.7114345986573&lt;/D&gt;&lt;D xsi:type="xsd:double"&gt;19.6966673510094&lt;/D&gt;&lt;D xsi:type="xsd:double"&gt;19.1092958888697&lt;/D&gt;&lt;D xsi:type="xsd:double"&gt;18.4092955220006&lt;/D&gt;&lt;D xsi:type="xsd:double"&gt;17.829792106949&lt;/D&gt;&lt;D xsi:type="xsd:double"&gt;16.9766135745553&lt;/D&gt;&lt;D xsi:type="xsd:double"&gt;16.2365859484642&lt;/D&gt;&lt;D xsi:type="xsd:double"&gt;16.0098678028288&lt;/D&gt;&lt;D xsi:type="xsd:double"&gt;15.5812995527319&lt;/D&gt;&lt;D xsi:type="xsd:double"&gt;14.7347973456296&lt;/D&gt;&lt;D xsi:type="xsd:double"&gt;15.0946403871973&lt;/D&gt;&lt;D xsi:type="xsd:double"&gt;15.3639718988775&lt;/D&gt;&lt;D xsi:type="xsd:double"&gt;15.5824532671641&lt;/D&gt;&lt;D xsi:type="xsd:double"&gt;15.8949772172609&lt;/D&gt;&lt;D xsi:type="xsd:double"&gt;15.9130956365702&lt;/D&gt;&lt;D xsi:type="xsd:double"&gt;15.6863584428466&lt;/D&gt;&lt;D xsi:type="xsd:double"&gt;15.3887003685826&lt;/D&gt;&lt;D xsi:type="xsd:double"&gt;14.9749734656788&lt;/D&gt;&lt;D xsi:type="xsd:double"&gt;15.2680703319786&lt;/D&gt;&lt;D xsi:type="xsd:double"&gt;15.2458822123881&lt;/D&gt;&lt;D xsi:type="xsd:double"&gt;14.4917324117867&lt;/D&gt;&lt;D xsi:type="xsd:double"&gt;14.7093543965368&lt;/D&gt;&lt;D xsi:type="xsd:double"&gt;14.8516651048244&lt;/D&gt;&lt;D xsi:type="xsd:double"&gt;14.9009381622319&lt;/D&gt;&lt;D xsi:type="xsd:double"&gt;14.6909949380665&lt;/D&gt;&lt;D xsi:type="xsd:double"&gt;14.7970751128642&lt;/D&gt;&lt;D xsi:type="xsd:double"&gt;14.6646531673027&lt;/D&gt;&lt;D xsi:type="xsd:double"&gt;14.5431065161886&lt;/D&gt;&lt;D xsi:type="xsd:double"&gt;14.5034683359794&lt;/D&gt;&lt;D xsi:type="xsd:double"&gt;14.4418322911102&lt;/D&gt;&lt;D xsi:type="xsd:double"&gt;14.8054949609466&lt;/D&gt;&lt;D xsi:type="xsd:double"&gt;14.939259032891&lt;/D&gt;&lt;D xsi:type="xsd:double"&gt;14.8164724885423&lt;/D&gt;&lt;D xsi:type="xsd:double"&gt;14.8692672472241&lt;/D&gt;&lt;D xsi:type="xsd:double"&gt;14.985996574308&lt;/D&gt;&lt;D xsi:type="xsd:double"&gt;15.3143335079907&lt;/D&gt;&lt;D xsi:type="xsd:double"&gt;15.3218468721011&lt;/D&gt;&lt;D xsi:type="xsd:double"&gt;15.8040572745757&lt;/D&gt;&lt;D xsi:type="xsd:double"&gt;15.6625562689181&lt;/D&gt;&lt;D xsi:type="xsd:double"&gt;15.6645701648793&lt;/D&gt;&lt;D xsi:type="xsd:double"&gt;15.5031907516804&lt;/D&gt;&lt;D xsi:type="xsd:double"&gt;15.4609537774264&lt;/D&gt;&lt;D xsi:type="xsd:double"&gt;15.2171245089353&lt;/D&gt;&lt;D xsi:type="xsd:double"&gt;15.6633134265274&lt;/D&gt;&lt;D xsi:type="xsd:double"&gt;15.488954361761&lt;/D&gt;&lt;/FQL&gt;&lt;FQL&gt;&lt;Q&gt;W-FDS^FG_PRICE(0)/MAX(FG_PRICE(0,-1AY))&lt;/Q&gt;&lt;R&gt;1&lt;/R&gt;&lt;C&gt;1&lt;/C&gt;&lt;D xsi:type="xsd:double"&gt;0.862192074259193&lt;/D&gt;&lt;/FQL&gt;&lt;FQL&gt;&lt;Q&gt;ECH^P_PRICE(0)/P_PRICE_HIGH_PR(0,,,,,,"PRICE","INTRA","52W")&lt;/Q&gt;&lt;R&gt;1&lt;/R&gt;&lt;C&gt;1&lt;/C&gt;&lt;D xsi:type="xsd:double"&gt;0.8992557&lt;/D&gt;&lt;/FQL&gt;&lt;FQL&gt;&lt;Q&gt;VWO^PERCENT_CHANGE(FMA_EPS(+1,0,,,,"PORTAGG","MEAN"),FMA_EPS(+1,-3AM,,,,"PORTAGG","MEAN"))&lt;/Q&gt;&lt;R&gt;1&lt;/R&gt;&lt;C&gt;1&lt;/C&gt;&lt;D xsi:type="xsd:double"&gt;0.983283136085123&lt;/D&gt;&lt;/FQL&gt;&lt;FQL&gt;&lt;Q&gt;EWZ^FMA_COS_DOWN("EPS","1M",+1,NOW,,,"PORTAGG","MEANR")&lt;/Q&gt;&lt;R&gt;1&lt;/R&gt;&lt;C&gt;1&lt;/C&gt;&lt;D xsi:type="xsd:double"&gt;22&lt;/D&gt;&lt;/FQL&gt;&lt;FQL&gt;&lt;Q&gt;ECH^FMA_RBICS_REV_CURRENT(30, LOC, "PORTAGG")&lt;/Q&gt;&lt;R&gt;1&lt;/R&gt;&lt;C&gt;1&lt;/C&gt;&lt;D xsi:type="xsd:double"&gt;35.1309906504414&lt;/D&gt;&lt;/FQL&gt;&lt;FQL&gt;&lt;Q&gt;REFVNDISC-FDS^FG_YIELD(NOW,,,0)&lt;/Q&gt;&lt;R&gt;1&lt;/R&gt;&lt;C&gt;1&lt;/C&gt;&lt;D xsi:type="xsd:double"&gt;3&lt;/D&gt;&lt;/FQL&gt;&lt;FQL&gt;&lt;Q&gt;REFPEMPR-FDS^PROPER_NAME(0,,,"SECURITY","NAME")&lt;/Q&gt;&lt;R&gt;1&lt;/R&gt;&lt;C&gt;1&lt;/C&gt;&lt;D xsi:type="xsd:string"&gt;Peru Policy Rate&lt;/D&gt;&lt;/FQL&gt;&lt;FQL&gt;&lt;Q&gt;TRYPH10Y-FDS^PCTCHG(FG_YIELD(0,,,,"YTM"),FG_YIELD(-3AM,,,,"YTM"))&lt;/Q&gt;&lt;R&gt;1&lt;/R&gt;&lt;C&gt;1&lt;/C&gt;&lt;D xsi:type="xsd:double"&gt;-7.457696&lt;/D&gt;&lt;/FQL&gt;&lt;FQL&gt;&lt;Q&gt;VNM^FMA_DIV_YLD(NTMA,NOW,NOW,M,"PORTAGG","MEANR")&lt;/Q&gt;&lt;R&gt;1&lt;/R&gt;&lt;C&gt;1&lt;/C&gt;&lt;D xsi:type="xsd:double"&gt;2.00279736465386&lt;/D&gt;&lt;/FQL&gt;&lt;FQL&gt;&lt;Q&gt;INDA^FMA_PE(NTMA,0,,,"PORTAGG","MEANR")&lt;/Q&gt;&lt;R&gt;1&lt;/R&gt;&lt;C&gt;1&lt;/C&gt;&lt;D xsi:type="xsd:dou</t>
        </r>
      </text>
    </comment>
    <comment ref="A20" authorId="0" shapeId="0" xr:uid="{E4DF3B73-88DD-406E-BB9B-3918BAEE1C17}">
      <text>
        <r>
          <rPr>
            <b/>
            <sz val="9"/>
            <color indexed="81"/>
            <rFont val="Tahoma"/>
            <charset val="1"/>
          </rPr>
          <t>ble"&gt;23.9695956721569&lt;/D&gt;&lt;/FQL&gt;&lt;FQL&gt;&lt;Q&gt;EWM^FMA_PE(LTM,0,,,"PORTAGG","MEANR")&lt;/Q&gt;&lt;R&gt;1&lt;/R&gt;&lt;C&gt;1&lt;/C&gt;&lt;D xsi:type="xsd:double"&gt;18.7741186964118&lt;/D&gt;&lt;/FQL&gt;&lt;FQL&gt;&lt;Q&gt;UAE^FG_COMPANY_NAME&lt;/Q&gt;&lt;R&gt;1&lt;/R&gt;&lt;C&gt;1&lt;/C&gt;&lt;D xsi:type="xsd:string"&gt;iShares MSCI UAE ETF&lt;/D&gt;&lt;/FQL&gt;&lt;FQL&gt;&lt;Q&gt;USDAED^FG_PRICE_CHANGE(0,-6AM)&lt;/Q&gt;&lt;R&gt;1&lt;/R&gt;&lt;C&gt;1&lt;/C&gt;&lt;D xsi:type="xsd:double"&gt;0.014972687&lt;/D&gt;&lt;/FQL&gt;&lt;FQL&gt;&lt;Q&gt;USDZAR^FG_PRICE_CHANGE(0,-6AM)&lt;/Q&gt;&lt;R&gt;1&lt;/R&gt;&lt;C&gt;1&lt;/C&gt;&lt;D xsi:type="xsd:double"&gt;-6.3892245&lt;/D&gt;&lt;/FQL&gt;&lt;FQL&gt;&lt;Q&gt;SET-BKK^FMA_DIV_YLD(NTMA,-10AY,0,AM,"PORTAGG","MEANR")&lt;/Q&gt;&lt;R&gt;121&lt;/R&gt;&lt;C&gt;1&lt;/C&gt;&lt;D xsi:type="xsd:double"&gt;3.43707004705978&lt;/D&gt;&lt;D xsi:type="xsd:double"&gt;3.37540776172513&lt;/D&gt;&lt;D xsi:type="xsd:double"&gt;3.39117897777429&lt;/D&gt;&lt;D xsi:type="xsd:double"&gt;3.40561961016822&lt;/D&gt;&lt;D xsi:type="xsd:double"&gt;3.18064871610355&lt;/D&gt;&lt;D xsi:type="xsd:double"&gt;3.38356394048095&lt;/D&gt;&lt;D xsi:type="xsd:double"&gt;3.36825612617659&lt;/D&gt;&lt;D xsi:type="xsd:double"&gt;3.41945434209236&lt;/D&gt;&lt;D xsi:type="xsd:double"&gt;3.43189216504564&lt;/D&gt;&lt;D xsi:type="xsd:double"&gt;3.45245408598024&lt;/D&gt;&lt;D xsi:type="xsd:double"&gt;3.5789683695209&lt;/D&gt;&lt;D xsi:type="xsd:double"&gt;3.5960669126338&lt;/D&gt;&lt;D xsi:type="xsd:double"&gt;3.58145347706555&lt;/D&gt;&lt;D xsi:type="xsd:double"&gt;3.64187608607543&lt;/D&gt;&lt;D xsi:type="xsd:double"&gt;3.90325772321495&lt;/D&gt;&lt;D xsi:type="xsd:double"&gt;3.93572179962&lt;/D&gt;&lt;D xsi:type="xsd:double"&gt;3.63626802059608&lt;/D&gt;&lt;D xsi:type="xsd:double"&gt;3.41956174883858&lt;/D&gt;&lt;D xsi:type="xsd:double"&gt;3.4600587112987&lt;/D&gt;&lt;D xsi:type="xsd:double"&gt;3.43436339621766&lt;/D&gt;&lt;D xsi:type="xsd:double"&gt;3.33129520096314&lt;/D&gt;&lt;D xsi:type="xsd:double"&gt;3.27860612508998&lt;/D&gt;&lt;D xsi:type="xsd:double"&gt;3.1041761619773&lt;/D&gt;&lt;D xsi:type="xsd:double"&gt;3.36633624538347&lt;/D&gt;&lt;D xsi:type="xsd:double"&gt;3.36711157652626&lt;/D&gt;&lt;D xsi:type="xsd:double"&gt;3.23958010846036&lt;/D&gt;&lt;D xsi:type="xsd:double"&gt;3.23289875036059&lt;/D&gt;&lt;D xsi:type="xsd:double"&gt;3.14572841147475&lt;/D&gt;&lt;D xsi:type="xsd:double"&gt;3.10735446962303&lt;/D&gt;&lt;D xsi:type="xsd:double"&gt;3.20154274763426&lt;/D&gt;&lt;D xsi:type="xsd:double"&gt;3.11508827478885&lt;/D&gt;&lt;D xsi:type="xsd:double"&gt;3.19131735089287&lt;/D&gt;&lt;D xsi:type="xsd:double"&gt;3.21129463397778&lt;/D&gt;&lt;D xsi:type="xsd:double"&gt;3.25021879791259&lt;/D&gt;&lt;D xsi:type="xsd:double"&gt;3.24225362226674&lt;/D&gt;&lt;D xsi:type="xsd:double"&gt;3.09678568126479&lt;/D&gt;&lt;D xsi:type="xsd:double"&gt;2.98287323908845&lt;/D&gt;&lt;D xsi:type="xsd:double"&gt;3.05576908519837&lt;/D&gt;&lt;D xsi:type="xsd:double"&gt;3.04582678247539&lt;/D&gt;&lt;D xsi:type="xsd:double"&gt;2.91766764163712&lt;/D&gt;&lt;D xsi:type="xsd:double"&gt;2.98188727448918&lt;/D&gt;&lt;D xsi:type="xsd:double"&gt;3.07884723657301&lt;/D&gt;&lt;D xsi:type="xsd:double"&gt;3.08120875070697&lt;/D&gt;&lt;D xsi:type="xsd:double"&gt;3.12060853401425&lt;/D&gt;&lt;D xsi:type="xsd:double"&gt;3.19307979421679&lt;/D&gt;&lt;D xsi:type="xsd:double"&gt;3.36959722493498&lt;/D&gt;&lt;D xsi:type="xsd:double"&gt;3.25093993101584&lt;/D&gt;&lt;D xsi:type="xsd:double"&gt;3.3221267881811&lt;/D&gt;&lt;D xsi:type="xsd:double"&gt;3.26627825316545&lt;/D&gt;&lt;D xsi:type="xsd:double"&gt;3.36970551181616&lt;/D&gt;&lt;D xsi:type="xsd:double"&gt;3.43269357959303&lt;/D&gt;&lt;D xsi:type="xsd:double"&gt;3.49852608617782&lt;/D&gt;&lt;D xsi:type="xsd:double"&gt;3.30960596374922&lt;/D&gt;&lt;D xsi:type="xsd:double"&gt;3.3146508913698&lt;/D&gt;&lt;D xsi:type="xsd:double"&gt;3.26838138123857&lt;/D&gt;&lt;D xsi:type="xsd:double"&gt;3.2980474375135&lt;/D&gt;&lt;D xsi:type="xsd:double"&gt;3.23110938962333&lt;/D&gt;&lt;D xsi:type="xsd:double"&gt;3.09536464071265&lt;/D&gt;&lt;D xsi:type="xsd:double"&gt;3.27977989924838&lt;/D&gt;&lt;D xsi:type="xsd:double"&gt;3.21163354272079&lt;/D&gt;&lt;D xsi:type="xsd:double"&gt;3.31553236537168&lt;/D&gt;&lt;D xsi:type="xsd:double"&gt;3.18703284107474&lt;/D&gt;&lt;D xsi:type="xsd:double"&gt;3.31859468442438&lt;/D&gt;&lt;D xsi:type="xsd:double"&gt;3.22977954895949&lt;/D&gt;&lt;D xsi:type="xsd:double"&gt;3.32690879576026&lt;/D&gt;&lt;D xsi:type="xsd:double"&gt;3.85089868172619&lt;/D&gt;&lt;D xsi:type="xsd:double"&gt;3.64230981137505&lt;/D&gt;&lt;D xsi:type="xsd:double"&gt;3.36308235544207&lt;/D&gt;&lt;D xsi:type="xsd:double"&gt;2.9334505770188&lt;/D&gt;&lt;D xsi:type="xsd:double"&gt;3.02351378594891&lt;/D&gt;&lt;D xsi:type="xsd:double"&gt;3.10134914353813&lt;/D&gt;&lt;D xsi:type="xsd:double"&gt;3.14661900170105&lt;/D&gt;&lt;D xsi:type="xsd:double"&gt;3.10450399234218&lt;/D&gt;&lt;D xsi:type="xsd:double"&gt;2.91415183808544&lt;/D&gt;&lt;D xsi:type="xsd:double"&gt;2.71162945250033&lt;/D&gt;&lt;D xsi:type="xsd:double"&gt;2.65208644774564&lt;/D&gt;&lt;D xsi:type="xsd:double"&gt;2.76157004170639&lt;/D&gt;&lt;D xsi:type="xsd:double"&gt;2.72507597645065&lt;/D&gt;&lt;D xsi:type="xsd:double"&gt;2.82371721245246&lt;/D&gt;&lt;D xsi:type="xsd:double"&gt;2.85168461549207&lt;/D&gt;&lt;D xsi:type="xsd:double"&gt;2.80456721053269&lt;/D&gt;&lt;D xsi:type="xsd:double"&gt;2.97701438988637&lt;/D&gt;&lt;D xsi:type="xsd:double"&gt;3.00932133078671&lt;/D&gt;&lt;D xsi:type="xsd:double"&gt;2.82410197235932&lt;/D&gt;&lt;D xsi:type="xsd:double"&gt;2.81647074593208&lt;/D&gt;&lt;D xsi:type="xsd:double"&gt;2.81767119671644&lt;/D&gt;&lt;D xsi:type="xsd:double"&gt;2.91109912841846&lt;/D&gt;&lt;D xsi:type="xsd:double"&gt;2.85475792959727&lt;/D&gt;&lt;D xsi:type="xsd:double"&gt;2.83694324250651&lt;/D&gt;&lt;D xsi:type="xsd:double"&gt;2.96519736341555&lt;/D&gt;&lt;D xsi:type="xsd:double"&gt;2.95152848039508&lt;/D&gt;&lt;D xsi:type="xsd:double"&gt;3.07552460595699&lt;/D&gt;&lt;D xsi:type="xsd:double"&gt;3.05690528082713&lt;/D&gt;&lt;D xsi:type="xsd:double"&gt;3.17562032511851&lt;/D&gt;&lt;D xsi:type="xsd:double"&gt;3.10515656713086&lt;/D&gt;&lt;D xsi:type="xsd:double"&gt;3.04982753296737&lt;/D&gt;&lt;D xsi:type="xsd:double"&gt;3.21067734600844&lt;/D&gt;&lt;D xsi:type="xsd:double"&gt;3.06358790647754&lt;/D&gt;&lt;D xsi:type="xsd:double"&gt;3.05268036833471&lt;/D&gt;&lt;D xsi:type="xsd:double"&gt;2.92501163598955&lt;/D&gt;&lt;D xsi:type="xsd:double"&gt;3.0253827696179&lt;/D&gt;&lt;D xsi:type="xsd:double"&gt;3.12238991389143&lt;/D&gt;&lt;D xsi:type="xsd:double"&gt;3.10173512544079&lt;/D&gt;&lt;D xsi:type="xsd:double"&gt;3.14695406006155&lt;/D&gt;&lt;D xsi:type="xsd:double"&gt;3.110212616219&lt;/D&gt;&lt;D xsi:type="xsd:double"&gt;3.19974340567109&lt;/D&gt;&lt;D xsi:type="xsd:double"&gt;3.11995446657359&lt;/D&gt;&lt;D xsi:type="xsd:double"&gt;3.1003474300345&lt;/D&gt;&lt;D xsi:type="xsd:double"&gt;3.35298199898423&lt;/D&gt;&lt;D xsi:type="xsd:double"&gt;3.44241752808947&lt;/D&gt;&lt;D xsi:type="xsd:double"&gt;3.43935380470114&lt;/D&gt;&lt;D xsi:type="xsd:double"&gt;3.4051803128472&lt;/D&gt;&lt;D xsi:type="xsd:double"&gt;3.49028786636647&lt;/D&gt;&lt;D xsi:type="xsd:double"&gt;3.45841992002633&lt;/D&gt;&lt;D xsi:type="xsd:double"&gt;3.44226029592177&lt;/D&gt;&lt;D xsi:type="xsd:double"&gt;3.63740656362565&lt;/D&gt;&lt;D xsi:type="xsd:double"&gt;3.81111662928683&lt;/D&gt;&lt;D xsi:type="xsd:double"&gt;3.77674301795843&lt;/D&gt;&lt;D xsi:type="xsd:double"&gt;3.86396308213059&lt;/D&gt;&lt;D xsi:type="xsd:double"&gt;3.53324901709484&lt;/D&gt;&lt;D xsi:type="xsd:double"&gt;3.50378424893391&lt;/D&gt;&lt;/FQL&gt;&lt;FQL&gt;&lt;Q&gt;EPU^FMA_PE(LTMA,-10AY,0,AM,"PORTAGG","MEANR")&lt;/Q&gt;&lt;R&gt;121&lt;/R&gt;&lt;C&gt;1&lt;/C&gt;&lt;D xsi:type="xsd:double"&gt;14.3355182026822&lt;/D&gt;&lt;D xsi:type="xsd:double"&gt;13.9534276764495&lt;/D&gt;&lt;D xsi:type="xsd:double"&gt;14.4439389726675&lt;/D&gt;&lt;D xsi:type="xsd:double"&gt;13.9761667047701&lt;/D&gt;&lt;D xsi:type="xsd:double"&gt;15.6320106779881&lt;/D&gt;&lt;D xsi:type="xsd:double"&gt;16.1242673130453&lt;/D&gt;&lt;D xsi:type="xsd:double"&gt;16.0079392360641&lt;/D&gt;&lt;D xsi:type="xsd:double"&gt;15.6542476031454&lt;/D&gt;&lt;D xsi:type="xsd:double"&gt;16.2511751046179&lt;/D&gt;&lt;D xsi:type="xsd:double"&gt;15.7955743508538&lt;/D&gt;&lt;D xsi:type="xsd:double"&gt;15.7889261386517&lt;/D&gt;&lt;D xsi:type="xsd:double"&gt;14.5281525982941&lt;/D&gt;&lt;D xsi:type="xsd:double"&gt;15.398173871745&lt;/D&gt;&lt;D xsi:type="xsd:double"&gt;11.5668275022543&lt;/D&gt;&lt;D xsi:type="xsd:double"&gt;10.8720652709734&lt;/D&gt;&lt;D xsi:type="xsd:double"&gt;14.6355230740494&lt;/D&gt;&lt;D xsi:type="xsd:double"&gt;16.9460121390842&lt;/D&gt;&lt;D xsi:type="xsd:double"&gt;22.4902250367515&lt;/D&gt;&lt;D xsi:type="xsd:double"&gt;21.8000777178794&lt;/D&gt;&lt;D xsi:type="xsd:double"&gt;21.4030466860195&lt;/D&gt;&lt;D xsi:type="xsd:double"&gt;20.4665125577679&lt;/D&gt;&lt;D xsi:type="xsd:double"&gt;20.1597762134859&lt;/D&gt;&lt;D xsi:type="xsd:double"&gt;19.2269835504704&lt;/D&gt;&lt;D xsi:type="xsd:double"&gt;18.1395179689711&lt;/D&gt;&lt;D xsi:type="xsd:double"&gt;16.7397204975318&lt;/D&gt;&lt;D xsi:type="xsd:double"&gt;16.4454943845802&lt;/D&gt;&lt;D xsi:type="xsd:double"&gt;15.689246821698&lt;/D&gt;&lt;D xsi:type="xsd:double"&gt;15.6404460370157&lt;/D&gt;&lt;D xsi:type="xsd:double"&gt;17.5121126296527&lt;/D&gt;&lt;D xsi:type="xsd:double"&gt;16.1712786016005&lt;/D&gt;&lt;D xsi:type="xsd:double"&gt;15.6949978924388&lt;/D&gt;&lt;D xsi:type="xsd:double"&gt;14.9791830415117&lt;/D&gt;&lt;D xsi:type="xsd:double"&gt;15.081352944841&lt;/D&gt;&lt;D xsi:type="xsd:double"&gt;14.7273172612091&lt;/D&gt;&lt;D xsi:type="xsd:double"&gt;14.9752018334642&lt;/D&gt;&lt;D xsi:type="xsd:double"&gt;14.8633099284064&lt;/D&gt;&lt;D xsi:type="xsd:double"&gt;16.398067633373&lt;/D&gt;&lt;D xsi:type="xsd:double"&gt;16.5894458185098&lt;/D&gt;&lt;D xsi:type="xsd:double"&gt;16.4027218718066&lt;/D&gt;&lt;D xsi:type="xsd:double"&gt;17.5738830639524&lt;/D&gt;&lt;D xsi:type="xsd:double"&gt;17.5120021671772&lt;/D&gt;&lt;D xsi:type="xsd:double"&gt;19.7374051103529&lt;/D&gt;&lt;D xsi:type="xsd:double"&gt;19.1774886921954&lt;/D&gt;&lt;D xsi:type="xsd:double"&gt;18.6349809810406&lt;/D&gt;&lt;D xsi:type="xsd:double"&gt;17.9383550813718&lt;/D&gt;&lt;D xsi:type="xsd:double"&gt;17.6325849405699&lt;/D&gt;&lt;D xsi:type="xsd:double"&gt;17.7733884463001&lt;/D&gt;&lt;D xsi:type="xsd:double"&gt;16.1122402419633&lt;/D&gt;&lt;D xsi:type="xsd:double"&gt;16.3055925087825&lt;/D&gt;&lt;D xsi:type="xsd:double"&gt;16.6562023584924&lt;/D&gt;&lt;D xsi:type="xsd:double"&gt;17.0868210016274&lt;/D&gt;&lt;D xsi:type="xsd:double"&gt;17.4520546455275&lt;/D&gt;&lt;D xsi:type="xsd:double"&gt;19.0032691421429&lt;/D&gt;&lt;D xsi:type="xsd:double"&gt;20.0570987999643&lt;/D&gt;&lt;D xsi:type="xsd:double"&gt;19.7007318973475&lt;/D&gt;&lt;D xsi:type="xsd:double"&gt;18.555167654813&lt;/D&gt;&lt;D xsi:type="xsd:double"&gt;17.939316829708&lt;/D&gt;&lt;D xsi:type="xsd:double"&gt;17.6607931735141&lt;/D&gt;&lt;D xsi:type="xsd:double"&gt;18.0539748806699&lt;/D&gt;&lt;D xsi:type="xsd:double"&gt;17.2467319126531&lt;/D&gt;&lt;D xsi:type="xsd:double"&gt;16.8405829564541&lt;/D&gt;&lt;D xsi:type="xsd:double"&gt;17.1421599387202&lt;/D&gt;&lt;D xsi:type="xsd:double"&gt;16.1259370184005&lt;/D&gt;&lt;D xsi:type="xsd:double"&gt;16.811575623001&lt;/D&gt;&lt;D xsi:type="xsd:double"&gt;16.805336295012&lt;/D&gt;&lt;D xsi:type="xsd:double"&gt;16.4923266785012&lt;/D&gt;&lt;D xsi:type="xsd:double"&gt;15.5039211076171&lt;/D&gt;&lt;D xsi:type="xsd:double"&gt;16.8702516509527&lt;/D&gt;&lt;D xsi:type="xsd:double"&gt;19.5384853058854&lt;/D&gt;&lt;D xsi:type="xsd:double"&gt;22.4028113457199&lt;/D&gt;&lt;D xsi:type="xsd:double"&gt;26.3685667904474&lt;/D&gt;&lt;D xsi:type="xsd:double"&gt;32.4241105959605&lt;/D&gt;&lt;D xsi:type="xsd:double"&gt;39.3843769989343&lt;/D&gt;&lt;D xsi:type="xsd:double"&gt;42.3640298216901&lt;/D&gt;&lt;D xsi:type="xsd:double"&gt;51.6638321501122&lt;/D&gt;&lt;D xsi:type="xsd:double"&gt;50.0158194802956&lt;/D&gt;&lt;D xsi:type="xsd:double"&gt;46.4242232042958&lt;/D&gt;&lt;D xsi:type="xsd:double"&gt;66.1183636558068&lt;/D&gt;&lt;D xsi:type="xsd:double"&gt;60.3011885255893&lt;/D&gt;&lt;D xsi:type="xsd:double"&gt;54.6083501751325&lt;/D&gt;&lt;D xsi:type="xsd:double"&gt;48.0126123649764&lt;/D&gt;&lt;D xsi:type="xsd:double"&gt;42.180587851446&lt;/D&gt;&lt;D xsi:type="xsd:double"&gt;35.5652880112933&lt;/D&gt;&lt;D xsi:type="xsd:double"&gt;30.7461912635255&lt;/D&gt;&lt;D xsi:type="xsd:double"&gt;26.1667515707258&lt;/D&gt;&lt;D xsi:type="xsd:double"&gt;20.1552701045445&lt;/D&gt;&lt;D xsi:type="xsd:double"&gt;14.755821144412&lt;/D&gt;&lt;D xsi:type="xsd:double"&gt;11.9192389022544&lt;/D&gt;&lt;D xsi:type="xsd:double"&gt;11.929592788774&lt;/D&gt;&lt;D xsi:type="xsd:double"&gt;13.5853544090667&lt;/D&gt;&lt;D xsi:type="xsd:double"&gt;13.0205900401266&lt;/D&gt;&lt;D xsi:type="xsd:double"&gt;11.8508745082675&lt;/D&gt;&lt;D xsi:type="xsd:double"&gt;11.5261753593721&lt;/D&gt;&lt;D xsi:type="xsd:double"&gt;10.4736707363192&lt;/D&gt;&lt;D xsi:type="xsd:double"&gt;10.1796647871721&lt;/D&gt;&lt;D xsi:type="xsd:double"&gt;9.87395701316906&lt;/D&gt;&lt;D xsi:type="xsd:double"&gt;9.266404345522&lt;/D&gt;&lt;D xsi:type="xsd:double"&gt;10.1195180037883&lt;/D&gt;&lt;D xsi:type="xsd:double"&gt;9.91486197594613&lt;/D&gt;&lt;D xsi:type="xsd:double"&gt;10.4526827969452&lt;/D&gt;&lt;D xsi:type="xsd:double"&gt;9.78820958034277&lt;/D&gt;&lt;D xsi:type="xsd:double"&gt;9.38669320690224&lt;/D&gt;&lt;D xsi:type="xsd:double"&gt;9.52293830430774&lt;/D&gt;&lt;D xsi:type="xsd:double"&gt;9.63800845322859&lt;/D&gt;&lt;D xsi:type="xsd:double"&gt;9.88143282171382&lt;/D&gt;&lt;D xsi:type="xsd:double"&gt;10.2273666785952&lt;/D&gt;&lt;D xsi:type="xsd:double"&gt;11.0919899964106&lt;/D&gt;&lt;D xsi:type="xsd:double"&gt;10.8054969192602&lt;/D&gt;&lt;D xsi:type="xsd:double"&gt;10.6747511433234&lt;/D&gt;&lt;D xsi:type="xsd:double"&gt;11.1871552329667&lt;/D&gt;&lt;D xsi:type="xsd:double"&gt;12.7495644975063&lt;/D&gt;&lt;D xsi:type="xsd:double"&gt;14.95227750715&lt;/D&gt;&lt;D xsi:type="xsd:double"&gt;14.6123955574055&lt;/D&gt;&lt;D xsi:type="xsd:double"&gt;15.2102033296628&lt;/D&gt;&lt;D xsi:type="xsd:double"&gt;15.2057836769748&lt;/D&gt;&lt;D xsi:type="xsd:double"&gt;15.3608639169538&lt;/D&gt;&lt;D xsi:type="xsd:double"&gt;14.4215105108932&lt;/D&gt;&lt;D xsi:type="xsd:double"&gt;14.297757278498&lt;/D&gt;&lt;D xsi:type="xsd:double"&gt;13.225321385108&lt;/D&gt;&lt;D xsi:type="xsd:double"&gt;12.9110463218085&lt;/D&gt;&lt;D xsi:type="xsd:double"&gt;13.5074482002727&lt;/D&gt;&lt;/FQL&gt;&lt;FQL&gt;&lt;Q&gt;EWW^FG_PRICE(0)&lt;/Q&gt;&lt;R&gt;1&lt;/R&gt;&lt;C&gt;1&lt;/C&gt;&lt;D xsi:type="xsd:double"&gt;54.49&lt;/D&gt;&lt;/FQL&gt;&lt;FQL&gt;&lt;Q&gt;UAE^P_PRICE(0)/P_PRICE_HIGH_PR(0,,,,,,"PRICE","INTRA","52W")&lt;/Q&gt;&lt;R&gt;1&lt;/R&gt;&lt;C&gt;1&lt;/C&gt;&lt;D xsi:type="xsd:double"&gt;0.95369774&lt;/D&gt;&lt;/FQL&gt;&lt;FQL&gt;&lt;Q&gt;GREK^P_PRICE(0)/P_PRICE_HIGH_PR(0,,,,,,"PRICE","INTRA","52W")&lt;/Q&gt;&lt;R&gt;1&lt;/R&gt;&lt;C&gt;1&lt;/C&gt;&lt;D xsi:type="xsd:double"&gt;0.93096286&lt;/D&gt;&lt;/FQL&gt;&lt;FQL&gt;&lt;Q&gt;EWT^PERCENT_CHANGE(FMA_EPS(+1,0,,,,"PORTAGG","MEAN"),FMA_EPS(+1,-3AM,,,,"PORTAGG","MEAN"))&lt;/Q&gt;&lt;R&gt;1&lt;/R&gt;&lt;C&gt;1&lt;/C&gt;&lt;D xsi:type="xsd:double"&gt;11.7073577283513&lt;/D&gt;&lt;/FQL&gt;&lt;FQL&gt;&lt;Q&gt;ECH^FG_TOTAL_RETURNC(0,-3AM)&lt;/Q&gt;&lt;R&gt;1&lt;/R&gt;&lt;C&gt;1&lt;/C&gt;&lt;D xsi:type="xsd:double"&gt;-1.1156559&lt;/D&gt;&lt;/FQL&gt;&lt;FQL&gt;&lt;Q&gt;CNYA^FMA_RBICS_REV_CURRENT(30, LOC, "PORTAGG")&lt;/Q&gt;&lt;R&gt;1&lt;/R&gt;&lt;C&gt;1&lt;/C&gt;&lt;D xsi:type="xsd:double"&gt;22.2631145021828&lt;/D&gt;&lt;/FQL&gt;&lt;FQL&gt;&lt;Q&gt;REFVNDISC-FDS^PROPER_NAME(0,,,"SECURITY","NAME")&lt;/Q&gt;&lt;R&gt;1&lt;/R&gt;&lt;C&gt;1&lt;/C&gt;&lt;D xsi:type="xsd:string"&gt;Vietnam Discount Rate&lt;/D&gt;&lt;/FQL&gt;&lt;FQL&gt;&lt;Q&gt;GREK^FMA_PE(NTMA,0,,,"PORTAGG","MEANR")&lt;/Q&gt;&lt;R&gt;1&lt;/R&gt;&lt;C&gt;1&lt;/C&gt;&lt;D xsi:type="xsd:double"&gt;6.73527090868393&lt;/D&gt;&lt;/FQL&gt;&lt;FQL&gt;&lt;Q&gt;CAGDPY@MY^EE_ACTUAL_ANNUAL(MED,0)&lt;/Q&gt;&lt;R&gt;1&lt;/R&gt;&lt;C&gt;1&lt;/C&gt;&lt;D xsi:type="xsd:double"&gt;1.54713940757014&lt;/D&gt;&lt;/FQL&gt;&lt;FQL&gt;&lt;Q&gt;USDPLN^FG_PRICE_CHANGE(0,-6AM)&lt;/Q&gt;&lt;R&gt;1&lt;/R&gt;&lt;C&gt;1&lt;/C&gt;&lt;D xsi:type="xsd:double"&gt;-0.70438385&lt;/D&gt;&lt;/FQL&gt;&lt;FQL&gt;&lt;Q&gt;FC0000ID^FMA_EPS(NTMA,-20AY,0,CY,,"PORTAGG","MEANR")&lt;/Q&gt;&lt;R&gt;20&lt;/R&gt;&lt;C&gt;1&lt;/C&gt;&lt;D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xsi:type="xsd:double"&gt;63.7324767296368&lt;/D&gt;&lt;D xsi:type="xsd:double"&gt;51.5269226366261&lt;/D&gt;&lt;D xsi:type="xsd:double"&gt;58.7717056192432&lt;/D&gt;&lt;D xsi:type="xsd:double"&gt;64.972794174405&lt;/D&gt;&lt;D xsi:type="xsd:double"&gt;67.9891570247354&lt;/D&gt;&lt;/FQL&gt;&lt;FQL&gt;&lt;Q&gt;EPOL^FMA_PE(LTMA,-10AY,0,AM,"PORTAGG","MEANR")&lt;/Q&gt;&lt;R&gt;121&lt;/R&gt;&lt;C&gt;1&lt;/C&gt;&lt;D xsi:type="xsd:double"&gt;14.4117173155388&lt;/D&gt;&lt;D xsi:type="xsd:double"&gt;14.5942779718977&lt;/D&gt;&lt;D xsi:type="xsd:double"&gt;14.6773496689623&lt;/D&gt;&lt;D xsi:type="xsd:double"&gt;14.536023280073&lt;/D&gt;&lt;D xsi:type="xsd:double"&gt;18.4062805503738&lt;/D&gt;&lt;D xsi:type="xsd:double"&gt;20.1644234255652&lt;/D&gt;&lt;D xsi:type="xsd:double"&gt;19.7913718487234&lt;/D&gt;&lt;D xsi:type="xsd:double"&gt;19.4079223030054&lt;/D&gt;&lt;D xsi:type="xsd:double"&gt;18.2950814074934&lt;/D&gt;&lt;D xsi:type="xsd:double"&gt;17.2774036846837&lt;/D&gt;&lt;D xsi:type="xsd:double"&gt;16.1584256050154&lt;/D&gt;&lt;D xsi:type="xsd:double"&gt;15.1778935566216&lt;/D&gt;&lt;D xsi:type="xsd:double"&gt;14.3540691949508&lt;/D&gt;&lt;D xsi:type="xsd:double"&gt;13.0080336282318&lt;/D&gt;&lt;D xsi:type="xsd:double"&gt;11.1597183004296&lt;/D&gt;&lt;D xsi:type="xsd:double"&gt;10.5737329960506&lt;/D&gt;&lt;D xsi:type="xsd:double"&gt;11.7170236623452&lt;/D&gt;&lt;D xsi:type="xsd:double"&gt;12.2895178394011&lt;/D&gt;&lt;D xsi:type="xsd:double"&gt;12.376623172588&lt;/D&gt;&lt;D xsi:type="xsd:double"&gt;12.1805843767708&lt;/D&gt;&lt;D xsi:type="xsd:double"&gt;12.0308099097419&lt;/D&gt;&lt;D xsi:type="xsd:double"&gt;11.6102321048092&lt;/D&gt;&lt;D xsi:type="xsd:double"&gt;12.3499822230702&lt;/D&gt;&lt;D xsi:type="xsd:double"&gt;12.0736055686712&lt;/D&gt;&lt;D xsi:type="xsd:double"&gt;12.3990669608423&lt;/D&gt;&lt;D xsi:type="xsd:double"&gt;12.7376063361858&lt;/D&gt;&lt;D xsi:type="xsd:double"&gt;13.2512452575683&lt;/D&gt;&lt;D xsi:type="xsd:double"&gt;14.2839935236067&lt;/D&gt;&lt;D xsi:type="xsd:double"&gt;15.1957574762093&lt;/D&gt;&lt;D xsi:type="xsd:double"&gt;15.6849867816447&lt;/D&gt;&lt;D xsi:type="xsd:double"&gt;15.3644884195599&lt;/D&gt;&lt;D xsi:type="xsd:double"&gt;15.2148771240768&lt;/D&gt;&lt;D xsi:type="xsd:double"&gt;14.8673438606963&lt;/D&gt;&lt;D xsi:type="xsd:double"&gt;14.4742465551425&lt;/D&gt;&lt;D xsi:type="xsd:double"&gt;14.3915317950287&lt;/D&gt;&lt;D xsi:type="xsd:double"&gt;13.8810385570771&lt;/D&gt;&lt;D xsi:type="xsd:double"&gt;13.589313358086&lt;/D&gt;&lt;D xsi:type="xsd:double"&gt;12.8681206944801&lt;/D&gt;&lt;D xsi:type="xsd:double"&gt;12.4648132185519&lt;/D&gt;&lt;D xsi:type="xsd:double"&gt;12.4989102257001&lt;/D&gt;&lt;D xsi:type="xsd:double"&gt;12.0439370403688&lt;/D&gt;&lt;D xsi:type="xsd:double"&gt;11.7667196100875&lt;/D&gt;&lt;D xsi:type="xsd:double"&gt;11.7340845461324&lt;/D&gt;&lt;D xsi:type="xsd:double"&gt;11.791903065857&lt;/D&gt;&lt;D xsi:type="xsd:double"&gt;11.646319246057&lt;/D&gt;&lt;D xsi:type="xsd:double"&gt;11.3381338049187&lt;/D&gt;&lt;D xsi:type="xsd:double"&gt;11.5542665032455&lt;/D&gt;&lt;D xsi:type="xsd:double"&gt;11.4991750199818&lt;/D&gt;&lt;D xsi:type="xsd:double"&gt;11.4000292586664&lt;/D&gt;&lt;D xsi:type="xsd:double"&gt;11.3815163204522&lt;/D&gt;&lt;D xsi:type="xsd:double"&gt;11.3968127970917&lt;/D&gt;&lt;D xsi:type="xsd:double"&gt;11.720657492286&lt;/D&gt;&lt;D xsi:type="xsd:double"&gt;11.5798986859787&lt;/D&gt;&lt;D xsi:type="xsd:double"&gt;11.4639423285457&lt;/D&gt;&lt;D xsi:type="xsd:double"&gt;11.6710244156514&lt;/D&gt;&lt;D xsi:type="xsd:double"&gt;11.3671110182196&lt;/D&gt;&lt;D xsi:type="xsd:double"&gt;11.4489843485171&lt;/D&gt;&lt;D xsi:type="xsd:double"&gt;11.5834150647834&lt;/D&gt;&lt;D xsi:type="xsd:double"&gt;10.9967497614941&lt;/D&gt;&lt;D xsi:type="xsd:double"&gt;11.0573349579524&lt;/D&gt;&lt;D xsi:type="xsd:double"&gt;10.7289450424449&lt;/D&gt;&lt;D xsi:type="xsd:double"&gt;11.1820763178693&lt;/D&gt;&lt;D xsi:type="xsd:double"&gt;10.4918819092542&lt;/D&gt;&lt;D xsi:type="xsd:double"&gt;11.0840647694599&lt;/D&gt;&lt;D xsi:type="xsd:double"&gt;11.1393184267791&lt;/D&gt;&lt;D xsi:type="xsd:double"&gt;9.52519030458266&lt;/D&gt;&lt;D xsi:type="xsd:double"&gt;9.89762918199219&lt;/D&gt;&lt;D xsi:type="xsd:double"&gt;10.8575890864044&lt;/D&gt;&lt;D xsi:type="xsd:double"&gt;12.1791858275629&lt;/D&gt;&lt;D xsi:type="xsd:double"&gt;11.8597090628339&lt;/D&gt;&lt;D xsi:type="xsd:double"&gt;12.0563650108327&lt;/D&gt;&lt;D xsi:type="xsd:double"&gt;12.8215832072821&lt;/D&gt;&lt;D xsi:type="xsd:double"&gt;14.3078999659333&lt;/D&gt;&lt;D xsi:type="xsd:double"&gt;18.4238025349504&lt;/D&gt;&lt;D xsi:type="xsd:double"&gt;22.0319624147984&lt;/D&gt;&lt;D xsi:type="xsd:double"&gt;23.7952091316201&lt;/D&gt;&lt;D xsi:type="xsd:double"&gt;15.4422173262795&lt;/D&gt;&lt;D xsi:type="xsd:double"&gt;17.0567884461589&lt;/D&gt;&lt;D xsi:type="xsd:double"&gt;16.6214236208355&lt;/D&gt;&lt;D xsi:type="xsd:double"&gt;16.485878085545&lt;/D&gt;&lt;D xsi:type="xsd:double"&gt;15.9391798003698&lt;/D&gt;&lt;D xsi:type="xsd:double"&gt;15.2536284068208&lt;/D&gt;&lt;D xsi:type="xsd:double"&gt;14.5240417636422&lt;/D&gt;&lt;D xsi:type="xsd:double"&gt;13.988433743795&lt;/D&gt;&lt;D xsi:type="xsd:double"&gt;14.0855967732201&lt;/D&gt;&lt;D xsi:type="xsd:double"&gt;13.1110863242909&lt;/D&gt;&lt;D xsi:type="xsd:double"&gt;10.9186088906704&lt;/D&gt;&lt;D xsi:type="xsd:double"&gt;10.9252679259129&lt;/D&gt;&lt;D xsi:type="xsd:double"&gt;10.8887020121543&lt;/D&gt;&lt;D xsi:type="xsd:double"&gt;9.75187611429531&lt;/D&gt;&lt;D xsi:type="xsd:double"&gt;9.62379749088115&lt;/D&gt;&lt;D xsi:type="xsd:double"&gt;8.74832543598869&lt;/D&gt;&lt;D xsi:type="xsd:double"&gt;8.34766255223181&lt;/D&gt;&lt;D xsi:type="xsd:double"&gt;8.25069070533383&lt;/D&gt;&lt;D xsi:type="xsd:double"&gt;7.13289266327532&lt;/D&gt;&lt;D xsi:type="xsd:double"&gt;6.79616684689747&lt;/D&gt;&lt;D xsi:type="xsd:double"&gt;6.11255678017503&lt;/D&gt;&lt;D xsi:type="xsd:double"&gt;6.58543738553641&lt;/D&gt;&lt;D xsi:type="xsd:double"&gt;5.94172150522048&lt;/D&gt;&lt;D xsi:type="xsd:double"&gt;6.34818194169409&lt;/D&gt;&lt;D xsi:type="xsd:double"&gt;5.40088798842883&lt;/D&gt;&lt;D xsi:type="xsd:double"&gt;5.99860432879093&lt;/D&gt;&lt;D xsi:type="xsd:double"&gt;5.94683048284164&lt;/D&gt;&lt;D xsi:type="xsd:double"&gt;6.15809553859166&lt;/D&gt;&lt;D xsi:type="xsd:double"&gt;6.50454306413979&lt;/D&gt;&lt;D xsi:type="xsd:double"&gt;6.96468384314063&lt;/D&gt;&lt;D xsi:type="xsd:double"&gt;6.8978809331241&lt;/D&gt;&lt;D xsi:type="xsd:double"&gt;6.79649968262997&lt;/D&gt;&lt;D xsi:type="xsd:double"&gt;7.00766162849752&lt;/D&gt;&lt;D xsi:type="xsd:double"&gt;7.47950611670067&lt;/D&gt;&lt;D xsi:type="xsd:double"&gt;8.79461342897696&lt;/D&gt;&lt;D xsi:type="xsd:double"&gt;8.68960388151814&lt;/D&gt;&lt;D xsi:type="xsd:double"&gt;8.60755568732799&lt;/D&gt;&lt;D xsi:type="xsd:double"&gt;8.92170861182764&lt;/D&gt;&lt;D xsi:type="xsd:double"&gt;8.81898760323246&lt;/D&gt;&lt;D xsi:type="xsd:double"&gt;8.97690224577708&lt;/D&gt;&lt;D xsi:type="xsd:double"&gt;8.92837274084754&lt;/D&gt;&lt;D xsi:type="xsd:double"&gt;9.18197074251652&lt;/D&gt;&lt;D xsi:type="xsd:double"&gt;8.67485838905204&lt;/D&gt;&lt;D xsi:type="xsd:double"&gt;8.78941398785021&lt;/D&gt;&lt;D xsi:type="xsd:double"&gt;8.91768388171896&lt;/D&gt;&lt;/FQL&gt;&lt;FQL&gt;&lt;Q&gt;W-FDS^FG_PRICE_CHANGE(0,-1AY)&lt;/Q&gt;&lt;R&gt;1&lt;/R&gt;&lt;C&gt;1&lt;/C&gt;&lt;D xsi:type="xsd:double"&gt;8.10205908683974&lt;/D&gt;&lt;/FQL&gt;&lt;FQL&gt;&lt;Q&gt;EWZ^FMA_COS_UP("EPS","1M",+1,NOW,,,"PORTAGG","MEANR")&lt;/Q&gt;&lt;R&gt;1&lt;/R&gt;&lt;C&gt;1&lt;/C&gt;&lt;D xsi:type="xsd:double"&gt;17&lt;/D&gt;&lt;/FQL&gt;&lt;FQL&gt;&lt;Q&gt;KSA^FG_ROE(0)&lt;/Q&gt;&lt;R&gt;1&lt;/R&gt;&lt;C&gt;1&lt;/C&gt;&lt;D xsi:type="xsd:double"&gt;11.785465895171&lt;/D&gt;&lt;/FQL&gt;&lt;FQL&gt;&lt;Q&gt;REFAEREPO-FDS^(SUBARRAY(NOT_NA(NO_REPEAT_F(FG_YIELD(NOW,-10AY,D))),0,1)-SUBARRAY(NOT_NA(NO_REPEAT_F(FG_YIELD(NOW,-10AY,D))),1,1))*100&lt;/Q&gt;&lt;R&gt;1&lt;/R&gt;&lt;C&gt;1&lt;/C&gt;&lt;D xsi:type="xsd:double"&gt;-50&lt;/D&gt;&lt;/FQL&gt;&lt;FQL&gt;&lt;Q&gt;REFIDRREPO-FDS^FG_YIELD(NOW,,,0)&lt;/Q&gt;&lt;R&gt;1&lt;/R&gt;&lt;C&gt;1&lt;/C&gt;&lt;D xsi:type="xsd:double"&gt;6&lt;/D&gt;&lt;/FQL&gt;&lt;FQL&gt;&lt;Q&gt;TRYPH10Y-FDS^PCTCHG(FG_YIELD(0,,,,"YTM"),FG_YIELD(-1AM,,,,"YTM"))&lt;/Q&gt;&lt;R&gt;1&lt;/R&gt;&lt;C&gt;1&lt;/C&gt;&lt;D xsi:type="xsd:double"&gt;-5.9200153&lt;/D&gt;&lt;/FQL&gt;&lt;FQL&gt;&lt;Q&gt;VNM^FMA_PE(NTMA,0,,,"PORTAGG","MEANR")&lt;/Q&gt;&lt;R&gt;1&lt;/R&gt;&lt;C&gt;1&lt;/C&gt;&lt;D xsi:type="xsd:double"&gt;13.430800417001&lt;/D&gt;&lt;/FQL&gt;&lt;FQL&gt;&lt;Q&gt;EZA^FMA_EVAL_EBIT(LTMA,NOW,NOW,M,"PORTAGG","MEANR")&lt;/Q&gt;&lt;R&gt;1&lt;/R&gt;&lt;C&gt;1&lt;/C&gt;&lt;D xsi:type="xsd:double"&gt;13.2604273089389&lt;/D&gt;&lt;/FQL&gt;&lt;FQL&gt;&lt;Q&gt;EWM^JULIAN(FMA_DIV_YLD(NTMA,NOW,NOW,M,"PORTAGG","MEANR").DATES)&lt;/Q&gt;&lt;R&gt;1&lt;/R&gt;&lt;C&gt;1&lt;/C&gt;&lt;D xsi:type="xsd:long"&gt;45565&lt;/D&gt;&lt;/FQL&gt;&lt;FQL&gt;&lt;Q&gt;TUR^FG_COMPANY_NAME&lt;/Q&gt;&lt;R&gt;1&lt;/R&gt;&lt;C&gt;1&lt;/C&gt;&lt;D xsi:type="xsd:string"&gt;iShares MSCI Turkey ETF&lt;/D&gt;&lt;/FQL&gt;&lt;FQL&gt;&lt;Q&gt;USDAED^FG_PRICE_CHANGE(0,-3AM)&lt;/Q&gt;&lt;R&gt;1&lt;/R&gt;&lt;C&gt;1&lt;/C&gt;&lt;D xsi:type="xsd:double"&gt;-0.0027239323&lt;/D&gt;&lt;/FQL&gt;&lt;FQL&gt;&lt;Q&gt;USDZAR^FG_PRICE_CHANGE(0,-3AM)&lt;/Q&gt;&lt;R&gt;1&lt;/R&gt;&lt;C&gt;1&lt;/C&gt;&lt;D xsi:type="xsd:double"&gt;-3.1799674&lt;/D&gt;&lt;/FQL&gt;&lt;FQL&gt;&lt;Q&gt;GREK^FMA_DIV_YLD(NTMA,-10AY,0,AM,"PORTAGG","MEANR")&lt;/Q&gt;&lt;R&gt;121&lt;/R&gt;&lt;C&gt;1&lt;/C&gt;&lt;D xsi:type="xsd:double"&gt;2.45163517119081&lt;/D&gt;&lt;D xsi:type="xsd:double"&gt;2.70953070570575&lt;/D&gt;&lt;D xsi:type="xsd:double"&gt;2.68536884988564&lt;/D&gt;&lt;D xsi:type="xsd:double"&gt;3.65268107476986&lt;/D&gt;&lt;D xsi:type="xsd:double"&gt;3.41408062115659&lt;/D&gt;&lt;D xsi:type="xsd:double"&gt;3.36213819197939&lt;/D&gt;&lt;D xsi:type="xsd:double"&gt;3.39924656384435&lt;/D&gt;&lt;D xsi:type="xsd:double"&gt;3.11314565049604&lt;/D&gt;&lt;D xsi:type="xsd:double"&gt;3.50560257547707&lt;/D&gt;&lt;D xsi:type="xsd:double"&gt;3.25745782527365&lt;/D&gt;&lt;D xsi:type="xsd:double"&gt;4.27949180201033&lt;/D&gt;&lt;D xsi:type="xsd:double"&gt;3.57284543984926&lt;/D&gt;&lt;D xsi:type="xsd:double"&gt;2.98245008906893&lt;/D&gt;&lt;D xsi:type="xsd:double"&gt;3.12088544247316&lt;/D&gt;&lt;D xsi:type="xsd:double"&gt;3.36204938569382&lt;/D&gt;&lt;D xsi:type="xsd:double"&gt;2.72472974713282&lt;/D&gt;&lt;D xsi:type="xsd:double"&gt;3.1310552136526&lt;/D&gt;&lt;D xsi:type="xsd:double"&gt;3.21943419226457&lt;/D&gt;&lt;D xsi:type="xsd:double"&gt;3.42738383221793&lt;/D&gt;&lt;D xsi:type="xsd:double"&gt;2.30993301729858&lt;/D&gt;&lt;D xsi:type="xsd:double"&gt;2.51687277239408&lt;/D&gt;&lt;D xsi:type="xsd:double"&gt;3.07660219508684&lt;/D&gt;&lt;D xsi:type="xsd:double"&gt;2.96911718949853&lt;/D&gt;&lt;D xsi:type="xsd:double"&gt;3.20000184626101&lt;/D&gt;&lt;D xsi:type="xsd:double"&gt;2.96466652896932&lt;/D&gt;&lt;D xsi:type="xsd:double"&gt;3.02898204648084&lt;/D&gt;&lt;D xsi:type="xsd:double"&gt;2.68815139856701&lt;/D&gt;&lt;D xsi:type="xsd:double"&gt;2.85750243334903&lt;/D&gt;&lt;D xsi:type="xsd:double"&gt;3.06621088145359&lt;/D&gt;&lt;D xsi:type="xsd:double"&gt;2.95442851538614&lt;/D&gt;&lt;D xsi:type="xsd:double"&gt;2.58483918628495&lt;/D&gt;&lt;D xsi:type="xsd:double"&gt;2.3199950118518&lt;/D&gt;&lt;D xsi:type="xsd:double"&gt;2.79058277514761&lt;/D&gt;&lt;D xsi:type="xsd:double"&gt;2.487717671429&lt;/D&gt;&lt;D xsi:type="xsd:double"&gt;2.57459585284235&lt;/D&gt;&lt;D xsi:type="xsd:double"&gt;2.63848149943082&lt;/D&gt;&lt;D xsi:type="xsd:double"&gt;2.82773530374095&lt;/D&gt;&lt;D xsi:type="xsd:double"&gt;3.05202872508514&lt;/D&gt;&lt;D xsi:type="xsd:double"&gt;2.92641854152744&lt;/D&gt;&lt;D xsi:type="xsd:double"&gt;2.55391466479068&lt;/D&gt;&lt;D xsi:type="xsd:double"&gt;2.76072674457004&lt;/D&gt;&lt;D xsi:type="xsd:double"&gt;3.08476593415241&lt;/D&gt;&lt;D xsi:type="xsd:double"&gt;3.11365858890999&lt;/D&gt;&lt;D xsi:type="xsd:double"&gt;3.08366514029279&lt;/D&gt;&lt;D xsi:type="xsd:double"&gt;3.42322873787941&lt;/D&gt;&lt;D xsi:type="xsd:double"&gt;3.43384198733022&lt;/D&gt;&lt;D xsi:type="xsd:double"&gt;3.536084776705&lt;/D&gt;&lt;D xsi:type="xsd:double"&gt;3.71507129745341&lt;/D&gt;&lt;D xsi:type="xsd:double"&gt;4.19632737340926&lt;/D&gt;&lt;D xsi:type="xsd:double"&gt;4.17210828750133&lt;/D&gt;&lt;D xsi:type="xsd:double"&gt;4.18125126494744&lt;/D&gt;&lt;D xsi:type="xsd:double"&gt;4.21028379394543&lt;/D&gt;&lt;D xsi:type="xsd:double"&gt;4.37047396111253&lt;/D&gt;&lt;D xsi:type="xsd:double"&gt;3.92708027855142&lt;/D&gt;&lt;D xsi:type="xsd:double"&gt;3.5556328235766&lt;/D&gt;&lt;D xsi:type="xsd:double"&gt;3.79304901409802&lt;/D&gt;&lt;D xsi:type="xsd:double"&gt;3.29527683895315&lt;/D&gt;&lt;D xsi:type="xsd:double"&gt;3.37455959250062&lt;/D&gt;&lt;D xsi:type="xsd:double"&gt;3.3435175679579&lt;/D&gt;&lt;D xsi:type="xsd:double"&gt;3.37629681341389&lt;/D&gt;&lt;D xsi:type="xsd:double"&gt;3.2859690839766&lt;/D&gt;&lt;D xsi:type="xsd:double"&gt;3.31280192296752&lt;/D&gt;&lt;D xsi:type="xsd:double"&gt;3.10932135285985&lt;/D&gt;&lt;D xsi:type="xsd:double"&gt;3.03928727806189&lt;/D&gt;&lt;D xsi:type="xsd:double"&gt;2.87782222211196&lt;/D&gt;&lt;D xsi:type="xsd:double"&gt;4.51481456929428&lt;/D&gt;&lt;D xsi:type="xsd:double"&gt;4.59273836373025&lt;/D&gt;&lt;D xsi:type="xsd:double"&gt;4.86902133212024&lt;/D&gt;&lt;D xsi:type="xsd:double"&gt;3.68458940213407&lt;/D&gt;&lt;D xsi:type="xsd:double"&gt;3.7021062053408&lt;/D&gt;&lt;D xsi:type="xsd:double"&gt;3.68113525170275&lt;/D&gt;&lt;D xsi:type="xsd:double"&gt;3.70470661854235&lt;/D&gt;&lt;D xsi:type="xsd:double"&gt;3.59636933007706&lt;/D&gt;&lt;D xsi:type="xsd:double"&gt;3.84298852789589&lt;/D&gt;&lt;D xsi:type="xsd:double"&gt;3.34577134625054&lt;/D&gt;&lt;D xsi:type="xsd:double"&gt;3.12442158601861&lt;/D&gt;&lt;D xsi:type="xsd:double"&gt;3.40888931869348&lt;/D&gt;&lt;D xsi:type="xsd:double"&gt;3.24606548372388&lt;/D&gt;&lt;D xsi:type="xsd:double"&gt;3.37156290569889&lt;/D&gt;&lt;D xsi:type="xsd:double"&gt;3.08097056784617&lt;/D&gt;&lt;D xsi:type="xsd:double"&gt;2.99000809036718&lt;/D&gt;&lt;D xsi:type="xsd:double"&gt;3.16530472892453&lt;/D&gt;&lt;D xsi:type="xsd:double"&gt;3.04456398380463&lt;/D&gt;&lt;D xsi:type="xsd:double"&gt;3.02033753231272&lt;/D&gt;&lt;D xsi:type="xsd:double"&gt;3.0358502775537&lt;/D&gt;&lt;D xsi:type="xsd:double"&gt;2.98496850019245&lt;/D&gt;&lt;D xsi:type="xsd:double"&gt;3.17758778919551&lt;/D&gt;&lt;D xsi:type="xsd:double"&gt;3.18529885115338&lt;/D&gt;&lt;D xsi:type="xsd:double"&gt;2.88189193140578&lt;/D&gt;&lt;D xsi:type="xsd:double"&gt;3.46488746916465&lt;/D&gt;&lt;D xsi:type="xsd:double"&gt;3.28716943588237&lt;/D&gt;&lt;D xsi:type="xsd:double"&gt;3.58137221635699&lt;/D&gt;&lt;D xsi:type="xsd:double"&gt;3.97362542241248&lt;/D&gt;&lt;D xsi:type="xsd:double"&gt;4.34273565058209&lt;/D&gt;&lt;D xsi:type="xsd:double"&gt;3.97680978002433&lt;/D&gt;&lt;D xsi:type="xsd:double"&gt;4.09565754425673&lt;/D&gt;&lt;D xsi:type="xsd:double"&gt;4.61754093353575&lt;/D&gt;&lt;D xsi:type="xsd:double"&gt;4.4363917376739&lt;/D&gt;&lt;D xsi:type="xsd:double"&gt;4.42718941098918&lt;/D&gt;&lt;D xsi:type="xsd:double"&gt;4.5171962301881&lt;/D&gt;&lt;D xsi:type="xsd:double"&gt;3.99777060288045&lt;/D&gt;&lt;D xsi:type="xsd:double"&gt;4.25647479812965&lt;/D&gt;&lt;D xsi:type="xsd:double"&gt;4.37775640094669&lt;/D&gt;&lt;D xsi:type="xsd:double"&gt;4.18529907236349&lt;/D&gt;&lt;D xsi:type="xsd:double"&gt;4.00664166994683&lt;/D&gt;&lt;D xsi:type="xsd:double"&gt;4.00837047848415&lt;/D&gt;&lt;D xsi:type="xsd:double"&gt;4.23680231802937&lt;/D&gt;&lt;D xsi:type="xsd:double"&gt;4.54913296046789&lt;/D&gt;&lt;D xsi:type="xsd:double"&gt;5.10256792191428&lt;/D&gt;&lt;D xsi:type="xsd:double"&gt;4.75793012667748&lt;/D&gt;&lt;D xsi:type="xsd:double"&gt;4.45211603164929&lt;/D&gt;&lt;D xsi:type="xsd:double"&gt;4.5837534484571&lt;/D&gt;&lt;D xsi:type="xsd:double"&gt;4.45726350831407&lt;/D&gt;&lt;D xsi:type="xsd:double"&gt;4.71821991333558&lt;/D&gt;&lt;D xsi:type="xsd:double"&gt;5.11283675992747&lt;/D&gt;&lt;D xsi:type="xsd:double"&gt;5.2744677481828&lt;/D&gt;&lt;D xsi:type="xsd:double"&gt;5.87952129304946&lt;/D&gt;&lt;D xsi:type="xsd:double"&gt;5.80244881009846&lt;/D&gt;&lt;D xsi:type="xsd:double"&gt;6.49601212258069&lt;/D&gt;&lt;D xsi:type="xsd:double"&gt;6.51657401707214&lt;/D&gt;&lt;D xsi:type="xsd:double"&gt;6.6661233271193&lt;/D&gt;&lt;/FQL&gt;&lt;FQL&gt;&lt;Q&gt;EPHE^FMA_PE(LTMA,-10AY,0,AM,"PORTAGG","MEANR")&lt;/Q&gt;&lt;R&gt;121&lt;/R&gt;&lt;C&gt;1&lt;/C&gt;&lt;D xsi:type="xsd:double"&gt;19.4613886580915&lt;/D&gt;&lt;D xsi:type="xsd:double"&gt;19.7887019786005&lt;/D&gt;&lt;D xsi:type="xsd:double"&gt;19.8491949625305&lt;/D&gt;&lt;D xsi:type="xsd:double"&gt;20.3724345191416&lt;/D&gt;&lt;D xsi:type="xsd:double"&gt;20.9350487903794&lt;/D&gt;&lt;D xsi:type="xsd:double"&gt;21.0271888608469&lt;/D&gt;&lt;D xsi:type="xsd:double"&gt;20.986881501638&lt;/D&gt;&lt;D xsi:type="xsd:double"&gt;20.5851026831498&lt;/D&gt;&lt;D xsi:type="xsd:double"&gt;20.0020629240362&lt;/D&gt;&lt;D xsi:type="xsd:double"&gt;19.8781934418469&lt;/D&gt;&lt;D xsi:type="xsd:double"&gt;20.1047203758045&lt;/D&gt;&lt;D xsi:type="xsd:double"&gt;18.7430666481124&lt;/D&gt;&lt;D xsi:type="xsd:double"&gt;19.2049711093602&lt;/D&gt;&lt;D xsi:type="xsd:double"&gt;18.763118772787&lt;/D&gt;&lt;D xsi:type="xsd:double"&gt;18.1362148345183&lt;/D&gt;&lt;D xsi:type="xsd:double"&gt;17.1706266757676&lt;/D&gt;&lt;D xsi:type="xsd:double"&gt;17.2076545109141&lt;/D&gt;&lt;D xsi:type="xsd:double"&gt;16.7250836644318&lt;/D&gt;&lt;D xsi:type="xsd:double"&gt;16.9654928543214&lt;/D&gt;&lt;D xsi:type="xsd:double"&gt;16.7468582304725&lt;/D&gt;&lt;D xsi:type="xsd:double"&gt;17.2663797124929&lt;/D&gt;&lt;D xsi:type="xsd:double"&gt;17.6510259054466&lt;/D&gt;&lt;D xsi:type="xsd:double"&gt;18.5852140915997&lt;/D&gt;&lt;D xsi:type="xsd:double"&gt;18.2486062915975&lt;/D&gt;&lt;D xsi:type="xsd:double"&gt;17.7263776171586&lt;/D&gt;&lt;D xsi:type="xsd:double"&gt;17.0880958681713&lt;/D&gt;&lt;D xsi:type="xsd:double"&gt;17.1627906740052&lt;/D&gt;&lt;D xsi:type="xsd:double"&gt;18.2967858183808&lt;/D&gt;&lt;D xsi:type="xsd:double"&gt;18.0196968149294&lt;/D&gt;&lt;D xsi:type="xsd:double"&gt;17.8236819729801&lt;/D&gt;&lt;D xsi:type="xsd:double"&gt;18.0129837880368&lt;/D&gt;&lt;D xsi:type="xsd:double"&gt;18.1219037949714&lt;/D&gt;&lt;D xsi:type="xsd:double"&gt;18.3436763568795&lt;/D&gt;&lt;D xsi:type="xsd:double"&gt;17.8407757254654&lt;/D&gt;&lt;D xsi:type="xsd:double"&gt;17.7331823149155&lt;/D&gt;&lt;D xsi:type="xsd:double"&gt;18.3603530763964&lt;/D&gt;&lt;D xsi:type="xsd:double"&gt;19.2778838858968&lt;/D&gt;&lt;D xsi:type="xsd:double"&gt;19.7261645724278&lt;/D&gt;&lt;D xsi:type="xsd:double"&gt;19.1361630990837&lt;/D&gt;&lt;D xsi:type="xsd:double"&gt;20.5684623300958&lt;/D&gt;&lt;D xsi:type="xsd:double"&gt;19.2742752582557&lt;/D&gt;&lt;D xsi:type="xsd:double"&gt;19.305922755177&lt;/D&gt;&lt;D xsi:type="xsd:double"&gt;18.849535648496&lt;/D&gt;&lt;D xsi:type="xsd:double"&gt;18.5458099343114&lt;/D&gt;&lt;D xsi:type="xsd:double"&gt;18.5597833926896&lt;/D&gt;&lt;D xsi:type="xsd:double"&gt;17.6268537943359&lt;/D&gt;&lt;D xsi:type="xsd:double"&gt;18.0855972030202&lt;/D&gt;&lt;D xsi:type="xsd:double"&gt;17.0724073683115&lt;/D&gt;&lt;D xsi:type="xsd:double"&gt;15.8401475169092&lt;/D&gt;&lt;D xsi:type="xsd:double"&gt;15.6164791795915&lt;/D&gt;&lt;D xsi:type="xsd:double"&gt;16.2231803774963&lt;/D&gt;&lt;D xsi:type="xsd:double"&gt;17.6887267669018&lt;/D&gt;&lt;D xsi:type="xsd:double"&gt;17.64822098353&lt;/D&gt;&lt;D xsi:type="xsd:double"&gt;16.8055308016734&lt;/D&gt;&lt;D xsi:type="xsd:double"&gt;16.7729157154979&lt;/D&gt;&lt;D xsi:type="xsd:double"&gt;16.5432027165877&lt;/D&gt;&lt;D xsi:type="xsd:double"&gt;16.7414547941992&lt;/D&gt;&lt;D xsi:type="xsd:double"&gt;16.7049200179334&lt;/D&gt;&lt;D xsi:type="xsd:double"&gt;16.351772536707&lt;/D&gt;&lt;D xsi:type="xsd:double"&gt;15.5012416526012&lt;/D&gt;&lt;D xsi:type="xsd:double"&gt;15.0386538094463&lt;/D&gt;&lt;D xsi:type="xsd:double"&gt;15.2998836637924&lt;/D&gt;&lt;D xsi:type="xsd:double"&gt;14.9182500405088&lt;/D&gt;&lt;D xsi:type="xsd:double"&gt;14.8344334563063&lt;/D&gt;&lt;D xsi:type="xsd:double"&gt;14.1717078815841&lt;/D&gt;&lt;D xsi:type="xsd:double"&gt;12.7895124323503&lt;/D&gt;&lt;D xsi:type="xsd:double"&gt;12.488480816172&lt;/D&gt;&lt;D xsi:type="xsd:double"&gt;13.0485296277017&lt;/D&gt;&lt;D xsi:type="xsd:double"&gt;15.2385383054236&lt;/D&gt;&lt;D xsi:type="xsd:double"&gt;15.7716904458777&lt;/D&gt;&lt;D xsi:type="xsd:double"&gt;16.5844883890502&lt;/D&gt;&lt;D xsi:type="xsd:double"&gt;18.3457743618759&lt;/D&gt;&lt;D xsi:type="xsd:double"&gt;19.6180408741754&lt;/D&gt;&lt;D xsi:type="xsd:double"&gt;23.8460165334722&lt;/D&gt;&lt;D xsi:type="xsd:double"&gt;24.6659285482141&lt;/D&gt;&lt;D xsi:type="xsd:double"&gt;25.8598243136799&lt;/D&gt;&lt;D xsi:type="xsd:double"&gt;24.9522289823688&lt;/D&gt;&lt;D xsi:type="xsd:double"&gt;22.7680478918153&lt;/D&gt;&lt;D xsi:type="xsd:double"&gt;21.9966793285249&lt;/D&gt;&lt;D xsi:type="xsd:double"&gt;21.3034834539202&lt;/D&gt;&lt;D xsi:type="xsd:double"&gt;21.7217054693657&lt;/D&gt;&lt;D xsi:type="xsd:double"&gt;21.0638199337338&lt;/D&gt;&lt;D xsi:type="xsd:double"&gt;20.1992198935193&lt;/D&gt;&lt;D xsi:type="xsd:double"&gt;20.6656552613121&lt;/D&gt;&lt;D xsi:type="xsd:double"&gt;20.4280809395788&lt;/D&gt;&lt;D xsi:type="xsd:double"&gt;20.9438454045509&lt;/D&gt;&lt;D xsi:type="xsd:double"&gt;19.964115393471&lt;/D&gt;&lt;D xsi:type="xsd:double"&gt;19.3387205618673&lt;/D&gt;&lt;D xsi:type="xsd:double"&gt;19.6814209098011&lt;/D&gt;&lt;D xsi:type="xsd:double"&gt;19.154950648661&lt;/D&gt;&lt;D xsi:type="xsd:double"&gt;18.7334022132758&lt;/D&gt;&lt;D xsi:type="xsd:double"&gt;18.0582560354819&lt;/D&gt;&lt;D xsi:type="xsd:double"&gt;17.4811023621294&lt;/D&gt;&lt;D xsi:type="xsd:double"&gt;16.7634043624367&lt;/D&gt;&lt;D xsi:type="xsd:double"&gt;16.3147006802887&lt;/D&gt;&lt;D xsi:type="xsd:double"&gt;15.9456976861036&lt;/D&gt;&lt;D xsi:type="xsd:double"&gt;13.9758867738676&lt;/D&gt;&lt;D xsi:type="xsd:double"&gt;13.7823010220847&lt;/D&gt;&lt;D xsi:type="xsd:double"&gt;14.1412859192702&lt;/D&gt;&lt;D xsi:type="xsd:double"&gt;14.1550769649948&lt;/D&gt;&lt;D xsi:type="xsd:double"&gt;14.182577678889&lt;/D&gt;&lt;D xsi:type="xsd:double"&gt;13.2097107849801&lt;/D&gt;&lt;D xsi:type="xsd:double"&gt;13.0904861473903&lt;/D&gt;&lt;D xsi:type="xsd:double"&gt;12.9081897900881&lt;/D&gt;&lt;D xsi:type="xsd:double"&gt;12.2265243452701&lt;/D&gt;&lt;D xsi:type="xsd:double"&gt;11.8812785999895&lt;/D&gt;&lt;D xsi:type="xsd:double"&gt;11.586740008032&lt;/D&gt;&lt;D xsi:type="xsd:double"&gt;11.2899946511684&lt;/D&gt;&lt;D xsi:type="xsd:double"&gt;11.1850653244444&lt;/D&gt;&lt;D xsi:type="xsd:double"&gt;10.6653256100038&lt;/D&gt;&lt;D xsi:type="xsd:double"&gt;9.79838170000659&lt;/D&gt;&lt;D xsi:type="xsd:double"&gt;10.0253772454083&lt;/D&gt;&lt;D xsi:type="xsd:double"&gt;10.4383703348932&lt;/D&gt;&lt;D xsi:type="xsd:double"&gt;10.649290227675&lt;/D&gt;&lt;D xsi:type="xsd:double"&gt;10.4474030491396&lt;/D&gt;&lt;D xsi:type="xsd:double"&gt;10.270378724754&lt;/D&gt;&lt;D xsi:type="xsd:double"&gt;10.0701730135454&lt;/D&gt;&lt;D xsi:type="xsd:double"&gt;10.1236980246272&lt;/D&gt;&lt;D xsi:type="xsd:double"&gt;10.1541196744593&lt;/D&gt;&lt;D xsi:type="xsd:double"&gt;10.557974790015&lt;/D&gt;&lt;D xsi:type="xsd:double"&gt;10.9966490549411&lt;/D&gt;&lt;/FQL&gt;&lt;FQL&gt;&lt;Q&gt;EWT^FG_PRICE_MAVG(0,,,,200)&lt;/Q&gt;&lt;R&gt;1&lt;/R&gt;&lt;C&gt;1&lt;/C&gt;&lt;D xsi:type="xsd:double"&gt;49.9682&lt;/D&gt;&lt;/FQL&gt;&lt;FQL&gt;&lt;Q&gt;UAE^FG_TOTAL_RETURNC(0,-6AM)&lt;/Q&gt;&lt;R&gt;1&lt;/R&gt;&lt;C&gt;1&lt;/C&gt;&lt;D xsi:type="xsd:double"&gt;3.5183072&lt;/D&gt;&lt;/FQL&gt;&lt;FQL&gt;&lt;Q&gt;GREK^FG_TOTAL_RETURNC(0,-6AM)&lt;/Q&gt;&lt;R&gt;1&lt;/R&gt;&lt;C&gt;1&lt;/C&gt;&lt;D xsi:type="xsd:double"&gt;2.0783067&lt;/D&gt;&lt;/FQL&gt;&lt;FQL&gt;&lt;Q&gt;EWT^PERCENT_CHANGE(FMA_EPS(+1,0,,,,"PORTAGG","MEAN"),FMA_EPS(+1,-1AM,,,,"PORTAGG","MEAN"))&lt;/Q&gt;&lt;R&gt;1&lt;/R&gt;&lt;C&gt;1&lt;/C&gt;&lt;D xsi:type="xsd:double"&gt;-0.219457259035507&lt;/D&gt;&lt;/FQL&gt;&lt;FQL&gt;&lt;Q&gt;ECH^FG_TOTAL_RETURNC(0,-1AM)&lt;/Q&gt;&lt;R&gt;1&lt;/R&gt;&lt;C&gt;1&lt;/C&gt;&lt;D xsi:type="xsd:double"&gt;6.9589734&lt;/D&gt;&lt;/FQL&gt;&lt;FQL&gt;&lt;Q&gt;EWJ^FMA_COS_DOWN("EPS","1M",+1,NOW,,,"PORTAGG","MEANR")&lt;/Q&gt;&lt;R&gt;1&lt;/R&gt;&lt;C&gt;1&lt;/C&gt;&lt;D xsi:type="xsd:double"&gt;80&lt;/D&gt;&lt;/FQL&gt;&lt;FQL&gt;&lt;Q&gt;REFCLMPR-FDS^(SUBARRAY(NOT_NA(NO_REPEAT_F(FG_YIELD(NOW,-10AY,D))),0,1)-SUBARRAY(NOT_NA(NO_REPEAT_F(FG_YIELD(NOW,-10AY,D))),1,1))*100&lt;/Q&gt;&lt;R&gt;1&lt;/R&gt;&lt;C&gt;1&lt;/C&gt;&lt;D xsi:type="xsd:double"&gt;-25&lt;/D&gt;&lt;/FQL&gt;&lt;FQL&gt;&lt;Q&gt;USDPHP^FG_COMPANY_NAME&lt;/Q&gt;&lt;R&gt;1&lt;/R&gt;&lt;C&gt;1&lt;/C&gt;&lt;D xsi:type="xsd:string"&gt;Philippines Peso per U.S. Dollar&lt;/D&gt;&lt;/FQL&gt;&lt;FQL&gt;&lt;Q&gt;UAE^FG_TOTAL_RETURNC(0,-12AM)&lt;/Q&gt;&lt;R&gt;1&lt;/R&gt;&lt;C&gt;1&lt;/C&gt;&lt;D xsi:type="xsd:double"&gt;4.7572136&lt;/D&gt;&lt;/FQ</t>
        </r>
      </text>
    </comment>
    <comment ref="A21" authorId="0" shapeId="0" xr:uid="{B8201ED4-C91E-4C71-AE5B-9136C19C0C5F}">
      <text>
        <r>
          <rPr>
            <b/>
            <sz val="9"/>
            <color indexed="81"/>
            <rFont val="Tahoma"/>
            <charset val="1"/>
          </rPr>
          <t>L&gt;&lt;FQL&gt;&lt;Q&gt;EPU^FG_TOTAL_RETURNC(0,-12AM)&lt;/Q&gt;&lt;R&gt;1&lt;/R&gt;&lt;C&gt;1&lt;/C&gt;&lt;D xsi:type="xsd:double"&gt;54.945957&lt;/D&gt;&lt;/FQL&gt;&lt;FQL&gt;&lt;Q&gt;MCHI^FMA_COS_DOWN("EPS","1M",+1,NOW,,,"PORTAGG","MEANR")&lt;/Q&gt;&lt;R&gt;1&lt;/R&gt;&lt;C&gt;1&lt;/C&gt;&lt;D xsi:type="xsd:double"&gt;164&lt;/D&gt;&lt;/FQL&gt;&lt;FQL&gt;&lt;Q&gt;REFAEREPO-FDS^FG_YIELD(NOW,,,0)&lt;/Q&gt;&lt;R&gt;1&lt;/R&gt;&lt;C&gt;1&lt;/C&gt;&lt;D xsi:type="xsd:double"&gt;4.9&lt;/D&gt;&lt;/FQL&gt;&lt;FQL&gt;&lt;Q&gt;TRYVN10Y-FDS^FG_YIELD(0,,,,"YTM")&lt;/Q&gt;&lt;R&gt;1&lt;/R&gt;&lt;C&gt;1&lt;/C&gt;&lt;D xsi:type="xsd:double"&gt;2.883454&lt;/D&gt;&lt;/FQL&gt;&lt;FQL&gt;&lt;Q&gt;EPOL^FMA_PE(LTM,0,,,"PORTAGG","MEANR")&lt;/Q&gt;&lt;R&gt;1&lt;/R&gt;&lt;C&gt;1&lt;/C&gt;&lt;D xsi:type="xsd:double"&gt;9.02786880793349&lt;/D&gt;&lt;/FQL&gt;&lt;FQL&gt;&lt;Q&gt;ECH^JULIAN(FMA_DIV_YLD(NTMA,NOW,NOW,M,"PORTAGG","MEANR").DATES)&lt;/Q&gt;&lt;R&gt;1&lt;/R&gt;&lt;C&gt;1&lt;/C&gt;&lt;D xsi:type="xsd:long"&gt;45565&lt;/D&gt;&lt;/FQL&gt;&lt;FQL&gt;&lt;Q&gt;CNYA^FMA_EVAL_EBIT(LTMA,NOW,NOW,M,"PORTAGG","MEANR")&lt;/Q&gt;&lt;R&gt;1&lt;/R&gt;&lt;C&gt;1&lt;/C&gt;&lt;D xsi:type="xsd:double"&gt;17.8985119297667&lt;/D&gt;&lt;/FQL&gt;&lt;FQL&gt;&lt;Q&gt;CNYA^FG_FCF_YIELD_NTM(0)&lt;/Q&gt;&lt;R&gt;1&lt;/R&gt;&lt;C&gt;1&lt;/C&gt;&lt;D xsi:type="xsd:double"&gt;5.28359138444944&lt;/D&gt;&lt;/FQL&gt;&lt;FQL&gt;&lt;Q&gt;USDTHB^FG_PRICE_CHANGE(0,-6AM)&lt;/Q&gt;&lt;R&gt;1&lt;/R&gt;&lt;C&gt;1&lt;/C&gt;&lt;D xsi:type="xsd:double"&gt;-7.6436577&lt;/D&gt;&lt;/FQL&gt;&lt;FQL&gt;&lt;Q&gt;EIDO^FG_TOTAL_RETURNC(0,-12AM)&lt;/Q&gt;&lt;R&gt;1&lt;/R&gt;&lt;C&gt;1&lt;/C&gt;&lt;D xsi:type="xsd:double"&gt;3.161645&lt;/D&gt;&lt;/FQL&gt;&lt;FQL&gt;&lt;Q&gt;TRYMY10Y-FDS^FG_YIELD(0,,,,"YTM")&lt;/Q&gt;&lt;R&gt;1&lt;/R&gt;&lt;C&gt;1&lt;/C&gt;&lt;D xsi:type="xsd:double"&gt;3.796769&lt;/D&gt;&lt;/FQL&gt;&lt;FQL&gt;&lt;Q&gt;INDA^FMA_EVAL_EBIT(LTMA,NOW,NOW,M,"PORTAGG","MEANR")&lt;/Q&gt;&lt;R&gt;1&lt;/R&gt;&lt;C&gt;1&lt;/C&gt;&lt;D xsi:type="xsd:double"&gt;24.4678115305224&lt;/D&gt;&lt;/FQL&gt;&lt;FQL&gt;&lt;Q&gt;CNYA^JULIAN(FMA_DIV_YLD(NTMA,NOW,NOW,M,"PORTAGG","MEANR").DATES)&lt;/Q&gt;&lt;R&gt;1&lt;/R&gt;&lt;C&gt;1&lt;/C&gt;&lt;D xsi:type="xsd:long"&gt;45565&lt;/D&gt;&lt;/FQL&gt;&lt;FQL&gt;&lt;Q&gt;WL-FDS^FG_PRICE(0)/MAX(FG_PRICE(0,-1AY))&lt;/Q&gt;&lt;R&gt;1&lt;/R&gt;&lt;C&gt;1&lt;/C&gt;&lt;D xsi:type="xsd:double"&gt;0.742336913806655&lt;/D&gt;&lt;/FQL&gt;&lt;FQL&gt;&lt;Q&gt;REFCNRMB-FDS^FG_YIELD(NOW,,,0)&lt;/Q&gt;&lt;R&gt;1&lt;/R&gt;&lt;C&gt;1&lt;/C&gt;&lt;D xsi:type="xsd:double"&gt;3.35&lt;/D&gt;&lt;/FQL&gt;&lt;FQL&gt;&lt;Q&gt;USDINR^FG_PRICE(0)&lt;/Q&gt;&lt;R&gt;1&lt;/R&gt;&lt;C&gt;1&lt;/C&gt;&lt;D xsi:type="xsd:double"&gt;83.97625&lt;/D&gt;&lt;/FQL&gt;&lt;FQL&gt;&lt;Q&gt;SET-BKK^FG_TOTAL_RETURNC(0,-12AM)&lt;/Q&gt;&lt;R&gt;1&lt;/R&gt;&lt;C&gt;1&lt;/C&gt;&lt;D xsi:type="xsd:double"&gt;2.375126&lt;/D&gt;&lt;/FQL&gt;&lt;FQL&gt;&lt;Q&gt;EIDO^P_PRICE(0)/P_PRICE_HIGH_PR(0,,,,,,"PRICE","INTRA","52W")&lt;/Q&gt;&lt;R&gt;1&lt;/R&gt;&lt;C&gt;1&lt;/C&gt;&lt;D xsi:type="xsd:double"&gt;0.9167902&lt;/D&gt;&lt;/FQL&gt;&lt;FQL&gt;&lt;Q&gt;USDEUR^FG_PRICE_CHANGE(0,-3AM)&lt;/Q&gt;&lt;R&gt;1&lt;/R&gt;&lt;C&gt;1&lt;/C&gt;&lt;D xsi:type="xsd:double"&gt;-0.9063482&lt;/D&gt;&lt;/FQL&gt;&lt;FQL&gt;&lt;Q&gt;EPU^SIZE(FG_CONSTITUENTS)&lt;/Q&gt;&lt;R&gt;1&lt;/R&gt;&lt;C&gt;1&lt;/C&gt;&lt;D xsi:type="xsd:long"&gt;26&lt;/D&gt;&lt;/FQL&gt;&lt;FQL&gt;&lt;Q&gt;MCHI^P_PRICE_RETURNS_PR('52W',2,-10AY,0,AM)&lt;/Q&gt;&lt;R&gt;121&lt;/R&gt;&lt;C&gt;1&lt;/C&gt;&lt;D xsi:type="xsd:double"&gt;0.40016174&lt;/D&gt;&lt;D xsi:type="xsd:double"&gt;7.535434&lt;/D&gt;&lt;D xsi:type="xsd:double"&gt;-0.252223&lt;/D&gt;&lt;D xsi:type="xsd:double"&gt;15.595781&lt;/D&gt;&lt;D xsi:type="xsd:double"&gt;20.500505&lt;/D&gt;&lt;D xsi:type="xsd:double"&gt;16.064703&lt;/D&gt;&lt;D xsi:type="xsd:double"&gt;37.5558&lt;/D&gt;&lt;D xsi:type="xsd:double"&gt;45.64923&lt;/D&gt;&lt;D xsi:type="xsd:double"&gt;27.827322&lt;/D&gt;&lt;D xsi:type="xsd:double"&gt;12.927759&lt;/D&gt;&lt;D xsi:type="xsd:double"&gt;3.3968449&lt;/D&gt;&lt;D xsi:type="xsd:double"&gt;-10.965485&lt;/D&gt;&lt;D xsi:type="xsd:double"&gt;1.5065432&lt;/D&gt;&lt;D xsi:type="xsd:double"&gt;-1.5054286&lt;/D&gt;&lt;D xsi:type="xsd:double"&gt;-5.58998&lt;/D&gt;&lt;D xsi:type="xsd:double"&gt;-20.451223&lt;/D&gt;&lt;D xsi:type="xsd:double"&gt;-27.141935&lt;/D&gt;&lt;D xsi:type="xsd:double"&gt;-18.224102&lt;/D&gt;&lt;D xsi:type="xsd:double"&gt;-29.266518&lt;/D&gt;&lt;D xsi:type="xsd:double"&gt;-32.320858&lt;/D&gt;&lt;D xsi:type="xsd:double"&gt;-27.533388&lt;/D&gt;&lt;D xsi:type="xsd:double"&gt;-8.651525&lt;/D&gt;&lt;D xsi:type="xsd:double"&gt;-9.330517&lt;/D&gt;&lt;D xsi:type="xsd:double"&gt;10.486269&lt;/D&gt;&lt;D xsi:type="xsd:double"&gt;6.9054604&lt;/D&gt;&lt;D xsi:type="xsd:double"&gt;-0.49572587&lt;/D&gt;&lt;D xsi:type="xsd:double"&gt;4.3951154&lt;/D&gt;&lt;D xsi:type="xsd:double"&gt;17.529129&lt;/D&gt;&lt;D xsi:type="xsd:double"&gt;35.822487&lt;/D&gt;&lt;D xsi:type="xsd:double"&gt;23.851383&lt;/D&gt;&lt;D xsi:type="xsd:double"&gt;23.06491&lt;/D&gt;&lt;D xsi:type="xsd:double"&gt;30.207611&lt;/D&gt;&lt;D xsi:type="xsd:double"&gt;31.337357&lt;/D&gt;&lt;D xsi:type="xsd:double"&gt;30.787527&lt;/D&gt;&lt;D xsi:type="xsd:double"&gt;31.503868&lt;/D&gt;&lt;D xsi:type="xsd:double"&gt;26.587284&lt;/D&gt;&lt;D xsi:type="xsd:double"&gt;34.417664&lt;/D&gt;&lt;D xsi:type="xsd:double"&gt;49.255848&lt;/D&gt;&lt;D xsi:type="xsd:double"&gt;42.71022&lt;/D&gt;&lt;D xsi:type="xsd:double"&gt;55.609333&lt;/D&gt;&lt;D xsi:type="xsd:double"&gt;38.35126&lt;/D&gt;&lt;D xsi:type="xsd:double"&gt;51.622604&lt;/D&gt;&lt;D xsi:type="xsd:double"&gt;39.61102&lt;/D&gt;&lt;D xsi:type="xsd:double"&gt;36.264263&lt;/D&gt;&lt;D xsi:type="xsd:double"&gt;29.511892&lt;/D&gt;&lt;D xsi:type="xsd:double"&gt;20.503056&lt;/D&gt;&lt;D xsi:type="xsd:double"&gt;7.7679873&lt;/D&gt;&lt;D xsi:type="xsd:double"&gt;-5.9369745&lt;/D&gt;&lt;D xsi:type="xsd:double"&gt;-17.579348&lt;/D&gt;&lt;D xsi:type="xsd:double"&gt;-18.15362&lt;/D&gt;&lt;D xsi:type="xsd:double"&gt;-14.551365&lt;/D&gt;&lt;D xsi:type="xsd:double"&gt;-20.169746&lt;/D&gt;&lt;D xsi:type="xsd:double"&gt;-8.822239&lt;/D&gt;&lt;D xsi:type="xsd:double"&gt;-13.92926&lt;/D&gt;&lt;D xsi:type="xsd:double"&gt;-4.6022234&lt;/D&gt;&lt;D xsi:type="xsd:double"&gt;-12.618762&lt;/D&gt;&lt;D xsi:type="xsd:double"&gt;-18.929863&lt;/D&gt;&lt;D xsi:type="xsd:double"&gt;-7.4712634&lt;/D&gt;&lt;D xsi:type="xsd:double"&gt;-11.462248&lt;/D&gt;&lt;D xsi:type="xsd:double"&gt;4.247725&lt;/D&gt;&lt;D xsi:type="xsd:double"&gt;8.160484&lt;/D&gt;&lt;D xsi:type="xsd:double"&gt;11.93006&lt;/D&gt;&lt;D xsi:type="xsd:double"&gt;11.469471&lt;/D&gt;&lt;D xsi:type="xsd:double"&gt;21.345127&lt;/D&gt;&lt;D xsi:type="xsd:double"&gt;9.977961&lt;/D&gt;&lt;D xsi:type="xsd:double"&gt;5.565858&lt;/D&gt;&lt;D xsi:type="xsd:double"&gt;-8.51273&lt;/D&gt;&lt;D xsi:type="xsd:double"&gt;2.0635366&lt;/D&gt;&lt;D xsi:type="xsd:double"&gt;16.704214&lt;/D&gt;&lt;D xsi:type="xsd:double"&gt;27.858139&lt;/D&gt;&lt;D xsi:type="xsd:double"&gt;33.367504&lt;/D&gt;&lt;D xsi:type="xsd:double"&gt;24.836552&lt;/D&gt;&lt;D xsi:type="xsd:double"&gt;38.544655&lt;/D&gt;&lt;D xsi:type="xsd:double"&gt;31.471325&lt;/D&gt;&lt;D xsi:type="xsd:double"&gt;34.910538&lt;/D&gt;&lt;D xsi:type="xsd:double"&gt;32.253883&lt;/D&gt;&lt;D xsi:type="xsd:double"&gt;51.06503&lt;/D&gt;&lt;D xsi:type="xsd:double"&gt;35.686337&lt;/D&gt;&lt;D xsi:type="xsd:double"&gt;40.968204&lt;/D&gt;&lt;D xsi:type="xsd:double"&gt;29.806173&lt;/D&gt;&lt;D xsi:type="xsd:double"&gt;26.953304&lt;/D&gt;&lt;D xsi:type="xsd:double"&gt;4.5936465&lt;/D&gt;&lt;D xsi:type="xsd:double"&gt;1.9425273&lt;/D&gt;&lt;D xsi:type="xsd:double"&gt;0.95933676&lt;/D&gt;&lt;D xsi:type="xsd:double"&gt;-8.521485&lt;/D&gt;&lt;D xsi:type="xsd:double"&gt;-12.912029&lt;/D&gt;&lt;D xsi:type="xsd:double"&gt;-17.17397&lt;/D&gt;&lt;D xsi:type="xsd:double"&gt;-26.592373&lt;/D&gt;&lt;D xsi:type="xsd:double"&gt;-32.55132&lt;/D&gt;&lt;D xsi:type="xsd:double"&gt;-37.59197&lt;/D&gt;&lt;D xsi:type="xsd:double"&gt;-34.97019&lt;/D&gt;&lt;D xsi:type="xsd:double"&gt;-40.14525&lt;/D&gt;&lt;D xsi:type="xsd:double"&gt;-33.755283&lt;/D&gt;&lt;D xsi:type="xsd:double"&gt;-25.730377&lt;/D&gt;&lt;D xsi:type="xsd:double"&gt;-31.659199&lt;/D&gt;&lt;D xsi:type="xsd:double"&gt;-32.080524&lt;/D&gt;&lt;D xsi:type="xsd:double"&gt;-38.99895&lt;/D&gt;&lt;D xsi:type="xsd:double"&gt;-38.907875&lt;/D&gt;&lt;D xsi:type="xsd:double"&gt;-25.054688&lt;/D&gt;&lt;D xsi:type="xsd:double"&gt;-12.9573345&lt;/D&gt;&lt;D xsi:type="xsd:double"&gt;-17.535847&lt;/D&gt;&lt;D xsi:type="xsd:double"&gt;-7.1625414&lt;/D&gt;&lt;D xsi:type="xsd:double"&gt;-4.984027&lt;/D&gt;&lt;D xsi:type="xsd:double"&gt;3.3940196&lt;/D&gt;&lt;D xsi:type="xsd:double"&gt;-12.595404&lt;/D&gt;&lt;D xsi:type="xsd:double"&gt;-17.092197&lt;/D&gt;&lt;D xsi:type="xsd:double"&gt;-1.1716008&lt;/D&gt;&lt;D xsi:type="xsd:double"&gt;-5.197263&lt;/D&gt;&lt;D xsi:type="xsd:double"&gt;8.03417&lt;/D&gt;&lt;D xsi:type="xsd:double"&gt;5.5536985&lt;/D&gt;&lt;D xsi:type="xsd:double"&gt;-15.530598&lt;/D&gt;&lt;D xsi:type="xsd:double"&gt;-24.898827&lt;/D&gt;&lt;D xsi:type="xsd:double"&gt;-26.043022&lt;/D&gt;&lt;D xsi:type="xsd:double"&gt;-16.645628&lt;/D&gt;&lt;D xsi:type="xsd:double"&gt;-15.926904&lt;/D&gt;&lt;D xsi:type="xsd:double"&gt;-0.60558915&lt;/D&gt;&lt;D xsi:type="xsd:double"&gt;-0.94016194&lt;/D&gt;&lt;D xsi:type="xsd:double"&gt;-2.129209&lt;/D&gt;&lt;D xsi:type="xsd:double"&gt;-8.833742&lt;/D&gt;&lt;D xsi:type="xsd:double"&gt;-5.1363525&lt;/D&gt;&lt;D xsi:type="xsd:double"&gt;22.77639&lt;/D&gt;&lt;/FQL&gt;&lt;FQL&gt;&lt;Q&gt;REFMYON-FDS^PROPER_NAME(0,,,"SECURITY","NAME")&lt;/Q&gt;&lt;R&gt;1&lt;/R&gt;&lt;C&gt;1&lt;/C&gt;&lt;D xsi:type="xsd:string"&gt;Malaysia Policy Rate - Overnight&lt;/D&gt;&lt;/FQL&gt;&lt;FQL&gt;&lt;Q&gt;EWY^FG_COMPANY_NAME&lt;/Q&gt;&lt;R&gt;1&lt;/R&gt;&lt;C&gt;1&lt;/C&gt;&lt;D xsi:type="xsd:string"&gt;iShares MSCI South Korea ETF&lt;/D&gt;&lt;/FQL&gt;&lt;FQL&gt;&lt;Q&gt;EZA^FG_FCF_YIELD_NTM(0)&lt;/Q&gt;&lt;R&gt;1&lt;/R&gt;&lt;C&gt;1&lt;/C&gt;&lt;D xsi:type="xsd:double"&gt;7.67020789204874&lt;/D&gt;&lt;/FQL&gt;&lt;FQL&gt;&lt;Q&gt;W-FDS^FG_PRICE_CHANGE(0,-6AM)&lt;/Q&gt;&lt;R&gt;1&lt;/R&gt;&lt;C&gt;1&lt;/C&gt;&lt;D xsi:type="xsd:double"&gt;8.10205908683974&lt;/D&gt;&lt;/FQL&gt;&lt;FQL&gt;&lt;Q&gt;GREK^FMA_RBICS_REV_CURRENT(30, LOC, "PORTAGG")&lt;/Q&gt;&lt;R&gt;1&lt;/R&gt;&lt;C&gt;1&lt;/C&gt;&lt;D xsi:type="xsd:double"&gt;42.4590108568552&lt;/D&gt;&lt;/FQL&gt;&lt;FQL&gt;&lt;Q&gt;EWW^FG_COMPANY_NAME&lt;/Q&gt;&lt;R&gt;1&lt;/R&gt;&lt;C&gt;1&lt;/C&gt;&lt;D xsi:type="xsd:string"&gt;iShares MSCI Mexico ETF&lt;/D&gt;&lt;/FQL&gt;&lt;FQL&gt;&lt;Q&gt;CAGDPY@IN^EE_ACTUAL_ANNUAL(MED,+1)&lt;/Q&gt;&lt;R&gt;1&lt;/R&gt;&lt;C&gt;1&lt;/C&gt;&lt;D xsi:type="xsd:double"&gt;-1.3&lt;/D&gt;&lt;/FQL&gt;&lt;FQL&gt;&lt;Q&gt;CAGDPY@KR^EE_ACTUAL_ANNUAL(MED,0)&lt;/Q&gt;&lt;R&gt;1&lt;/R&gt;&lt;C&gt;1&lt;/C&gt;&lt;D xsi:type="xsd:double"&gt;1.90344221708053&lt;/D&gt;&lt;/FQL&gt;&lt;FQL&gt;&lt;Q&gt;EZA^P_PRICE(0)/P_PRICE_LOW_PR(0,,,,,,"PRICE","INTRA","52W")-1&lt;/Q&gt;&lt;R&gt;1&lt;/R&gt;&lt;C&gt;1&lt;/C&gt;&lt;D xsi:type="xsd:double"&gt;0.34268594&lt;/D&gt;&lt;/FQL&gt;&lt;FQL&gt;&lt;Q&gt;EZA^FMA_RBICS_REV_CURRENT(30, LOC, "PORTAGG")&lt;/Q&gt;&lt;R&gt;1&lt;/R&gt;&lt;C&gt;1&lt;/C&gt;&lt;D xsi:type="xsd:double"&gt;46.1807049796121&lt;/D&gt;&lt;/FQL&gt;&lt;FQL&gt;&lt;Q&gt;USDBRL^FG_PRICE_CHANGE(0,-1AY)&lt;/Q&gt;&lt;R&gt;1&lt;/R&gt;&lt;C&gt;1&lt;/C&gt;&lt;D xsi:type="xsd:double"&gt;9.937167&lt;/D&gt;&lt;/FQL&gt;&lt;FQL&gt;&lt;Q&gt;VNM^FMA_DIV_YLD(NTMA,-10AY,0,AM,"PORTAGG","MEANR")&lt;/Q&gt;&lt;R&gt;121&lt;/R&gt;&lt;C&gt;1&lt;/C&gt;&lt;D xsi:type="xsd:double"&gt;2.92521309444372&lt;/D&gt;&lt;D xsi:type="xsd:double"&gt;2.86413184962416&lt;/D&gt;&lt;D xsi:type="xsd:double"&gt;3.17082716371893&lt;/D&gt;&lt;D xsi:type="xsd:double"&gt;3.05091868938933&lt;/D&gt;&lt;D xsi:type="xsd:double"&gt;3.09236182650322&lt;/D&gt;&lt;D xsi:type="xsd:double"&gt;2.93356876708832&lt;/D&gt;&lt;D xsi:type="xsd:double"&gt;2.92335874066594&lt;/D&gt;&lt;D xsi:type="xsd:double"&gt;3.02142059227897&lt;/D&gt;&lt;D xsi:type="xsd:double"&gt;2.75948854633374&lt;/D&gt;&lt;D xsi:type="xsd:double"&gt;4.10502221475241&lt;/D&gt;&lt;D xsi:type="xsd:double"&gt;4.14328298944575&lt;/D&gt;&lt;D xsi:type="xsd:double"&gt;3.56946835227042&lt;/D&gt;&lt;D xsi:type="xsd:double"&gt;3.18818514297506&lt;/D&gt;&lt;D xsi:type="xsd:double"&gt;3.26918515968738&lt;/D&gt;&lt;D xsi:type="xsd:double"&gt;2.49235413852632&lt;/D&gt;&lt;D xsi:type="xsd:string"&gt;@NA&lt;/D&gt;&lt;D xsi:type="xsd:string"&gt;@NA&lt;/D&gt;&lt;D xsi:type="xsd:double"&gt;2.70030887773107&lt;/D&gt;&lt;D xsi:type="xsd:double"&gt;3.17357795182459&lt;/D&gt;&lt;D xsi:type="xsd:double"&gt;3.16488712609248&lt;/D&gt;&lt;D xsi:type="xsd:double"&gt;3.63761267985306&lt;/D&gt;&lt;D xsi:type="xsd:double"&gt;3.24985788569663&lt;/D&gt;&lt;D xsi:type="xsd:double"&gt;3.1104979612114&lt;/D&gt;&lt;D xsi:type="xsd:double"&gt;3.16123787409216&lt;/D&gt;&lt;D xsi:type="xsd:double"&gt;2.50826852568469&lt;/D&gt;&lt;D xsi:type="xsd:double"&gt;2.66480842079895&lt;/D&gt;&lt;D xsi:type="xsd:double"&gt;2.98209066302514&lt;/D&gt;&lt;D xsi:type="xsd:double"&gt;2.83828050321891&lt;/D&gt;&lt;D xsi:type="xsd:double"&gt;3.03266763899988&lt;/D&gt;&lt;D xsi:type="xsd:double"&gt;3.19126770591803&lt;/D&gt;&lt;D xsi:type="xsd:double"&gt;2.62472108144818&lt;/D&gt;&lt;D xsi:type="xsd:double"&gt;2.47317759906953&lt;/D&gt;&lt;D xsi:type="xsd:double"&gt;2.0184801931679&lt;/D&gt;&lt;D xsi:type="xsd:double"&gt;1.77056444243707&lt;/D&gt;&lt;D xsi:type="xsd:double"&gt;1.75380275089217&lt;/D&gt;&lt;D xsi:type="xsd:double"&gt;1.72424454167406&lt;/D&gt;&lt;D xsi:type="xsd:double"&gt;1.89011744845805&lt;/D&gt;&lt;D xsi:type="xsd:double"&gt;2.02635798595169&lt;/D&gt;&lt;D xsi:type="xsd:double"&gt;1.78960734104634&lt;/D&gt;&lt;D xsi:type="xsd:double"&gt;1.54797806787328&lt;/D&gt;&lt;D xsi:type="xsd:double"&gt;1.87555609042543&lt;/D&gt;&lt;D xsi:type="xsd:double"&gt;1.67941623759589&lt;/D&gt;&lt;D xsi:type="xsd:double"&gt;1.78628396613231&lt;/D&gt;&lt;D xsi:type="xsd:double"&gt;1.95902018363279&lt;/D&gt;&lt;D xsi:type="xsd:double"&gt;1.55378697103252&lt;/D&gt;&lt;D xsi:type="xsd:double"&gt;1.74713437251594&lt;/D&gt;&lt;D xsi:type="xsd:double"&gt;1.72649067775313&lt;/D&gt;&lt;D xsi:type="xsd:double"&gt;1.67738454442388&lt;/D&gt;&lt;D xsi:type="xsd:double"&gt;1.67383103408013&lt;/D&gt;&lt;D xsi:type="xsd:double"&gt;1.82145168198237&lt;/D&gt;&lt;D xsi:type="xsd:double"&gt;1.62907213416654&lt;/D&gt;&lt;D xsi:type="xsd:double"&gt;1.81317189846883&lt;/D&gt;&lt;D xsi:type="xsd:double"&gt;1.77513065436039&lt;/D&gt;&lt;D xsi:type="xsd:double"&gt;1.59050818779351&lt;/D&gt;&lt;D xsi:type="xsd:double"&gt;1.59675799555574&lt;/D&gt;&lt;D xsi:type="xsd:double"&gt;1.52414465161581&lt;/D&gt;&lt;D xsi:type="xsd:double"&gt;1.58335261457573&lt;/D&gt;&lt;D xsi:type="xsd:double"&gt;1.7624907422135&lt;/D&gt;&lt;D xsi:type="xsd:double"&gt;1.84893930234918&lt;/D&gt;&lt;D xsi:type="xsd:double"&gt;1.93343460448478&lt;/D&gt;&lt;D xsi:type="xsd:double"&gt;1.64403137983913&lt;/D&gt;&lt;D xsi:type="xsd:double"&gt;1.66113847892731&lt;/D&gt;&lt;D xsi:type="xsd:double"&gt;1.62227193321047&lt;/D&gt;&lt;D xsi:type="xsd:double"&gt;1.49257227906953&lt;/D&gt;&lt;D xsi:type="xsd:double"&gt;1.66852039250321&lt;/D&gt;&lt;D xsi:type="xsd:double"&gt;1.67952623003598&lt;/D&gt;&lt;D xsi:type="xsd:double"&gt;1.91392716557175&lt;/D&gt;&lt;D xsi:type="xsd:double"&gt;1.64370059613555&lt;/D&gt;&lt;D xsi:type="xsd:double"&gt;1.31887010597776&lt;/D&gt;&lt;D xsi:type="xsd:double"&gt;1.38722509691779&lt;/D&gt;&lt;D xsi:type="xsd:double"&gt;1.36716437897967&lt;/D&gt;&lt;D xsi:type="xsd:double"&gt;1.3049877394066&lt;/D&gt;&lt;D xsi:type="xsd:double"&gt;1.33898687971424&lt;/D&gt;&lt;D xsi:type="xsd:double"&gt;1.30143560004861&lt;/D&gt;&lt;D xsi:type="xsd:double"&gt;1.18887102828112&lt;/D&gt;&lt;D xsi:type="xsd:double"&gt;1.15007489306865&lt;/D&gt;&lt;D xsi:type="xsd:double"&gt;1.24946086404487&lt;/D&gt;&lt;D xsi:type="xsd:double"&gt;1.25280953247216&lt;/D&gt;&lt;D xsi:type="xsd:double"&gt;1.15488416731196&lt;/D&gt;&lt;D xsi:type="xsd:double"&gt;1.18018221242621&lt;/D&gt;&lt;D xsi:type="xsd:double"&gt;1.18622030018209&lt;/D&gt;&lt;D xsi:type="xsd:double"&gt;1.40333464259871&lt;/D&gt;&lt;D xsi:type="xsd:double"&gt;1.35112451846247&lt;/D&gt;&lt;D xsi:type="xsd:double"&gt;1.39307259975632&lt;/D&gt;&lt;D xsi:type="xsd:double"&gt;1.43147515404882&lt;/D&gt;&lt;D xsi:type="xsd:double"&gt;1.3211358042218&lt;/D&gt;&lt;D xsi:type="xsd:double"&gt;1.52290984071762&lt;/D&gt;&lt;D xsi:type="xsd:double"&gt;1.52464787733985&lt;/D&gt;&lt;D xsi:type="xsd:double"&gt;1.67543015732419&lt;/D&gt;&lt;D xsi:type="xsd:double"&gt;1.82906048428199&lt;/D&gt;&lt;D xsi:type="xsd:double"&gt;1.58299020899311&lt;/D&gt;&lt;D xsi:type="xsd:double"&gt;1.76444976904063&lt;/D&gt;&lt;D xsi:type="xsd:double"&gt;1.78068175448796&lt;/D&gt;&lt;D xsi:type="xsd:double"&gt;1.93422413683522&lt;/D&gt;&lt;D xsi:type="xsd:double"&gt;1.88495185755553&lt;/D&gt;&lt;D xsi:type="xsd:double"&gt;1.97210143693019&lt;/D&gt;&lt;D xsi:type="xsd:double"&gt;2.46232966034397&lt;/D&gt;&lt;D xsi:type="xsd:double"&gt;2.71637942805204&lt;/D&gt;&lt;D xsi:type="xsd:double"&gt;2.55851017299275&lt;/D&gt;&lt;D xsi:type="xsd:double"&gt;2.66412391506368&lt;/D&gt;&lt;D xsi:type="xsd:double"&gt;2.49670054398702&lt;/D&gt;&lt;D xsi:type="xsd:double"&gt;2.47581820955666&lt;/D&gt;&lt;D xsi:type="xsd:double"&gt;2.56411082822318&lt;/D&gt;&lt;D xsi:type="xsd:double"&gt;2.65395462599084&lt;/D&gt;&lt;D xsi:type="xsd:double"&gt;2.57468564162583&lt;/D&gt;&lt;D xsi:type="xsd:double"&gt;2.72995990814973&lt;/D&gt;&lt;D xsi:type="xsd:double"&gt;2.52341655099257&lt;/D&gt;&lt;D xsi:type="xsd:double"&gt;2.57767560775748&lt;/D&gt;&lt;D xsi:type="xsd:double"&gt;2.98656469730402&lt;/D&gt;&lt;D xsi:type="xsd:double"&gt;2.97417283163974&lt;/D&gt;&lt;D xsi:type="xsd:double"&gt;2.84458356328545&lt;/D&gt;&lt;D xsi:type="xsd:double"&gt;2.76966452444383&lt;/D&gt;&lt;D xsi:type="xsd:double"&gt;2.75654767719812&lt;/D&gt;&lt;D xsi:type="xsd:double"&gt;2.70619398682936&lt;/D&gt;&lt;D xsi:type="xsd:double"&gt;2.25140962414952&lt;/D&gt;&lt;D xsi:type="xsd:double"&gt;2.38568416305702&lt;/D&gt;&lt;D xsi:type="xsd:double"&gt;1.93807515038569&lt;/D&gt;&lt;D xsi:type="xsd:double"&gt;1.91829943474504&lt;/D&gt;&lt;D xsi:type="xsd:double"&gt;2.02122584122559&lt;/D&gt;&lt;D xsi:type="xsd:double"&gt;2.01401650596723&lt;/D&gt;&lt;D xsi:type="xsd:double"&gt;1.95340089551201&lt;/D&gt;&lt;/FQL&gt;&lt;FQL&gt;&lt;Q&gt;EWY^FG_PRICE(0)&lt;/Q&gt;&lt;R&gt;1&lt;/R&gt;&lt;C&gt;1&lt;/C&gt;&lt;D xsi:type="xsd:double"&gt;63.31&lt;/D&gt;&lt;/FQL&gt;&lt;FQL&gt;&lt;Q&gt;CAGDPY@PE^EE_ACTUAL_ANNUAL(MED,+1)&lt;/Q&gt;&lt;R&gt;1&lt;/R&gt;&lt;C&gt;1&lt;/C&gt;&lt;D xsi:type="xsd:double"&gt;0.9&lt;/D&gt;&lt;/FQL&gt;&lt;FQL&gt;&lt;Q&gt;KSA^FG_FCF_YIELD_NTM(0)&lt;/Q&gt;&lt;R&gt;1&lt;/R&gt;&lt;C&gt;1&lt;/C&gt;&lt;D xsi:type="xsd:double"&gt;4.41388421780979&lt;/D&gt;&lt;/FQL&gt;&lt;FQL&gt;&lt;Q&gt;EPU^JULIAN(FMA_DIV_YLD(NTMA,NOW,NOW,M,"PORTAGG","MEANR").DATES)&lt;/Q&gt;&lt;R&gt;1&lt;/R&gt;&lt;C&gt;1&lt;/C&gt;&lt;D xsi:type="xsd:long"&gt;45565&lt;/D&gt;&lt;/FQL&gt;&lt;FQL&gt;&lt;Q&gt;CNYA^FMA_DIV_YLD(NTMA,-10AY,0,AM,"PORTAGG","MEANR")&lt;/Q&gt;&lt;R&gt;121&lt;/R&gt;&lt;C&gt;1&lt;/C&gt;&lt;D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xsi:type="xsd:double"&gt;2.22588074459295&lt;/D&gt;&lt;D xsi:type="xsd:double"&gt;2.26635467329626&lt;/D&gt;&lt;D xsi:type="xsd:double"&gt;2.19826651732503&lt;/D&gt;&lt;D xsi:type="xsd:double"&gt;2.27604875007411&lt;/D&gt;&lt;D xsi:type="xsd:double"&gt;2.24471681294725&lt;/D&gt;&lt;D xsi:type="xsd:double"&gt;2.18578998909279&lt;/D&gt;&lt;D xsi:type="xsd:double"&gt;2.29075602450959&lt;/D&gt;&lt;D xsi:type="xsd:double"&gt;2.29694198344149&lt;/D&gt;&lt;D xsi:type="xsd:double"&gt;2.31453771473878&lt;/D&gt;&lt;D xsi:type="xsd:double"&gt;2.25876993965521&lt;/D&gt;&lt;D xsi:type="xsd:double"&gt;2.30203975735458&lt;/D&gt;&lt;D xsi:type="xsd:double"&gt;2.11597756587191&lt;/D&gt;&lt;D xsi:type="xsd:double"&gt;2.132116356662&lt;/D&gt;&lt;D xsi:type="xsd:double"&gt;2.19006817194341&lt;/D&gt;&lt;D xsi:type="xsd:double"&gt;2.14324994245346&lt;/D&gt;&lt;D xsi:type="xsd:double"&gt;2.14278711112581&lt;/D&gt;&lt;D xsi:type="xsd:double"&gt;2.06683003947096&lt;/D&gt;&lt;D xsi:type="xsd:double"&gt;2.22419192857673&lt;/D&gt;&lt;D xsi:type="xsd:double"&gt;2.11386572349843&lt;/D&gt;&lt;D xsi:type="xsd:double"&gt;2.39216858685785&lt;/D&gt;&lt;D xsi:type="xsd:double"&gt;2.25928171850003&lt;/D&gt;&lt;D xsi:type="xsd:double"&gt;2.41166684793545&lt;/D&gt;&lt;D xsi:type="xsd:double"&gt;2.64164121650666&lt;/D&gt;&lt;D xsi:type="xsd:double"&gt;2.73746341918733&lt;/D&gt;&lt;D xsi:type="xsd:double"&gt;3.020658743091&lt;/D&gt;&lt;D xsi:type="xsd:double"&gt;3.14909197286173&lt;/D&gt;&lt;D xsi:type="xsd:double"&gt;3.26757248269601&lt;/D&gt;&lt;D xsi:type="xsd:double"&gt;3.23768175344351&lt;/D&gt;&lt;D xsi:type="xsd:double"&gt;3.31211864364529&lt;/D&gt;&lt;D xsi:type="xsd:double"&gt;3.26377215863929&lt;/D&gt;&lt;D xsi:type="xsd:double"&gt;3.33010089851205&lt;/D&gt;&lt;D xsi:type="xsd:double"&gt;3.13494192366531&lt;/D&gt;&lt;D xsi:type="xsd:double"&gt;2.86334240705533&lt;/D&gt;&lt;D xsi:type="xsd:double"&gt;2.60588266299099&lt;/D&gt;&lt;D xsi:type="xsd:double"&gt;2.82938620448377&lt;/D&gt;&lt;D xsi:type="xsd:double"&gt;2.83333644391983&lt;/D&gt;&lt;D xsi:type="xsd:double"&gt;2.71219215915693&lt;/D&gt;&lt;D xsi:type="xsd:double"&gt;2.85290981157615&lt;/D&gt;&lt;D xsi:type="xsd:double"&gt;2.61661225680229&lt;/D&gt;&lt;D xsi:type="xsd:double"&gt;2.70048465846637&lt;/D&gt;&lt;D xsi:type="xsd:double"&gt;2.70373053552714&lt;/D&gt;&lt;D xsi:type="xsd:double"&gt;2.53855282614269&lt;/D&gt;&lt;D xsi:type="xsd:double"&gt;2.40877727537323&lt;/D&gt;&lt;D xsi:type="xsd:double"&gt;2.52983787040313&lt;/D&gt;&lt;D xsi:type="xsd:double"&gt;2.4102568281378&lt;/D&gt;&lt;D xsi:type="xsd:double"&gt;2.51122073821185&lt;/D&gt;&lt;D xsi:type="xsd:double"&gt;2.31062428271622&lt;/D&gt;&lt;D xsi:type="xsd:double"&gt;2.20140477965376&lt;/D&gt;&lt;D xsi:type="xsd:double"&gt;1.8861364701555&lt;/D&gt;&lt;D xsi:type="xsd:double"&gt;1.96732055615865&lt;/D&gt;&lt;D xsi:type="xsd:double"&gt;1.97900174320085&lt;/D&gt;&lt;D xsi:type="xsd:double"&gt;1.95657106675593&lt;/D&gt;&lt;D xsi:type="xsd:double"&gt;1.90751990066715&lt;/D&gt;&lt;D xsi:type="xsd:double"&gt;1.87585079664503&lt;/D&gt;&lt;D xsi:type="xsd:double"&gt;1.66948209276624&lt;/D&gt;&lt;D xsi:type="xsd:double"&gt;1.59245055873188&lt;/D&gt;&lt;D xsi:type="xsd:double"&gt;1.89757914649379&lt;/D&gt;&lt;D xsi:type="xsd:double"&gt;1.91817215944393&lt;/D&gt;&lt;D xsi:type="xsd:double"&gt;1.94447916225139&lt;/D&gt;&lt;D xsi:type="xsd:double"&gt;1.8158196115579&lt;/D&gt;&lt;D xsi:type="xsd:double"&gt;1.85326421061234&lt;/D&gt;&lt;D xsi:type="xsd:double"&gt;1.92474021926003&lt;/D&gt;&lt;D xsi:type="xsd:double"&gt;1.93031107925536&lt;/D&gt;&lt;D xsi:type="xsd:double"&gt;1.98286648935988&lt;/D&gt;&lt;D xsi:type="xsd:double"&gt;2.01039300936685&lt;/D&gt;&lt;D xsi:type="xsd:double"&gt;1.92186776876999&lt;/D&gt;&lt;D xsi:type="xsd:double"&gt;2.02905937432399&lt;/D&gt;&lt;D xsi:type="xsd:double"&gt;2.18873943861463&lt;/D&gt;&lt;D xsi:type="xsd:double"&gt;2.35403661684685&lt;/D&gt;&lt;D xsi:type="xsd:double"&gt;2.39836030557469&lt;/D&gt;&lt;D xsi:type="xsd:double"&gt;2.53361923518901&lt;/D&gt;&lt;D xsi:type="xsd:double"&gt;2.34333666464077&lt;/D&gt;&lt;D xsi:type="xsd:double"&gt;2.29371539110209&lt;/D&gt;&lt;D xsi:type="xsd:double"&gt;2.41635733326694&lt;/D&gt;&lt;D xsi:type="xsd:double"&gt;2.47438241454518&lt;/D&gt;&lt;D xsi:type="xsd:double"&gt;2.74149136864071&lt;/D&gt;&lt;D xsi:type="xsd:double"&gt;2.67104405970304&lt;/D&gt;&lt;D xsi:type="xsd:double"&gt;2.47165761760736&lt;/D&gt;&lt;D xsi:type="xsd:double"&gt;2.46527527671491&lt;/D&gt;&lt;D xsi:type="xsd:double"&gt;2.40871538709796&lt;/D&gt;&lt;D xsi:type="xsd:double"&gt;2.50958069673242&lt;/D&gt;&lt;D xsi:type="xsd:double"&gt;2.4471477423488&lt;/D&gt;&lt;D xsi:type="xsd:double"&gt;2.50729037755553&lt;/D&gt;&lt;D xsi:type="xsd:double"&gt;2.58099570062271&lt;/D&gt;&lt;D xsi:type="xsd:double"&gt;2.60839032214554&lt;/D&gt;&lt;D xsi:type="xsd:double"&gt;2.52249701477284&lt;/D&gt;&lt;D xsi:type="xsd:double"&gt;2.60558542419601&lt;/D&gt;&lt;D xsi:type="xsd:double"&gt;2.67351823090509&lt;/D&gt;&lt;D xsi:type="xsd:double"&gt;2.69345613370723&lt;/D&gt;&lt;D xsi:type="xsd:double"&gt;2.78731025518377&lt;/D&gt;&lt;D xsi:type="xsd:double"&gt;2.90623481810234&lt;/D&gt;&lt;D xsi:type="xsd:double"&gt;2.82933701894146&lt;/D&gt;&lt;D xsi:type="xsd:double"&gt;2.72840203976228&lt;/D&gt;&lt;D xsi:type="xsd:double"&gt;2.81557800346893&lt;/D&gt;&lt;D xsi:type="xsd:double"&gt;2.78940352357669&lt;/D&gt;&lt;D xsi:type="xsd:double"&gt;2.92935662227352&lt;/D&gt;&lt;D xsi:type="xsd:double"&gt;3.08565844102767&lt;/D&gt;&lt;D xsi:type="xsd:double"&gt;3.2744586634184&lt;/D&gt;&lt;D xsi:type="xsd:double"&gt;3.35862088453732&lt;/D&gt;&lt;D xsi:type="xsd:double"&gt;2.6955508219398&lt;/D&gt;&lt;/FQL&gt;&lt;FQL&gt;&lt;Q&gt;URTH^SIZE(FG_CONSTITUENTS)&lt;/Q&gt;&lt;R&gt;1&lt;/R&gt;&lt;C&gt;1&lt;/C&gt;&lt;D xsi:type="xsd:long"&gt;1412&lt;/D&gt;&lt;/FQL&gt;&lt;FQL&gt;&lt;Q&gt;USDSAR^FG_COMPANY_NAME&lt;/Q&gt;&lt;R&gt;1&lt;/R&gt;&lt;C&gt;1&lt;/C&gt;&lt;D xsi:type="xsd:string"&gt;Saudi Arabian Riyal per U.S. Dollar&lt;/D&gt;&lt;/FQL&gt;&lt;FQL&gt;&lt;Q&gt;TRYPL10Y-FDS^PCTCHG(FG_YIELD(0,,,,"YTM"),FG_YIELD(-1AM,,,,"YTM"))&lt;/Q&gt;&lt;R&gt;1&lt;/R&gt;&lt;C&gt;1&lt;/C&gt;&lt;D xsi:type="xsd:double"&gt;3.713619&lt;/D&gt;&lt;/FQL&gt;&lt;FQL&gt;&lt;Q&gt;UAE^FMA_EVAL_EBIT(LTMA,NOW,NOW,M,"PORTAGG","MEANR")&lt;/Q&gt;&lt;R&gt;1&lt;/R&gt;&lt;C&gt;1&lt;/C&gt;&lt;D xsi:type="xsd:double"&gt;9.43785982664126&lt;/D&gt;&lt;/FQL&gt;&lt;FQL&gt;&lt;Q&gt;USDPHP^FG_PRICE(0)&lt;/Q&gt;&lt;R&gt;1&lt;/R&gt;&lt;C&gt;1&lt;/C&gt;&lt;D xsi:type="xsd:double"&gt;57.36&lt;/D&gt;&lt;/FQL&gt;&lt;FQL&gt;&lt;Q&gt;QAT^FMA_COS_UP("EPS","1M",+1,NOW,,,"PORTAGG","MEANR")&lt;/Q&gt;&lt;R&gt;1&lt;/R&gt;&lt;C&gt;1&lt;/C&gt;&lt;D xsi:type="xsd:double"&gt;3&lt;/D&gt;&lt;/FQL&gt;&lt;FQL&gt;&lt;Q&gt;MCHI^SIZE(FG_CONSTITUENTS)&lt;/Q&gt;&lt;R&gt;1&lt;/R&gt;&lt;C&gt;1&lt;/C&gt;&lt;D xsi:type="xsd:long"&gt;597&lt;/D&gt;&lt;/FQL&gt;&lt;FQL&gt;&lt;Q&gt;^FG_YIELD(-10AY,0,Y,,"YTM")&lt;/Q&gt;&lt;R&gt;10&lt;/R&gt;&lt;C&gt;1&lt;/C&gt;&lt;D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xsi:type="xsd:string"&gt;@NA&lt;/D&gt;&lt;/FQL&gt;&lt;FQL&gt;&lt;Q&gt;USDTRY^FG_PRICE_CHANGE(0,-1AY)&lt;/Q&gt;&lt;R&gt;1&lt;/R&gt;&lt;C&gt;1&lt;/C&gt;&lt;D xsi:type="xsd:double"&gt;23.340273&lt;/D&gt;&lt;/FQL&gt;&lt;FQL&gt;&lt;Q&gt;DDR3512M-FDS^FG_PRICE_CHANGE(0,-3AM)&lt;/Q&gt;&lt;R&gt;1&lt;/R&gt;&lt;C&gt;1&lt;/C&gt;&lt;D xsi:type="xsd:double"&gt;-5.60604674929366&lt;/D&gt;&lt;/FQL&gt;&lt;FQL&gt;&lt;Q&gt;EPU^FG_TOTAL_RETURNC(0,-6AM)&lt;/Q&gt;&lt;R&gt;1&lt;/R&gt;&lt;C&gt;1&lt;/C&gt;&lt;D xsi:type="xsd:double"&gt;10.4155655&lt;/D&gt;&lt;/FQL&gt;&lt;FQL&gt;&lt;Q&gt;TUR^FMA_PE(NTMA,0,,,"PORTAGG","MEANR")&lt;/Q&gt;&lt;R&gt;1&lt;/R&gt;&lt;C&gt;1&lt;/C&gt;&lt;D xsi:type="xsd:double"&gt;5.44856405552616&lt;/D&gt;&lt;/FQL&gt;&lt;FQL&gt;&lt;Q&gt;DDR3512M-FDS^FG_PRICE(0)&lt;/Q&gt;&lt;R&gt;1&lt;/R&gt;&lt;C&gt;1&lt;/C&gt;&lt;D xsi:type="xsd:double"&gt;0.87525415&lt;/D&gt;&lt;/FQL&gt;&lt;FQL&gt;&lt;Q&gt;TUR^P_PRICE(0)/P_PRICE_HIGH_PR(0,,,,,,"PRICE","INTRA","52W")&lt;/Q&gt;&lt;R&gt;1&lt;/R&gt;&lt;C&gt;1&lt;/C&gt;&lt;D xsi:type="xsd:double"&gt;0.76199055&lt;/D&gt;&lt;/FQL&gt;&lt;FQL&gt;&lt;Q&gt;EPHE^PERCENT_CHANGE(FMA_EPS(+1,0,,,,"PORTAGG","MEAN"),FMA_EPS(+1,-1AM,,,,"PORTAGG","MEAN"))&lt;/Q&gt;&lt;R&gt;1&lt;/R&gt;&lt;C&gt;1&lt;/C&gt;&lt;D xsi:type="xsd:double"&gt;-0.464342071954107&lt;/D&gt;&lt;/FQL&gt;&lt;FQL&gt;&lt;Q&gt;REFTR1WREPO-FDS^(SUBARRAY(NOT_NA(NO_REPEAT_F(FG_YIELD(NOW,-10AY,D))),0,1)-SUBARRAY(NOT_NA(NO_REPEAT_F(FG_YIELD(NOW,-10AY,D))),1,1))*100&lt;/Q&gt;&lt;R&gt;1&lt;/R&gt;&lt;C&gt;1&lt;/C&gt;&lt;D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xsi:type="xsd:double"&gt;500&lt;/D&gt;&lt;/FQL&gt;&lt;FQL&gt;&lt;Q&gt;MCHI^JULIAN(FMA_DIV_YLD(NTMA,NOW,NOW,M,"PORTAGG","MEANR").DATES)&lt;/Q&gt;&lt;R&gt;1&lt;/R&gt;&lt;C&gt;1&lt;/C&gt;&lt;D xsi:type="xsd:long"&gt;45565&lt;/D&gt;&lt;/FQL&gt;&lt;FQL&gt;&lt;Q&gt;CNYA^FMA_EVAL_EBITDA(NTMA,0,,,"PORTAGG","MEANR")&lt;/Q&gt;&lt;R&gt;1&lt;/R&gt;&lt;C&gt;1&lt;/C&gt;&lt;D xsi:type="xsd:double"&gt;10.7246866710185&lt;/D&gt;&lt;/FQL&gt;&lt;FQL&gt;&lt;Q&gt;FC0000KR^FMA_EPS(NTMA,-20AY,0,CY,,"PORTAGG","MEANR")&lt;/Q&gt;&lt;R&gt;20&lt;/R&gt;&lt;C&gt;1&lt;/C&gt;&lt;D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xsi:type="xsd:double"&gt;35.905345237675&lt;/D&gt;&lt;D xsi:type="xsd:double"&gt;42.8043901360781&lt;/D&gt;&lt;D xsi:type="xsd:double"&gt;51.3054905811326&lt;/D&gt;&lt;D xsi:type="xsd:double"&gt;35.3978176783003&lt;/D&gt;&lt;D xsi:type="xsd:double"&gt;41.6903018879211&lt;/D&gt;&lt;/FQL&gt;&lt;FQL&gt;&lt;Q&gt;EPHE^FMA_PCT_ABOVE_MAVG(200,0,,,,"PORTAGG")&lt;/Q&gt;&lt;R&gt;1&lt;/R&gt;&lt;C&gt;1&lt;/C&gt;&lt;D xsi:type="xsd:double"&gt;81.8181818181818&lt;/D&gt;&lt;/FQL&gt;&lt;FQL&gt;&lt;Q&gt;WL-FDS^FG_PRICE_CHANGE(0,-1AY)&lt;/Q&gt;&lt;R&gt;1&lt;/R&gt;&lt;C&gt;1&lt;/C&gt;&lt;D xsi:type="xsd:double"&gt;-21.2588578574406&lt;/D&gt;&lt;/FQL&gt;&lt;FQL&gt;&lt;Q&gt;TUR^FG_TOTAL_RETURNC(0,-3AM)&lt;/Q&gt;&lt;R&gt;1&lt;/R&gt;&lt;C&gt;1&lt;/C&gt;&lt;D xsi:type="xsd:double"&gt;-20.395195&lt;/D&gt;&lt;/FQL&gt;&lt;FQL&gt;&lt;Q&gt;EWM^FMA_COS_UP("EPS","1M",+1,NOW,,,"PORTAGG","MEANR")&lt;/Q&gt;&lt;R&gt;1&lt;/R&gt;&lt;C&gt;1&lt;/C&gt;&lt;D xsi:type="xsd:double"&gt;8&lt;/D&gt;&lt;/FQL&gt;&lt;FQL&gt;&lt;Q&gt;INDA^FMA_EVAL_EBITDA(NTMA,0,,,"PORTAGG","MEANR")&lt;/Q&gt;&lt;R&gt;1&lt;/R&gt;&lt;C&gt;1&lt;/C&gt;&lt;D xsi:type="xsd:double"&gt;15.6887583477101&lt;/D&gt;&lt;/FQL&gt;&lt;FQL&gt;&lt;Q&gt;QAT^P_PRICE_RETURNS_PR('52W',2,-10AY,0,AM)&lt;/Q&gt;&lt;R&gt;121&lt;/R&gt;&lt;C&gt;1&lt;/C&gt;&lt;D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xsi:type="xsd:double"&gt;-3.1878948&lt;/D&gt;&lt;D xsi:type="xsd:double"&gt;-8.365393&lt;/D&gt;&lt;D xsi:type="xsd:double"&gt;-7.6819&lt;/D&gt;&lt;D xsi:type="xsd:double"&gt;-9.434319&lt;/D&gt;&lt;D xsi:type="xsd:double"&gt;-13.44961&lt;/D&gt;&lt;D xsi:type="xsd:double"&gt;-14.581042&lt;/D&gt;&lt;D xsi:type="xsd:double"&gt;-19.551212&lt;/D&gt;&lt;D xsi:type="xsd:double"&gt;-18.757702&lt;/D&gt;&lt;D xsi:type="xsd:double"&gt;-23.350502&lt;/D&gt;&lt;D xsi:type="xsd:double"&gt;-23.108906&lt;/D&gt;&lt;D xsi:type="xsd:double"&gt;-15.325874&lt;/D&gt;&lt;D xsi:type="xsd:double"&gt;-15.372687&lt;/D&gt;&lt;D xsi:type="xsd:double"&gt;-19.081228&lt;/D&gt;&lt;D xsi:type="xsd:double"&gt;-16.888786&lt;/D&gt;&lt;D xsi:type="xsd:double"&gt;-14.269322&lt;/D&gt;&lt;D xsi:type="xsd:double"&gt;-4.6098413&lt;/D&gt;&lt;D xsi:type="xsd:double"&gt;-6.0667095&lt;/D&gt;&lt;D xsi:type="xsd:double"&gt;-8.130425&lt;/D&gt;&lt;D xsi:type="xsd:double"&gt;-7.0718527&lt;/D&gt;&lt;D xsi:type="xsd:double"&gt;4.877734&lt;/D&gt;&lt;D xsi:type="xsd:double"&gt;12.780166&lt;/D&gt;&lt;D xsi:type="xsd:double"&gt;15.425992&lt;/D&gt;&lt;D xsi:type="xsd:double"&gt;3.8883686&lt;/D&gt;&lt;D xsi:type="xsd:double"&gt;6.5410733&lt;/D&gt;&lt;D xsi:type="xsd:double"&gt;1.6302586&lt;/D&gt;&lt;D xsi:type="xsd:double"&gt;-2.9972494&lt;/D&gt;&lt;D xsi:type="xsd:double"&gt;-6.149113&lt;/D&gt;&lt;D xsi:type="xsd:double"&gt;-12.069816&lt;/D&gt;&lt;D xsi:type="xsd:double"&gt;-14.592385&lt;/D&gt;&lt;D xsi:type="xsd:double"&gt;-15.932828&lt;/D&gt;&lt;D xsi:type="xsd:double"&gt;-18.496632&lt;/D&gt;&lt;D xsi:type="xsd:double"&gt;-19.08924&lt;/D&gt;&lt;D xsi:type="xsd:double"&gt;-9.977942&lt;/D&gt;&lt;D xsi:type="xsd:double"&gt;-15.4056015&lt;/D&gt;&lt;D xsi:type="xsd:double"&gt;-17.402912&lt;/D&gt;&lt;D xsi:type="xsd:double"&gt;-10.760843&lt;/D&gt;&lt;D xsi:type="xsd:double"&gt;-7.2887716&lt;/D&gt;&lt;D xsi:type="xsd:double"&gt;6.2013984&lt;/D&gt;&lt;D xsi:type="xsd:double"&gt;6.827867&lt;/D&gt;&lt;D xsi:type="xsd:double"&gt;8.932757&lt;/D&gt;&lt;D xsi:type="xsd:double"&gt;14.609575&lt;/D&gt;&lt;D xsi:type="xsd:double"&gt;17.750084&lt;/D&gt;&lt;D xsi:type="xsd:double"&gt;36.90629&lt;/D&gt;&lt;D xsi:type="xsd:double"&gt;40.537727&lt;/D&gt;&lt;D xsi:type="xsd:double"&gt;21.37971&lt;/D&gt;&lt;D xsi:type="xsd:double"&gt;24.141586&lt;/D&gt;&lt;D xsi:type="xsd:double"&gt;21.76255&lt;/D&gt;&lt;D xsi:type="xsd:double"&gt;14.938378&lt;/D&gt;&lt;D xsi:type="xsd:double"&gt;14.5697&lt;/D&gt;&lt;D xsi:type="xsd:double"&gt;8.878493&lt;/D&gt;&lt;D xsi:type="xsd:double"&gt;13.647234&lt;/D&gt;&lt;D xsi:type="xsd:double"&gt;-2.7074218&lt;/D&gt;&lt;D xsi:type="xsd:double"&gt;4.71617&lt;/D&gt;&lt;D xsi:type="xsd:double"&gt;4.431689&lt;/D&gt;&lt;D xsi:type="xsd:double"&gt;-2.3925304&lt;/D&gt;&lt;D xsi:type="xsd:double"&gt;-3.4280837&lt;/D&gt;&lt;D xsi:type="xsd:double"&gt;-5.2793922&lt;/D&gt;&lt;D xsi:type="xsd:double"&gt;-4.312497&lt;/D&gt;&lt;D xsi:type="xsd:double"&gt;-14.179593&lt;/D&gt;&lt;D xsi:type="xsd:double"&gt;-9.768999&lt;/D&gt;&lt;D xsi:type="xsd:double"&gt;-9.2843&lt;/D&gt;&lt;D xsi:type="xsd:double"&gt;-5.3935585&lt;/D&gt;&lt;D xsi:type="xsd:double"&gt;-6.022465&lt;/D&gt;&lt;D xsi:type="xsd:double"&gt;3.894341&lt;/D&gt;&lt;D xsi:type="xsd:double"&gt;1.6714692&lt;/D&gt;&lt;D xsi:type="xsd:double"&gt;7.5077534&lt;/D&gt;&lt;D xsi:type="xsd:double"&gt;3.2941937&lt;/D&gt;&lt;D xsi:type="xsd:double"&gt;6.841767&lt;/D&gt;&lt;D xsi:type="xsd:double"&gt;10.90163&lt;/D&gt;&lt;D xsi:type="xsd:double"&gt;10.710489&lt;/D&gt;&lt;D xsi:type="xsd:double"&gt;28.128696&lt;/D&gt;&lt;D xsi:type="xsd:double"&gt;21.09791&lt;/D&gt;&lt;D xsi:type="xsd:double"&gt;26.904655&lt;/D&gt;&lt;D xsi:type="xsd:double"&gt;19.135618&lt;/D&gt;&lt;D xsi:type="xsd:double"&gt;18.333828&lt;/D&gt;&lt;D xsi:type="xsd:double"&gt;15.40929&lt;/D&gt;&lt;D xsi:type="xsd:double"&gt;15.825582&lt;/D&gt;&lt;D xsi:type="xsd:double"&gt;17.069603&lt;/D&gt;&lt;D xsi:type="xsd:double"&gt;21.493567&lt;/D&gt;&lt;D xsi:type="xsd:double"&gt;12.997699&lt;/D&gt;&lt;D xsi:type="xsd:double"&gt;12.120628&lt;/D&gt;&lt;D xsi:type="xsd:double"&gt;24.351501&lt;/D&gt;&lt;D xsi:type="xsd:double"&gt;32.83526&lt;/D&gt;&lt;D xsi:type="xsd:double"&gt;34.401012&lt;/D&gt;&lt;D xsi:type="xsd:double"&gt;23.631704&lt;/D&gt;&lt;D xsi:type="xsd:double"&gt;19.23889&lt;/D&gt;&lt;D xsi:type="xsd:double"&gt;12.582743&lt;/D&gt;&lt;D xsi:type="xsd:double"&gt;24.72204&lt;/D&gt;&lt;D xsi:type="xsd:double"&gt;15.528429&lt;/D&gt;&lt;D xsi:type="xsd:double"&gt;9.58432&lt;/D&gt;&lt;D xsi:type="xsd:double"&gt;8.021665&lt;/D&gt;&lt;D xsi:type="xsd:double"&gt;0.0032544136&lt;/D&gt;&lt;D xsi:type="xsd:double"&gt;-2.1614015&lt;/D&gt;&lt;D xsi:type="xsd:double"&gt;-17.76405&lt;/D&gt;&lt;D xsi:type="xsd:double"&gt;-19.249409&lt;/D&gt;&lt;D xsi:type="xsd:double"&gt;-23.49394&lt;/D&gt;&lt;D xsi:type="xsd:double"&gt;-14.623612&lt;/D&gt;&lt;D xsi:type="xsd:double"&gt;-13.40931&lt;/D&gt;&lt;D xsi:type="xsd:double"&gt;-10.704845&lt;/D&gt;&lt;D xsi:type="xsd:double"&gt;-16.338211&lt;/D&gt;&lt;D xsi:type="xsd:double"&gt;-14.615715&lt;/D&gt;&lt;D xsi:type="xsd:double"&gt;-19.00503&lt;/D&gt;&lt;D xsi:type="xsd:double"&gt;-18.04452&lt;/D&gt;&lt;D xsi:type="xsd:double"&gt;-10.382915&lt;/D&gt;&lt;D xsi:type="xsd:double"&gt;-5.1747856&lt;/D&gt;&lt;D xsi:type="xsd:double"&gt;0.2380848&lt;/D&gt;&lt;D xsi:type="xsd:double"&gt;-0.19689798&lt;/D&gt;&lt;D xsi:type="xsd:double"&gt;-0.8392155&lt;/D&gt;&lt;D xsi:type="xsd:double"&gt;-8.331281&lt;/D&gt;&lt;D xsi:type="xsd:double"&gt;-5.251527&lt;/D&gt;&lt;D xsi:type="xsd:double"&gt;1.5731215&lt;/D&gt;&lt;D xsi:type="xsd:double"&gt;-0.757283&lt;/D&gt;&lt;D xsi:type="xsd:double"&gt;4.581332&lt;/D&gt;&lt;D xsi:type="xsd:double"&gt;13.191867&lt;/D&gt;&lt;/FQL&gt;&lt;FQL&gt;&lt;Q&gt;PLATI-FDS^FG_PRICE_MAVG(0,,,,30)&lt;/Q&gt;&lt;R&gt;1&lt;/R&gt;&lt;C&gt;1&lt;/C&gt;&lt;D xsi:type="xsd:double"&gt;972.4&lt;/D&gt;&lt;/FQL&gt;&lt;FQL&gt;&lt;Q&gt;EWZ^FG_COMPANY_NAME&lt;/Q&gt;&lt;R&gt;1&lt;/R&gt;&lt;C&gt;1&lt;/C&gt;&lt;D xsi:type="xsd:string"&gt;iShares MSCI Brazil ETF&lt;/D&gt;&lt;/FQL&gt;&lt;FQL&gt;&lt;Q&gt;USDZAR^STD(FG_PRICE_CHANGE(0,-3AY,M))&lt;/Q&gt;&lt;R&gt;1&lt;/R&gt;&lt;C&gt;1&lt;/C&gt;&lt;D xsi:type="xsd:double"&gt;3.90317062459879&lt;/D&gt;&lt;/FQL&gt;&lt;FQL&gt;&lt;Q&gt;EPU^FMA_COS_DOWN("EPS","1M",+1,NOW,,,"PORTAGG","MEANR")&lt;/Q&gt;&lt;R&gt;1&lt;/R&gt;&lt;C&gt;1&lt;/C&gt;&lt;D xsi:type="xsd:double"&gt;8&lt;/D&gt;&lt;/FQL&gt;&lt;FQL&gt;&lt;Q&gt;GREK^P_PRICE_RETURNS_PR('52W',2,-10AY,0,AM)&lt;/Q&gt;&lt;R&gt;121&lt;/R&gt;&lt;C&gt;1&lt;/C&gt;&lt;D xsi:type="xsd:double"&gt;-18.635332&lt;/D&gt;&lt;D xsi:type="xsd:double"&gt;-30.251335&lt;/D&gt;&lt;D xsi:type="xsd:double"&gt;-34.565884&lt;/D&gt;&lt;D xsi:type="xsd:double"&gt;-46.980423&lt;/D&gt;&lt;D xsi:type="xsd:double"&gt;-46.867264&lt;/D&gt;&lt;D xsi:type="xsd:double"&gt;-54.4087&lt;/D&gt;&lt;D xsi:type="xsd:double"&gt;-52.225513&lt;/D&gt;&lt;D xsi:type="xsd:double"&gt;-44.116604&lt;/D&gt;&lt;D xsi:type="xsd:double"&gt;-50.27288&lt;/D&gt;&lt;D xsi:type="xsd:double"&gt;-47.621&lt;/D&gt;&lt;D xsi:type="xsd:double"&gt;-47.077633&lt;/D&gt;&lt;D xsi:type="xsd:double"&gt;-51.1751&lt;/D&gt;&lt;D xsi:type="xsd:double"&gt;-40.867733&lt;/D&gt;&lt;D xsi:type="xsd:double"&gt;-37.639015&lt;/D&gt;&lt;D xsi:type="xsd:double"&gt;-44.939888&lt;/D&gt;&lt;D xsi:type="xsd:double"&gt;-40.33975&lt;/D&gt;&lt;D xsi:type="xsd:double"&gt;-53.140232&lt;/D&gt;&lt;D xsi:type="xsd:double"&gt;-35.26218&lt;/D&gt;&lt;D xsi:type="xsd:double"&gt;-34.17479&lt;/D&gt;&lt;D xsi:type="xsd:double"&gt;-31.726122&lt;/D&gt;&lt;D xsi:type="xsd:double"&gt;-32.07385&lt;/D&gt;&lt;D xsi:type="xsd:double"&gt;-27.867912&lt;/D&gt;&lt;D xsi:type="xsd:double"&gt;-27.608437&lt;/D&gt;&lt;D xsi:type="xsd:double"&gt;-23.910337&lt;/D&gt;&lt;D xsi:type="xsd:double"&gt;-27.107668&lt;/D&gt;&lt;D xsi:type="xsd:double"&gt;-22.711224&lt;/D&gt;&lt;D xsi:type="xsd:double"&gt;3.6261082&lt;/D&gt;&lt;D xsi:type="xsd:double"&gt;13.350582&lt;/D&gt;&lt;D xsi:type="xsd:double"&gt;37.22347&lt;/D&gt;&lt;D xsi:type="xsd:double"&gt;11.269331&lt;/D&gt;&lt;D xsi:type="xsd:double"&gt;15.749764&lt;/D&gt;&lt;D xsi:type="xsd:double"&gt;15.513933&lt;/D&gt;&lt;D xsi:type="xsd:double"&gt;11.629093&lt;/D&gt;&lt;D xsi:type="xsd:double"&gt;54.590523&lt;/D&gt;&lt;D xsi:type="xsd:double"&gt;44.08673&lt;/D&gt;&lt;D xsi:type="xsd:double"&gt;37.684464&lt;/D&gt;&lt;D xsi:type="xsd:double"&gt;29.446316&lt;/D&gt;&lt;D xsi:type="xsd:double"&gt;26.025068&lt;/D&gt;&lt;D xsi:type="xsd:double"&gt;13.876427&lt;/D&gt;&lt;D xsi:type="xsd:double"&gt;33.401096&lt;/D&gt;&lt;D xsi:type="xsd:double"&gt;42.994846&lt;/D&gt;&lt;D xsi:type="xsd:double"&gt;36.71237&lt;/D&gt;&lt;D xsi:type="xsd:double"&gt;27.329327&lt;/D&gt;&lt;D xsi:type="xsd:double"&gt;8.28445&lt;/D&gt;&lt;D xsi:type="xsd:double"&gt;-0.022500753&lt;/D&gt;&lt;D xsi:type="xsd:double"&gt;-8.975697&lt;/D&gt;&lt;D xsi:type="xsd:double"&gt;-11.439448&lt;/D&gt;&lt;D xsi:type="xsd:double"&gt;-14.581853&lt;/D&gt;&lt;D xsi:type="xsd:double"&gt;-18.940622&lt;/D&gt;&lt;D xsi:type="xsd:double"&gt;-13.2887&lt;/D&gt;&lt;D xsi:type="xsd:double"&gt;-17.011929&lt;/D&gt;&lt;D xsi:type="xsd:double"&gt;-27.779007&lt;/D&gt;&lt;D xsi:type="xsd:double"&gt;-27.57107&lt;/D&gt;&lt;D xsi:type="xsd:double"&gt;-22.811062&lt;/D&gt;&lt;D xsi:type="xsd:double"&gt;-14.489913&lt;/D&gt;&lt;D xsi:type="xsd:double"&gt;-19.101984&lt;/D&gt;&lt;D xsi:type="xsd:double"&gt;2.450776&lt;/D&gt;&lt;D xsi:type="xsd:double"&gt;6.5049887&lt;/D&gt;&lt;D xsi:type="xsd:double"&gt;2.4539948&lt;/D&gt;&lt;D xsi:type="xsd:double"&gt;11.40151&lt;/D&gt;&lt;D xsi:type="xsd:double"&gt;27.323055&lt;/D&gt;&lt;D xsi:type="xsd:double"&gt;27.300571&lt;/D&gt;&lt;D xsi:type="xsd:double"&gt;30.066597&lt;/D&gt;&lt;D xsi:type="xsd:double"&gt;37.141407&lt;/D&gt;&lt;D xsi:type="xsd:double"&gt;28.19649&lt;/D&gt;&lt;D xsi:type="xsd:double"&gt;-12.708336&lt;/D&gt;&lt;D xsi:type="xsd:double"&gt;-27.290176&lt;/D&gt;&lt;D xsi:type="xsd:double"&gt;-24.603731&lt;/D&gt;&lt;D xsi:type="xsd:double"&gt;-24.828588&lt;/D&gt;&lt;D xsi:type="xsd:double"&gt;-30.006552&lt;/D&gt;&lt;D xsi:type="xsd:double"&gt;-24.918312&lt;/D&gt;&lt;D xsi:type="xsd:double"&gt;-24.864584&lt;/D&gt;&lt;D xsi:type="xsd:double"&gt;-21.51593&lt;/D&gt;&lt;D xsi:type="xsd:double"&gt;-26.701885&lt;/D&gt;&lt;D xsi:type="xsd:double"&gt;-9.727276&lt;/D&gt;&lt;D xsi:type="xsd:double"&gt;-10.258746&lt;/D&gt;&lt;D xsi:type="xsd:double"&gt;-11.298018&lt;/D&gt;&lt;D xsi:type="xsd:double"&gt;36.1827&lt;/D&gt;&lt;D xsi:type="xsd:double"&gt;60.42682&lt;/D&gt;&lt;D xsi:type="xsd:double"&gt;66.59991&lt;/D&gt;&lt;D xsi:type="xsd:double"&gt;51.29633&lt;/D&gt;&lt;D xsi:type="xsd:double"&gt;45.97912&lt;/D&gt;&lt;D xsi:type="xsd:double"&gt;42.63722&lt;/D&gt;&lt;D xsi:type="xsd:double"&gt;44.057465&lt;/D&gt;&lt;D xsi:type="xsd:double"&gt;38.4765&lt;/D&gt;&lt;D xsi:type="xsd:double"&gt;39.45519&lt;/D&gt;&lt;D xsi:type="xsd:double"&gt;10.712433&lt;/D&gt;&lt;D xsi:type="xsd:double"&gt;6.6060066&lt;/D&gt;&lt;D xsi:type="xsd:double"&gt;27.343882&lt;/D&gt;&lt;D xsi:type="xsd:double"&gt;-5.873746&lt;/D&gt;&lt;D xsi:type="xsd:double"&gt;1.3346314&lt;/D&gt;&lt;D xsi:type="xsd:double"&gt;-11.149377&lt;/D&gt;&lt;D xsi:type="xsd:double"&gt;-14.459825&lt;/D&gt;&lt;D xsi:type="xsd:double"&gt;-14.413559&lt;/D&gt;&lt;D xsi:type="xsd:double"&gt;-7.9902706&lt;/D&gt;&lt;D xsi:type="xsd:double"&gt;-14.234554&lt;/D&gt;&lt;D xsi:type="xsd:double"&gt;-20.19756&lt;/D&gt;&lt;D xsi:type="xsd:double"&gt;-5.7188272&lt;/D&gt;&lt;D xsi:type="xsd:double"&gt;0.328362&lt;/D&gt;&lt;D xsi:type="xsd:double"&gt;6.25726&lt;/D&gt;&lt;D xsi:type="xsd:double"&gt;8.671152&lt;/D&gt;&lt;D xsi:type="xsd:double"&gt;28.553688&lt;/D&gt;&lt;D xsi:type="xsd:double"&gt;16.886414&lt;/D&gt;&lt;D xsi:type="xsd:double"&gt;33.48874&lt;/D&gt;&lt;D xsi:type="xsd:double"&gt;42.133892&lt;/D&gt;&lt;D xsi:type="xsd:double"&gt;71.36165&lt;/D&gt;&lt;D xsi:type="xsd:double"&gt;57.965385&lt;/D&gt;&lt;D xsi:type="xsd:double"&gt;60.54454&lt;/D&gt;&lt;D xsi:type="xsd:double"&gt;53.33221&lt;/D&gt;&lt;D xsi:type="xsd:double"&gt;40.11252&lt;/D&gt;&lt;D xsi:type="xsd:double"&gt;40.756393&lt;/D&gt;&lt;D xsi:type="xsd:double"&gt;40.9</t>
        </r>
      </text>
    </comment>
    <comment ref="A22" authorId="0" shapeId="0" xr:uid="{397BB4ED-CCF2-4FB8-B627-421E3A1E399A}">
      <text>
        <r>
          <rPr>
            <b/>
            <sz val="9"/>
            <color indexed="81"/>
            <rFont val="Tahoma"/>
            <charset val="1"/>
          </rPr>
          <t>04976&lt;/D&gt;&lt;D xsi:type="xsd:double"&gt;32.04044&lt;/D&gt;&lt;D xsi:type="xsd:double"&gt;36.444103&lt;/D&gt;&lt;D xsi:type="xsd:double"&gt;33.67796&lt;/D&gt;&lt;D xsi:type="xsd:double"&gt;32.720554&lt;/D&gt;&lt;D xsi:type="xsd:double"&gt;19.590843&lt;/D&gt;&lt;D xsi:type="xsd:double"&gt;13.52663&lt;/D&gt;&lt;D xsi:type="xsd:double"&gt;7.4653745&lt;/D&gt;&lt;D xsi:type="xsd:double"&gt;19.839169&lt;/D&gt;&lt;D xsi:type="xsd:double"&gt;29.958057&lt;/D&gt;&lt;/FQL&gt;&lt;FQL&gt;&lt;Q&gt;REFPEMPR-FDS^(SUBARRAY(NOT_NA(NO_REPEAT_F(FG_YIELD(NOW,-10AY,D))),0,1)-SUBARRAY(NOT_NA(NO_REPEAT_F(FG_YIELD(NOW,-10AY,D))),1,1))*100&lt;/Q&gt;&lt;R&gt;1&lt;/R&gt;&lt;C&gt;1&lt;/C&gt;&lt;D xsi:type="xsd:double"&gt;0&lt;/D&gt;&lt;/FQL&gt;&lt;FQL&gt;&lt;Q&gt;USDBRL^FG_PRICE_CHANGE(0,-3AM)&lt;/Q&gt;&lt;R&gt;1&lt;/R&gt;&lt;C&gt;1&lt;/C&gt;&lt;D xsi:type="xsd:double"&gt;3.3751845&lt;/D&gt;&lt;/FQL&gt;&lt;FQL&gt;&lt;Q&gt;BRENT-FDS^FG_PRICE_CHANGE(0,-3AM)&lt;/Q&gt;&lt;R&gt;1&lt;/R&gt;&lt;C&gt;1&lt;/C&gt;&lt;D xsi:type="xsd:double"&gt;0&lt;/D&gt;&lt;/FQL&gt;&lt;FQL&gt;&lt;Q&gt;CNYA^FMA_PCT_ABOVE_MAVG(200,0,,,,"PORTAGG")&lt;/Q&gt;&lt;R&gt;1&lt;/R&gt;&lt;C&gt;1&lt;/C&gt;&lt;D xsi:type="xsd:double"&gt;90.9722222222222&lt;/D&gt;&lt;/FQL&gt;&lt;FQL&gt;&lt;Q&gt;EZA^FMA_DIV_YLD(NTMA,NOW,NOW,M,"PORTAGG","MEANR")&lt;/Q&gt;&lt;R&gt;1&lt;/R&gt;&lt;C&gt;1&lt;/C&gt;&lt;D xsi:type="xsd:double"&gt;3.72405846799736&lt;/D&gt;&lt;/FQL&gt;&lt;FQL&gt;&lt;Q&gt;EZA^FG_PRICE_MAVG(0,,,,60)&lt;/Q&gt;&lt;R&gt;1&lt;/R&gt;&lt;C&gt;1&lt;/C&gt;&lt;D xsi:type="xsd:double"&gt;46.555&lt;/D&gt;&lt;/FQL&gt;&lt;FQL&gt;&lt;Q&gt;CC_GR^IMF_IFS_RCPI_Q(0)&lt;/Q&gt;&lt;R&gt;0&lt;/R&gt;&lt;C&gt;0&lt;/C&gt;&lt;/FQL&gt;&lt;FQL&gt;&lt;Q&gt;EWT^FG_COMPANY_NAME&lt;/Q&gt;&lt;R&gt;1&lt;/R&gt;&lt;C&gt;1&lt;/C&gt;&lt;D xsi:type="xsd:string"&gt;iShares MSCI Taiwan ETF&lt;/D&gt;&lt;/FQL&gt;&lt;FQL&gt;&lt;Q&gt;BRENT-FDS^FG_PRICE_CHANGE(0,-1AM)&lt;/Q&gt;&lt;R&gt;1&lt;/R&gt;&lt;C&gt;1&lt;/C&gt;&lt;D xsi:type="xsd:double"&gt;0&lt;/D&gt;&lt;/FQL&gt;&lt;FQL&gt;&lt;Q&gt;EZA^P_PRICE(0)/P_PRICE_HIGH_PR(0,,,,,,"PRICE","INTRA","52W")&lt;/Q&gt;&lt;R&gt;1&lt;/R&gt;&lt;C&gt;1&lt;/C&gt;&lt;D xsi:type="xsd:double"&gt;0.9538185&lt;/D&gt;&lt;/FQL&gt;&lt;FQL&gt;&lt;Q&gt;CAGDPY@MX^EE_ACTUAL_ANNUAL(MED,+1)&lt;/Q&gt;&lt;R&gt;1&lt;/R&gt;&lt;C&gt;1&lt;/C&gt;&lt;D xsi:type="xsd:double"&gt;-0.5&lt;/D&gt;&lt;/FQL&gt;&lt;FQL&gt;&lt;Q&gt;USDBRL^FG_COMPANY_NAME&lt;/Q&gt;&lt;R&gt;1&lt;/R&gt;&lt;C&gt;1&lt;/C&gt;&lt;D xsi:type="xsd:string"&gt;Brazilian Real per U.S. Dollar&lt;/D&gt;&lt;/FQL&gt;&lt;FQL&gt;&lt;Q&gt;CC_SA^FG_COMPANY_NAME&lt;/Q&gt;&lt;R&gt;1&lt;/R&gt;&lt;C&gt;1&lt;/C&gt;&lt;D xsi:type="xsd:string"&gt;Saudi Arabia&lt;/D&gt;&lt;/FQL&gt;&lt;FQL&gt;&lt;Q&gt;EWY^FG_ROE(0)&lt;/Q&gt;&lt;R&gt;1&lt;/R&gt;&lt;C&gt;1&lt;/C&gt;&lt;D xsi:type="xsd:double"&gt;7.14509186069058&lt;/D&gt;&lt;/FQL&gt;&lt;FQL&gt;&lt;Q&gt;USDSAR^FG_PRICE(0)&lt;/Q&gt;&lt;R&gt;1&lt;/R&gt;&lt;C&gt;1&lt;/C&gt;&lt;D xsi:type="xsd:double"&gt;3.7547&lt;/D&gt;&lt;/FQL&gt;&lt;FQL&gt;&lt;Q&gt;EPOL^FMA_EVAL_EBITDA(NTMA,0,,,"PORTAGG","MEANR")&lt;/Q&gt;&lt;R&gt;1&lt;/R&gt;&lt;C&gt;1&lt;/C&gt;&lt;D xsi:type="xsd:double"&gt;4.4010970567094&lt;/D&gt;&lt;/FQL&gt;&lt;FQL&gt;&lt;Q&gt;EWT^FMA_PCT_ABOVE_MAVG(200,0,,,,"PORTAGG")&lt;/Q&gt;&lt;R&gt;1&lt;/R&gt;&lt;C&gt;1&lt;/C&gt;&lt;D xsi:type="xsd:double"&gt;63.6363636363636&lt;/D&gt;&lt;/FQL&gt;&lt;FQL&gt;&lt;Q&gt;USDAED^STD(FG_PRICE_CHANGE(0,-3AY,M))&lt;/Q&gt;&lt;R&gt;1&lt;/R&gt;&lt;C&gt;1&lt;/C&gt;&lt;D xsi:type="xsd:double"&gt;0.00874278501095947&lt;/D&gt;&lt;/FQL&gt;&lt;FQL&gt;&lt;Q&gt;VGK^FMA_COS_UP("EPS","1M",+1,NOW,,,"PORTAGG","MEANR")&lt;/Q&gt;&lt;R&gt;1&lt;/R&gt;&lt;C&gt;1&lt;/C&gt;&lt;D xsi:type="xsd:double"&gt;427&lt;/D&gt;&lt;/FQL&gt;&lt;FQL&gt;&lt;Q&gt;USDAED^FG_COMPANY_NAME&lt;/Q&gt;&lt;R&gt;1&lt;/R&gt;&lt;C&gt;1&lt;/C&gt;&lt;D xsi:type="xsd:string"&gt;UAE Dirham per U.S. Dollar&lt;/D&gt;&lt;/FQL&gt;&lt;FQL&gt;&lt;Q&gt;FC0000TR^FMA_EPS(NTMA,-20AY,0,CY,,"PORTAGG","MEANR")&lt;/Q&gt;&lt;R&gt;20&lt;/R&gt;&lt;C&gt;1&lt;/C&gt;&lt;D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xsi:type="xsd:double"&gt;22.5659661247494&lt;/D&gt;&lt;D xsi:type="xsd:double"&gt;23.2814283465185&lt;/D&gt;&lt;D xsi:type="xsd:double"&gt;19.7583571216769&lt;/D&gt;&lt;D xsi:type="xsd:double"&gt;36.4008288961816&lt;/D&gt;&lt;D xsi:type="xsd:double"&gt;47.7168789602001&lt;/D&gt;&lt;/FQL&gt;&lt;FQL&gt;&lt;Q&gt;EZA^FMA_COS_DOWN("EPS","1M",+1,NOW,,,"PORTAGG","MEANR")&lt;/Q&gt;&lt;R&gt;1&lt;/R&gt;&lt;C&gt;1&lt;/C&gt;&lt;D xsi:type="xsd:double"&gt;13&lt;/D&gt;&lt;/FQL&gt;&lt;FQL&gt;&lt;Q&gt;REFAEREPO-FDS^PROPER_NAME(0,,,"SECURITY","NAME")&lt;/Q&gt;&lt;R&gt;1&lt;/R&gt;&lt;C&gt;1&lt;/C&gt;&lt;D xsi:type="xsd:string"&gt;United Arab Emirates Repo Rate&lt;/D&gt;&lt;/FQL&gt;&lt;FQL&gt;&lt;Q&gt;USDTRY^FG_PRICE(0)&lt;/Q&gt;&lt;R&gt;1&lt;/R&gt;&lt;C&gt;1&lt;/C&gt;&lt;D xsi:type="xsd:double"&gt;34.19825&lt;/D&gt;&lt;/FQL&gt;&lt;FQL&gt;&lt;Q&gt;TRYAE10Y-FDS^FG_YIELD(0,,,,"YTM")&lt;/Q&gt;&lt;R&gt;0&lt;/R&gt;&lt;C&gt;0&lt;/C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xsi:type="xsd:double"&gt;3.0987&lt;/D&gt;&lt;/FQL&gt;&lt;FQL&gt;&lt;Q&gt;WL-FDS^MAX(FG_PRICE(0,-5AY))&lt;/Q&gt;&lt;R&gt;1&lt;/R&gt;&lt;C&gt;1&lt;/C&gt;&lt;D xsi:type="xsd:double"&gt;763.4&lt;/D&gt;&lt;/FQL&gt;&lt;FQL&gt;&lt;Q&gt;TUR^FG_TOTAL_RETURNC(0,-6AM)&lt;/Q&gt;&lt;R&gt;1&lt;/R&gt;&lt;C&gt;1&lt;/C&gt;&lt;D xsi:type="xsd:double"&gt;-11.726743&lt;/D&gt;&lt;/FQL&gt;&lt;FQL&gt;&lt;Q&gt;EWT^SIZE(FG_CONSTITUENTS)&lt;/Q&gt;&lt;R&gt;1&lt;/R&gt;&lt;C&gt;1&lt;/C&gt;&lt;D xsi:type="xsd:long"&gt;90&lt;/D&gt;&lt;/FQL&gt;&lt;FQL&gt;&lt;Q&gt;FC0000CL^FMA_EPS(NTMA,-20AY,0,CY,,"PORTAGG","MEANR")&lt;/Q&gt;&lt;R&gt;20&lt;/R&gt;&lt;C&gt;1&lt;/C&gt;&lt;D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xsi:type="xsd:double"&gt;31.5746107392056&lt;/D&gt;&lt;D xsi:type="xsd:double"&gt;26.2050262533717&lt;/D&gt;&lt;D xsi:type="xsd:double"&gt;1.45782220011724&lt;/D&gt;&lt;D xsi:type="xsd:double"&gt;14.1863075902305&lt;/D&gt;&lt;D xsi:type="xsd:double"&gt;26.3880518116564&lt;/D&gt;&lt;D xsi:type="xsd:double"&gt;20.4321074051196&lt;/D&gt;&lt;/FQL&gt;&lt;FQL&gt;&lt;Q&gt;EIDO^P_PRICE(0)/P_PRICE_LOW_PR(0,,,,,,"PRICE","INTRA","52W")-1&lt;/Q&gt;&lt;R&gt;1&lt;/R&gt;&lt;C&gt;1&lt;/C&gt;&lt;D xsi:type="xsd:double"&gt;0.1967938&lt;/D&gt;&lt;/FQL&gt;&lt;FQL&gt;&lt;Q&gt;TIPSCL10Y-FDS^FG_YIELD(-10AY,0,Y,,"YTM")&lt;/Q&gt;&lt;R&gt;10&lt;/R&gt;&lt;C&gt;1&lt;/C&gt;&lt;D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xsi:type="xsd:double"&gt;25&lt;/D&gt;&lt;/FQL&gt;&lt;FQL&gt;&lt;Q&gt;SET-BKK^FG_COMPANY_NAME&lt;/Q&gt;&lt;R&gt;1&lt;/R&gt;&lt;C&gt;1&lt;/C&gt;&lt;D xsi:type="xsd:string"&gt;Thailand SET&lt;/D&gt;&lt;/FQL&gt;&lt;FQL&gt;&lt;Q&gt;TRYFR10Y-FDS^FG_YIELD(-10AY,0,Y,,"YTM")&lt;/Q&gt;&lt;R&gt;10&lt;/R&gt;&lt;C&gt;1&lt;/C&gt;&lt;D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xsi:type="xsd:double"&gt;2.534&lt;/D&gt;&lt;/FQL&gt;&lt;FQL&gt;&lt;Q&gt;UAE^FG_PRICE_MAVG(0,,,,200)&lt;/Q&gt;&lt;R&gt;1&lt;/R&gt;&lt;C&gt;1&lt;/C&gt;&lt;D xsi:type="xsd:double"&gt;14.558074&lt;/D&gt;&lt;/FQL&gt;&lt;FQL&gt;&lt;Q&gt;CPALM-FDS^FG_PRICE_MAVG(0,,,,30)&lt;/Q&gt;&lt;R&gt;1&lt;/R&gt;&lt;C&gt;1&lt;/C&gt;&lt;D xsi:type="xsd:double"&gt;4101.1&lt;/D&gt;&lt;/FQL&gt;&lt;FQL&gt;&lt;Q&gt;ECH^PERCENT_CHANGE(FMA_EPS(+1,0,,,,"PORTAGG","MEAN"),FMA_EPS(+1,-1AM,,,,"PORTAGG","MEAN"))&lt;/Q&gt;&lt;R&gt;1&lt;/R&gt;&lt;C&gt;1&lt;/C&gt;&lt;D xsi:type="xsd:double"&gt;2.89691348569883&lt;/D&gt;&lt;/FQL&gt;&lt;FQL&gt;&lt;Q&gt;EZA^FMA_EVAL_EBITDA(NTMA,0,,,"PORTAGG","MEANR")&lt;/Q&gt;&lt;R&gt;1&lt;/R&gt;&lt;C&gt;1&lt;/C&gt;&lt;D xsi:type="xsd:double"&gt;7.6844029806652&lt;/D&gt;&lt;/FQL&gt;&lt;FQL&gt;&lt;Q&gt;UAE^FG_PRICE_MAVG(0,,,,60)&lt;/Q&gt;&lt;R&gt;1&lt;/R&gt;&lt;C&gt;1&lt;/C&gt;&lt;D xsi:type="xsd:double"&gt;14.803627&lt;/D&gt;&lt;/FQL&gt;&lt;FQL&gt;&lt;Q&gt;ECH^FMA_PCT_ABOVE_MAVG(200,0,,,,"PORTAGG")&lt;/Q&gt;&lt;R&gt;1&lt;/R&gt;&lt;C&gt;1&lt;/C&gt;&lt;D xsi:type="xsd:double"&gt;32.1428571428571&lt;/D&gt;&lt;/FQL&gt;&lt;FQL&gt;&lt;Q&gt;INDA^FG_TOTAL_RETURNC(0,-1AM)&lt;/Q&gt;&lt;R&gt;1&lt;/R&gt;&lt;C&gt;1&lt;/C&gt;&lt;D xsi:type="xsd:double"&gt;0.10519028&lt;/D&gt;&lt;/FQL&gt;&lt;FQL&gt;&lt;Q&gt;CC_SA^IMF_IFS_RCPI_Q(0)&lt;/Q&gt;&lt;R&gt;0&lt;/R&gt;&lt;C&gt;0&lt;/C&gt;&lt;/FQL&gt;&lt;FQL&gt;&lt;Q&gt;EZA^P_PRICE_RETURNS_PR('52W',2,-10AY,0,AM)&lt;/Q&gt;&lt;R&gt;121&lt;/R&gt;&lt;C&gt;1&lt;/C&gt;&lt;D xsi:type="xsd:double"&gt;-1.7239988&lt;/D&gt;&lt;D xsi:type="xsd:double"&gt;9.091341&lt;/D&gt;&lt;D xsi:type="xsd:double"&gt;2.0711184&lt;/D&gt;&lt;D xsi:type="xsd:double"&gt;10.76467&lt;/D&gt;&lt;D xsi:type="xsd:double"&gt;21.388197&lt;/D&gt;&lt;D xsi:type="xsd:double"&gt;0.5298853&lt;/D&gt;&lt;D xsi:type="xsd:double"&gt;7.4985623&lt;/D&gt;&lt;D xsi:type="xsd:double"&gt;2.6546955&lt;/D&gt;&lt;D xsi:type="xsd:double"&gt;-5.597848&lt;/D&gt;&lt;D xsi:type="xsd:double"&gt;-5.2580476&lt;/D&gt;&lt;D xsi:type="xsd:double"&gt;-8.66667&lt;/D&gt;&lt;D xsi:type="xsd:double"&gt;-20.140379&lt;/D&gt;&lt;D xsi:type="xsd:double"&gt;-4.9808207&lt;/D&gt;&lt;D xsi:type="xsd:double"&gt;-16.96664&lt;/D&gt;&lt;D xsi:type="xsd:double"&gt;-26.125532&lt;/D&gt;&lt;D xsi:type="xsd:double"&gt;-35.949715&lt;/D&gt;&lt;D xsi:type="xsd:double"&gt;-34.99605&lt;/D&gt;&lt;D xsi:type="xsd:double"&gt;-20.436317&lt;/D&gt;&lt;D xsi:type="xsd:double"&gt;-24.942976&lt;/D&gt;&lt;D xsi:type="xsd:double"&gt;-25.318468&lt;/D&gt;&lt;D xsi:type="xsd:double"&gt;-16.334682&lt;/D&gt;&lt;D xsi:type="xsd:double"&gt;-9.470063&lt;/D&gt;&lt;D xsi:type="xsd:double"&gt;-0.40225387&lt;/D&gt;&lt;D xsi:type="xsd:double"&gt;6.4663887&lt;/D&gt;&lt;D xsi:type="xsd:double"&gt;-3.2213032&lt;/D&gt;&lt;D xsi:type="xsd:double"&gt;-1.564765&lt;/D&gt;&lt;D xsi:type="xsd:double"&gt;14.875067&lt;/D&gt;&lt;D xsi:type="xsd:double"&gt;35.672794&lt;/D&gt;&lt;D xsi:type="xsd:double"&gt;34.057404&lt;/D&gt;&lt;D xsi:type="xsd:double"&gt;19.250631&lt;/D&gt;&lt;D xsi:type="xsd:double"&gt;9.4854355&lt;/D&gt;&lt;D xsi:type="xsd:double"&gt;22.129393&lt;/D&gt;&lt;D xsi:type="xsd:double"&gt;13.313627&lt;/D&gt;&lt;D xsi:type="xsd:double"&gt;8.325362&lt;/D&gt;&lt;D xsi:type="xsd:double"&gt;0.9476781&lt;/D&gt;&lt;D xsi:type="xsd:double"&gt;11.883556&lt;/D&gt;&lt;D xsi:type="xsd:double"&gt;11.682451&lt;/D&gt;&lt;D xsi:type="xsd:double"&gt;17.369997&lt;/D&gt;&lt;D xsi:type="xsd:double"&gt;17.95094&lt;/D&gt;&lt;D xsi:type="xsd:double"&gt;31.099594&lt;/D&gt;&lt;D xsi:type="xsd:double"&gt;23.557209&lt;/D&gt;&lt;D xsi:type="xsd:double"&gt;39.66124&lt;/D&gt;&lt;D xsi:type="xsd:double"&gt;28.750277&lt;/D&gt;&lt;D xsi:type="xsd:double"&gt;16.721498&lt;/D&gt;&lt;D xsi:type="xsd:double"&gt;7.743299&lt;/D&gt;&lt;D xsi:type="xsd:double"&gt;11.633598&lt;/D&gt;&lt;D xsi:type="xsd:double"&gt;-2.6522338&lt;/D&gt;&lt;D xsi:type="xsd:double"&gt;-15.9884815&lt;/D&gt;&lt;D xsi:type="xsd:double"&gt;-18.138647&lt;/D&gt;&lt;D xsi:type="xsd:double"&gt;-11.452031&lt;/D&gt;&lt;D xsi:type="xsd:double"&gt;-17.03871&lt;/D&gt;&lt;D xsi:type="xsd:double"&gt;-17.67094&lt;/D&gt;&lt;D xsi:type="xsd:double"&gt;-12.714338&lt;/D&gt;&lt;D xsi:type="xsd:double"&gt;-26.83729&lt;/D&gt;&lt;D xsi:type="xsd:double"&gt;-12.971777&lt;/D&gt;&lt;D xsi:type="xsd:double"&gt;-13.571912&lt;/D&gt;&lt;D xsi:type="xsd:double"&gt;-10.330004&lt;/D&gt;&lt;D xsi:type="xsd:double"&gt;-5.588281&lt;/D&gt;&lt;D xsi:type="xsd:double"&gt;-15.454388&lt;/D&gt;&lt;D xsi:type="xsd:double"&gt;3.7644506&lt;/D&gt;&lt;D xsi:type="xsd:double"&gt;6.325555&lt;/D&gt;&lt;D xsi:type="xsd:double"&gt;1.0032654&lt;/D&gt;&lt;D xsi:type="xsd:double"&gt;2.4009228&lt;/D&gt;&lt;D xsi:type="xsd:double"&gt;-1.2399793&lt;/D&gt;&lt;D xsi:type="xsd:double"&gt;-5.0668&lt;/D&gt;&lt;D xsi:type="xsd:double"&gt;-16.104126&lt;/D&gt;&lt;D xsi:type="xsd:double"&gt;-38.4515&lt;/D&gt;&lt;D xsi:type="xsd:double"&gt;-33.82337&lt;/D&gt;&lt;D xsi:type="xsd:double"&gt;-19.574339&lt;/D&gt;&lt;D xsi:type="xsd:double"&gt;-22.351473&lt;/D&gt;&lt;D xsi:type="xsd:double"&gt;-14.331091&lt;/D&gt;&lt;D xsi:type="xsd:double"&gt;-15.156013&lt;/D&gt;&lt;D xsi:type="xsd:double"&gt;-10.415518&lt;/D&gt;&lt;D xsi:type="xsd:double"&gt;-6.7205725&lt;/D&gt;&lt;D xsi:type="xsd:double"&gt;1.6750932&lt;/D&gt;&lt;D xsi:type="xsd:double"&gt;-2.6758075&lt;/D&gt;&lt;D xsi:type="xsd:double"&gt;11.744666&lt;/D&gt;&lt;D xsi:type="xsd:double"&gt;35.258057&lt;/D&gt;&lt;D xsi:type="xsd:double"&gt;73.1834&lt;/D&gt;&lt;D xsi:type="xsd:double"&gt;67.09913&lt;/D&gt;&lt;D xsi:type="xsd:double"&gt;49.242054&lt;/D&gt;&lt;D xsi:type="xsd:double"&gt;35.019325&lt;/D&gt;&lt;D xsi:type="xsd:double"&gt;38.35355&lt;/D&gt;&lt;D xsi:type="xsd:double"&gt;31.115997&lt;/D&gt;&lt;D xsi:type="xsd:double"&gt;34.353386&lt;/D&gt;&lt;D xsi:type="xsd:double"&gt;15.991235&lt;/D&gt;&lt;D xsi:type="xsd:double"&gt;8.22097&lt;/D&gt;&lt;D xsi:type="xsd:double"&gt;9.68417&lt;/D&gt;&lt;D xsi:type="xsd:double"&gt;8.661449&lt;/D&gt;&lt;D xsi:type="xsd:double"&gt;9.495724&lt;/D&gt;&lt;D xsi:type="xsd:double"&gt;11.598099&lt;/D&gt;&lt;D xsi:type="xsd:double"&gt;-13.089937&lt;/D&gt;&lt;D xsi:type="xsd:double"&gt;-15.456068&lt;/D&gt;&lt;D xsi:type="xsd:double"&gt;-8.6700735&lt;/D&gt;&lt;D xsi:type="xsd:double"&gt;-3.447342&lt;/D&gt;&lt;D xsi:type="xsd:double"&gt;-11.12085&lt;/D&gt;&lt;D xsi:type="xsd:double"&gt;-20.05462&lt;/D&gt;&lt;D xsi:type="xsd:double"&gt;-4.8639956&lt;/D&gt;&lt;D xsi:type="xsd:double"&gt;-3.193283&lt;/D&gt;&lt;D xsi:type="xsd:double"&gt;-0.17852783&lt;/D&gt;&lt;D xsi:type="xsd:double"&gt;-12.601185&lt;/D&gt;&lt;D xsi:type="xsd:double"&gt;-20.447147&lt;/D&gt;&lt;D xsi:type="xsd:double"&gt;-20.797174&lt;/D&gt;&lt;D xsi:type="xsd:double"&gt;-3.5556495&lt;/D&gt;&lt;D xsi:type="xsd:double"&gt;-6.028676&lt;/D&gt;&lt;D xsi:type="xsd:double"&gt;-5.2285967&lt;/D&gt;&lt;D xsi:type="xsd:double"&gt;-4.8940063&lt;/D&gt;&lt;D xsi:type="xsd:double"&gt;0.03581047&lt;/D&gt;&lt;D xsi:type="xsd:double"&gt;6.8599343&lt;/D&gt;&lt;D xsi:type="xsd:double"&gt;-7.621914&lt;/D&gt;&lt;D xsi:type="xsd:double"&gt;-7.7426615&lt;/D&gt;&lt;D xsi:type="xsd:double"&gt;-12.389642&lt;/D&gt;&lt;D xsi:type="xsd:double"&gt;-9.770632&lt;/D&gt;&lt;D xsi:type="xsd:double"&gt;-0.9381473&lt;/D&gt;&lt;D xsi:type="xsd:double"&gt;-1.2981415&lt;/D&gt;&lt;D xsi:type="xsd:double"&gt;7.4516177&lt;/D&gt;&lt;D xsi:type="xsd:double"&gt;0.42393208&lt;/D&gt;&lt;D xsi:type="xsd:double"&gt;17.177856&lt;/D&gt;&lt;D xsi:type="xsd:double"&gt;11.884701&lt;/D&gt;&lt;D xsi:type="xsd:double"&gt;21.729994&lt;/D&gt;&lt;D xsi:type="xsd:double"&gt;31.283772&lt;/D&gt;&lt;/FQL&gt;&lt;FQL&gt;&lt;Q&gt;UAE^FG_PRICE_MAVG(0,,,,30)&lt;/Q&gt;&lt;R&gt;1&lt;/R&gt;&lt;C&gt;1&lt;/C&gt;&lt;D xsi:type="xsd:double"&gt;15.082666&lt;/D&gt;&lt;/FQL&gt;&lt;FQL&gt;&lt;Q&gt;CNYA^FG_TOTAL_RETURNC(0,-12AM)&lt;/Q&gt;&lt;R&gt;1&lt;/R&gt;&lt;C&gt;1&lt;/C&gt;&lt;D xsi:type="xsd:double"&gt;12.923002&lt;/D&gt;&lt;/FQL&gt;&lt;FQL&gt;&lt;Q&gt;CC_VN^IMF_IFS_RCPI_Q(0)&lt;/Q&gt;&lt;R&gt;0&lt;/R&gt;&lt;C&gt;0&lt;/C&gt;&lt;/FQL&gt;&lt;FQL&gt;&lt;Q&gt;EWM^FG_TOTAL_RETURNC(-10AY,0,AM)&lt;/Q&gt;&lt;R&gt;121&lt;/R&gt;&lt;C&gt;1&lt;/C&gt;&lt;D xsi:type="xsd:double"&gt;-6.17978&lt;/D&gt;&lt;D xsi:type="xsd:double"&gt;-0.3326714&lt;/D&gt;&lt;D xsi:type="xsd:double"&gt;-9.012013&lt;/D&gt;&lt;D xsi:type="xsd:double"&gt;-2.7570724&lt;/D&gt;&lt;D xsi:type="xsd:double"&gt;4.3143272&lt;/D&gt;&lt;D xsi:type="xsd:double"&gt;-5.576074&lt;/D&gt;&lt;D xsi:type="xsd:double"&gt;6.0617924&lt;/D&gt;&lt;D xsi:type="xsd:double"&gt;0.88495016&lt;/D&gt;&lt;D xsi:type="xsd:double"&gt;-7.4561415&lt;/D&gt;&lt;D xsi:type="xsd:double"&gt;-2.612567&lt;/D&gt;&lt;D xsi:type="xsd:double"&gt;-7.806081&lt;/D&gt;&lt;D xsi:type="xsd:double"&gt;-11.497325&lt;/D&gt;&lt;D xsi:type="xsd:double"&gt;12.688816&lt;/D&gt;&lt;D xsi:type="xsd:double"&gt;-9.0259075&lt;/D&gt;&lt;D xsi:type="xsd:double"&gt;2.1610975&lt;/D&gt;&lt;D xsi:type="xsd:double"&gt;-4.5337677&lt;/D&gt;&lt;D xsi:type="xsd:double"&gt;7.6923013&lt;/D&gt;&lt;D xsi:type="xsd:double"&gt;4.3367386&lt;/D&gt;&lt;D xsi:type="xsd:double"&gt;7.4572086&lt;/D&gt;&lt;D xsi:type="xsd:double"&gt;-7.6223016&lt;/D&gt;&lt;D xsi:type="xsd:double"&gt;-1.3546765&lt;/D&gt;&lt;D xsi:type="xsd:double"&gt;4.2051554&lt;/D&gt;&lt;D xsi:type="xsd:double"&gt;1.3349533&lt;/D&gt;&lt;D xsi:type="xsd:double"&gt;-2.8742611&lt;/D&gt;&lt;D xsi:type="xsd:double"&gt;0.36991835&lt;/D&gt;&lt;D xsi:type="xsd:double"&gt;-7.6474247&lt;/D&gt;&lt;D xsi:type="xsd:double"&gt;-0.099760294&lt;/D&gt;&lt;D xsi:type="xsd:double"&gt;0.4206419&lt;/D&gt;&lt;D xsi:type="xsd:double"&gt;2.4939418&lt;/D&gt;&lt;D xsi:type="xsd:double"&gt;1.2166262&lt;/D&gt;&lt;D xsi:type="xsd:double"&gt;1.6026735&lt;/D&gt;&lt;D xsi:type="xsd:double"&gt;4.995072&lt;/D&gt;&lt;D xsi:type="xsd:double"&gt;2.4726152&lt;/D&gt;&lt;D xsi:type="xsd:double"&gt;-2.6674628&lt;/D&gt;&lt;D xsi:type="xsd:double"&gt;0.031721592&lt;/D&gt;&lt;D xsi:type="xsd:double"&gt;3.5521746&lt;/D&gt;&lt;D xsi:type="xsd:double"&gt;-0.398165&lt;/D&gt;&lt;D xsi:type="xsd:double"&gt;-1.0147631&lt;/D&gt;&lt;D xsi:type="xsd:double"&gt;2.205658&lt;/D&gt;&lt;D xsi:type="xsd:double"&gt;8.82641&lt;/D&gt;&lt;D xsi:type="xsd:double"&gt;-0.526315&lt;/D&gt;&lt;D xsi:type="xsd:double"&gt;4.085827&lt;/D&gt;&lt;D xsi:type="xsd:double"&gt;2.1745324&lt;/D&gt;&lt;D xsi:type="xsd:double"&gt;-8.817023&lt;/D&gt;&lt;D xsi:type="xsd:double"&gt;1.7580986&lt;/D&gt;&lt;D xsi:type="xsd:double"&gt;-5.047667&lt;/D&gt;&lt;D xsi:type="xsd:double"&gt;4.4800043&lt;/D&gt;&lt;D xsi:type="xsd:double"&gt;-2.8177679&lt;/D&gt;&lt;D xsi:type="xsd:double"&gt;-4.317677&lt;/D&gt;&lt;D xsi:type="xsd:double"&gt;-0.4611373&lt;/D&gt;&lt;D xsi:type="xsd:double"&gt;-2.4156153&lt;/D&gt;&lt;D xsi:type="xsd:double"&gt;5.047214&lt;/D&gt;&lt;D xsi:type="xsd:double"&gt;0.42706728&lt;/D&gt;&lt;D xsi:type="xsd:double"&gt;-1.2757599&lt;/D&gt;&lt;D xsi:type="xsd:double"&gt;-1.0271668&lt;/D&gt;&lt;D xsi:type="xsd:double"&gt;-3.783065&lt;/D&gt;&lt;D xsi:type="xsd:double"&gt;3.2359123&lt;/D&gt;&lt;D xsi:type="xsd:double"&gt;2.8943658&lt;/D&gt;&lt;D xsi:type="xsd:double"&gt;-6.035346&lt;/D&gt;&lt;D xsi:type="xsd:double"&gt;-0.07097125&lt;/D&gt;&lt;D xsi:type="xsd:double"&gt;-2.6278377&lt;/D&gt;&lt;D xsi:type="xsd:double"&gt;5.1057577&lt;/D&gt;&lt;D xsi:type="xsd:double"&gt;-4.0943804&lt;/D&gt;&lt;D xsi:type="xsd:double"&gt;4.78276&lt;/D&gt;&lt;D xsi:type="xsd:double"&gt;-6.005585&lt;/D&gt;&lt;D xsi:type="xsd:double"&gt;-8.803868&lt;/D&gt;&lt;D xsi:type="xsd:double"&gt;-5.9877753&lt;/D&gt;&lt;D xsi:type="xsd:double"&gt;2.5996566&lt;/D&gt;&lt;D xsi:type="xsd:double"&gt;17.652023&lt;/D&gt;&lt;D xsi:type="xsd:double"&gt;-0.25520325&lt;/D&gt;&lt;D xsi:type="xsd:double"&gt;0.1470089&lt;/D&gt;&lt;D xsi:type="xsd:double"&gt;-7.999998&lt;/D&gt;&lt;D xsi:type="xsd:double"&gt;7.6186657&lt;/D&gt;&lt;D xsi:type="xsd:double"&gt;2.0014882&lt;/D&gt;&lt;D xsi:type="xsd:double"&gt;5.922961&lt;/D&gt;&lt;D xsi:type="xsd:double"&gt;-0.92624426&lt;/D&gt;&lt;D xsi:type="xsd:double"&gt;-3.2202184&lt;/D&gt;&lt;D xsi:type="xsd:double"&gt;0&lt;/D&gt;&lt;D xsi:type="xsd:double"&gt;-1.1806786&lt;/D&gt;&lt;D xsi:type="xsd:double"&gt;-1.0861754&lt;/D&gt;&lt;D xsi:type="xsd:double"&gt;0.8088827&lt;/D&gt;&lt;D xsi:type="xsd:double"&gt;-6.067419&lt;/D&gt;&lt;D xsi:type="xsd:double"&gt;-2.113241&lt;/D&gt;&lt;D xsi:type="xsd:double"&gt;6.8839073&lt;/D&gt;&lt;D xsi:type="xsd:double"&gt;-0.03811121&lt;/D&gt;&lt;D xsi:type="xsd:double"&gt;-3.2786846&lt;/D&gt;&lt;D xsi:type="xsd:double"&gt;-2.8774202&lt;/D&gt;&lt;D xsi:type="xsd:double"&gt;3.8318872&lt;/D&gt;&lt;D xsi:type="xsd:double"&gt;1.5744805&lt;/D&gt;&lt;D xsi:type="xsd:double"&gt;0.15898943&lt;/D&gt;&lt;D xsi:type="xsd:double"&gt;2.2222161&lt;/D&gt;&lt;D xsi:type="xsd:double"&gt;-7.2981415&lt;/D&gt;&lt;D xsi:type="xsd:double"&gt;-3.8951278&lt;/D&gt;&lt;D xsi:type="xsd:double"&gt;-3.779459&lt;/D&gt;&lt;D xsi:type="xsd:double"&gt;4.6210766&lt;/D&gt;&lt;D xsi:type="xsd:double"&gt;-1.5459299&lt;/D&gt;&lt;D xsi:type="xsd:double"&gt;-9.15209&lt;/D&gt;&lt;D xsi:type="xsd:double"&gt;6.765437&lt;/D&gt;&lt;D xsi:type="xsd:double"&gt;5.041623&lt;/D&gt;&lt;D xsi:type="xsd:double"&gt;2.1684408&lt;/D&gt;&lt;D xsi:type="xsd:double"&gt;0.04351139&lt;/D&gt;&lt;D xsi:type="xsd:double"&gt;-7.0465384&lt;/D&gt;&lt;D xsi:type="xsd:double"&gt;4.0711284&lt;/D&gt;&lt;D xsi:type="xsd:double"&gt;-0.9442389&lt;/D&gt;&lt;D xsi:type="xsd:double"&gt;-6.833005&lt;/D&gt;&lt;D xsi:type="xsd:double"&gt;-0.9424627&lt;/D&gt;&lt;D xsi:type="xsd:double"&gt;7.3610425&lt;/D&gt;&lt;D xsi:type="xsd:double"&gt;-2.0522416&lt;/D&gt;&lt;D xsi:type="xsd:double"&gt;-1.1428535&lt;/D&gt;&lt;D xsi:type="xsd:double"&gt;1.3005853&lt;/D&gt;&lt;D xsi:type="xsd:double"&gt;-0.14265776&lt;/D&gt;&lt;D xsi:type="xsd:double"&gt;4.0451407&lt;/D&gt;&lt;D xsi:type="xsd:double"&gt;-1.8630624&lt;/D&gt;&lt;D xsi:type="xsd:double"&gt;3.5595655&lt;/D&gt;&lt;D xsi:type="xsd:double"&gt;-0.36663413&lt;/D&gt;&lt;D xsi:type="xsd:double"&gt;4.507816&lt;/D&gt;&lt;D xsi:type="xsd:double"&gt;1.3204217&lt;/D&gt;&lt;D xsi:type="xsd:double"&gt;1.7782569&lt;/D&gt;&lt;D xsi:type="xsd:double"&gt;3.5559416&lt;/D&gt;&lt;D xsi:type="xsd:double"&gt;6.9514275&lt;/D&gt;&lt;D xsi:type="xsd:double"&gt;1.60532&lt;/D&gt;&lt;/FQL&gt;&lt;FQL&gt;&lt;Q&gt;USDBRL^FG_PRICE_CHANGE(0,-1AM)&lt;/Q&gt;&lt;R&gt;1&lt;/R&gt;&lt;C&gt;1&lt;/C&gt;&lt;D xsi:type="xsd:double"&gt;-0.83584785&lt;/D&gt;&lt;/FQL&gt;&lt;FQL&gt;&lt;Q&gt;EZA^FG_PRICE_MAVG(0,,,,30)&lt;/Q&gt;&lt;R&gt;1&lt;/R&gt;&lt;C&gt;1&lt;/C&gt;&lt;D xsi:type="xsd:double"&gt;48.161&lt;/D&gt;&lt;/FQL&gt;&lt;FQL&gt;&lt;Q&gt;SPY^P_PRICE(0)/P_PRICE_LOW_PR(0,,,,,,"PRICE","INTRA","52W")-1&lt;/Q&gt;&lt;R&gt;1&lt;/R&gt;&lt;C&gt;1&lt;/C&gt;&lt;D xsi:type="xsd:double"&gt;0.40790796&lt;/D&gt;&lt;/FQL&gt;&lt;FQL&gt;&lt;Q&gt;USDBRL^FG_PRICE(0)&lt;/Q&gt;&lt;R&gt;1&lt;/R&gt;&lt;C&gt;1&lt;/C&gt;&lt;D xsi:type="xsd:double"&gt;5.58195&lt;/D&gt;&lt;/FQL&gt;&lt;FQL&gt;&lt;Q&gt;CC_ZA^IMF_IFS_RCPI_Q(0)&lt;/Q&gt;&lt;R&gt;0&lt;/R&gt;&lt;C&gt;0&lt;/C&gt;&lt;/FQL&gt;&lt;FQL&gt;&lt;Q&gt;COPP-FDS^FG_PRICE(0)/MAX(FG_PRICE(0,-1AY))&lt;/Q&gt;&lt;R&gt;1&lt;/R&gt;&lt;C&gt;1&lt;/C&gt;&lt;D xsi:type="xsd:double"&gt;0.856612619652276&lt;/D&gt;&lt;/FQL&gt;&lt;FQL&gt;&lt;Q&gt;EZA^FG_TOTAL_RETURNC(0,-6AM)&lt;/Q&gt;&lt;R&gt;1&lt;/R&gt;&lt;C&gt;1&lt;/C&gt;&lt;D xsi:type="xsd:double"&gt;24.723017&lt;/D&gt;&lt;/FQL&gt;&lt;FQL&gt;&lt;Q&gt;VNM^FG_ROE(0)&lt;/Q&gt;&lt;R&gt;1&lt;/R&gt;&lt;C&gt;1&lt;/C&gt;&lt;D xsi:type="xsd:double"&gt;8.13927893523292&lt;/D&gt;&lt;/FQL&gt;&lt;FQL&gt;&lt;Q&gt;VWO^SIZE(FG_CONSTITUENTS)&lt;/Q&gt;&lt;R&gt;1&lt;/R&gt;&lt;C&gt;1&lt;/C&gt;&lt;D xsi:type="xsd:long"&gt;4847&lt;/D&gt;&lt;/FQL&gt;&lt;FQL&gt;&lt;Q&gt;SET-BKK^FMA_PE(LTMA,-10AY,0,AM,"PORTAGG","MEANR")&lt;/Q&gt;&lt;R&gt;121&lt;/R&gt;&lt;C&gt;1&lt;/C&gt;&lt;D xsi:type="xsd:double"&gt;18.9422102663319&lt;/D&gt;&lt;D xsi:type="xsd:double"&gt;19.5236489189875&lt;/D&gt;&lt;D xsi:type="xsd:double"&gt;19.848746411712&lt;/D&gt;&lt;D xsi:type="xsd:double"&gt;19.6958098175869&lt;/D&gt;&lt;D xsi:type="xsd:double"&gt;22.5045334338212&lt;/D&gt;&lt;D xsi:type="xsd:double"&gt;23.3534398682354&lt;/D&gt;&lt;D xsi:type="xsd:double"&gt;22.6397296296378&lt;/D&gt;&lt;D xsi:type="xsd:double"&gt;22.2545689516515&lt;/D&gt;&lt;D xsi:type="xsd:double"&gt;21.4343746874475&lt;/D&gt;&lt;D xsi:type="xsd:double"&gt;20.8669303055098&lt;/D&gt;&lt;D xsi:type="xsd:double"&gt;19.8794056651264&lt;/D&gt;&lt;D xsi:type="xsd:double"&gt;19.1736073369487&lt;/D&gt;&lt;D xsi:type="xsd:double"&gt;18.8479668249893&lt;/D&gt;&lt;D xsi:type="xsd:double"&gt;16.52708930904&lt;/D&gt;&lt;D xsi:type="xsd:double"&gt;14.8521838937941&lt;/D&gt;&lt;D xsi:type="xsd:double"&gt;12.7747536193493&lt;/D&gt;&lt;D xsi:type="xsd:double"&gt;16.0782760365773&lt;/D&gt;&lt;D xsi:type="xsd:double"&gt;16.6430933755656&lt;/D&gt;&lt;D xsi:type="xsd:double"&gt;16.4183949339148&lt;/D&gt;&lt;D xsi:type="xsd:double"&gt;16.2992065335183&lt;/D&gt;&lt;D xsi:type="xsd:double"&gt;16.3667657704209&lt;/D&gt;&lt;D xsi:type="xsd:double"&gt;16.4574263758337&lt;/D&gt;&lt;D xsi:type="xsd:double"&gt;16.7654577010109&lt;/D&gt;&lt;D xsi:type="xsd:double"&gt;15.9058403480251&lt;/D&gt;&lt;D xsi:type="xsd:double"&gt;15.79013491875&lt;/D&gt;&lt;D xsi:type="xsd:double"&gt;16.174480674359&lt;/D&gt;&lt;D xsi:type="xsd:double"&gt;16.1778020690434&lt;/D&gt;&lt;D xsi:type="xsd:double"&gt;16.5471995876314&lt;/D&gt;&lt;D xsi:type="xsd:double"&gt;16.6844746724319&lt;/D&gt;&lt;D xsi:type="xsd:double"&gt;16.2809506499232&lt;/D&gt;&lt;D xsi:type="xsd:double"&gt;16.2802520398492&lt;/D&gt;&lt;D xsi:type="xsd:double"&gt;16.1007317256349&lt;/D&gt;&lt;D xsi:type="xsd:double"&gt;16.0378482716915&lt;/D&gt;&lt;D xsi:type="xsd:double"&gt;15.9448144942272&lt;/D&gt;&lt;D xsi:type="xsd:double"&gt;15.9779366672055&lt;/D&gt;&lt;D xsi:type="xsd:double"&gt;16.2862300153306&lt;/D&gt;&lt;D xsi:type="xsd:double"&gt;16.7966658691209&lt;/D&gt;&lt;D xsi:type="xsd:double"&gt;16.9409114513691&lt;/D&gt;&lt;D xsi:type="xsd:double"&gt;17.2431819314674&lt;/D&gt;&lt;D xsi:type="xsd:double"&gt;18.2294795141974&lt;/D&gt;&lt;D xsi:type="xsd:double"&gt;17.9009794034271&lt;/D&gt;&lt;D xsi:type="xsd:double"&gt;17.649400949487&lt;/D&gt;&lt;D xsi:type="xsd:double"&gt;17.3605899240219&lt;/D&gt;&lt;D xsi:type="xsd:double"&gt;17.0729929381309&lt;/D&gt;&lt;D xsi:type="xsd:double"&gt;16.9988660175179&lt;/D&gt;&lt;D xsi:type="xsd:double"&gt;16.4150945482872&lt;/D&gt;&lt;D xsi:type="xsd:double"&gt;16.5565183767651&lt;/D&gt;&lt;D xsi:type="xsd:double"&gt;16.1441859889821&lt;/D&gt;&lt;D xsi:type="xsd:double"&gt;16.1312566655871&lt;/D&gt;&lt;D xsi:type="xsd:double"&gt;15.595350719318&lt;/D&gt;&lt;D xsi:type="xsd:double"&gt;15.2278067936286&lt;/D&gt;&lt;D xsi:type="xsd:double"&gt;14.5622246094084&lt;/D&gt;&lt;D xsi:type="xsd:double"&gt;15.6159490795703&lt;/D&gt;&lt;D xsi:type="xsd:double"&gt;16.1934028198677&lt;/D&gt;&lt;D xsi:type="xsd:double"&gt;16.1518499131655&lt;/D&gt;&lt;D xsi:type="xsd:double"&gt;16.0654539012399&lt;/D&gt;&lt;D xsi:type="xsd:double"&gt;16.1675798864388&lt;/D&gt;&lt;D xsi:type="xsd:double"&gt;16.5680674245448&lt;/D&gt;&lt;D xsi:type="xsd:double"&gt;16.1768448503883&lt;/D&gt;&lt;D xsi:type="xsd:double"&gt;16.6441895833417&lt;/D&gt;&lt;D xsi:type="xsd:double"&gt;16.4572431204196&lt;/D&gt;&lt;D xsi:type="xsd:double"&gt;17.2362191227754&lt;/D&gt;&lt;D xsi:type="xsd:double"&gt;16.7108589391416&lt;/D&gt;&lt;D xsi:type="xsd:double"&gt;17.0171654914256&lt;/D&gt;&lt;D xsi:type="xsd:double"&gt;16.5786637549306&lt;/D&gt;&lt;D xsi:type="xsd:double"&gt;14.7913521070907&lt;/D&gt;&lt;D xsi:type="xsd:double"&gt;15.0484583239502&lt;/D&gt;&lt;D xsi:type="xsd:double"&gt;15.9211995316581&lt;/D&gt;&lt;D xsi:type="xsd:double"&gt;18.1326551101728&lt;/D&gt;&lt;D xsi:type="xsd:double"&gt;18.7511413447585&lt;/D&gt;&lt;D xsi:type="xsd:double"&gt;19.708694656553&lt;/D&gt;&lt;D xsi:type="xsd:double"&gt;20.7199863019197&lt;/D&gt;&lt;D xsi:type="xsd:double"&gt;21.8183468248828&lt;/D&gt;&lt;D xsi:type="xsd:double"&gt;22.1951912898849&lt;/D&gt;&lt;D xsi:type="xsd:double"&gt;25.6958371012391&lt;/D&gt;&lt;D xsi:type="xsd:double"&gt;28.9637880039048&lt;/D&gt;&lt;D xsi:type="xsd:double"&gt;27.4111910134959&lt;/D&gt;&lt;D xsi:type="xsd:double"&gt;27.588704306432&lt;/D&gt;&lt;D xsi:type="xsd:double"&gt;26.7461376765052&lt;/D&gt;&lt;D xsi:type="xsd:double"&gt;25.88156898538&lt;/D&gt;&lt;D xsi:type="xsd:double"&gt;24.6917753614136&lt;/D&gt;&lt;D xsi:type="xsd:double"&gt;23.3374281150433&lt;/D&gt;&lt;D xsi:type="xsd:double"&gt;22.1998433868205&lt;/D&gt;&lt;D xsi:type="xsd:double"&gt;22.1726062976341&lt;/D&gt;&lt;D xsi:type="xsd:double"&gt;21.2981855528854&lt;/D&gt;&lt;D xsi:type="xsd:double"&gt;20.3493767165067&lt;/D&gt;&lt;D xsi:type="xsd:double"&gt;19.1252415624594&lt;/D&gt;&lt;D xsi:type="xsd:double"&gt;19.1013652658282&lt;/D&gt;&lt;D xsi:type="xsd:double"&gt;19.2921964421851&lt;/D&gt;&lt;D xsi:type="xsd:double"&gt;18.7739795162386&lt;/D&gt;&lt;D xsi:type="xsd:double"&gt;18.6614517541982&lt;/D&gt;&lt;D xsi:type="xsd:double"&gt;18.2455860823153&lt;/D&gt;&lt;D xsi:type="xsd:double"&gt;17.9515729522673&lt;/D&gt;&lt;D xsi:type="xsd:double"&gt;17.4440107410457&lt;/D&gt;&lt;D xsi:type="xsd:double"&gt;17.3043415614476&lt;/D&gt;&lt;D xsi:type="xsd:double"&gt;17.0831606276352&lt;/D&gt;&lt;D xsi:type="xsd:double"&gt;16.1981340276468&lt;/D&gt;&lt;D xsi:type="xsd:double"&gt;16.6901645994547&lt;/D&gt;&lt;D xsi:type="xsd:double"&gt;16.6071539911912&lt;/D&gt;&lt;D xsi:type="xsd:double"&gt;17.2007862868274&lt;/D&gt;&lt;D xsi:type="xsd:double"&gt;17.3901327738161&lt;/D&gt;&lt;D xsi:type="xsd:double"&gt;17.3871520638132&lt;/D&gt;&lt;D xsi:type="xsd:double"&gt;17.3146561195119&lt;/D&gt;&lt;D xsi:type="xsd:double"&gt;17.2102966848791&lt;/D&gt;&lt;D xsi:type="xsd:double"&gt;17.2552505229639&lt;/D&gt;&lt;D xsi:type="xsd:double"&gt;17.0728992726&lt;/D&gt;&lt;D xsi:type="xsd:double"&gt;17.3583405216012&lt;/D&gt;&lt;D xsi:type="xsd:double"&gt;17.5582177089077&lt;/D&gt;&lt;D xsi:type="xsd:double"&gt;16.6731347217572&lt;/D&gt;&lt;D xsi:type="xsd:double"&gt;16.1485226829066&lt;/D&gt;&lt;D xsi:type="xsd:double"&gt;15.9964549038325&lt;/D&gt;&lt;D xsi:type="xsd:double"&gt;15.8836518737006&lt;/D&gt;&lt;D xsi:type="xsd:double"&gt;16.2190270834327&lt;/D&gt;&lt;D xsi:type="xsd:double"&gt;16.6624703923068&lt;/D&gt;&lt;D xsi:type="xsd:double"&gt;16.5371260324504&lt;/D&gt;&lt;D xsi:type="xsd:double"&gt;16.276132867502&lt;/D&gt;&lt;D xsi:type="xsd:double"&gt;15.8497610348283&lt;/D&gt;&lt;D xsi:type="xsd:double"&gt;15.693931519135&lt;/D&gt;&lt;D xsi:type="xsd:double"&gt;15.545598887022&lt;/D&gt;&lt;D xsi:type="xsd:double"&gt;16.401412839754&lt;/D&gt;&lt;D xsi:type="xsd:double"&gt;16.8030315359884&lt;/D&gt;&lt;/FQL&gt;&lt;FQL&gt;&lt;Q&gt;KSA^PERCENT_CHANGE(FMA_EPS(+1,0,,,,"PORTAGG","MEAN"),FMA_EPS(+1,-1AM,,,,"PORTAGG","MEAN"))&lt;/Q&gt;&lt;R&gt;1&lt;/R&gt;&lt;C&gt;1&lt;/C&gt;&lt;D xsi:type="xsd:double"&gt;-0.795517115839136&lt;/D&gt;&lt;/FQL&gt;&lt;FQL&gt;&lt;Q&gt;ECH^PERCENT_CHANGE(FMA_EPS(+1,0,,,,"PORTAGG","MEAN"),FMA_EPS(+1,-3AM,,,,"PORTAGG","MEAN"))&lt;/Q&gt;&lt;R&gt;1&lt;/R&gt;&lt;C&gt;1&lt;/C&gt;&lt;D xsi:type="xsd:double"&gt;-5.10242144112686&lt;/D&gt;&lt;/FQL&gt;&lt;FQL&gt;&lt;Q&gt;TIPSCL10Y-FDS^FG_YIELD(0,,,,"YTM")&lt;/Q&gt;&lt;R&gt;1&lt;/R&gt;&lt;C&gt;1&lt;/C&gt;&lt;D xsi:type="xsd:double"&gt;2.118875&lt;/D&gt;&lt;/FQL&gt;&lt;FQL&gt;&lt;Q&gt;INDA^P_PRICE_RETURNS_PR('52W',2,-10AY,0,AM)&lt;/Q&gt;&lt;R&gt;121&lt;/R&gt;&lt;C&gt;1&lt;/C&gt;&lt;D xsi:type="xsd:double"&gt;24.020779&lt;/D&gt;&lt;D xsi:type="xsd:double"&gt;36.80327&lt;/D&gt;&lt;D xsi:type="xsd:double"&gt;23.988998&lt;/D&gt;&lt;D xsi:type="xsd:double"&gt;28.165304&lt;/D&gt;&lt;D xsi:type="xsd:double"&gt;37.98778&lt;/D&gt;&lt;D xsi:type="xsd:double"&gt;27.138329&lt;/D&gt;&lt;D xsi:type="xsd:double"&gt;26.963436&lt;/D&gt;&lt;D xsi:type="xsd:double"&gt;16.266655&lt;/D&gt;&lt;D xsi:type="xsd:double"&gt;-2.3753047&lt;/D&gt;&lt;D xsi:type="xsd:double"&gt;3.4891963&lt;/D&gt;&lt;D xsi:type="xsd:double"&gt;6.009555&lt;/D&gt;&lt;D xsi:type="xsd:double"&gt;-12.643326&lt;/D&gt;&lt;D xsi:type="xsd:double"&gt;-1.4259815&lt;/D&gt;&lt;D xsi:type="xsd:double"&gt;-13.989449&lt;/D&gt;&lt;D xsi:type="xsd:double"&gt;-13.1774845&lt;/D&gt;&lt;D xsi:type="xsd:double"&gt;-13.94313&lt;/D&gt;&lt;D xsi:type="xsd:double"&gt;-22.709358&lt;/D&gt;&lt;D xsi:type="xsd:double"&gt;-18.603182&lt;/D&gt;&lt;D xsi:type="xsd:double"&gt;-19.720572&lt;/D&gt;&lt;D xsi:type="xsd:double"&gt;-8.923525&lt;/D&gt;&lt;D xsi:type="xsd:double"&gt;-5.096203&lt;/D&gt;&lt;D xsi:type="xsd:double"&gt;-4.2027416&lt;/D&gt;&lt;D xsi:type="xsd:double"&gt;-4.696703&lt;/D&gt;&lt;D xsi:type="xsd:double"&gt;10.2653265&lt;/D&gt;&lt;D xsi:type="xsd:double"&gt;2.4130106&lt;/D&gt;&lt;D xsi:type="xsd:double"&gt;4.0075064&lt;/D&gt;&lt;D xsi:type="xsd:double"&gt;6.146157&lt;/D&gt;&lt;D xsi:type="xsd:double"&gt;6.247437&lt;/D&gt;&lt;D xsi:type="xsd:double"&gt;21.73803&lt;/D&gt;&lt;D xsi:type="xsd:double"&gt;17.377699&lt;/D&gt;&lt;D xsi:type="xsd:double"&gt;22.538996&lt;/D&gt;&lt;D xsi:type="xsd:double"&gt;20.29388&lt;/D&gt;&lt;D xsi:type="xsd:double"&gt;17.944014&lt;/D&gt;&lt;D xsi:type="xsd:double"&gt;17.325508&lt;/D&gt;&lt;D xsi:type="xsd:double"&gt;13.098753&lt;/D&gt;&lt;D xsi:type="xsd:double"&gt;13.527334&lt;/D&gt;&lt;D xsi:type="xsd:double"&gt;14.065456&lt;/D&gt;&lt;D xsi:type="xsd:double"&gt;25.578762&lt;/D&gt;&lt;D xsi:type="xsd:double"&gt;28.508722&lt;/D&gt;&lt;D xsi:type="xsd:double"&gt;36.519848&lt;/D&gt;&lt;D xsi:type="xsd:double"&gt;21.730495&lt;/D&gt;&lt;D xsi:type="xsd:double"&gt;16.821503&lt;/D&gt;&lt;D xsi:type="xsd:double"&gt;10.920525&lt;/D&gt;&lt;D xsi:type="xsd:double"&gt;7.1318746&lt;/D&gt;&lt;D xsi:type="xsd:double"&gt;3.891027&lt;/D&gt;&lt;D xsi:type="xsd:double"&gt;3.3578515&lt;/D&gt;&lt;D xsi:type="xsd:double"&gt;8.124828&lt;/D&gt;&lt;D xsi:type="xsd:double"&gt;0.36239624&lt;/D&gt;&lt;D xsi:type="xsd:double"&gt;-11.702824&lt;/D&gt;&lt;D xsi:type="xsd:double"&gt;-9.253347&lt;/D&gt;&lt;D xsi:type="xsd:double"&gt;-13.048088&lt;/D&gt;&lt;D xsi:type="xsd:double"&gt;-9.311771&lt;/D&gt;&lt;D xsi:type="xsd:double"&gt;-3.937459&lt;/D&gt;&lt;D xsi:type="xsd:double"&gt;-0.860399&lt;/D&gt;&lt;D xsi:type="xsd:double"&gt;2.8029919&lt;/D&gt;&lt;D xsi:type="xsd:double"&gt;-1.344192&lt;/D&gt;&lt;D xsi:type="xsd:double"&gt;6.7195177&lt;/D&gt;&lt;D xsi:type="xsd:double"&gt;3.9449453&lt;/D&gt;&lt;D xsi:type="xsd:double"&gt;-7.8396616&lt;/D&gt;&lt;D xsi:type="xsd:double"&gt;-4.018581&lt;/D&gt;&lt;D xsi:type="xsd:double"&gt;12.39996&lt;/D&gt;&lt;D xsi:type="xsd:double"&gt;11.620331&lt;/D&gt;&lt;D xsi:type="xsd:double"&gt;15.691746&lt;/D&gt;&lt;D xsi:type="xsd:double"&gt;9.095991&lt;/D&gt;&lt;D xsi:type="xsd:double"&gt;9.053993&lt;/D&gt;&lt;D xsi:type="xsd:double"&gt;-9.5337925&lt;/D&gt;&lt;D xsi:type="xsd:double"&gt;-27.660656&lt;/D&gt;&lt;D xsi:type="xsd:double"&gt;-20.42606&lt;/D&gt;&lt;D xsi:type="xsd:double"&gt;-18.07568&lt;/D&gt;&lt;D xsi:type="xsd:double"&gt;-11.039936&lt;/D&gt;&lt;D xsi:type="xsd:double"&gt;2.534759&lt;/D&gt;&lt;D xsi:type="xsd:double"&gt;5.5603385&lt;/D&gt;&lt;D xsi:type="xsd:double"&gt;9.452736&lt;/D&gt;&lt;D xsi:type="xsd:double"&gt;4.9416184&lt;/D&gt;&lt;D xsi:type="xsd:double"&gt;12.534308&lt;/D&gt;&lt;D xsi:type="xsd:double"&gt;19.573868&lt;/D&gt;&lt;D xsi:type="xsd:double"&gt;21.14066&lt;/D&gt;&lt;D xsi:type="xsd:double"&gt;44.88293&lt;/D&gt;&lt;D xsi:type="xsd:double"&gt;64.32432&lt;/D&gt;&lt;D xsi:type="xsd:double"&gt;58.919704&lt;/D&gt;&lt;D xsi:type="xsd:double"&gt;56.82875&lt;/D&gt;&lt;D xsi:type="xsd:double"&gt;44.320415&lt;/D&gt;&lt;D xsi:type="xsd:double"&gt;37.686993&lt;/D&gt;&lt;D xsi:type="xsd:double"&gt;46.42956&lt;/D&gt;&lt;D xsi:type="xsd:double"&gt;40.147675&lt;/D&gt;&lt;D xsi:type="xsd:double"&gt;39.170002&lt;/D&gt;&lt;D xsi:type="xsd:double"&gt;25.756025&lt;/D&gt;&lt;D xsi:type="xsd:double"&gt;21.048487&lt;/D&gt;&lt;D xsi:type="xsd:double"&gt;12.913073&lt;/D&gt;&lt;D xsi:type="xsd:double"&gt;4.7494054&lt;/D&gt;&lt;D xsi:type="xsd:double"&gt;16.533983&lt;/D&gt;&lt;D xsi:type="xsd:double"&gt;3.37497&lt;/D&gt;&lt;D xsi:type="xsd:double"&gt;-5.39335&lt;/D&gt;&lt;D xsi:type="xsd:double"&gt;-2.4760306&lt;/D&gt;&lt;D xsi:type="xsd:double"&gt;2.539122&lt;/D&gt;&lt;D xsi:type="xsd:double"&gt;-5.4460945&lt;/D&gt;&lt;D xsi:type="xsd:double"&gt;-11.682356&lt;/D&gt;&lt;D xsi:type="xsd:double"&gt;-6.2586546&lt;/D&gt;&lt;D xsi:type="xsd:double"&gt;-5.7299376&lt;/D&gt;&lt;D xsi:type="xsd:double"&gt;-10.923308&lt;/D&gt;&lt;D xsi:type="xsd:double"&gt;-10.474926&lt;/D&gt;&lt;D xsi:type="xsd:double"&gt;-7.413512&lt;/D&gt;&lt;D xsi:type="xsd:double"&gt;-12.930661&lt;/D&gt;&lt;D xsi:type="xsd:double"&gt;1.6077995&lt;/D&gt;&lt;D xsi:type="xsd:double"&gt;3.5837412&lt;/D&gt;&lt;D xsi:type="xsd:double"&gt;8.812404&lt;/D&gt;&lt;D xsi:type="xsd:double"&gt;0.46396255&lt;/D&gt;&lt;D xsi:type="xsd:double"&gt;3.003335&lt;/D&gt;&lt;D xsi:type="xsd:double"&gt;9.361935&lt;/D&gt;&lt;D xsi:type="xsd:double"&gt;1.2818933&lt;/D&gt;&lt;D xsi:type="xsd:double"&gt;9.341394&lt;/D&gt;&lt;D xsi:type="xsd:double"&gt;16.800213&lt;/D&gt;&lt;D xsi:type="xsd:double"&gt;26.188076&lt;/D&gt;&lt;D xsi:type="xsd:double"&gt;30.198597&lt;/D&gt;&lt;D xsi:type="xsd:double"&gt;31.026245&lt;/D&gt;&lt;D xsi:type="xsd:double"&gt;23.39288&lt;/D&gt;&lt;D xsi:type="xsd:double"&gt;28.591787&lt;/D&gt;&lt;D xsi:type="xsd:double"&gt;29.958773&lt;/D&gt;&lt;D xsi:type="xsd:double"&gt;26.968597&lt;/D&gt;&lt;D xsi:type="xsd:double"&gt;26.699245&lt;/D&gt;&lt;D xsi:type="xsd:double"&gt;28.055609&lt;/D&gt;&lt;/FQL&gt;&lt;FQL&gt;&lt;Q&gt;CPALM-FDS^FG_PRICE(0)&lt;/Q&gt;&lt;R&gt;1&lt;/R&gt;&lt;C&gt;1&lt;/C&gt;&lt;D xsi:type="xsd:double"&gt;4350&lt;/D&gt;&lt;/FQL&gt;&lt;FQL&gt;&lt;Q&gt;REFCLMPR-FDS^FG_YIELD(NOW,,,0)&lt;/Q&gt;&lt;R&gt;1&lt;/R&gt;&lt;C&gt;1&lt;/C&gt;&lt;D xsi:type="xsd:double"&gt;5.5&lt;/D&gt;&lt;/FQL&gt;&lt;FQL&gt;&lt;Q&gt;EWZ^FMA_PE(NTMA,0,,,"PORTAGG","MEANR")&lt;/Q&gt;&lt;R&gt;1&lt;/R&gt;&lt;C&gt;1&lt;/C&gt;&lt;D xsi:type="xsd:double"&gt;8.147359792992&lt;/D&gt;&lt;/FQL&gt;&lt;FQL&gt;&lt;Q&gt;EWJ^FMA_PCT_ABOVE_MAVG(200,0,,,,"PORTAGG")&lt;/Q&gt;&lt;R&gt;1&lt;/R&gt;&lt;C&gt;1&lt;/C&gt;&lt;D xsi:type="xsd:double"&gt;54.2713567839196&lt;/D&gt;&lt;/FQL&gt;&lt;FQL&gt;&lt;Q&gt;EWW^JULIAN(FMA_DIV_YLD(NTMA,NOW,NOW,M,"PORTAGG","MEANR").DATES)&lt;/Q&gt;&lt;R&gt;1&lt;/R&gt;&lt;C&gt;1&lt;/C&gt;&lt;D xsi:type="xsd:long"&gt;45565&lt;/D&gt;&lt;/FQL&gt;&lt;FQL&gt;&lt;Q&gt;USDPLN^FG_PRICE_CHANGE(0,-3AM)&lt;/Q&gt;&lt;R&gt;1&lt;/R&gt;&lt;C&gt;1&lt;/C&gt;&lt;D xsi:type="xsd:double"&gt;0.13978481&lt;/D&gt;&lt;/FQL&gt;&lt;FQL&gt;&lt;Q&gt;EWW^PERCENT_CHANGE(FMA_EPS(+1,0,,,,"PORTAGG","MEAN"),FMA_EPS(+1,-3AM,,,,"PORTAGG","MEAN"))&lt;/Q&gt;&lt;R&gt;1&lt;/R&gt;&lt;C&gt;1&lt;/C&gt;&lt;D xsi:type="xsd:double"&gt;-5.94271426570933&lt;/D&gt;&lt;/FQL&gt;&lt;FQL&gt;&lt;Q&gt;USDPHP^FG_PRICE_CHANGE(0,-3AM)&lt;/Q&gt;&lt;R&gt;1&lt;/R&gt;&lt;C&gt;1&lt;/C&gt;&lt;D xsi:type="xsd:double"&gt;-1.6916037&lt;/D&gt;&lt;/FQL&gt;&lt;FQL&gt;&lt;Q&gt;VNM^JULIAN(FMA_DIV_YLD(NTMA,NOW,NOW,M,"PORTAGG","MEANR").DATES)&lt;/Q&gt;&lt;R&gt;1&lt;/R&gt;&lt;C&gt;1&lt;/C&gt;&lt;D xsi:type="xsd:long"&gt;45565&lt;/D&gt;&lt;/FQL&gt;&lt;FQL&gt;&lt;Q&gt;USDPHP^FG_PRICE_CHANGE(0,-1AY)&lt;/Q&gt;&lt;R&gt;1&lt;/R&gt;&lt;C&gt;1&lt;/C&gt;&lt;D xsi:type="xsd:double"&gt;0.854516&lt;/D&gt;&lt;/FQL&gt;&lt;FQL&gt;&lt;Q&gt;VWO^FMA_COS_DOWN("EPS","1M",+1,NOW,,,"PORTAGG","MEANR")&lt;/Q&gt;&lt;R&gt;1&lt;/R&gt;&lt;C&gt;1&lt;/C&gt;&lt;D xsi:type="xsd:double"&gt;1673&lt;/D&gt;&lt;/FQL&gt;&lt;FQL&gt;&lt;Q&gt;EPOL^FG_FCF_YIELD_NTM(0)&lt;/Q&gt;&lt;R&gt;1&lt;/R&gt;&lt;C&gt;1&lt;/C&gt;&lt;D xsi:type="xsd:double"&gt;2.11370082875478&lt;/D&gt;&lt;/FQL&gt;&lt;FQL&gt;&lt;Q&gt;EWW^FMA_PE(LTMA,-10AY,0,AM,"PORTAGG","MEANR")&lt;/Q&gt;&lt;R&gt;121&lt;/R&gt;&lt;C&gt;1&lt;/C&gt;&lt;D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xsi:type="xsd:double"&gt;22.2102073822206&lt;/D&gt;&lt;D xsi:type="xsd:double"&gt;23.1150804428729&lt;/D&gt;&lt;D xsi:type="xsd:double"&gt;24.7668284182468&lt;/D&gt;&lt;D xsi:type="xsd:double"&gt;24.6644045726685&lt;/D&gt;&lt;D xsi:type="xsd:double"&gt;24.4774168833226&lt;/D&gt;&lt;D xsi:type="xsd:double"&gt;23.3582030952637&lt;/D&gt;&lt;D xsi:type="xsd:double"&gt;22.9089632950386&lt;/D&gt;&lt;D xsi:type="xsd:double"&gt;23.0779002840937&lt;/D&gt;&lt;D xsi:type="xsd:double"&gt;22.0713590034806&lt;/D&gt;&lt;D xsi:type="xsd:double"&gt;22.3410806540474&lt;/D&gt;&lt;D xsi:type="xsd:double"&gt;21.0858407181319&lt;/D&gt;&lt;D xsi:type="xsd:double"&gt;21.22411139524&lt;/D&gt;&lt;D xsi:type="xsd:double"&gt;20.3186721114779&lt;/D&gt;&lt;D xsi:type="xsd:double"&gt;21.7642094842767&lt;/D&gt;&lt;D xsi:type="xsd:double"&gt;21.3942477576777&lt;/D&gt;&lt;D xsi:type="xsd:double"&gt;21.1688200738659&lt;/D&gt;&lt;D xsi:type="xsd:double"&gt;20.7284222709077&lt;/D&gt;&lt;D xsi:type="xsd:double"&gt;20.2304194158118&lt;/D&gt;&lt;D xsi:type="xsd:double"&gt;19.875904450892&lt;/D&gt;&lt;D xsi:type="xsd:double"&gt;19.5823984537025&lt;/D&gt;&lt;D xsi:type="xsd:double"&gt;19.2972798969732&lt;/D&gt;&lt;D xsi:type="xsd:double"&gt;18.7523829773761&lt;/D&gt;&lt;D xsi:type="xsd:double"&gt;17.0790916013013&lt;/D&gt;&lt;D xsi:type="xsd:double"&gt;16.9471118553601&lt;/D&gt;&lt;D xsi:type="xsd:double"&gt;16.9838275557922&lt;/D&gt;&lt;D xsi:type="xsd:double"&gt;16.9183249516527&lt;/D&gt;&lt;D xsi:type="xsd:double"&gt;17.9724243795287&lt;/D&gt;&lt;D xsi:type="xsd:double"&gt;17.7823755685245&lt;/D&gt;&lt;D xsi:type="xsd:double"&gt;17.397852346538&lt;/D&gt;&lt;D xsi:type="xsd:double"&gt;17.0625718377135&lt;/D&gt;&lt;D xsi:type="xsd:double"&gt;17.5849677449432&lt;/D&gt;&lt;D xsi:type="xsd:double"&gt;17.1247890545122&lt;/D&gt;&lt;D xsi:type="xsd:double"&gt;17.1180034194597&lt;/D&gt;&lt;D xsi:type="xsd:double"&gt;16.7430914892104&lt;/D&gt;&lt;D xsi:type="xsd:double"&gt;15.5573183555293&lt;/D&gt;&lt;D xsi:type="xsd:double"&gt;14.5563883723616&lt;/D&gt;&lt;D xsi:type="xsd:double"&gt;15.3234714662539&lt;/D&gt;&lt;D xsi:type="xsd:double"&gt;15.1862232602112&lt;/D&gt;&lt;D xsi:type="xsd:double"&gt;15.4188064409523&lt;/D&gt;&lt;D xsi:type="xsd:double"&gt;15.4646108506903&lt;/D&gt;&lt;D xsi:type="xsd:double"&gt;15.1545411666467&lt;/D&gt;&lt;D xsi:type="xsd:double"&gt;15.0482063102025&lt;/D&gt;&lt;D xsi:typ</t>
        </r>
      </text>
    </comment>
    <comment ref="A23" authorId="0" shapeId="0" xr:uid="{DE207DE1-1764-4B2E-8DE8-C75237BB8DD2}">
      <text>
        <r>
          <rPr>
            <b/>
            <sz val="9"/>
            <color indexed="81"/>
            <rFont val="Tahoma"/>
            <charset val="1"/>
          </rPr>
          <t>e="xsd:double"&gt;14.7893118044559&lt;/D&gt;&lt;D xsi:type="xsd:double"&gt;14.4618437195384&lt;/D&gt;&lt;D xsi:type="xsd:double"&gt;14.916097097969&lt;/D&gt;&lt;D xsi:type="xsd:double"&gt;14.968150738339&lt;/D&gt;&lt;D xsi:type="xsd:double"&gt;15.3509215260421&lt;/D&gt;&lt;D xsi:type="xsd:double"&gt;15.0478743916877&lt;/D&gt;&lt;D xsi:type="xsd:double"&gt;15.718491404483&lt;/D&gt;&lt;D xsi:type="xsd:double"&gt;15.507347232615&lt;/D&gt;&lt;D xsi:type="xsd:double"&gt;14.8074032116151&lt;/D&gt;&lt;D xsi:type="xsd:double"&gt;14.2317714957295&lt;/D&gt;&lt;D xsi:type="xsd:double"&gt;16.0155602189382&lt;/D&gt;&lt;D xsi:type="xsd:double"&gt;17.2435525168985&lt;/D&gt;&lt;D xsi:type="xsd:double"&gt;17.730880097952&lt;/D&gt;&lt;D xsi:type="xsd:double"&gt;19.9181391239576&lt;/D&gt;&lt;D xsi:type="xsd:double"&gt;19.3563382282335&lt;/D&gt;&lt;D xsi:type="xsd:double"&gt;20.6423461891065&lt;/D&gt;&lt;D xsi:type="xsd:double"&gt;22.768245273907&lt;/D&gt;&lt;D xsi:type="xsd:double"&gt;27.0039231445296&lt;/D&gt;&lt;D xsi:type="xsd:double"&gt;33.2341262804026&lt;/D&gt;&lt;D xsi:type="xsd:double"&gt;29.3624429285856&lt;/D&gt;&lt;D xsi:type="xsd:double"&gt;26.8140237716264&lt;/D&gt;&lt;D xsi:type="xsd:double"&gt;25.648018378631&lt;/D&gt;&lt;D xsi:type="xsd:double"&gt;24.5258022640527&lt;/D&gt;&lt;D xsi:type="xsd:double"&gt;23.4930780098612&lt;/D&gt;&lt;D xsi:type="xsd:double"&gt;22.1318772688004&lt;/D&gt;&lt;D xsi:type="xsd:double"&gt;20.6226621837829&lt;/D&gt;&lt;D xsi:type="xsd:double"&gt;19.3315143075184&lt;/D&gt;&lt;D xsi:type="xsd:double"&gt;17.7934561674177&lt;/D&gt;&lt;D xsi:type="xsd:double"&gt;16.6318933607848&lt;/D&gt;&lt;D xsi:type="xsd:double"&gt;15.251289721427&lt;/D&gt;&lt;D xsi:type="xsd:double"&gt;14.9858598386967&lt;/D&gt;&lt;D xsi:type="xsd:double"&gt;14.8162786712837&lt;/D&gt;&lt;D xsi:type="xsd:double"&gt;14.8331319355047&lt;/D&gt;&lt;D xsi:type="xsd:double"&gt;14.8359734686751&lt;/D&gt;&lt;D xsi:type="xsd:double"&gt;14.2143200259854&lt;/D&gt;&lt;D xsi:type="xsd:double"&gt;13.8811625235089&lt;/D&gt;&lt;D xsi:type="xsd:double"&gt;13.5159806602616&lt;/D&gt;&lt;D xsi:type="xsd:double"&gt;13.4031810196691&lt;/D&gt;&lt;D xsi:type="xsd:double"&gt;12.9286755161484&lt;/D&gt;&lt;D xsi:type="xsd:double"&gt;12.6111507556116&lt;/D&gt;&lt;D xsi:type="xsd:double"&gt;13.6461875188414&lt;/D&gt;&lt;D xsi:type="xsd:double"&gt;13.2478651613117&lt;/D&gt;&lt;D xsi:type="xsd:double"&gt;13.6388732966317&lt;/D&gt;&lt;D xsi:type="xsd:double"&gt;13.5658084221314&lt;/D&gt;&lt;D xsi:type="xsd:double"&gt;14.5464271156347&lt;/D&gt;&lt;D xsi:type="xsd:double"&gt;14.4044636914627&lt;/D&gt;&lt;D xsi:type="xsd:double"&gt;14.2369415452242&lt;/D&gt;&lt;D xsi:type="xsd:double"&gt;13.7838642002367&lt;/D&gt;&lt;D xsi:type="xsd:double"&gt;13.4930765101671&lt;/D&gt;&lt;D xsi:type="xsd:double"&gt;13.314344573498&lt;/D&gt;&lt;D xsi:type="xsd:double"&gt;12.9759949012506&lt;/D&gt;&lt;D xsi:type="xsd:double"&gt;12.3865765267215&lt;/D&gt;&lt;D xsi:type="xsd:double"&gt;12.6742624217919&lt;/D&gt;&lt;D xsi:type="xsd:double"&gt;13.401910477954&lt;/D&gt;&lt;D xsi:type="xsd:double"&gt;13.5306563728515&lt;/D&gt;&lt;D xsi:type="xsd:double"&gt;14.7195278722462&lt;/D&gt;&lt;D xsi:type="xsd:double"&gt;15.7826274240484&lt;/D&gt;&lt;D xsi:type="xsd:double"&gt;15.5427691940932&lt;/D&gt;&lt;D xsi:type="xsd:double"&gt;15.3299388128508&lt;/D&gt;&lt;D xsi:type="xsd:double"&gt;14.5580045856207&lt;/D&gt;&lt;D xsi:type="xsd:double"&gt;14.3708631634488&lt;/D&gt;&lt;D xsi:type="xsd:double"&gt;13.7174546249336&lt;/D&gt;&lt;D xsi:type="xsd:double"&gt;13.0524026298357&lt;/D&gt;&lt;D xsi:type="xsd:double"&gt;13.023830585785&lt;/D&gt;&lt;/FQL&gt;&lt;FQL&gt;&lt;Q&gt;VNM^FMA_PCT_ABOVE_MAVG(200,0,,,,"PORTAGG")&lt;/Q&gt;&lt;R&gt;1&lt;/R&gt;&lt;C&gt;1&lt;/C&gt;&lt;D xsi:type="xsd:double"&gt;39.1304347826087&lt;/D&gt;&lt;/FQL&gt;&lt;FQL&gt;&lt;Q&gt;EWW^FG_PRICE_MAVG(0,,,,200)&lt;/Q&gt;&lt;R&gt;1&lt;/R&gt;&lt;C&gt;1&lt;/C&gt;&lt;D xsi:type="xsd:double"&gt;61.8367&lt;/D&gt;&lt;/FQL&gt;&lt;FQL&gt;&lt;Q&gt;URTH^PERCENT_CHANGE(FMA_EPS(+1,0,,,,"PORTAGG","MEAN"),FMA_EPS(+1,-3AM,,,,"PORTAGG","MEAN"))&lt;/Q&gt;&lt;R&gt;1&lt;/R&gt;&lt;C&gt;1&lt;/C&gt;&lt;D xsi:type="xsd:double"&gt;0.564302144206768&lt;/D&gt;&lt;/FQL&gt;&lt;FQL&gt;&lt;Q&gt;CC_BR^IMF_IFS_RCPI_Q(0)&lt;/Q&gt;&lt;R&gt;0&lt;/R&gt;&lt;C&gt;0&lt;/C&gt;&lt;/FQL&gt;&lt;FQL&gt;&lt;Q&gt;EWT^FMA_DIV_YLD(NTMA,NOW,NOW,M,"PORTAGG","MEANR")&lt;/Q&gt;&lt;R&gt;1&lt;/R&gt;&lt;C&gt;1&lt;/C&gt;&lt;D xsi:type="xsd:double"&gt;3.41325415119676&lt;/D&gt;&lt;/FQL&gt;&lt;FQL&gt;&lt;Q&gt;CAGDPY@PH^EE_ACTUAL_ANNUAL(MED,0)&lt;/Q&gt;&lt;R&gt;1&lt;/R&gt;&lt;C&gt;1&lt;/C&gt;&lt;D xsi:type="xsd:double"&gt;-2.70643338027419&lt;/D&gt;&lt;/FQL&gt;&lt;FQL&gt;&lt;Q&gt;USDMYR^FG_PRICE_CHANGE(0,-1AY)&lt;/Q&gt;&lt;R&gt;1&lt;/R&gt;&lt;C&gt;1&lt;/C&gt;&lt;D xsi:type="xsd:double"&gt;-9.270615&lt;/D&gt;&lt;/FQL&gt;&lt;FQL&gt;&lt;Q&gt;COPP-FDS^FG_PRICE_CHANGE(0,-1AY)&lt;/Q&gt;&lt;R&gt;1&lt;/R&gt;&lt;C&gt;1&lt;/C&gt;&lt;D xsi:type="xsd:double"&gt;20.7323788546255&lt;/D&gt;&lt;/FQL&gt;&lt;FQL&gt;&lt;Q&gt;EWT^FG_PRICE_MAVG(0,,,,60)&lt;/Q&gt;&lt;R&gt;1&lt;/R&gt;&lt;C&gt;1&lt;/C&gt;&lt;D xsi:type="xsd:double"&gt;52.7855&lt;/D&gt;&lt;/FQL&gt;&lt;FQL&gt;&lt;Q&gt;EZA^FG_TOTAL_RETURNC(0,-3AM)&lt;/Q&gt;&lt;R&gt;1&lt;/R&gt;&lt;C&gt;1&lt;/C&gt;&lt;D xsi:type="xsd:double"&gt;11.088573&lt;/D&gt;&lt;/FQL&gt;&lt;FQL&gt;&lt;Q&gt;TRYTR7Y-FDS^PCTCHG(FG_YIELD(0,,,,"YTM"),FG_YIELD(-3AM,,,,"YTM"))&lt;/Q&gt;&lt;R&gt;1&lt;/R&gt;&lt;C&gt;1&lt;/C&gt;&lt;D xsi:type="xsd:double"&gt;9.000142&lt;/D&gt;&lt;/FQL&gt;&lt;FQL&gt;&lt;Q&gt;KSA^FMA_EVAL_EBIT(LTMA,NOW,NOW,M,"PORTAGG","MEANR")&lt;/Q&gt;&lt;R&gt;1&lt;/R&gt;&lt;C&gt;1&lt;/C&gt;&lt;D xsi:type="xsd:double"&gt;20.8990504490749&lt;/D&gt;&lt;/FQL&gt;&lt;FQL&gt;&lt;Q&gt;EWM^FMA_EVAL_EBIT(LTMA,NOW,NOW,M,"PORTAGG","MEANR")&lt;/Q&gt;&lt;R&gt;1&lt;/R&gt;&lt;C&gt;1&lt;/C&gt;&lt;D xsi:type="xsd:double"&gt;16.2766784457475&lt;/D&gt;&lt;/FQL&gt;&lt;FQL&gt;&lt;Q&gt;USDMYR^FG_PRICE(0)&lt;/Q&gt;&lt;R&gt;1&lt;/R&gt;&lt;C&gt;1&lt;/C&gt;&lt;D xsi:type="xsd:double"&gt;4.2915&lt;/D&gt;&lt;/FQL&gt;&lt;FQL&gt;&lt;Q&gt;EPHE^FMA_DIV_YLD(NTMA,-10AY,0,AM,"PORTAGG","MEANR")&lt;/Q&gt;&lt;R&gt;121&lt;/R&gt;&lt;C&gt;1&lt;/C&gt;&lt;D xsi:type="xsd:double"&gt;2.22182411532847&lt;/D&gt;&lt;D xsi:type="xsd:double"&gt;2.13711859416179&lt;/D&gt;&lt;D xsi:type="xsd:double"&gt;2.16792489030517&lt;/D&gt;&lt;D xsi:type="xsd:double"&gt;2.1167793690948&lt;/D&gt;&lt;D xsi:type="xsd:double"&gt;2.05472500750067&lt;/D&gt;&lt;D xsi:type="xsd:double"&gt;1.90462915280416&lt;/D&gt;&lt;D xsi:type="xsd:double"&gt;1.84427967665659&lt;/D&gt;&lt;D xsi:type="xsd:double"&gt;1.92812516783658&lt;/D&gt;&lt;D xsi:type="xsd:double"&gt;2.02510521816927&lt;/D&gt;&lt;D xsi:type="xsd:double"&gt;1.95493254119068&lt;/D&gt;&lt;D xsi:type="xsd:double"&gt;1.91303213070229&lt;/D&gt;&lt;D xsi:type="xsd:double"&gt;2.11145881709152&lt;/D&gt;&lt;D xsi:type="xsd:double"&gt;1.98606970698635&lt;/D&gt;&lt;D xsi:type="xsd:double"&gt;2.02542252873435&lt;/D&gt;&lt;D xsi:type="xsd:double"&gt;1.98655469340247&lt;/D&gt;&lt;D xsi:type="xsd:double"&gt;2.06181687182778&lt;/D&gt;&lt;D xsi:type="xsd:double"&gt;2.0403953578808&lt;/D&gt;&lt;D xsi:type="xsd:double"&gt;1.90397452953571&lt;/D&gt;&lt;D xsi:type="xsd:double"&gt;1.78481599279454&lt;/D&gt;&lt;D xsi:type="xsd:double"&gt;1.82792552667006&lt;/D&gt;&lt;D xsi:type="xsd:double"&gt;1.70578990597474&lt;/D&gt;&lt;D xsi:type="xsd:double"&gt;1.68708577898489&lt;/D&gt;&lt;D xsi:type="xsd:double"&gt;1.57331416632683&lt;/D&gt;&lt;D xsi:type="xsd:double"&gt;1.69634382740674&lt;/D&gt;&lt;D xsi:type="xsd:double"&gt;1.66002903492423&lt;/D&gt;&lt;D xsi:type="xsd:double"&gt;1.75152091068051&lt;/D&gt;&lt;D xsi:type="xsd:double"&gt;1.70029768131756&lt;/D&gt;&lt;D xsi:type="xsd:double"&gt;1.6287878651509&lt;/D&gt;&lt;D xsi:type="xsd:double"&gt;1.63675784673202&lt;/D&gt;&lt;D xsi:type="xsd:double"&gt;1.67459289603591&lt;/D&gt;&lt;D xsi:type="xsd:double"&gt;1.59790862246442&lt;/D&gt;&lt;D xsi:type="xsd:double"&gt;1.55455504522495&lt;/D&gt;&lt;D xsi:type="xsd:double"&gt;1.520590684402&lt;/D&gt;&lt;D xsi:type="xsd:double"&gt;1.58261016785953&lt;/D&gt;&lt;D xsi:type="xsd:double"&gt;1.58087064109044&lt;/D&gt;&lt;D xsi:type="xsd:double"&gt;1.54749349620599&lt;/D&gt;&lt;D xsi:type="xsd:double"&gt;1.45215622319895&lt;/D&gt;&lt;D xsi:type="xsd:double"&gt;1.45961703374302&lt;/D&gt;&lt;D xsi:type="xsd:double"&gt;1.59397894398204&lt;/D&gt;&lt;D xsi:type="xsd:double"&gt;1.51491150780414&lt;/D&gt;&lt;D xsi:type="xsd:double"&gt;1.56966294126302&lt;/D&gt;&lt;D xsi:type="xsd:double"&gt;1.5831548627577&lt;/D&gt;&lt;D xsi:type="xsd:double"&gt;1.70155608714357&lt;/D&gt;&lt;D xsi:type="xsd:double"&gt;1.76589567379693&lt;/D&gt;&lt;D xsi:type="xsd:double"&gt;1.7270140156134&lt;/D&gt;&lt;D xsi:type="xsd:double"&gt;1.83351380167196&lt;/D&gt;&lt;D xsi:type="xsd:double"&gt;1.72434186921537&lt;/D&gt;&lt;D xsi:type="xsd:double"&gt;1.77025600539019&lt;/D&gt;&lt;D xsi:type="xsd:double"&gt;1.93051597599453&lt;/D&gt;&lt;D xsi:type="xsd:double"&gt;1.92827387119737&lt;/D&gt;&lt;D xsi:type="xsd:double"&gt;1.8473946755812&lt;/D&gt;&lt;D xsi:type="xsd:double"&gt;1.67027923666612&lt;/D&gt;&lt;D xsi:type="xsd:double"&gt;1.65869334740042&lt;/D&gt;&lt;D xsi:type="xsd:double"&gt;1.74809949738917&lt;/D&gt;&lt;D xsi:type="xsd:double"&gt;1.70738052144593&lt;/D&gt;&lt;D xsi:type="xsd:double"&gt;1.8030457673428&lt;/D&gt;&lt;D xsi:type="xsd:double"&gt;1.75244016996432&lt;/D&gt;&lt;D xsi:type="xsd:double"&gt;1.72277772388575&lt;/D&gt;&lt;D xsi:type="xsd:double"&gt;1.81607441719586&lt;/D&gt;&lt;D xsi:type="xsd:double"&gt;1.84519165076047&lt;/D&gt;&lt;D xsi:type="xsd:double"&gt;1.88252859203474&lt;/D&gt;&lt;D xsi:type="xsd:double"&gt;1.81759616400633&lt;/D&gt;&lt;D xsi:type="xsd:double"&gt;1.88220944811047&lt;/D&gt;&lt;D xsi:type="xsd:double"&gt;1.83995695364547&lt;/D&gt;&lt;D xsi:type="xsd:double"&gt;1.87882928090532&lt;/D&gt;&lt;D xsi:type="xsd:double"&gt;2.2286163388554&lt;/D&gt;&lt;D xsi:type="xsd:double"&gt;2.57842327465784&lt;/D&gt;&lt;D xsi:type="xsd:double"&gt;2.41530214521808&lt;/D&gt;&lt;D xsi:type="xsd:double"&gt;2.049632219585&lt;/D&gt;&lt;D xsi:type="xsd:double"&gt;2.07682479112876&lt;/D&gt;&lt;D xsi:type="xsd:double"&gt;2.1274451245903&lt;/D&gt;&lt;D xsi:type="xsd:double"&gt;2.1043392141146&lt;/D&gt;&lt;D xsi:type="xsd:double"&gt;2.00847520352037&lt;/D&gt;&lt;D xsi:type="xsd:double"&gt;1.6335952921038&lt;/D&gt;&lt;D xsi:type="xsd:double"&gt;1.68652654175644&lt;/D&gt;&lt;D xsi:type="xsd:double"&gt;1.68336503182946&lt;/D&gt;&lt;D xsi:type="xsd:double"&gt;1.75058306253924&lt;/D&gt;&lt;D xsi:type="xsd:double"&gt;1.80584682983507&lt;/D&gt;&lt;D xsi:type="xsd:double"&gt;1.93162849728163&lt;/D&gt;&lt;D xsi:type="xsd:double"&gt;2.02845417186259&lt;/D&gt;&lt;D xsi:type="xsd:double"&gt;1.87542696370334&lt;/D&gt;&lt;D xsi:type="xsd:double"&gt;1.94381802406628&lt;/D&gt;&lt;D xsi:type="xsd:double"&gt;2.00428266362486&lt;/D&gt;&lt;D xsi:type="xsd:double"&gt;1.8558508779406&lt;/D&gt;&lt;D xsi:type="xsd:double"&gt;1.88440835450216&lt;/D&gt;&lt;D xsi:type="xsd:double"&gt;1.76546866678749&lt;/D&gt;&lt;D xsi:type="xsd:double"&gt;1.78017078889214&lt;/D&gt;&lt;D xsi:type="xsd:double"&gt;1.81242970072194&lt;/D&gt;&lt;D xsi:type="xsd:double"&gt;1.80887882365711&lt;/D&gt;&lt;D xsi:type="xsd:double"&gt;1.95068586356074&lt;/D&gt;&lt;D xsi:type="xsd:double"&gt;2.05671205212031&lt;/D&gt;&lt;D xsi:type="xsd:double"&gt;2.30488262268974&lt;/D&gt;&lt;D xsi:type="xsd:double"&gt;2.24817940240982&lt;/D&gt;&lt;D xsi:type="xsd:double"&gt;2.42151098665198&lt;/D&gt;&lt;D xsi:type="xsd:double"&gt;2.35754207968856&lt;/D&gt;&lt;D xsi:type="xsd:double"&gt;2.31259613770975&lt;/D&gt;&lt;D xsi:type="xsd:double"&gt;2.73620729300807&lt;/D&gt;&lt;D xsi:type="xsd:double"&gt;2.59249431442407&lt;/D&gt;&lt;D xsi:type="xsd:double"&gt;2.37263663587158&lt;/D&gt;&lt;D xsi:type="xsd:double"&gt;2.30057453493532&lt;/D&gt;&lt;D xsi:type="xsd:double"&gt;2.30840711488549&lt;/D&gt;&lt;D xsi:type="xsd:double"&gt;2.66562647424195&lt;/D&gt;&lt;D xsi:type="xsd:double"&gt;2.77953141031363&lt;/D&gt;&lt;D xsi:type="xsd:double"&gt;2.7394077118098&lt;/D&gt;&lt;D xsi:type="xsd:double"&gt;2.93153548805496&lt;/D&gt;&lt;D xsi:type="xsd:double"&gt;3.05452747207313&lt;/D&gt;&lt;D xsi:type="xsd:double"&gt;3.01630558952315&lt;/D&gt;&lt;D xsi:type="xsd:double"&gt;2.85411439181507&lt;/D&gt;&lt;D xsi:type="xsd:double"&gt;2.89251178923773&lt;/D&gt;&lt;D xsi:type="xsd:double"&gt;3.03688018382842&lt;/D&gt;&lt;D xsi:type="xsd:double"&gt;3.25506762115709&lt;/D&gt;&lt;D xsi:type="xsd:double"&gt;3.13794431549271&lt;/D&gt;&lt;D xsi:type="xsd:double"&gt;2.79651859353645&lt;/D&gt;&lt;D xsi:type="xsd:double"&gt;2.79125613568108&lt;/D&gt;&lt;D xsi:type="xsd:double"&gt;2.8104544284907&lt;/D&gt;&lt;D xsi:type="xsd:double"&gt;2.95033117730302&lt;/D&gt;&lt;D xsi:type="xsd:double"&gt;3.25248465792175&lt;/D&gt;&lt;D xsi:type="xsd:double"&gt;3.35667407156845&lt;/D&gt;&lt;D xsi:type="xsd:double"&gt;3.28073287854201&lt;/D&gt;&lt;D xsi:type="xsd:double"&gt;3.18112790527023&lt;/D&gt;&lt;D xsi:type="xsd:double"&gt;3.09526938684316&lt;/D&gt;&lt;/FQL&gt;&lt;FQL&gt;&lt;Q&gt;URTH^FMA_PCT_ABOVE_MAVG(200,0,,,,"PORTAGG")&lt;/Q&gt;&lt;R&gt;1&lt;/R&gt;&lt;C&gt;1&lt;/C&gt;&lt;D xsi:type="xsd:double"&gt;67.0931058990761&lt;/D&gt;&lt;/FQL&gt;&lt;FQL&gt;&lt;Q&gt;EZA^FG_ROE(0)&lt;/Q&gt;&lt;R&gt;1&lt;/R&gt;&lt;C&gt;1&lt;/C&gt;&lt;D xsi:type="xsd:double"&gt;12.4716928729306&lt;/D&gt;&lt;/FQL&gt;&lt;FQL&gt;&lt;Q&gt;TRYTR7Y-FDS^PCTCHG(FG_YIELD(0,,,,"YTM"),FG_YIELD(-1AM,,,,"YTM"))&lt;/Q&gt;&lt;R&gt;1&lt;/R&gt;&lt;C&gt;1&lt;/C&gt;&lt;D xsi:type="xsd:double"&gt;2.5009067&lt;/D&gt;&lt;/FQL&gt;&lt;FQL&gt;&lt;Q&gt;EWM^FMA_DIV_YLD(NTMA,NOW,NOW,M,"PORTAGG","MEANR")&lt;/Q&gt;&lt;R&gt;1&lt;/R&gt;&lt;C&gt;1&lt;/C&gt;&lt;D xsi:type="xsd:double"&gt;4.05045383976338&lt;/D&gt;&lt;/FQL&gt;&lt;FQL&gt;&lt;Q&gt;USDPEN^FG_PRICE_CHANGE(0,-3AM)&lt;/Q&gt;&lt;R&gt;1&lt;/R&gt;&lt;C&gt;1&lt;/C&gt;&lt;D xsi:type="xsd:double"&gt;-0.42809844&lt;/D&gt;&lt;/FQL&gt;&lt;FQL&gt;&lt;Q&gt;EPU^FG_PRICE(0)&lt;/Q&gt;&lt;R&gt;1&lt;/R&gt;&lt;C&gt;1&lt;/C&gt;&lt;D xsi:type="xsd:double"&gt;43.43&lt;/D&gt;&lt;/FQL&gt;&lt;FQL&gt;&lt;Q&gt;TRYBR10Y-FDS^PCTCHG(FG_YIELD(0,,,,"YTM"),FG_YIELD(-3AM,,,,"YTM"))&lt;/Q&gt;&lt;R&gt;1&lt;/R&gt;&lt;C&gt;1&lt;/C&gt;&lt;D xsi:type="xsd:double"&gt;6.735845&lt;/D&gt;&lt;/FQL&gt;&lt;FQL&gt;&lt;Q&gt;KSA^FMA_EVAL_EBITDA(NTMA,0,,,"PORTAGG","MEANR")&lt;/Q&gt;&lt;R&gt;1&lt;/R&gt;&lt;C&gt;1&lt;/C&gt;&lt;D xsi:type="xsd:double"&gt;11.2157017508089&lt;/D&gt;&lt;/FQL&gt;&lt;FQL&gt;&lt;Q&gt;ECH^FMA_DIV_YLD(NTMA,-10AY,0,AM,"PORTAGG","MEANR")&lt;/Q&gt;&lt;R&gt;121&lt;/R&gt;&lt;C&gt;1&lt;/C&gt;&lt;D xsi:type="xsd:double"&gt;3.23821669764924&lt;/D&gt;&lt;D xsi:type="xsd:double"&gt;3.043746655822&lt;/D&gt;&lt;D xsi:type="xsd:double"&gt;3.15956254005982&lt;/D&gt;&lt;D xsi:type="xsd:double"&gt;3.25729350429558&lt;/D&gt;&lt;D xsi:type="xsd:double"&gt;3.21074574531471&lt;/D&gt;&lt;D xsi:type="xsd:double"&gt;3.30022926136148&lt;/D&gt;&lt;D xsi:type="xsd:double"&gt;3.15792161586379&lt;/D&gt;&lt;D xsi:type="xsd:double"&gt;3.15606360063006&lt;/D&gt;&lt;D xsi:type="xsd:double"&gt;3.4238834061889998&lt;/D&gt;&lt;D xsi:type="xsd:double"&gt;3.58308718499741&lt;/D&gt;&lt;D xsi:type="xsd:double"&gt;3.55120723949647&lt;/D&gt;&lt;D xsi:type="xsd:double"&gt;3.61766497612326&lt;/D&gt;&lt;D xsi:type="xsd:double"&gt;3.71893422724586&lt;/D&gt;&lt;D xsi:type="xsd:double"&gt;3.61430014854209&lt;/D&gt;&lt;D xsi:type="xsd:double"&gt;3.76528820408484&lt;/D&gt;&lt;D xsi:type="xsd:double"&gt;3.96665778329367&lt;/D&gt;&lt;D xsi:type="xsd:double"&gt;3.7392213390013&lt;/D&gt;&lt;D xsi:type="xsd:double"&gt;3.48979093849978&lt;/D&gt;&lt;D xsi:type="xsd:double"&gt;3.5271150639029&lt;/D&gt;&lt;D xsi:type="xsd:double"&gt;3.2368056586977&lt;/D&gt;&lt;D xsi:type="xsd:double"&gt;3.21375935280511&lt;/D&gt;&lt;D xsi:type="xsd:double"&gt;3.05920550207628&lt;/D&gt;&lt;D xsi:type="xsd:double"&gt;2.91570189779847&lt;/D&gt;&lt;D xsi:type="xsd:double"&gt;3.00584311086478&lt;/D&gt;&lt;D xsi:type="xsd:double"&gt;2.81547485869758&lt;/D&gt;&lt;D xsi:type="xsd:double"&gt;2.71127187660394&lt;/D&gt;&lt;D xsi:type="xsd:double"&gt;2.7917904902028&lt;/D&gt;&lt;D xsi:type="xsd:double"&gt;2.9769101115304&lt;/D&gt;&lt;D xsi:type="xsd:double"&gt;2.78082761197739&lt;/D&gt;&lt;D xsi:type="xsd:double"&gt;2.75548146198316&lt;/D&gt;&lt;D xsi:type="xsd:double"&gt;2.41437149640122&lt;/D&gt;&lt;D xsi:type="xsd:double"&gt;2.52199329938995&lt;/D&gt;&lt;D xsi:type="xsd:double"&gt;2.63770949544852&lt;/D&gt;&lt;D xsi:type="xsd:double"&gt;2.65376410718889&lt;/D&gt;&lt;D xsi:type="xsd:double"&gt;2.61910934637432&lt;/D&gt;&lt;D xsi:type="xsd:double"&gt;2.52137969449743&lt;/D&gt;&lt;D xsi:type="xsd:double"&gt;2.79108293152315&lt;/D&gt;&lt;D xsi:type="xsd:double"&gt;2.91106454709436&lt;/D&gt;&lt;D xsi:type="xsd:double"&gt;3.29510065325693&lt;/D&gt;&lt;D xsi:type="xsd:double"&gt;2.83207444407215&lt;/D&gt;&lt;D xsi:type="xsd:double"&gt;3.00374928224833&lt;/D&gt;&lt;D xsi:type="xsd:double"&gt;2.96437474544413&lt;/D&gt;&lt;D xsi:type="xsd:double"&gt;3.04280638342732&lt;/D&gt;&lt;D xsi:type="xsd:double"&gt;3.17093039244552&lt;/D&gt;&lt;D xsi:type="xsd:double"&gt;3.18918475960098&lt;/D&gt;&lt;D xsi:type="xsd:double"&gt;3.39616748147498&lt;/D&gt;&lt;D xsi:type="xsd:double"&gt;3.37450293903291&lt;/D&gt;&lt;D xsi:type="xsd:double"&gt;3.58071278933666&lt;/D&gt;&lt;D xsi:type="xsd:double"&gt;3.01420253853958&lt;/D&gt;&lt;D xsi:type="xsd:double"&gt;3.04591962870737&lt;/D&gt;&lt;D xsi:type="xsd:double"&gt;3.10306002272208&lt;/D&gt;&lt;D xsi:type="xsd:double"&gt;3.88308607620033&lt;/D&gt;&lt;D xsi:type="xsd:double"&gt;3.78576309131994&lt;/D&gt;&lt;D xsi:type="xsd:double"&gt;3.91275615816234&lt;/D&gt;&lt;D xsi:type="xsd:double"&gt;4.03976953614556&lt;/D&gt;&lt;D xsi:type="xsd:double"&gt;4.04614423253108&lt;/D&gt;&lt;D xsi:type="xsd:double"&gt;4.40017100855695&lt;/D&gt;&lt;D xsi:type="xsd:double"&gt;3.94054710126276&lt;/D&gt;&lt;D xsi:type="xsd:double"&gt;4.23025165273213&lt;/D&gt;&lt;D xsi:type="xsd:double"&gt;4.11104208252928&lt;/D&gt;&lt;D xsi:type="xsd:double"&gt;4.25943754791887&lt;/D&gt;&lt;D xsi:type="xsd:double"&gt;4.71508104470794&lt;/D&gt;&lt;D xsi:type="xsd:double"&gt;4.59802430677339&lt;/D&gt;&lt;D xsi:type="xsd:double"&gt;4.01485924969492&lt;/D&gt;&lt;D xsi:type="xsd:double"&gt;4.7803074128212&lt;/D&gt;&lt;D xsi:type="xsd:double"&gt;5.27270060577532&lt;/D&gt;&lt;D xsi:type="xsd:double"&gt;4.91171263871904&lt;/D&gt;&lt;D xsi:type="xsd:double"&gt;3.98249701563581&lt;/D&gt;&lt;D xsi:type="xsd:double"&gt;3.21461473688194&lt;/D&gt;&lt;D xsi:type="xsd:double"&gt;3.31988004132713&lt;/D&gt;&lt;D xsi:type="xsd:double"&gt;3.46210365116743&lt;/D&gt;&lt;D xsi:type="xsd:double"&gt;3.87007492714504&lt;/D&gt;&lt;D xsi:type="xsd:double"&gt;3.81544560701609&lt;/D&gt;&lt;D xsi:type="xsd:double"&gt;3.39795887894002&lt;/D&gt;&lt;D xsi:type="xsd:double"&gt;3.21764656157847&lt;/D&gt;&lt;D xsi:type="xsd:double"&gt;3.05140753554024&lt;/D&gt;&lt;D xsi:type="xsd:double"&gt;3.12175992858166&lt;/D&gt;&lt;D xsi:type="xsd:double"&gt;2.77488829688411&lt;/D&gt;&lt;D xsi:type="xsd:double"&gt;2.93792399505705&lt;/D&gt;&lt;D xsi:type="xsd:double"&gt;3.55497209679367&lt;/D&gt;&lt;D xsi:type="xsd:double"&gt;3.85856472447251&lt;/D&gt;&lt;D xsi:type="xsd:double"&gt;4.11373291988919&lt;/D&gt;&lt;D xsi:type="xsd:double"&gt;4.81240163287631&lt;/D&gt;&lt;D xsi:type="xsd:double"&gt;4.56877437080264&lt;/D&gt;&lt;D xsi:type="xsd:double"&gt;4.99156546217694&lt;/D&gt;&lt;D xsi:type="xsd:double"&gt;4.55695375724483&lt;/D&gt;&lt;D xsi:type="xsd:double"&gt;5.04858198767083&lt;/D&gt;&lt;D xsi:type="xsd:double"&gt;5.19335062738098&lt;/D&gt;&lt;D xsi:type="xsd:double"&gt;4.68220806257673&lt;/D&gt;&lt;D xsi:type="xsd:double"&gt;4.88872933350802&lt;/D&gt;&lt;D xsi:type="xsd:double"&gt;4.67104330812879&lt;/D&gt;&lt;D xsi:type="xsd:double"&gt;5.79290514708376&lt;/D&gt;&lt;D xsi:type="xsd:double"&gt;6.51888676259777&lt;/D&gt;&lt;D xsi:type="xsd:double"&gt;7.57537738757646&lt;/D&gt;&lt;D xsi:type="xsd:double"&gt;7.22264428476565&lt;/D&gt;&lt;D xsi:type="xsd:double"&gt;7.29419344034281&lt;/D&gt;&lt;D xsi:type="xsd:double"&gt;7.25423038946085&lt;/D&gt;&lt;D xsi:type="xsd:double"&gt;6.90230758784442&lt;/D&gt;&lt;D xsi:type="xsd:double"&gt;8.62882933575599&lt;/D&gt;&lt;D xsi:type="xsd:double"&gt;8.10205448276758&lt;/D&gt;&lt;D xsi:type="xsd:double"&gt;7.80992265400958&lt;/D&gt;&lt;D xsi:type="xsd:double"&gt;8.12119596428411&lt;/D&gt;&lt;D xsi:type="xsd:double"&gt;8.91028751719934&lt;/D&gt;&lt;D xsi:type="xsd:double"&gt;7.57314665240262&lt;/D&gt;&lt;D xsi:type="xsd:double"&gt;7.089848871127&lt;/D&gt;&lt;D xsi:type="xsd:double"&gt;6.6221934349089&lt;/D&gt;&lt;D xsi:type="xsd:double"&gt;6.28404129960562&lt;/D&gt;&lt;D xsi:type="xsd:double"&gt;6.74914421224953&lt;/D&gt;&lt;D xsi:type="xsd:double"&gt;7.02543949676202&lt;/D&gt;&lt;D xsi:type="xsd:double"&gt;6.95664611997546&lt;/D&gt;&lt;D xsi:type="xsd:double"&gt;9.76261468180791&lt;/D&gt;&lt;D xsi:type="xsd:double"&gt;10.4366371996108&lt;/D&gt;&lt;D xsi:type="xsd:double"&gt;10.7571694413581&lt;/D&gt;&lt;D xsi:type="xsd:double"&gt;9.52011075448861&lt;/D&gt;&lt;D xsi:type="xsd:double"&gt;8.90816296118895&lt;/D&gt;&lt;D xsi:type="xsd:double"&gt;8.61811267319506&lt;/D&gt;&lt;D xsi:type="xsd:double"&gt;5.10088623505597&lt;/D&gt;&lt;D xsi:type="xsd:double"&gt;5.36193891731424&lt;/D&gt;&lt;D xsi:type="xsd:double"&gt;5.51963796092537&lt;/D&gt;&lt;D xsi:type="xsd:double"&gt;4.98515270864591&lt;/D&gt;&lt;D xsi:type="xsd:double"&gt;4.82825097529836&lt;/D&gt;&lt;/FQL&gt;&lt;FQL&gt;&lt;Q&gt;EWW^FG_TOTAL_RETURNC(0,-3AM)&lt;/Q&gt;&lt;R&gt;1&lt;/R&gt;&lt;C&gt;1&lt;/C&gt;&lt;D xsi:type="xsd:double"&gt;-9.620166&lt;/D&gt;&lt;/FQL&gt;&lt;FQL&gt;&lt;Q&gt;EWJ^FMA_COS_UP("EPS","1M",+1,NOW,,,"PORTAGG","MEANR")&lt;/Q&gt;&lt;R&gt;1&lt;/R&gt;&lt;C&gt;1&lt;/C&gt;&lt;D xsi:type="xsd:double"&gt;80&lt;/D&gt;&lt;/FQL&gt;&lt;FQL&gt;&lt;Q&gt;EWZ^FG_ROE(0)&lt;/Q&gt;&lt;R&gt;1&lt;/R&gt;&lt;C&gt;1&lt;/C&gt;&lt;D xsi:type="xsd:double"&gt;18.3934644801205&lt;/D&gt;&lt;/FQL&gt;&lt;FQL&gt;&lt;Q&gt;TRYKR10Y-FDS^PCTCHG(FG_YIELD(0,,,,"YTM"),FG_YIELD(-3AM,,,,"YTM"))&lt;/Q&gt;&lt;R&gt;1&lt;/R&gt;&lt;C&gt;1&lt;/C&gt;&lt;D xsi:type="xsd:double"&gt;-3.4799733&lt;/D&gt;&lt;/FQL&gt;&lt;FQL&gt;&lt;Q&gt;EWM^FMA_PE(NTMA,0,,,"PORTAGG","MEANR")&lt;/Q&gt;&lt;R&gt;1&lt;/R&gt;&lt;C&gt;1&lt;/C&gt;&lt;D xsi:type="xsd:double"&gt;14.1661056853189&lt;/D&gt;&lt;/FQL&gt;&lt;FQL&gt;&lt;Q&gt;USDPEN^FG_PRICE_CHANGE(0,-1AY)&lt;/Q&gt;&lt;R&gt;1&lt;/R&gt;&lt;C&gt;1&lt;/C&gt;&lt;D xsi:type="xsd:double"&gt;-1.4090061&lt;/D&gt;&lt;/FQL&gt;&lt;FQL&gt;&lt;Q&gt;EPOL^FG_PRICE_MAVG(0,,,,200)&lt;/Q&gt;&lt;R&gt;1&lt;/R&gt;&lt;C&gt;1&lt;/C&gt;&lt;D xsi:type="xsd:double"&gt;23.627726&lt;/D&gt;&lt;/FQL&gt;&lt;FQL&gt;&lt;Q&gt;EWW^FG_TOTAL_RETURNC(0,-1AM)&lt;/Q&gt;&lt;R&gt;1&lt;/R&gt;&lt;C&gt;1&lt;/C&gt;&lt;D xsi:type="xsd:double"&gt;6.8221927&lt;/D&gt;&lt;/FQL&gt;&lt;FQL&gt;&lt;Q&gt;TRYPE10Y-FDS^PCTCHG(FG_YIELD(0,,,,"YTM"),FG_YIELD(-3AM,,,,"YTM"))&lt;/Q&gt;&lt;R&gt;1&lt;/R&gt;&lt;C&gt;1&lt;/C&gt;&lt;D xsi:type="xsd:double"&gt;-7.4708815&lt;/D&gt;&lt;/FQL&gt;&lt;FQL&gt;&lt;Q&gt;TRYPL10Y-FDS^PCTCHG(FG_YIELD(0,,,,"YTM"),FG_YIELD(-3AM,,,,"YTM"))&lt;/Q&gt;&lt;R&gt;1&lt;/R&gt;&lt;C&gt;1&lt;/C&gt;&lt;D xsi:type="xsd:double"&gt;-4.7563415&lt;/D&gt;&lt;/FQL&gt;&lt;FQL&gt;&lt;Q&gt;EPOL^FG_PRICE_MAVG(0,,,,60)&lt;/Q&gt;&lt;R&gt;1&lt;/R&gt;&lt;C&gt;1&lt;/C&gt;&lt;D xsi:type="xsd:double"&gt;23.8985&lt;/D&gt;&lt;/FQL&gt;&lt;FQL&gt;&lt;Q&gt;VNM^FMA_PE(LTM,0,,,"PORTAGG","MEANR")&lt;/Q&gt;&lt;R&gt;1&lt;/R&gt;&lt;C&gt;1&lt;/C&gt;&lt;D xsi:type="xsd:double"&gt;19.6283580073277&lt;/D&gt;&lt;/FQL&gt;&lt;FQL&gt;&lt;Q&gt;UAE^FMA_EVAL_EBITDA(NTMA,0,,,"PORTAGG","MEANR")&lt;/Q&gt;&lt;R&gt;1&lt;/R&gt;&lt;C&gt;1&lt;/C&gt;&lt;D xsi:type="xsd:double"&gt;6.43753491065523&lt;/D&gt;&lt;/FQL&gt;&lt;FQL&gt;&lt;Q&gt;VNM^PERCENT_CHANGE(FMA_EPS(+1,0,,,,"PORTAGG","MEAN"),FMA_EPS(+1,-1AM,,,,"PORTAGG","MEAN"))&lt;/Q&gt;&lt;R&gt;1&lt;/R&gt;&lt;C&gt;1&lt;/C&gt;&lt;D xsi:type="xsd:double"&gt;-1.89122871225432&lt;/D&gt;&lt;/FQL&gt;&lt;FQL&gt;&lt;Q&gt;EWM^FMA_PCT_ABOVE_MAVG(200,0,,,,"PORTAGG")&lt;/Q&gt;&lt;R&gt;1&lt;/R&gt;&lt;C&gt;1&lt;/C&gt;&lt;D xsi:type="xsd:double"&gt;47.0588235294118&lt;/D&gt;&lt;/FQL&gt;&lt;FQL&gt;&lt;Q&gt;EPOL^FMA_PE(NTMA,0,,,"PORTAGG","MEANR")&lt;/Q&gt;&lt;R&gt;1&lt;/R&gt;&lt;C&gt;1&lt;/C&gt;&lt;D xsi:type="xsd:double"&gt;7.87383766084012&lt;/D&gt;&lt;/FQL&gt;&lt;FQL&gt;&lt;Q&gt;EWT^FMA_PE(LTMA,-10AY,0,AM,"PORTAGG","MEANR")&lt;/Q&gt;&lt;R&gt;121&lt;/R&gt;&lt;C&gt;1&lt;/C&gt;&lt;D xsi:type="xsd:double"&gt;14.2768104778553&lt;/D&gt;&lt;D xsi:type="xsd:double"&gt;14.1753375243178&lt;/D&gt;&lt;D xsi:type="xsd:double"&gt;13.7590790693962&lt;/D&gt;&lt;D xsi:type="xsd:double"&gt;13.776923082038&lt;/D&gt;&lt;D xsi:type="xsd:double"&gt;14.0041470226466&lt;/D&gt;&lt;D xsi:type="xsd:double"&gt;14.2607025606646&lt;/D&gt;&lt;D xsi:type="xsd:double"&gt;14.1241117311176&lt;/D&gt;&lt;D xsi:type="xsd:double"&gt;14.0747507409115&lt;/D&gt;&lt;D xsi:type="xsd:double"&gt;13.8481368654081&lt;/D&gt;&lt;D xsi:type="xsd:double"&gt;13.4408070039533&lt;/D&gt;&lt;D xsi:type="xsd:double"&gt;13.138727689401&lt;/D&gt;&lt;D xsi:type="xsd:double"&gt;12.7672533736075&lt;/D&gt;&lt;D xsi:type="xsd:double"&gt;12.799364125174&lt;/D&gt;&lt;D xsi:type="xsd:double"&gt;12.8563878713431&lt;/D&gt;&lt;D xsi:type="xsd:double"&gt;12.3117872633875&lt;/D&gt;&lt;D xsi:type="xsd:double"&gt;11.3464343442893&lt;/D&gt;&lt;D xsi:type="xsd:double"&gt;11.8519403552159&lt;/D&gt;&lt;D xsi:type="xsd:double"&gt;12.4376125887426&lt;/D&gt;&lt;D xsi:type="xsd:double"&gt;12.482929361084&lt;/D&gt;&lt;D xsi:type="xsd:double"&gt;12.364490894559&lt;/D&gt;&lt;D xsi:type="xsd:double"&gt;12.964336577348&lt;/D&gt;&lt;D xsi:type="xsd:double"&gt;13.0468029737457&lt;/D&gt;&lt;D xsi:type="xsd:double"&gt;13.7917550765335&lt;/D&gt;&lt;D xsi:type="xsd:double"&gt;13.9282668231945&lt;/D&gt;&lt;D xsi:type="xsd:double"&gt;14.3795968392508&lt;/D&gt;&lt;D xsi:type="xsd:double"&gt;14.1071216749967&lt;/D&gt;&lt;D xsi:type="xsd:double"&gt;14.4680354251726&lt;/D&gt;&lt;D xsi:type="xsd:double"&gt;14.4143834093814&lt;/D&gt;&lt;D xsi:type="xsd:double"&gt;14.519537223402&lt;/D&gt;&lt;D xsi:type="xsd:double"&gt;14.4603432654834&lt;/D&gt;&lt;D xsi:type="xsd:double"&gt;14.3939637250037&lt;/D&gt;&lt;D xsi:type="xsd:double"&gt;14.3609433111342&lt;/D&gt;&lt;D xsi:type="xsd:double"&gt;14.425360621046&lt;/D&gt;&lt;D xsi:type="xsd:double"&gt;14.5338831629349&lt;/D&gt;&lt;D xsi:type="xsd:double"&gt;14.6339896597068&lt;/D&gt;&lt;D xsi:type="xsd:double"&gt;14.648146170765&lt;/D&gt;&lt;D xsi:type="xsd:double"&gt;14.4777925576465&lt;/D&gt;&lt;D xsi:type="xsd:double"&gt;14.8390515094245&lt;/D&gt;&lt;D xsi:type="xsd:double"&gt;14.396146829279&lt;/D&gt;&lt;D xsi:type="xsd:double"&gt;14.7193429083308&lt;/D&gt;&lt;D xsi:type="xsd:double"&gt;13.9895982450596&lt;/D&gt;&lt;D xsi:type="xsd:double"&gt;14.468069994745&lt;/D&gt;&lt;D xsi:type="xsd:double"&gt;14.3849163009744&lt;/D&gt;&lt;D xsi:type="xsd:double"&gt;14.2893606237159&lt;/D&gt;&lt;D xsi:type="xsd:double"&gt;14.3920030970882&lt;/D&gt;&lt;D xsi:type="xsd:double"&gt;14.0833297826393&lt;/D&gt;&lt;D xsi:type="xsd:double"&gt;14.1893496534279&lt;/D&gt;&lt;D xsi:type="xsd:double"&gt;13.7431177242768&lt;/D&gt;&lt;D xsi:type="xsd:double"&gt;13.3251444991417&lt;/D&gt;&lt;D xsi:type="xsd:double"&gt;12.5612106377245&lt;/D&gt;&lt;D xsi:type="xsd:double"&gt;12.4042161603124&lt;/D&gt;&lt;D xsi:type="xsd:double"&gt;12.6461392730362&lt;/D&gt;&lt;D xsi:type="xsd:double"&gt;13.2704102345858&lt;/D&gt;&lt;D xsi:type="xsd:double"&gt;14.054302754442&lt;/D&gt;&lt;D xsi:type="xsd:double"&gt;14.3875363096935&lt;/D&gt;&lt;D xsi:type="xsd:double"&gt;14.516243193033&lt;/D&gt;&lt;D xsi:type="xsd:double"&gt;14.5624121079588&lt;/D&gt;&lt;D xsi:type="xsd:double"&gt;14.9804219202013&lt;/D&gt;&lt;D xsi:type="xsd:double"&gt;14.8716612759911&lt;/D&gt;&lt;D xsi:type="xsd:double"&gt;15.3375683771041&lt;/D&gt;&lt;D xsi:type="xsd:double"&gt;15.6991387906473&lt;/D&gt;&lt;D xsi:type="xsd:double"&gt;16.6964460265067&lt;/D&gt;&lt;D xsi:type="xsd:double"&gt;16.7219977352196&lt;/D&gt;&lt;D xsi:type="xsd:double"&gt;17.5325873415494&lt;/D&gt;&lt;D xsi:type="xsd:double"&gt;16.9463202881214&lt;/D&gt;&lt;D xsi:type="xsd:double"&gt;16.2587295504667&lt;/D&gt;&lt;D xsi:type="xsd:double"&gt;16.1093985255642&lt;/D&gt;&lt;D xsi:type="xsd:double"&gt;16.47409414024&lt;/D&gt;&lt;D xsi:type="xsd:double"&gt;17.1741348908588&lt;/D&gt;&lt;D xsi:type="xsd:double"&gt;17.6359444543159&lt;/D&gt;&lt;D xsi:type="xsd:double"&gt;17.9917063044518&lt;/D&gt;&lt;D xsi:type="xsd:double"&gt;17.1463999933574&lt;/D&gt;&lt;D xsi:type="xsd:double"&gt;17.3219415172118&lt;/D&gt;&lt;D xsi:type="xsd:double"&gt;17.0354728954468&lt;/D&gt;&lt;D xsi:type="xsd:double"&gt;17.6846661926807&lt;/D&gt;&lt;D xsi:type="xsd:double"&gt;19.2629263143141&lt;/D&gt;&lt;D xsi:type="xsd:double"&gt;18.7783014480236&lt;/D&gt;&lt;D xsi:type="xsd:double"&gt;18.4887691749268&lt;/D&gt;&lt;D xsi:type="xsd:double"&gt;18.1924612626551&lt;/D&gt;&lt;D xsi:type="xsd:double"&gt;17.5302519239031&lt;/D&gt;&lt;D xsi:type="xsd:double"&gt;16.8334445585768&lt;/D&gt;&lt;D xsi:type="xsd:double"&gt;16.3531645699714&lt;/D&gt;&lt;D xsi:type="xsd:double"&gt;15.4201372894949&lt;/D&gt;&lt;D xsi:type="xsd:double"&gt;14.8777803676874&lt;/D&gt;&lt;D xsi:type="xsd:double"&gt;13.8722824358509&lt;/D&gt;&lt;D xsi:type="xsd:double"&gt;13.6204857958599&lt;/D&gt;&lt;D xsi:type="xsd:double"&gt;13.0608541436015&lt;/D&gt;&lt;D xsi:type="xsd:double"&gt;12.9369318317699&lt;/D&gt;&lt;D xsi:type="xsd:double"&gt;12.8944775256464&lt;/D&gt;&lt;D xsi:type="xsd:double"&gt;12.3299821605892&lt;/D&gt;&lt;D xsi:type="xsd:double"&gt;12.2542944561997&lt;/D&gt;&lt;D xsi:type="xsd:double"&gt;11.8975218353288&lt;/D&gt;&lt;D xsi:type="xsd:double"&gt;11.9549075932724&lt;/D&gt;&lt;D xsi:type="xsd:double"&gt;11.1209264193028&lt;/D&gt;&lt;D xsi:type="xsd:double"&gt;11.1449692501866&lt;/D&gt;&lt;D xsi:type="xsd:double"&gt;10.9473544683662&lt;/D&gt;&lt;D xsi:type="xsd:double"&gt;10.3698690591196&lt;/D&gt;&lt;D xsi:type="xsd:double"&gt;10.2188388678858&lt;/D&gt;&lt;D xsi:type="xsd:double"&gt;11.1443975503121&lt;/D&gt;&lt;D xsi:type="xsd:double"&gt;11.3408903980559&lt;/D&gt;&lt;D xsi:type="xsd:double"&gt;12.2660521311688&lt;/D&gt;&lt;D xsi:type="xsd:double"&gt;12.5426793960424&lt;/D&gt;&lt;D xsi:type="xsd:double"&gt;13.0507306552643&lt;/D&gt;&lt;D xsi:type="xsd:double"&gt;13.5066448834671&lt;/D&gt;&lt;D xsi:type="xsd:double"&gt;14.5904296718078&lt;/D&gt;&lt;D xsi:type="xsd:double"&gt;15.0485087262224&lt;/D&gt;&lt;D xsi:type="xsd:double"&gt;15.9210732322724&lt;/D&gt;&lt;D xsi:type="xsd:double"&gt;16.0553902817268&lt;/D&gt;&lt;D xsi:type="xsd:double"&gt;16.5428129446915&lt;/D&gt;&lt;D xsi:type="xsd:double"&gt;16.9356495952372&lt;/D&gt;&lt;D xsi:type="xsd:double"&gt;17.8740820718816&lt;/D&gt;&lt;D xsi:type="xsd:double"&gt;18.5710959630557&lt;/D&gt;&lt;D xsi:type="xsd:double"&gt;19.1126391831271&lt;/D&gt;&lt;D xsi:type="xsd:double"&gt;19.9010627713618&lt;/D&gt;&lt;D xsi:type="xsd:double"&gt;19.8550189270689&lt;/D&gt;&lt;D xsi:type="xsd:double"&gt;19.7185724795239&lt;/D&gt;&lt;D xsi:type="xsd:double"&gt;19.6252201276793&lt;/D&gt;&lt;D xsi:type="xsd:double"&gt;20.3749386627347&lt;/D&gt;&lt;D xsi:type="xsd:double"&gt;18.5848551637341&lt;/D&gt;&lt;D xsi:type="xsd:double"&gt;17.5151984763684&lt;/D&gt;&lt;D xsi:type="xsd:double"&gt;17.9501876396321&lt;/D&gt;&lt;/FQL&gt;&lt;FQL&gt;&lt;Q&gt;DUMMY^ECON_DATE(45454,,, 'MM/YYYY')&lt;/Q&gt;&lt;R&gt;1&lt;/R&gt;&lt;C&gt;1&lt;/C&gt;&lt;D xsi:type="xsd:string"&gt;06/2024&lt;/D&gt;&lt;/FQL&gt;&lt;FQL&gt;&lt;Q&gt;DUMMY^ECON_DATE(45546,,, 'MM/YYYY')&lt;/Q&gt;&lt;R&gt;1&lt;/R&gt;&lt;C&gt;1&lt;/C&gt;&lt;D xsi:type="xsd:string"&gt;09/2024&lt;/D&gt;&lt;/FQL&gt;&lt;FQL&gt;&lt;Q&gt;CC_US^IMF_IFS_RCPI_Q(-1AM)&lt;/Q&gt;&lt;R&gt;1&lt;/R&gt;&lt;C&gt;1&lt;/C&gt;&lt;D xsi:type="xsd:double"&gt;3.19889&lt;/D&gt;&lt;/FQL&gt;&lt;FQL&gt;&lt;Q&gt;CC_CN^IMF_IFS_RCPI_Q(-1AM)&lt;/Q&gt;&lt;R&gt;1&lt;/R&gt;&lt;C&gt;1&lt;/C&gt;&lt;D xsi:type="xsd:double"&gt;0.226831&lt;/D&gt;&lt;/FQL&gt;&lt;FQL&gt;&lt;Q&gt;CC_CL^IMF_IFS_RCPI_Q(-1AM)&lt;/Q&gt;&lt;R&gt;0&lt;/R&gt;&lt;C&gt;0&lt;/C&gt;&lt;/FQL&gt;&lt;FQL&gt;&lt;Q&gt;CC_ID^IMF_IFS_RCPI_Q(-1AM)&lt;/Q&gt;&lt;R&gt;0&lt;/R&gt;&lt;C&gt;0&lt;/C&gt;&lt;/FQL&gt;&lt;FQL&gt;&lt;Q&gt;CC_PH^IMF_IFS_RCPI_Q(-1AM)&lt;/Q&gt;&lt;R&gt;0&lt;/R&gt;&lt;C&gt;0&lt;/C&gt;&lt;/FQL&gt;&lt;FQL&gt;&lt;Q&gt;CC_PL^IMF_IFS_RCPI_Q(-1AM)&lt;/Q&gt;&lt;R&gt;1&lt;/R&gt;&lt;C&gt;1&lt;/C&gt;&lt;D xsi:type="xsd:double"&gt;2.6024375&lt;/D&gt;&lt;/FQL&gt;&lt;FQL&gt;&lt;Q&gt;CC_PE^IMF_IFS_RCPI_Q(-1AM)&lt;/Q&gt;&lt;R&gt;0&lt;/R&gt;&lt;C&gt;0&lt;/C&gt;&lt;/FQL&gt;&lt;FQL&gt;&lt;Q&gt;CC_MY^IMF_IFS_RCPI_Q(-1AM)&lt;/Q&gt;&lt;R&gt;0&lt;/R&gt;&lt;C&gt;0&lt;/C&gt;&lt;/FQL&gt;&lt;FQL&gt;&lt;Q&gt;CC_TW^IMF_IFS_RCPI_Q(-1AM)&lt;/Q&gt;&lt;R&gt;0&lt;/R&gt;&lt;C&gt;0&lt;/C&gt;&lt;/FQL&gt;&lt;FQL&gt;&lt;Q&gt;CC_MX^IMF_IFS_RCPI_Q(-1AM)&lt;/Q&gt;&lt;R&gt;1&lt;/R&gt;&lt;C&gt;1&lt;/C&gt;&lt;D xsi:type="xsd:double"&gt;4.771999&lt;/D&gt;&lt;/FQL&gt;&lt;FQL&gt;&lt;Q&gt;CC_KR^IMF_IFS_RCPI_Q(-1AM)&lt;/Q&gt;&lt;R&gt;1&lt;/R&gt;&lt;C&gt;1&lt;/C&gt;&lt;D xsi:type="xsd:double"&gt;2.6691833&lt;/D&gt;&lt;/FQL&gt;&lt;FQL&gt;&lt;Q&gt;CC_BR^IMF_IFS_RCPI_Q(-1AM)&lt;/Q&gt;&lt;R&gt;1&lt;/R&gt;&lt;C&gt;1&lt;/C&gt;&lt;D xsi:type="xsd:double"&gt;3.947341&lt;/D&gt;&lt;/FQL&gt;&lt;FQL&gt;&lt;Q&gt;CC_ZA^IMF_IFS_RCPI_Q(-1AM)&lt;/Q&gt;&lt;R&gt;1&lt;/R&gt;&lt;C&gt;1&lt;/C&gt;&lt;D xsi:type="xsd:double"&gt;5.0606&lt;/D&gt;&lt;/FQL&gt;&lt;FQL&gt;&lt;Q&gt;CC_GR^IMF_IFS_RCPI_Q(-1AM)&lt;/Q&gt;&lt;R&gt;1&lt;/R&gt;&lt;C&gt;1&lt;/C&gt;&lt;D xsi:type="xsd:double"&gt;2.571976&lt;/D&gt;&lt;/FQL&gt;&lt;FQL&gt;&lt;Q&gt;CC_IN^IMF_IFS_RCPI_Q(-1AM)&lt;/Q&gt;&lt;R&gt;0&lt;/R&gt;&lt;C&gt;0&lt;/C&gt;&lt;/FQL&gt;&lt;FQL&gt;&lt;Q&gt;CC_QA^IMF_IFS_RCPI_Q(-1AM)&lt;/Q&gt;&lt;R&gt;0&lt;/R&gt;&lt;C&gt;0&lt;/C&gt;&lt;/FQL&gt;&lt;FQL&gt;&lt;Q&gt;CC_TH^IMF_IFS_RCPI_Q(-1AM)&lt;/Q&gt;&lt;R&gt;0&lt;/R&gt;&lt;C&gt;0&lt;/C&gt;&lt;/FQL&gt;&lt;FQL&gt;&lt;Q&gt;CC_TR^IMF_IFS_RCPI_Q(-1AM)&lt;/Q&gt;&lt;R&gt;1&lt;/R&gt;&lt;C&gt;1&lt;/C&gt;&lt;D xsi:type="xsd:double"&gt;72.27338&lt;/D&gt;&lt;/FQL&gt;&lt;FQL&gt;&lt;Q&gt;CC_AE^IMF_IFS_RCPI_Q(-1AM)&lt;/Q&gt;&lt;R&gt;0&lt;/R&gt;&lt;C&gt;0&lt;/C&gt;&lt;/FQL&gt;&lt;FQL&gt;&lt;Q&gt;CC_VN^IMF_IFS_RCPI_Q(-1AM)&lt;/Q&gt;&lt;R&gt;1&lt;/R&gt;&lt;C&gt;1&lt;/C&gt;&lt;D xsi:type="xsd:double"&gt;4.3949327&lt;/D&gt;&lt;/FQL&gt;&lt;FQL&gt;&lt;Q&gt;CC_SA^IMF_IFS_RCPI_Q(-1AM)&lt;/Q&gt;&lt;R&gt;1&lt;/R&gt;&lt;C&gt;1&lt;/C&gt;&lt;D xsi:type="xsd:double"&gt;1.5452076&lt;/D&gt;&lt;/FQL&gt;&lt;FQL&gt;&lt;Q&gt;DUMMY^ECON_EXPR_DATA('FDS_ECON[NTCPMIMFGSA@CN]',09/2024,,Q)&lt;/Q&gt;&lt;R&gt;1&lt;/R&gt;&lt;C&gt;1&lt;/C&gt;&lt;D xsi:type="xsd:double"&gt;49.840874&lt;/D&gt;&lt;/FQL&gt;&lt;FQL&gt;&lt;Q&gt;DUMMY^ECON_EXPR_DATA('FDS_ECON[NTCPMIMFGSA@CN]',06/2024,,Q)&lt;/Q&gt;&lt;R&gt;1&lt;/R&gt;&lt;C&gt;1&lt;/C&gt;&lt;D xsi:type="xsd:double"&gt;51.64454&lt;/D&gt;&lt;/FQL&gt;&lt;FQL&gt;&lt;Q&gt;DUMMY^ECON_EXPR_DATA('FDS_ECON[NTCPMIMFGSA@CL]',09/2024,,Q)&lt;/Q&gt;&lt;R&gt;0&lt;/R&gt;&lt;C&gt;0&lt;/C&gt;&lt;/FQL&gt;&lt;FQL&gt;&lt;Q&gt;DUMMY^ECON_EXPR_DATA('FDS_ECON[NTCPMIMFGSA@CL]',06/2024,,Q)&lt;/Q&gt;&lt;R&gt;0&lt;/R&gt;&lt;C&gt;0&lt;/C&gt;&lt;/FQL&gt;&lt;FQL&gt;&lt;Q&gt;DUMMY^ECON_EXPR_DATA('FDS_ECON[NTCPMIMFGSA@ID]',09/2024,,Q)&lt;/Q&gt;&lt;R&gt;1&lt;/R&gt;&lt;C&gt;1&lt;/C&gt;&lt;D xsi:type="xsd:double"&gt;49.1036&lt;/D&gt;&lt;/FQL&gt;&lt;FQL&gt;&lt;Q&gt;DUMMY^ECON_EXPR_DATA('FDS_ECON[NTCPMIMFGSA@ID]',06/2024,,Q)&lt;/Q&gt;&lt;R&gt;1&lt;/R&gt;&lt;C&gt;1&lt;/C&gt;&lt;D xsi:type="xsd:double"&gt;51.87755&lt;/D&gt;&lt;/FQL&gt;&lt;FQL&gt;&lt;Q&gt;DUMMY^ECON_EXPR_DATA('FDS_ECON[NTCPMIPHMANHE]',09/2024,,Q)&lt;/Q&gt;&lt;R&gt;1&lt;/R&gt;&lt;C&gt;1&lt;/C&gt;&lt;D xsi:type="xsd:double"&gt;52.022453&lt;/D&gt;&lt;/FQL&gt;&lt;FQL&gt;&lt;Q&gt;DUMMY^ECON_EXPR_DATA('FDS_ECON[NTCPMIPHMANHE]',06/2024,,Q)&lt;/Q&gt;&lt;R&gt;1&lt;/R&gt;&lt;C&gt;1&lt;/C&gt;&lt;D xsi:type="xsd:double"&gt;51.78043&lt;/D&gt;&lt;/FQL&gt;&lt;FQL&gt;&lt;Q&gt;DUMMY^ECON_EXPR_DATA('FDS_ECON[NTCPMIMFGSA@PL]',09/2024,,Q)&lt;/Q&gt;&lt;R&gt;1&lt;/R&gt;&lt;C&gt;1&lt;/C&gt;&lt;D xsi:type="xsd:double"&gt;47.9283&lt;/D&gt;&lt;/FQL&gt;&lt;FQL&gt;&lt;Q&gt;DUMMY^ECON_EXPR_DATA('FDS_ECON[NTCPMIMFGSA@PL]',06/2024,,Q)&lt;/Q&gt;&lt;R&gt;1&lt;/R&gt;&lt;C&gt;1&lt;/C&gt;&lt;D xsi:type="xsd:double"&gt;45.313137&lt;/D&gt;&lt;/FQL&gt;&lt;FQL&gt;&lt;Q&gt;DUMMY^ECON_EXPR_DATA('FDS_ECON[NTCPMIMFGSA@PE]',09/2024,,Q)&lt;/Q&gt;&lt;R&gt;0&lt;/R&gt;&lt;C&gt;0&lt;/C&gt;&lt;/FQL&gt;&lt;FQL&gt;&lt;Q&gt;DUMMY^ECON_EXPR_DATA('FDS_ECON[NTCPMIMFGSA@PE]',06/2024,,Q)&lt;/Q&gt;&lt;R&gt;0&lt;/R&gt;&lt;C&gt;0&lt;/C&gt;&lt;/FQL&gt;&lt;FQL&gt;&lt;Q&gt;DUMMY^ECON_EXPR_DATA('FDS_ECON[PMIMYMANHE]',09/2024,,Q)&lt;/Q&gt;&lt;R&gt;1&lt;/R&gt;&lt;C&gt;1&lt;/C&gt;&lt;D xsi:type="xsd:double"&gt;49.64469&lt;/D&gt;&lt;/FQL&gt;&lt;FQL&gt;&lt;Q&gt;DUMMY^ECON_EXPR_DATA('FDS_ECON[PMIMYMANHE]',06/2024,,Q)&lt;/Q&gt;&lt;R&gt;1&lt;/R&gt;&lt;C&gt;1&lt;/C&gt;&lt;D xsi:type="xsd:double"&gt;49.6697&lt;/D&gt;&lt;/FQL&gt;&lt;FQL&gt;&lt;Q&gt;DUMMY^ECON_EXPR_DATA('FDS_ECON[NTCPMIMFGSA@TW]',09/2024,,Q)&lt;/Q&gt;&lt;R&gt;1&lt;/R&gt;&lt;C&gt;1&lt;/C&gt;&lt;D xsi:type="xsd:double"&gt;51.745625&lt;/D&gt;&lt;/FQL&gt;&lt;FQL&gt;&lt;Q&gt;DUMMY^ECON_EXPR_DATA('FDS_ECON[NTCPMIMFGSA@TW]',06/2024,,Q)&lt;/Q&gt;&lt;R&gt;1&lt;/R&gt;&lt;C&gt;1&lt;/C&gt;&lt;D xsi:type="xsd:double"&gt;51.407047&lt;/D&gt;&lt;/FQL&gt;&lt;FQL&gt;&lt;Q&gt;DUMMY^ECON_EXPR_DATA('FDS_ECON[NTCPMIMFGSA@MX]',09/2024,,Q)&lt;/Q&gt;&lt;R&gt;1&lt;/R&gt;&lt;C&gt;1&lt;/C&gt;&lt;D xsi:type="xsd:double"&gt;48.471558&lt;/D&gt;&lt;/FQL&gt;&lt;FQL&gt;&lt;Q&gt;DUMMY^ECON_EXPR_DATA('FDS_ECON[NTCPMIMFGSA@MX]',06/2024,,Q)&lt;/Q&gt;&lt;R&gt;1&lt;/R&gt;&lt;C&gt;1&lt;/C&gt;&lt;D xsi:type="xsd:double"&gt;51.090343&lt;/D&gt;&lt;/FQL&gt;&lt;FQL&gt;&lt;Q&gt;DUMMY^ECON_EXPR_DATA('FDS_ECON[NTCPMIMFGSA@KR]',09/2024,,Q)&lt;/Q&gt;&lt;R&gt;1&lt;/R&gt;&lt;C&gt;1&lt;/C&gt;&lt;D xsi:type="xsd:double"&gt;50.546005&lt;/D&gt;&lt;/FQL&gt;&lt;FQL&gt;&lt;Q&gt;DUMMY^ECON_EXPR_DATA('FDS_ECON[NTCPMIMFGSA@KR]',06/2024,,Q)&lt;/Q&gt;&lt;R&gt;1&lt;/R&gt;&lt;C&gt;1&lt;/C&gt;&lt;D xsi:type="xsd:double"&gt;51.02443&lt;/D&gt;&lt;/FQL&gt;&lt;FQL&gt;&lt;Q&gt;DUMMY^ECON_EXPR_DATA('FDS_ECON[NTCPMIMFGSA@BR]',09/2024,,Q)&lt;/Q&gt;&lt;R&gt;1&lt;/R&gt;&lt;C&gt;1&lt;/C&gt;&lt;D xsi:type="xsd:double"&gt;52.54214&lt;/D&gt;&lt;/FQL&gt;&lt;FQL&gt;&lt;Q&gt;DUMMY^ECON_EXPR_DATA('FDS_ECON[NTCPMIMFGSA@BR]',06/2024,,Q)&lt;/Q&gt;&lt;R&gt;1&lt;/R&gt;&lt;C&gt;1&lt;/C&gt;&lt;D xsi:type="xsd:double"&gt;53.488384&lt;/D&gt;&lt;/FQL&gt;&lt;FQL&gt;&lt;Q&gt;DUMMY^ECON_EXPR_DATA('FDS_ECON[PMIMFGSA@ZA]',09/2024,,Q)&lt;/Q&gt;&lt;R&gt;1&lt;/R&gt;&lt;C&gt;1&lt;/C&gt;&lt;D xsi:type="xsd:double"&gt;50.251415&lt;/D&gt;&lt;/FQL&gt;&lt;FQL&gt;&lt;Q&gt;DUMMY^ECON_EXPR_DATA('FDS_ECON[PMIMFGSA@ZA]',06/2024,,Q)&lt;/Q&gt;&lt;R&gt;1&lt;/R&gt;&lt;C&gt;1&lt;/C&gt;&lt;D xsi:type="xsd:double"&gt;49.992886&lt;/D&gt;&lt;/FQL&gt;&lt;FQL&gt;&lt;Q&gt;DUMMY^ECON_EXPR_DATA('FDS_ECON[NTCPMIMFGSA@GR]',09/2024,,Q)&lt;/Q&gt;&lt;R&gt;1&lt;/R&gt;&lt;C&gt;1&lt;/C&gt;&lt;D xsi:type="xsd:double"&gt;52.121853&lt;/D&gt;&lt;/FQL&gt;&lt;FQL&gt;&lt;Q&gt;DUMMY^ECON_EXPR_DATA('FDS_ECON[NTCPMIMFGSA@GR]',06/2024,,Q)&lt;/Q&gt;&lt;R&gt;1&lt;/R&gt;&lt;C&gt;1&lt;/C&gt;&lt;D xsi:type="xsd:double"&gt;54.69078&lt;/D&gt;&lt;/FQL&gt;&lt;FQL&gt;&lt;Q&gt;DUMMY^ECON_EXPR_DATA('FDS_ECON[NTCPMIMFGSA@IN]',09/2024,,Q)&lt;/Q&gt;&lt;R&gt;1&lt;/R&gt;&lt;C&gt;1&lt;/C&gt;&lt;D xsi:type="xsd:double"&gt;57.364445&lt;/D&gt;&lt;/FQL&gt;&lt;FQL&gt;&lt;Q&gt;DUMMY^ECON_EXPR_DATA('FDS_ECON[NTCPMIMFGSA@IN]',06/2024,,Q)&lt;/Q&gt;&lt;R&gt;1&lt;/R&gt;&lt;C&gt;1&lt;/C&gt;&lt;D xsi:type="xsd:double"&gt;58.243446&lt;/D&gt;&lt;/FQL&gt;&lt;FQL&gt;&lt;Q&gt;DUMMY^ECON_EXPR_DATA('FDS_ECON[PMIQAWHEHE]',09/2024,,Q)&lt;/Q&gt;&lt;R&gt;1&lt;/R&gt;&lt;C&gt;1&lt;/C&gt;&lt;D xsi:type="xsd:double"&gt;52.042065&lt;/D&gt;&lt;/FQL&gt;&lt;FQL&gt;&lt;Q&gt;DUMMY^ECON_EXPR_DATA('FDS_ECON[PMIQAWHEHE]',06/2024,,Q)&lt;/Q&gt;&lt;R&gt;1&lt;/R&gt;&lt;C&gt;1&lt;/C&gt;&lt;D xsi:type="xsd:double"&gt;53.838383&lt;/D&gt;&lt;/FQL&gt;&lt;FQL&gt;&lt;Q&gt;DUMMY^ECON_EXPR_DATA('FDS_ECON[NTCPMITHMANHE]',09/2024,,Q)&lt;/Q&gt;&lt;R&gt;1&lt;/R&gt;&lt;C&gt;1&lt;/C&gt;&lt;D xsi:type="xsd:double"&gt;51.742794&lt;/D&gt;&lt;/FQL&gt;&lt;FQL&gt;&lt;Q&gt;DUMMY^ECON_EXPR_DATA('FDS_ECON[NTCPMITHMANHE]',06/2024,,Q)&lt;/Q&gt;&lt;R&gt;1&lt;/R&gt;&lt;C&gt;1&lt;/C&gt;&lt;D xsi:type="xsd:double"&gt;50.221676&lt;/D&gt;&lt;/FQL&gt;&lt;FQL&gt;&lt;Q&gt;DUMMY^ECON_EXPR_DATA('FDS_ECON[NTCPMIMFGSA@TR]',09/2024,,Q)&lt;/Q&gt;&lt;R&gt;1&lt;/R&gt;&lt;C&gt;1&lt;/C&gt;&lt;D xsi:type="xsd:double"&gt;46.43233&lt;/D&gt;&lt;/FQL&gt;&lt;FQL&gt;&lt;Q&gt;DUMMY^ECON_EXPR_DATA('FDS_ECON[NTCPMIMFGSA@TR]',06/2024,,Q)&lt;/Q&gt;&lt;R&gt;1&lt;/R&gt;&lt;C&gt;1&lt;/C&gt;&lt;D xsi:type="xsd:double"&gt;48.55242&lt;/D&gt;&lt;/FQL&gt;&lt;FQL&gt;&lt;Q&gt;DUMMY^ECON_EXPR_DATA('FDS_ECON[NTCPMIMFGSA@AE]',09/2024,,Q)&lt;/Q&gt;&lt;R&gt;0&lt;/R&gt;&lt;C&gt;0&lt;/C&gt;&lt;/FQL&gt;&lt;FQL&gt;&lt;Q&gt;DUMMY^ECON_EXPR_DATA('FDS_ECON[NTCPMIMFGSA@AE]',06/2024,,Q)&lt;/Q&gt;&lt;R&gt;0&lt;/R&gt;&lt;C&gt;0&lt;/C&gt;&lt;/FQL&gt;&lt;FQL&gt;&lt;Q&gt;DUMMY^ECON_EXPR_DATA('FDS_ECON[NTCPMIMFGSA@VN]',09/2024,,Q)&lt;/Q&gt;&lt;R&gt;1&lt;/R&gt;&lt;C&gt;1&lt;/C&gt;&lt;D xsi:type="xsd:double"&gt;51.490894&lt;/D&gt;&lt;/FQL&gt;&lt;FQL&gt;&lt;Q&gt;DUMMY^ECON_EXPR_DATA('FDS_ECON[NTCPMIMFGSA@VN]',06/2024,,Q)&lt;/Q&gt;&lt;R&gt;1&lt;/R&gt;&lt;C&gt;1&lt;/C&gt;&lt;D xsi:type="xsd:double"&gt;51.776978&lt;/D&gt;&lt;/FQL&gt;&lt;FQL&gt;&lt;Q&gt;DUMMY^ECON_EXPR_DATA('FDS_ECON[NTCPMIINDEXSA@SA]',09/2024,,Q)&lt;/Q&gt;&lt;R&gt;1&lt;/R&gt;&lt;C&gt;1&lt;/C&gt;&lt;D xsi:type="xsd:double"&gt;55.200653&lt;/D&gt;&lt;/FQL&gt;&lt;FQL&gt;&lt;Q&gt;DUMMY^ECON_EXPR_DATA('FDS_ECON[NTCPMIINDEXSA@SA]',06/2024,,Q)&lt;/Q&gt;&lt;R&gt;1&lt;/R&gt;&lt;C&gt;1&lt;/C&gt;&lt;D xsi:type="xsd:double"&gt;56.14742&lt;/D&gt;&lt;/FQL&gt;&lt;FQL&gt;&lt;Q&gt;DUMMY^ECON_EXPR_DATA('FDS_ECON[PMIDMMANHE]',09/2024,,Q)&lt;/Q&gt;&lt;R&gt;1&lt;/R&gt;&lt;C&gt;1&lt;/C&gt;&lt;D xsi:type="xsd:double"&gt;48.213497&lt;/D&gt;&lt;/FQL&gt;&lt;FQL&gt;&lt;Q&gt;DUMMY^ECON_EXPR_DATA('FDS_ECON[PMIDMMANHE]',06/2024,,Q)&lt;/Q&gt;&lt;R&gt;1&lt;/R&gt;&lt;C&gt;1&lt;/C&gt;&lt;D xsi:type="xsd:double"&gt;49.418636&lt;/D&gt;&lt;/FQL&gt;&lt;FQL&gt;&lt;Q&gt;DUMMY^ECON_EXPR_DATA('FDS_ECON[NTCPMIMFGSA@EME]',09/2024,,Q)&lt;/Q&gt;&lt;R&gt;1&lt;/R&gt;&lt;C&gt;1&lt;/C&gt;&lt;D xsi:type="xsd:double"&gt;50.418407&lt;/D&gt;&lt;/FQL&gt;&lt;FQL&gt;&lt;Q&gt;DUMMY^ECON_EXPR_DATA('FDS_ECON[NTCPMIMFGSA@EME]',06/2024,,Q)&lt;/Q&gt;&lt;R&gt;1&lt;/R&gt;&lt;C&gt;1&lt;/C&gt;&lt;D xsi:type="xsd:double"&gt;51.999874&lt;/D&gt;&lt;/FQL&gt;&lt;FQL&gt;&lt;Q&gt;CC_AE^IMF_IFS_RCPI_Q(-2AM)&lt;/Q&gt;&lt;R&gt;0&lt;/R&gt;&lt;C&gt;0&lt;/C&gt;&lt;/FQL&gt;&lt;FQL&gt;&lt;Q&gt;CC_QA^IMF_IFS_RCPI_Q(-2AM)&lt;/Q&gt;&lt;R&gt;0&lt;/R&gt;&lt;C&gt;0&lt;/C&gt;&lt;/FQL&gt;&lt;FQL&gt;&lt;Q&gt;CC_TH^IMF_IFS_RCPI_Q(-2AM)&lt;/Q&gt;&lt;R&gt;0&lt;/R&gt;&lt;C&gt;0&lt;/C&gt;&lt;/FQL&gt;&lt;FQL&gt;&lt;Q&gt;CC_IN^IMF_IFS_RCPI_Q(-2AM)&lt;/Q&gt;&lt;R&gt;0&lt;/R&gt;&lt;C&gt;0&lt;/C&gt;&lt;/FQL&gt;&lt;FQL&gt;&lt;Q&gt;CC_PE^IMF_IFS_RCPI_Q(-2AM)&lt;/Q&gt;&lt;R&gt;0&lt;/R&gt;&lt;C&gt;0&lt;/C&gt;&lt;/FQL&gt;&lt;FQL&gt;&lt;Q&gt;CC_MY^IMF_IFS_RCPI_Q(-2AM)&lt;/Q&gt;&lt;R&gt;0&lt;/R&gt;&lt;C&gt;0&lt;/C&gt;&lt;/FQL&gt;&lt;FQL&gt;&lt;Q&gt;CC_TW^IMF_IFS_RCPI_Q(-2AM)&lt;/Q&gt;&lt;R&gt;0&lt;/R&gt;&lt;C&gt;0&lt;/C&gt;&lt;/FQL&gt;&lt;FQL&gt;&lt;Q&gt;CC_CL^IMF_IFS_RCPI_Q(-2AM)&lt;/Q&gt;&lt;R&gt;0&lt;/R&gt;&lt;C&gt;0&lt;/C&gt;&lt;/FQL&gt;&lt;FQL&gt;&lt;Q&gt;CC_ID^IMF_IFS_RCPI_Q(-2AM)&lt;/Q&gt;&lt;R&gt;0&lt;/R&gt;&lt;C&gt;0&lt;/C&gt;&lt;/FQL&gt;&lt;FQL&gt;&lt;Q&gt;CC_PH^IMF_IFS_RCPI_Q(-2AM)&lt;/Q&gt;&lt;R&gt;0&lt;/R&gt;&lt;C&gt;0&lt;/C&gt;&lt;/FQL&gt;&lt;FQL&gt;&lt;Q&gt;CC_CL^IMF_IFS_RCPI_Q(-3AM)&lt;/Q&gt;&lt;R&gt;0&lt;/R&gt;&lt;C&gt;0&lt;/C&gt;&lt;/FQL&gt;&lt;FQL&gt;&lt;Q&gt;CC_ID^IMF_IFS_RCPI_Q(-3AM)&lt;/Q&gt;&lt;R&gt;0&lt;/R&gt;&lt;C&gt;0&lt;/C&gt;&lt;/FQL&gt;&lt;FQL&gt;&lt;Q&gt;CC_PH^IMF_IFS_RCPI_Q(-3AM)&lt;/Q&gt;&lt;R&gt;0&lt;/R&gt;&lt;C&gt;0&lt;/C&gt;&lt;/FQL&gt;&lt;FQL&gt;&lt;Q&gt;CC_PE^IMF_IFS_RCPI_Q(-3AM)&lt;/Q&gt;&lt;R&gt;0&lt;/R&gt;&lt;C&gt;0&lt;/C&gt;&lt;/FQL&gt;&lt;FQL&gt;&lt;Q&gt;CC_MY^IMF_IFS_RCPI_Q(-3AM)&lt;/Q&gt;&lt;R&gt;0&lt;/R&gt;&lt;C&gt;0&lt;/C&gt;&lt;/FQL&gt;&lt;FQL&gt;&lt;Q&gt;CC_TW^IMF_IFS_RCPI_Q(-3AM)&lt;/Q&gt;&lt;R&gt;0&lt;/R&gt;&lt;C&gt;0&lt;/C&gt;&lt;/FQL&gt;&lt;FQL&gt;&lt;Q&gt;CC_IN^IMF_IFS_RCPI_Q(-3AM)&lt;/Q&gt;&lt;R&gt;0&lt;/R&gt;&lt;C&gt;0&lt;/C&gt;&lt;/FQL&gt;&lt;FQL&gt;&lt;Q&gt;CC_QA^IMF_IFS_RCPI_Q(-3AM)&lt;/Q&gt;&lt;R&gt;0&lt;/R&gt;&lt;C&gt;0&lt;/C&gt;&lt;/FQL&gt;&lt;FQL&gt;&lt;Q&gt;CC_TH^IMF_IFS_RCPI_Q(-3AM)&lt;/Q&gt;&lt;R&gt;0&lt;/R&gt;&lt;C&gt;0&lt;/C&gt;&lt;/FQL&gt;&lt;FQL&gt;&lt;Q&gt;CC_AE^IMF_IFS_RCPI_Q(-3AM)&lt;/Q&gt;&lt;R&gt;0&lt;/R&gt;&lt;C&gt;0&lt;/C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<sst xmlns="http://schemas.openxmlformats.org/spreadsheetml/2006/main" count="2612" uniqueCount="922">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</sst>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0.42857142857142855</v>
      </c>
    </row>
    <row r="7" spans="3:4" x14ac:dyDescent="0.35">
      <c r="C7" s="59" t="s">
        <v>910</v>
      </c>
      <c r="D7" s="60">
        <f>Timing!M30</f>
        <v>0.66666666666666663</v>
      </c>
    </row>
    <row r="8" spans="3:4" ht="15" thickBot="1" x14ac:dyDescent="0.4">
      <c r="C8" s="12" t="s">
        <v>911</v>
      </c>
      <c r="D8" s="62">
        <f>Timing!N30</f>
        <v>0.66666666666666663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6"/>
  <sheetViews>
    <sheetView tabSelected="1" zoomScale="85" zoomScaleNormal="85" workbookViewId="0">
      <selection activeCell="P4" sqref="P4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63.6</v>
      </c>
      <c r="E7" s="128">
        <f>VLOOKUP(B7,'Quality - 2'!$B$2:$S$22,18,FALSE)</f>
        <v>9</v>
      </c>
      <c r="F7" s="128">
        <f>VLOOKUP(B7,Safety!$B$4:$R$24,17,FALSE)</f>
        <v>59</v>
      </c>
      <c r="G7" s="134">
        <f t="shared" ref="G7:G26" si="0">(D7*$D$2 +E7*$E$2 +F7*$F$2)/($D$2+$E$2+$F$2)</f>
        <v>43.866666666666674</v>
      </c>
      <c r="H7" s="133" cm="1">
        <f t="array" ref="H7">_xlfn.PERCENTRANK.EXC(_xlfn._xlws.FILTER($G$7:G$26, ISNUMBER($G$7:G$26)),G7)*100</f>
        <v>33.300000000000004</v>
      </c>
      <c r="I7" s="171">
        <f>VLOOKUP(B7,'LIQIDITY 2'!$A$3:$X$23,24,FALSE)</f>
        <v>4.5</v>
      </c>
      <c r="J7" s="126">
        <f ca="1">VLOOKUP(B7,'Momnetum ranking'!A:AJ,36,FALSE)</f>
        <v>13.600000000000001</v>
      </c>
      <c r="K7" s="173">
        <f>VLOOKUP(B7,'Momnetum ranking'!$A$3:$H$23,8,FALSE)</f>
        <v>0.30909090909090908</v>
      </c>
      <c r="L7" s="127">
        <f>VLOOKUP(B7,'Currency- 2'!$A$3:$U$23,21,FALSE)</f>
        <v>9</v>
      </c>
      <c r="M7" s="136">
        <f t="shared" ref="M7:M26" ca="1" si="1">D7*$D$2 + E7*$E$2 + F7*$F$2 + I7*$I$2 + J7*$J$2 + L7*$L$2</f>
        <v>20.398684000000003</v>
      </c>
      <c r="N7" s="127" cm="1">
        <f t="array" aca="1" ref="N7" ca="1">_xlfn.PERCENTRANK.EXC(_xlfn._xlws.FILTER($M$7:M$26, ISNUMBER($M$7:M$26)),M7)*100</f>
        <v>9.5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72.7</v>
      </c>
      <c r="E8" s="128">
        <f>VLOOKUP(B8,'Quality - 2'!$B$2:$S$22,18,FALSE)</f>
        <v>13.600000000000001</v>
      </c>
      <c r="F8" s="128">
        <f>VLOOKUP(B8,Safety!$B$4:$R$24,17,FALSE)</f>
        <v>9</v>
      </c>
      <c r="G8" s="134">
        <f t="shared" si="0"/>
        <v>31.766666666666673</v>
      </c>
      <c r="H8" s="134" cm="1">
        <f t="array" ref="H8">_xlfn.PERCENTRANK.EXC(_xlfn._xlws.FILTER($G$7:G$26, ISNUMBER($G$7:G$26)),G8)*100</f>
        <v>9.5</v>
      </c>
      <c r="I8" s="171">
        <f>VLOOKUP(B8,'LIQIDITY 2'!$A$3:$X$23,24,FALSE)</f>
        <v>54.500000000000007</v>
      </c>
      <c r="J8" s="126">
        <f ca="1">VLOOKUP(B8,'Momnetum ranking'!A:AJ,36,FALSE)</f>
        <v>22.7</v>
      </c>
      <c r="K8" s="173">
        <f>VLOOKUP(B8,'Momnetum ranking'!$A$3:$H$23,8,FALSE)</f>
        <v>0.34285714285714286</v>
      </c>
      <c r="L8" s="127">
        <f>VLOOKUP(B8,'Currency- 2'!$A$3:$U$23,21,FALSE)</f>
        <v>22.7</v>
      </c>
      <c r="M8" s="136">
        <f t="shared" ca="1" si="1"/>
        <v>31.779047000000002</v>
      </c>
      <c r="N8" s="127" cm="1">
        <f t="array" aca="1" ref="N8" ca="1">_xlfn.PERCENTRANK.EXC(_xlfn._xlws.FILTER($M$7:M$26, ISNUMBER($M$7:M$26)),M8)*100</f>
        <v>19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68.100000000000009</v>
      </c>
      <c r="E9" s="128">
        <f>VLOOKUP(B9,'Quality - 2'!$B$2:$S$22,18,FALSE)</f>
        <v>72.7</v>
      </c>
      <c r="F9" s="128">
        <f>VLOOKUP(B9,Safety!$B$4:$R$24,17,FALSE)</f>
        <v>45.4</v>
      </c>
      <c r="G9" s="134">
        <f t="shared" si="0"/>
        <v>62.066666666666684</v>
      </c>
      <c r="H9" s="134" cm="1">
        <f t="array" ref="H9">_xlfn.PERCENTRANK.EXC(_xlfn._xlws.FILTER($G$7:G$26, ISNUMBER($G$7:G$26)),G9)*100</f>
        <v>80.900000000000006</v>
      </c>
      <c r="I9" s="171">
        <f>VLOOKUP(B9,'LIQIDITY 2'!$A$3:$X$23,24,FALSE)</f>
        <v>18.099999999999998</v>
      </c>
      <c r="J9" s="126">
        <f ca="1">VLOOKUP(B9,'Momnetum ranking'!A:AJ,36,FALSE)</f>
        <v>31.8</v>
      </c>
      <c r="K9" s="173">
        <f>VLOOKUP(B9,'Momnetum ranking'!$A$3:$H$23,8,FALSE)</f>
        <v>0.28712871287128711</v>
      </c>
      <c r="L9" s="127">
        <f>VLOOKUP(B9,'Currency- 2'!$A$3:$U$23,21,FALSE)</f>
        <v>50</v>
      </c>
      <c r="M9" s="136">
        <f t="shared" ca="1" si="1"/>
        <v>39.958138000000005</v>
      </c>
      <c r="N9" s="127" cm="1">
        <f t="array" aca="1" ref="N9" ca="1">_xlfn.PERCENTRANK.EXC(_xlfn._xlws.FILTER($M$7:M$26, ISNUMBER($M$7:M$26)),M9)*100</f>
        <v>38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13.600000000000001</v>
      </c>
      <c r="E10" s="128">
        <f>VLOOKUP(B10,'Quality - 2'!$B$2:$S$22,18,FALSE)</f>
        <v>86.3</v>
      </c>
      <c r="F10" s="128">
        <f>VLOOKUP(B10,Safety!$B$4:$R$24,17,FALSE)</f>
        <v>54.500000000000007</v>
      </c>
      <c r="G10" s="134">
        <f t="shared" si="0"/>
        <v>51.466666666666676</v>
      </c>
      <c r="H10" s="134" cm="1">
        <f t="array" ref="H10">_xlfn.PERCENTRANK.EXC(_xlfn._xlws.FILTER($G$7:G$26, ISNUMBER($G$7:G$26)),G10)*100</f>
        <v>47.599999999999994</v>
      </c>
      <c r="I10" s="171">
        <f>VLOOKUP(B10,'LIQIDITY 2'!$A$3:$X$23,24,FALSE)</f>
        <v>4.5</v>
      </c>
      <c r="J10" s="126">
        <f ca="1">VLOOKUP(B10,'Momnetum ranking'!A:AJ,36,FALSE)</f>
        <v>50</v>
      </c>
      <c r="K10" s="173">
        <f>VLOOKUP(B10,'Momnetum ranking'!$A$3:$H$23,8,FALSE)</f>
        <v>0.37777777777777777</v>
      </c>
      <c r="L10" s="127">
        <f>VLOOKUP(B10,'Currency- 2'!$A$3:$U$23,21,FALSE)</f>
        <v>68.100000000000009</v>
      </c>
      <c r="M10" s="136">
        <f t="shared" ca="1" si="1"/>
        <v>43.148456000000003</v>
      </c>
      <c r="N10" s="127" cm="1">
        <f t="array" aca="1" ref="N10" ca="1">_xlfn.PERCENTRANK.EXC(_xlfn._xlws.FILTER($M$7:M$26, ISNUMBER($M$7:M$26)),M10)*100</f>
        <v>42.8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90.9</v>
      </c>
      <c r="F11" s="128">
        <f>VLOOKUP(B11,Safety!$B$4:$R$24,17,FALSE)</f>
        <v>68.100000000000009</v>
      </c>
      <c r="G11" s="134">
        <f t="shared" si="0"/>
        <v>54.500000000000014</v>
      </c>
      <c r="H11" s="134" cm="1">
        <f t="array" ref="H11">_xlfn.PERCENTRANK.EXC(_xlfn._xlws.FILTER($G$7:G$26, ISNUMBER($G$7:G$26)),G11)*100</f>
        <v>66.600000000000009</v>
      </c>
      <c r="I11" s="171">
        <f>VLOOKUP(B11,'LIQIDITY 2'!$A$3:$X$23,24,FALSE)</f>
        <v>27.200000000000003</v>
      </c>
      <c r="J11" s="126">
        <f ca="1">VLOOKUP(B11,'Momnetum ranking'!A:AJ,36,FALSE)</f>
        <v>63.6</v>
      </c>
      <c r="K11" s="173">
        <f>VLOOKUP(B11,'Momnetum ranking'!$A$3:$H$23,8,FALSE)</f>
        <v>0.28104575163398693</v>
      </c>
      <c r="L11" s="127">
        <f>VLOOKUP(B11,'Currency- 2'!$A$3:$U$23,21,FALSE)</f>
        <v>40.9</v>
      </c>
      <c r="M11" s="136">
        <f t="shared" ca="1" si="1"/>
        <v>51.318365</v>
      </c>
      <c r="N11" s="127" cm="1">
        <f t="array" aca="1" ref="N11" ca="1">_xlfn.PERCENTRANK.EXC(_xlfn._xlws.FILTER($M$7:M$26, ISNUMBER($M$7:M$26)),M11)*100</f>
        <v>52.300000000000004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90.9</v>
      </c>
      <c r="E12" s="128">
        <f>VLOOKUP(B12,'Quality - 2'!$B$2:$S$22,18,FALSE)</f>
        <v>18.099999999999998</v>
      </c>
      <c r="F12" s="128">
        <f>VLOOKUP(B12,Safety!$B$4:$R$24,17,FALSE)</f>
        <v>72.7</v>
      </c>
      <c r="G12" s="134">
        <f t="shared" si="0"/>
        <v>60.56666666666667</v>
      </c>
      <c r="H12" s="134" cm="1">
        <f t="array" ref="H12">_xlfn.PERCENTRANK.EXC(_xlfn._xlws.FILTER($G$7:G$26, ISNUMBER($G$7:G$26)),G12)*100</f>
        <v>76.099999999999994</v>
      </c>
      <c r="I12" s="171">
        <f>VLOOKUP(B12,'LIQIDITY 2'!$A$3:$X$23,24,FALSE)</f>
        <v>27.200000000000003</v>
      </c>
      <c r="J12" s="126">
        <f ca="1">VLOOKUP(B12,'Momnetum ranking'!A:AJ,36,FALSE)</f>
        <v>59</v>
      </c>
      <c r="K12" s="173">
        <f>VLOOKUP(B12,'Momnetum ranking'!$A$3:$H$23,8,FALSE)</f>
        <v>0.21739130434782608</v>
      </c>
      <c r="L12" s="127">
        <f>VLOOKUP(B12,'Currency- 2'!$A$3:$U$23,21,FALSE)</f>
        <v>77.2</v>
      </c>
      <c r="M12" s="136">
        <f t="shared" ca="1" si="1"/>
        <v>54.928183000000004</v>
      </c>
      <c r="N12" s="127" cm="1">
        <f t="array" aca="1" ref="N12" ca="1">_xlfn.PERCENTRANK.EXC(_xlfn._xlws.FILTER($M$7:M$26, ISNUMBER($M$7:M$26)),M12)*100</f>
        <v>61.9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77.2</v>
      </c>
      <c r="E13" s="128">
        <f>VLOOKUP(B13,'Quality - 2'!$B$2:$S$22,18,FALSE)</f>
        <v>81.8</v>
      </c>
      <c r="F13" s="128">
        <f>VLOOKUP(B13,Safety!$B$4:$R$24,17,FALSE)</f>
        <v>36.299999999999997</v>
      </c>
      <c r="G13" s="134">
        <f t="shared" si="0"/>
        <v>65.099999999999994</v>
      </c>
      <c r="H13" s="134" cm="1">
        <f t="array" ref="H13">_xlfn.PERCENTRANK.EXC(_xlfn._xlws.FILTER($G$7:G$26, ISNUMBER($G$7:G$26)),G13)*100</f>
        <v>85.7</v>
      </c>
      <c r="I13" s="171">
        <f>VLOOKUP(B13,'LIQIDITY 2'!$A$3:$X$23,24,FALSE)</f>
        <v>54.500000000000007</v>
      </c>
      <c r="J13" s="126">
        <f ca="1">VLOOKUP(B13,'Momnetum ranking'!A:AJ,36,FALSE)</f>
        <v>68.100000000000009</v>
      </c>
      <c r="K13" s="173">
        <f>VLOOKUP(B13,'Momnetum ranking'!$A$3:$H$23,8,FALSE)</f>
        <v>0.24120603015075376</v>
      </c>
      <c r="L13" s="127">
        <f>VLOOKUP(B13,'Currency- 2'!$A$3:$U$23,21,FALSE)</f>
        <v>86.3</v>
      </c>
      <c r="M13" s="136">
        <f t="shared" ca="1" si="1"/>
        <v>66.298046999999997</v>
      </c>
      <c r="N13" s="127" cm="1">
        <f t="array" aca="1" ref="N13" ca="1">_xlfn.PERCENTRANK.EXC(_xlfn._xlws.FILTER($M$7:M$26, ISNUMBER($M$7:M$26)),M13)*100</f>
        <v>90.4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59</v>
      </c>
      <c r="E14" s="128">
        <f>VLOOKUP(B14,'Quality - 2'!$B$2:$S$22,18,FALSE)</f>
        <v>95.399999999999991</v>
      </c>
      <c r="F14" s="128">
        <f>VLOOKUP(B14,Safety!$B$4:$R$24,17,FALSE)</f>
        <v>45.4</v>
      </c>
      <c r="G14" s="134">
        <f t="shared" si="0"/>
        <v>66.599999999999994</v>
      </c>
      <c r="H14" s="134" cm="1">
        <f t="array" ref="H14">_xlfn.PERCENTRANK.EXC(_xlfn._xlws.FILTER($G$7:G$26, ISNUMBER($G$7:G$26)),G14)*100</f>
        <v>95.199999999999989</v>
      </c>
      <c r="I14" s="171">
        <f>VLOOKUP(B14,'LIQIDITY 2'!$A$3:$X$23,24,FALSE)</f>
        <v>54.500000000000007</v>
      </c>
      <c r="J14" s="126">
        <f ca="1">VLOOKUP(B14,'Momnetum ranking'!A:AJ,36,FALSE)</f>
        <v>54.500000000000007</v>
      </c>
      <c r="K14" s="173">
        <f>VLOOKUP(B14,'Momnetum ranking'!$A$3:$H$23,8,FALSE)</f>
        <v>0.19630484988452657</v>
      </c>
      <c r="L14" s="127">
        <f>VLOOKUP(B14,'Currency- 2'!$A$3:$U$23,21,FALSE)</f>
        <v>86.3</v>
      </c>
      <c r="M14" s="136">
        <f t="shared" ca="1" si="1"/>
        <v>61.308002000000009</v>
      </c>
      <c r="N14" s="127" cm="1">
        <f t="array" aca="1" ref="N14" ca="1">_xlfn.PERCENTRANK.EXC(_xlfn._xlws.FILTER($M$7:M$26, ISNUMBER($M$7:M$26)),M14)*100</f>
        <v>80.900000000000006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95.399999999999991</v>
      </c>
      <c r="E15" s="128">
        <f>VLOOKUP(B15,'Quality - 2'!$B$2:$S$22,18,FALSE)</f>
        <v>4.5</v>
      </c>
      <c r="F15" s="128">
        <f>VLOOKUP(B15,Safety!$B$4:$R$24,17,FALSE)</f>
        <v>4.5</v>
      </c>
      <c r="G15" s="134">
        <f t="shared" si="0"/>
        <v>34.799999999999997</v>
      </c>
      <c r="H15" s="134" cm="1">
        <f t="array" ref="H15">_xlfn.PERCENTRANK.EXC(_xlfn._xlws.FILTER($G$7:G$26, ISNUMBER($G$7:G$26)),G15)*100</f>
        <v>23.799999999999997</v>
      </c>
      <c r="I15" s="171">
        <f>VLOOKUP(B15,'LIQIDITY 2'!$A$3:$X$23,24,FALSE)</f>
        <v>27.200000000000003</v>
      </c>
      <c r="J15" s="126">
        <f ca="1">VLOOKUP(B15,'Momnetum ranking'!A:AJ,36,FALSE)</f>
        <v>40.9</v>
      </c>
      <c r="K15" s="173">
        <f>VLOOKUP(B15,'Momnetum ranking'!$A$3:$H$23,8,FALSE)</f>
        <v>0.28125</v>
      </c>
      <c r="L15" s="127">
        <f>VLOOKUP(B15,'Currency- 2'!$A$3:$U$23,21,FALSE)</f>
        <v>31.8</v>
      </c>
      <c r="M15" s="136">
        <f t="shared" ca="1" si="1"/>
        <v>35.418956000000001</v>
      </c>
      <c r="N15" s="127" cm="1">
        <f t="array" aca="1" ref="N15" ca="1">_xlfn.PERCENTRANK.EXC(_xlfn._xlws.FILTER($M$7:M$26, ISNUMBER($M$7:M$26)),M15)*100</f>
        <v>28.499999999999996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54.500000000000007</v>
      </c>
      <c r="E16" s="128">
        <f>VLOOKUP(B16,'Quality - 2'!$B$2:$S$22,18,FALSE)</f>
        <v>68.100000000000009</v>
      </c>
      <c r="F16" s="128">
        <f>VLOOKUP(B16,Safety!$B$4:$R$24,17,FALSE)</f>
        <v>31.8</v>
      </c>
      <c r="G16" s="134">
        <f t="shared" si="0"/>
        <v>51.466666666666676</v>
      </c>
      <c r="H16" s="134" cm="1">
        <f t="array" ref="H16">_xlfn.PERCENTRANK.EXC(_xlfn._xlws.FILTER($G$7:G$26, ISNUMBER($G$7:G$26)),G16)*100</f>
        <v>47.599999999999994</v>
      </c>
      <c r="I16" s="171">
        <f>VLOOKUP(B16,'LIQIDITY 2'!$A$3:$X$23,24,FALSE)</f>
        <v>86.3</v>
      </c>
      <c r="J16" s="126">
        <f ca="1">VLOOKUP(B16,'Momnetum ranking'!A:AJ,36,FALSE)</f>
        <v>95.399999999999991</v>
      </c>
      <c r="K16" s="173">
        <f>VLOOKUP(B16,'Momnetum ranking'!$A$3:$H$23,8,FALSE)</f>
        <v>0.39393939393939392</v>
      </c>
      <c r="L16" s="127">
        <f>VLOOKUP(B16,'Currency- 2'!$A$3:$U$23,21,FALSE)</f>
        <v>27.200000000000003</v>
      </c>
      <c r="M16" s="136">
        <f t="shared" ca="1" si="1"/>
        <v>73.578455999999989</v>
      </c>
      <c r="N16" s="127" cm="1">
        <f t="array" aca="1" ref="N16" ca="1">_xlfn.PERCENTRANK.EXC(_xlfn._xlws.FILTER($M$7:M$26, ISNUMBER($M$7:M$26)),M16)*100</f>
        <v>95.199999999999989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22.7</v>
      </c>
      <c r="E17" s="128">
        <f>VLOOKUP(B17,'Quality - 2'!$B$2:$S$22,18,FALSE)</f>
        <v>54.500000000000007</v>
      </c>
      <c r="F17" s="128">
        <f>VLOOKUP(B17,Safety!$B$4:$R$24,17,FALSE)</f>
        <v>18.099999999999998</v>
      </c>
      <c r="G17" s="134">
        <f t="shared" si="0"/>
        <v>31.766666666666673</v>
      </c>
      <c r="H17" s="134" cm="1">
        <f t="array" ref="H17">_xlfn.PERCENTRANK.EXC(_xlfn._xlws.FILTER($G$7:G$26, ISNUMBER($G$7:G$26)),G17)*100</f>
        <v>9.5</v>
      </c>
      <c r="I17" s="171">
        <f>VLOOKUP(B17,'LIQIDITY 2'!$A$3:$X$23,24,FALSE)</f>
        <v>18.099999999999998</v>
      </c>
      <c r="J17" s="126">
        <f ca="1">VLOOKUP(B17,'Momnetum ranking'!A:AJ,36,FALSE)</f>
        <v>81.8</v>
      </c>
      <c r="K17" s="173">
        <f>VLOOKUP(B17,'Momnetum ranking'!$A$3:$H$23,8,FALSE)</f>
        <v>0.23529411764705882</v>
      </c>
      <c r="L17" s="127">
        <f>VLOOKUP(B17,'Currency- 2'!$A$3:$U$23,21,FALSE)</f>
        <v>95.399999999999991</v>
      </c>
      <c r="M17" s="136">
        <f t="shared" ca="1" si="1"/>
        <v>55.409046999999994</v>
      </c>
      <c r="N17" s="127" cm="1">
        <f t="array" aca="1" ref="N17" ca="1">_xlfn.PERCENTRANK.EXC(_xlfn._xlws.FILTER($M$7:M$26, ISNUMBER($M$7:M$26)),M17)*100</f>
        <v>66.600000000000009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9</v>
      </c>
      <c r="E18" s="128">
        <f>VLOOKUP(B18,'Quality - 2'!$B$2:$S$22,18,FALSE)</f>
        <v>45.4</v>
      </c>
      <c r="F18" s="128">
        <f>VLOOKUP(B18,Safety!$B$4:$R$24,17,FALSE)</f>
        <v>95.399999999999991</v>
      </c>
      <c r="G18" s="134">
        <f t="shared" si="0"/>
        <v>49.933333333333337</v>
      </c>
      <c r="H18" s="134" cm="1">
        <f t="array" ref="H18">_xlfn.PERCENTRANK.EXC(_xlfn._xlws.FILTER($G$7:G$26, ISNUMBER($G$7:G$26)),G18)*100</f>
        <v>38</v>
      </c>
      <c r="I18" s="171">
        <f>VLOOKUP(B18,'LIQIDITY 2'!$A$3:$X$23,24,FALSE)</f>
        <v>54.500000000000007</v>
      </c>
      <c r="J18" s="126">
        <f ca="1">VLOOKUP(B18,'Momnetum ranking'!A:AJ,36,FALSE)</f>
        <v>36.299999999999997</v>
      </c>
      <c r="K18" s="173">
        <f>VLOOKUP(B18,'Momnetum ranking'!$A$3:$H$23,8,FALSE)</f>
        <v>0.22222222222222221</v>
      </c>
      <c r="L18" s="127">
        <f>VLOOKUP(B18,'Currency- 2'!$A$3:$U$23,21,FALSE)</f>
        <v>54.500000000000007</v>
      </c>
      <c r="M18" s="136">
        <f t="shared" ca="1" si="1"/>
        <v>45.848502000000003</v>
      </c>
      <c r="N18" s="127" cm="1">
        <f t="array" aca="1" ref="N18" ca="1">_xlfn.PERCENTRANK.EXC(_xlfn._xlws.FILTER($M$7:M$26, ISNUMBER($M$7:M$26)),M18)*100</f>
        <v>47.599999999999994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45.4</v>
      </c>
      <c r="E19" s="128">
        <f>VLOOKUP(B19,'Quality - 2'!$B$2:$S$22,18,FALSE)</f>
        <v>63.6</v>
      </c>
      <c r="F19" s="128">
        <f>VLOOKUP(B19,Safety!$B$4:$R$24,17,FALSE)</f>
        <v>86.3</v>
      </c>
      <c r="G19" s="134">
        <f t="shared" si="0"/>
        <v>65.100000000000009</v>
      </c>
      <c r="H19" s="134" cm="1">
        <f t="array" ref="H19">_xlfn.PERCENTRANK.EXC(_xlfn._xlws.FILTER($G$7:G$26, ISNUMBER($G$7:G$26)),G19)*100</f>
        <v>90.4</v>
      </c>
      <c r="I19" s="171">
        <f>VLOOKUP(B19,'LIQIDITY 2'!$A$3:$X$23,24,FALSE)</f>
        <v>54.500000000000007</v>
      </c>
      <c r="J19" s="126">
        <f ca="1">VLOOKUP(B19,'Momnetum ranking'!A:AJ,36,FALSE)</f>
        <v>9</v>
      </c>
      <c r="K19" s="173">
        <f>VLOOKUP(B19,'Momnetum ranking'!$A$3:$H$23,8,FALSE)</f>
        <v>0.44444444444444442</v>
      </c>
      <c r="L19" s="127">
        <f>VLOOKUP(B19,'Currency- 2'!$A$3:$U$23,21,FALSE)</f>
        <v>13.600000000000001</v>
      </c>
      <c r="M19" s="136">
        <f t="shared" ca="1" si="1"/>
        <v>35.388047</v>
      </c>
      <c r="N19" s="127" cm="1">
        <f t="array" aca="1" ref="N19" ca="1">_xlfn.PERCENTRANK.EXC(_xlfn._xlws.FILTER($M$7:M$26, ISNUMBER($M$7:M$26)),M19)*100</f>
        <v>23.799999999999997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40.9</v>
      </c>
      <c r="E20" s="128">
        <f>VLOOKUP(B20,'Quality - 2'!$B$2:$S$22,18,FALSE)</f>
        <v>31.8</v>
      </c>
      <c r="F20" s="128">
        <f>VLOOKUP(B20,Safety!$B$4:$R$24,17,FALSE)</f>
        <v>22.7</v>
      </c>
      <c r="G20" s="134">
        <f t="shared" si="0"/>
        <v>31.8</v>
      </c>
      <c r="H20" s="134" cm="1">
        <f t="array" ref="H20">_xlfn.PERCENTRANK.EXC(_xlfn._xlws.FILTER($G$7:G$26, ISNUMBER($G$7:G$26)),G20)*100</f>
        <v>19</v>
      </c>
      <c r="I20" s="171">
        <f>VLOOKUP(B20,'LIQIDITY 2'!$A$3:$X$23,24,FALSE)</f>
        <v>86.3</v>
      </c>
      <c r="J20" s="126">
        <f ca="1">VLOOKUP(B20,'Momnetum ranking'!A:AJ,36,FALSE)</f>
        <v>72.7</v>
      </c>
      <c r="K20" s="173">
        <f>VLOOKUP(B20,'Momnetum ranking'!$A$3:$H$23,8,FALSE)</f>
        <v>0.26923076923076922</v>
      </c>
      <c r="L20" s="127">
        <f>VLOOKUP(B20,'Currency- 2'!$A$3:$U$23,21,FALSE)</f>
        <v>36.299999999999997</v>
      </c>
      <c r="M20" s="136">
        <f t="shared" ca="1" si="1"/>
        <v>59.509046000000005</v>
      </c>
      <c r="N20" s="127" cm="1">
        <f t="array" aca="1" ref="N20" ca="1">_xlfn.PERCENTRANK.EXC(_xlfn._xlws.FILTER($M$7:M$26, ISNUMBER($M$7:M$26)),M20)*100</f>
        <v>71.399999999999991</v>
      </c>
    </row>
    <row r="21" spans="2:14" x14ac:dyDescent="0.35">
      <c r="B21" s="80" t="s">
        <v>22</v>
      </c>
      <c r="C21" s="82" t="s">
        <v>442</v>
      </c>
      <c r="D21" s="128">
        <f>VLOOKUP(B21,'Value -2 '!$D$3:$AC$23,26,FALSE)</f>
        <v>31.8</v>
      </c>
      <c r="E21" s="128">
        <f>VLOOKUP(B21,'Quality - 2'!$B$2:$S$22,18,FALSE)</f>
        <v>27.200000000000003</v>
      </c>
      <c r="F21" s="128">
        <f>VLOOKUP(B21,Safety!$B$4:$R$24,17,FALSE)</f>
        <v>13.600000000000001</v>
      </c>
      <c r="G21" s="134">
        <f t="shared" si="0"/>
        <v>24.200000000000006</v>
      </c>
      <c r="H21" s="134" cm="1">
        <f t="array" ref="H21">_xlfn.PERCENTRANK.EXC(_xlfn._xlws.FILTER($G$7:G$26, ISNUMBER($G$7:G$26)),G21)*100</f>
        <v>4.7</v>
      </c>
      <c r="I21" s="171">
        <f>VLOOKUP(B21,'LIQIDITY 2'!$A$3:$X$23,24,FALSE)</f>
        <v>86.3</v>
      </c>
      <c r="J21" s="126">
        <f ca="1">VLOOKUP(B21,'Momnetum ranking'!A:AJ,36,FALSE)</f>
        <v>90.9</v>
      </c>
      <c r="K21" s="173">
        <f>VLOOKUP(B21,'Momnetum ranking'!$A$3:$H$23,8,FALSE)</f>
        <v>0.33333333333333331</v>
      </c>
      <c r="L21" s="127">
        <f>VLOOKUP(B21,'Currency- 2'!$A$3:$U$23,21,FALSE)</f>
        <v>45.4</v>
      </c>
      <c r="M21" s="136">
        <f t="shared" ca="1" si="1"/>
        <v>65.419274000000016</v>
      </c>
      <c r="N21" s="127" cm="1">
        <f t="array" aca="1" ref="N21" ca="1">_xlfn.PERCENTRANK.EXC(_xlfn._xlws.FILTER($M$7:M$26, ISNUMBER($M$7:M$26)),M21)*100</f>
        <v>85.7</v>
      </c>
    </row>
    <row r="22" spans="2:14" x14ac:dyDescent="0.35">
      <c r="B22" s="80" t="s">
        <v>37</v>
      </c>
      <c r="C22" s="82" t="s">
        <v>448</v>
      </c>
      <c r="D22" s="128">
        <f>VLOOKUP(B22,'Value -2 '!$D$3:$AC$23,26,FALSE)</f>
        <v>18.099999999999998</v>
      </c>
      <c r="E22" s="128">
        <f>VLOOKUP(B22,'Quality - 2'!$B$2:$S$22,18,FALSE)</f>
        <v>22.7</v>
      </c>
      <c r="F22" s="128">
        <f>VLOOKUP(B22,Safety!$B$4:$R$24,17,FALSE)</f>
        <v>72.7</v>
      </c>
      <c r="G22" s="134">
        <f t="shared" si="0"/>
        <v>37.833333333333336</v>
      </c>
      <c r="H22" s="134" cm="1">
        <f t="array" ref="H22">_xlfn.PERCENTRANK.EXC(_xlfn._xlws.FILTER($G$7:G$26, ISNUMBER($G$7:G$26)),G22)*100</f>
        <v>28.499999999999996</v>
      </c>
      <c r="I22" s="171">
        <f>VLOOKUP(B22,'LIQIDITY 2'!$A$3:$X$23,24,FALSE)</f>
        <v>27.200000000000003</v>
      </c>
      <c r="J22" s="126">
        <f ca="1">VLOOKUP(B22,'Momnetum ranking'!A:AJ,36,FALSE)</f>
        <v>18.099999999999998</v>
      </c>
      <c r="K22" s="173">
        <f>VLOOKUP(B22,'Momnetum ranking'!$A$3:$H$23,8,FALSE)</f>
        <v>0.1276595744680851</v>
      </c>
      <c r="L22" s="127">
        <f>VLOOKUP(B22,'Currency- 2'!$A$3:$U$23,21,FALSE)</f>
        <v>59</v>
      </c>
      <c r="M22" s="136">
        <f t="shared" ca="1" si="1"/>
        <v>29.928865000000002</v>
      </c>
      <c r="N22" s="127" cm="1">
        <f t="array" aca="1" ref="N22" ca="1">_xlfn.PERCENTRANK.EXC(_xlfn._xlws.FILTER($M$7:M$26, ISNUMBER($M$7:M$26)),M22)*100</f>
        <v>14.2</v>
      </c>
    </row>
    <row r="23" spans="2:14" x14ac:dyDescent="0.35">
      <c r="B23" s="80" t="s">
        <v>25</v>
      </c>
      <c r="C23" s="82" t="s">
        <v>446</v>
      </c>
      <c r="D23" s="128">
        <f>VLOOKUP(B23,'Value -2 '!$D$3:$AC$23,26,FALSE)</f>
        <v>50</v>
      </c>
      <c r="E23" s="128">
        <f>VLOOKUP(B23,'Quality - 2'!$B$2:$S$22,18,FALSE)</f>
        <v>40.9</v>
      </c>
      <c r="F23" s="128">
        <f>VLOOKUP(B23,Safety!$B$4:$R$24,17,FALSE)</f>
        <v>59</v>
      </c>
      <c r="G23" s="134">
        <f t="shared" si="0"/>
        <v>49.966666666666669</v>
      </c>
      <c r="H23" s="134" cm="1">
        <f t="array" ref="H23">_xlfn.PERCENTRANK.EXC(_xlfn._xlws.FILTER($G$7:G$26, ISNUMBER($G$7:G$26)),G23)*100</f>
        <v>42.8</v>
      </c>
      <c r="I23" s="171">
        <f>VLOOKUP(B23,'LIQIDITY 2'!$A$3:$X$23,24,FALSE)</f>
        <v>4.5</v>
      </c>
      <c r="J23" s="126">
        <f ca="1">VLOOKUP(B23,'Momnetum ranking'!A:AJ,36,FALSE)</f>
        <v>4.5</v>
      </c>
      <c r="K23" s="173">
        <f>VLOOKUP(B23,'Momnetum ranking'!$A$3:$H$23,8,FALSE)</f>
        <v>0.20833333333333334</v>
      </c>
      <c r="L23" s="127">
        <f>VLOOKUP(B23,'Currency- 2'!$A$3:$U$23,21,FALSE)</f>
        <v>4.5</v>
      </c>
      <c r="M23" s="136">
        <f t="shared" ca="1" si="1"/>
        <v>18.138500999999998</v>
      </c>
      <c r="N23" s="127" cm="1">
        <f t="array" aca="1" ref="N23" ca="1">_xlfn.PERCENTRANK.EXC(_xlfn._xlws.FILTER($M$7:M$26, ISNUMBER($M$7:M$26)),M23)*100</f>
        <v>4.7</v>
      </c>
    </row>
    <row r="24" spans="2:14" x14ac:dyDescent="0.35">
      <c r="B24" s="80" t="s">
        <v>27</v>
      </c>
      <c r="C24" s="82" t="s">
        <v>436</v>
      </c>
      <c r="D24" s="128">
        <f>VLOOKUP(B24,'Value -2 '!$D$3:$AC$23,26,FALSE)</f>
        <v>86.3</v>
      </c>
      <c r="E24" s="128">
        <f>VLOOKUP(B24,'Quality - 2'!$B$2:$S$22,18,FALSE)</f>
        <v>45.4</v>
      </c>
      <c r="F24" s="128">
        <f>VLOOKUP(B24,Safety!$B$4:$R$24,17,FALSE)</f>
        <v>27.200000000000003</v>
      </c>
      <c r="G24" s="134">
        <f t="shared" si="0"/>
        <v>52.966666666666676</v>
      </c>
      <c r="H24" s="134" cm="1">
        <f t="array" ref="H24">_xlfn.PERCENTRANK.EXC(_xlfn._xlws.FILTER($G$7:G$26, ISNUMBER($G$7:G$26)),G24)*100</f>
        <v>57.099999999999994</v>
      </c>
      <c r="I24" s="171">
        <f>VLOOKUP(B24,'LIQIDITY 2'!$A$3:$X$23,24,FALSE)</f>
        <v>54.500000000000007</v>
      </c>
      <c r="J24" s="126">
        <f ca="1">VLOOKUP(B24,'Momnetum ranking'!A:AJ,36,FALSE)</f>
        <v>27.200000000000003</v>
      </c>
      <c r="K24" s="173">
        <f>VLOOKUP(B24,'Momnetum ranking'!$A$3:$H$23,8,FALSE)</f>
        <v>0.5714285714285714</v>
      </c>
      <c r="L24" s="127">
        <f>VLOOKUP(B24,'Currency- 2'!$A$3:$U$23,21,FALSE)</f>
        <v>18.099999999999998</v>
      </c>
      <c r="M24" s="136">
        <f t="shared" ca="1" si="1"/>
        <v>39.478411000000008</v>
      </c>
      <c r="N24" s="127" cm="1">
        <f t="array" aca="1" ref="N24" ca="1">_xlfn.PERCENTRANK.EXC(_xlfn._xlws.FILTER($M$7:M$26, ISNUMBER($M$7:M$26)),M24)*100</f>
        <v>33.300000000000004</v>
      </c>
    </row>
    <row r="25" spans="2:14" x14ac:dyDescent="0.35">
      <c r="B25" s="80" t="s">
        <v>31</v>
      </c>
      <c r="C25" s="82" t="s">
        <v>444</v>
      </c>
      <c r="D25" s="128">
        <f>VLOOKUP(B25,'Value -2 '!$D$3:$AC$23,26,FALSE)</f>
        <v>81.8</v>
      </c>
      <c r="E25" s="128">
        <f>VLOOKUP(B25,'Quality - 2'!$B$2:$S$22,18,FALSE)</f>
        <v>36.299999999999997</v>
      </c>
      <c r="F25" s="128">
        <f>VLOOKUP(B25,Safety!$B$4:$R$24,17,FALSE)</f>
        <v>40.9</v>
      </c>
      <c r="G25" s="134">
        <f t="shared" si="0"/>
        <v>53</v>
      </c>
      <c r="H25" s="134" cm="1">
        <f t="array" ref="H25">_xlfn.PERCENTRANK.EXC(_xlfn._xlws.FILTER($G$7:G$26, ISNUMBER($G$7:G$26)),G25)*100</f>
        <v>61.9</v>
      </c>
      <c r="I25" s="171">
        <f>VLOOKUP(B25,'LIQIDITY 2'!$A$3:$X$23,24,FALSE)</f>
        <v>27.200000000000003</v>
      </c>
      <c r="J25" s="126">
        <f ca="1">VLOOKUP(B25,'Momnetum ranking'!A:AJ,36,FALSE)</f>
        <v>77.2</v>
      </c>
      <c r="K25" s="173">
        <f>VLOOKUP(B25,'Momnetum ranking'!$A$3:$H$23,8,FALSE)</f>
        <v>8.5714285714285715E-2</v>
      </c>
      <c r="L25" s="127">
        <f>VLOOKUP(B25,'Currency- 2'!$A$3:$U$23,21,FALSE)</f>
        <v>81.8</v>
      </c>
      <c r="M25" s="136">
        <f t="shared" ca="1" si="1"/>
        <v>60.398410000000005</v>
      </c>
      <c r="N25" s="127" cm="1">
        <f t="array" aca="1" ref="N25" ca="1">_xlfn.PERCENTRANK.EXC(_xlfn._xlws.FILTER($M$7:M$26, ISNUMBER($M$7:M$26)),M25)*100</f>
        <v>76.099999999999994</v>
      </c>
    </row>
    <row r="26" spans="2:14" x14ac:dyDescent="0.35">
      <c r="B26" s="81" t="s">
        <v>35</v>
      </c>
      <c r="C26" s="83" t="s">
        <v>437</v>
      </c>
      <c r="D26" s="129">
        <f>VLOOKUP(B26,'Value -2 '!$D$3:$AC$23,26,FALSE)</f>
        <v>36.299999999999997</v>
      </c>
      <c r="E26" s="129">
        <f>VLOOKUP(B26,'Quality - 2'!$B$2:$S$22,18,FALSE)</f>
        <v>59</v>
      </c>
      <c r="F26" s="129">
        <f>VLOOKUP(B26,Safety!$B$4:$R$24,17,FALSE)</f>
        <v>81.8</v>
      </c>
      <c r="G26" s="135">
        <f t="shared" si="0"/>
        <v>59.033333333333324</v>
      </c>
      <c r="H26" s="135" cm="1">
        <f t="array" ref="H26">_xlfn.PERCENTRANK.EXC(_xlfn._xlws.FILTER($G$7:G$26, ISNUMBER($G$7:G$26)),G26)*100</f>
        <v>71.399999999999991</v>
      </c>
      <c r="I26" s="172">
        <f>VLOOKUP(B26,'LIQIDITY 2'!$A$3:$X$23,24,FALSE)</f>
        <v>54.500000000000007</v>
      </c>
      <c r="J26" s="130">
        <f ca="1">VLOOKUP(B26,'Momnetum ranking'!A:AJ,36,FALSE)</f>
        <v>45.4</v>
      </c>
      <c r="K26" s="174">
        <f>VLOOKUP(B26,'Momnetum ranking'!$A$3:$H$23,8,FALSE)</f>
        <v>0.20270270270270271</v>
      </c>
      <c r="L26" s="131">
        <f>VLOOKUP(B26,'Currency- 2'!$A$3:$U$23,21,FALSE)</f>
        <v>63.6</v>
      </c>
      <c r="M26" s="137">
        <f t="shared" ca="1" si="1"/>
        <v>53.128228999999997</v>
      </c>
      <c r="N26" s="131" cm="1">
        <f t="array" aca="1" ref="N26" ca="1">_xlfn.PERCENTRANK.EXC(_xlfn._xlws.FILTER($M$7:M$26, ISNUMBER($M$7:M$26)),M26)*100</f>
        <v>57.099999999999994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0</v>
      </c>
      <c r="S3" s="163">
        <f ca="1">COUNTIF(S9:S29,"&gt;0")</f>
        <v>0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0.24321601621856251</v>
      </c>
      <c r="F9" s="10">
        <f ca="1">VLOOKUP(B9,OUTPUT_COUNTRY!$B$7:$N$26, 9, FALSE)</f>
        <v>54.500000000000007</v>
      </c>
      <c r="G9" s="176">
        <f>VLOOKUP(B9,OUTPUT_COUNTRY!$B$7:$N$26, 7, FALSE)</f>
        <v>95.199999999999989</v>
      </c>
      <c r="H9" s="10">
        <f>VLOOKUP(B9,OUTPUT_COUNTRY!$B$7:$N$26, 8, FALSE)</f>
        <v>54.500000000000007</v>
      </c>
      <c r="I9" s="10">
        <f>VLOOKUP(B9,OUTPUT_COUNTRY!$B$7:$N$26, 11, FALSE)</f>
        <v>86.3</v>
      </c>
      <c r="J9" s="176">
        <f t="shared" ref="J9:J29" ca="1" si="0">IF(F9&gt;=$D$3,1/E9,0)</f>
        <v>0</v>
      </c>
      <c r="K9" s="175" t="e">
        <f t="shared" ref="K9:K29" ca="1" si="1">J9/$J$30</f>
        <v>#N/A</v>
      </c>
      <c r="L9" s="10">
        <f t="shared" ref="L9:L29" si="2">IF(G9&gt;=$D$5,1/E9,0)</f>
        <v>4.1115713329559869</v>
      </c>
      <c r="M9" s="175" t="e">
        <f t="shared" ref="M9:M29" si="3">L9/$L$30</f>
        <v>#N/A</v>
      </c>
      <c r="N9" s="10">
        <f>IF(H9&gt;=$F$3,1/E9,0)</f>
        <v>4.1115713329559869</v>
      </c>
      <c r="O9" s="175" t="e">
        <f t="shared" ref="O9:O29" si="4">N9/$N$30</f>
        <v>#N/A</v>
      </c>
      <c r="P9" s="10">
        <f>IF(I9&gt;=$F$5,1/E9,0)</f>
        <v>4.1115713329559869</v>
      </c>
      <c r="Q9" s="175" t="e">
        <f t="shared" ref="Q9:Q29" si="5">P9/$P$30</f>
        <v>#N/A</v>
      </c>
      <c r="R9" s="175" t="e">
        <f t="shared" ref="R9:R29" ca="1" si="6">IF($D$2*K9+$D$4*M9+$F$2*O9+$F$4*Q9 = 0,"",$D$2*K9+$D$4*M9+$F$2*O9+$F$4*Q9)</f>
        <v>#N/A</v>
      </c>
      <c r="S9" s="177" t="str">
        <f t="shared" ref="S9:S29" ca="1" si="7">IFERROR(IF(R9&gt;=$R$6, R9/SUMIF($R$9:$R$29,"&gt;="&amp;$R$6), ""),"")</f>
        <v/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0.2632280108921376</v>
      </c>
      <c r="F10">
        <f ca="1">VLOOKUP(B10,OUTPUT_COUNTRY!$B$7:$N$26, 9, FALSE)</f>
        <v>27.200000000000003</v>
      </c>
      <c r="G10" s="47">
        <f>VLOOKUP(B10,OUTPUT_COUNTRY!$B$7:$N$26, 7, FALSE)</f>
        <v>57.099999999999994</v>
      </c>
      <c r="H10">
        <f>VLOOKUP(B10,OUTPUT_COUNTRY!$B$7:$N$26, 8, FALSE)</f>
        <v>54.500000000000007</v>
      </c>
      <c r="I10">
        <f>VLOOKUP(B10,OUTPUT_COUNTRY!$B$7:$N$26, 11, FALSE)</f>
        <v>18.099999999999998</v>
      </c>
      <c r="J10" s="47">
        <f t="shared" ca="1" si="0"/>
        <v>0</v>
      </c>
      <c r="K10" s="147" t="e">
        <f t="shared" ca="1" si="1"/>
        <v>#N/A</v>
      </c>
      <c r="L10">
        <f t="shared" si="2"/>
        <v>0</v>
      </c>
      <c r="M10" s="147" t="e">
        <f t="shared" si="3"/>
        <v>#N/A</v>
      </c>
      <c r="N10">
        <f t="shared" ref="N10:N29" si="8">IF(H10&gt;=$F$3,1/E10,0)</f>
        <v>3.7989877924115301</v>
      </c>
      <c r="O10" s="147" t="e">
        <f t="shared" si="4"/>
        <v>#N/A</v>
      </c>
      <c r="P10">
        <f t="shared" ref="P10:P29" si="9">IF(I10&gt;=$F$5,1/E10,0)</f>
        <v>0</v>
      </c>
      <c r="Q10" s="147" t="e">
        <f t="shared" si="5"/>
        <v>#N/A</v>
      </c>
      <c r="R10" s="147" t="e">
        <f t="shared" ca="1" si="6"/>
        <v>#N/A</v>
      </c>
      <c r="S10" s="166" t="str">
        <f t="shared" ca="1" si="7"/>
        <v/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0.22462817071226734</v>
      </c>
      <c r="F11">
        <f ca="1">VLOOKUP(B11,OUTPUT_COUNTRY!$B$7:$N$26, 9, FALSE)</f>
        <v>45.4</v>
      </c>
      <c r="G11" s="47">
        <f>VLOOKUP(B11,OUTPUT_COUNTRY!$B$7:$N$26, 7, FALSE)</f>
        <v>71.399999999999991</v>
      </c>
      <c r="H11">
        <f>VLOOKUP(B11,OUTPUT_COUNTRY!$B$7:$N$26, 8, FALSE)</f>
        <v>54.500000000000007</v>
      </c>
      <c r="I11">
        <f>VLOOKUP(B11,OUTPUT_COUNTRY!$B$7:$N$26, 11, FALSE)</f>
        <v>63.6</v>
      </c>
      <c r="J11" s="47">
        <f t="shared" ca="1" si="0"/>
        <v>0</v>
      </c>
      <c r="K11" s="147" t="e">
        <f t="shared" ca="1" si="1"/>
        <v>#N/A</v>
      </c>
      <c r="L11">
        <f t="shared" si="2"/>
        <v>4.4518013783806687</v>
      </c>
      <c r="M11" s="147" t="e">
        <f t="shared" si="3"/>
        <v>#N/A</v>
      </c>
      <c r="N11">
        <f t="shared" si="8"/>
        <v>4.4518013783806687</v>
      </c>
      <c r="O11" s="147" t="e">
        <f t="shared" si="4"/>
        <v>#N/A</v>
      </c>
      <c r="P11">
        <f t="shared" si="9"/>
        <v>4.4518013783806687</v>
      </c>
      <c r="Q11" s="147" t="e">
        <f t="shared" si="5"/>
        <v>#N/A</v>
      </c>
      <c r="R11" s="147" t="e">
        <f t="shared" ca="1" si="6"/>
        <v>#N/A</v>
      </c>
      <c r="S11" s="166" t="str">
        <f t="shared" ca="1" si="7"/>
        <v/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0.21499328493182887</v>
      </c>
      <c r="F12">
        <f ca="1">VLOOKUP(B12,OUTPUT_COUNTRY!$B$7:$N$26, 9, FALSE)</f>
        <v>95.399999999999991</v>
      </c>
      <c r="G12" s="47">
        <f>VLOOKUP(B12,OUTPUT_COUNTRY!$B$7:$N$26, 7, FALSE)</f>
        <v>47.599999999999994</v>
      </c>
      <c r="H12">
        <f>VLOOKUP(B12,OUTPUT_COUNTRY!$B$7:$N$26, 8, FALSE)</f>
        <v>86.3</v>
      </c>
      <c r="I12">
        <f>VLOOKUP(B12,OUTPUT_COUNTRY!$B$7:$N$26, 11, FALSE)</f>
        <v>27.200000000000003</v>
      </c>
      <c r="J12" s="47">
        <f t="shared" ca="1" si="0"/>
        <v>4.651308064422035</v>
      </c>
      <c r="K12" s="147" t="e">
        <f t="shared" ca="1" si="1"/>
        <v>#N/A</v>
      </c>
      <c r="L12">
        <f t="shared" si="2"/>
        <v>0</v>
      </c>
      <c r="M12" s="147" t="e">
        <f t="shared" si="3"/>
        <v>#N/A</v>
      </c>
      <c r="N12">
        <f t="shared" si="8"/>
        <v>4.651308064422035</v>
      </c>
      <c r="O12" s="147" t="e">
        <f t="shared" si="4"/>
        <v>#N/A</v>
      </c>
      <c r="P12">
        <f t="shared" si="9"/>
        <v>0</v>
      </c>
      <c r="Q12" s="147" t="e">
        <f t="shared" si="5"/>
        <v>#N/A</v>
      </c>
      <c r="R12" s="147" t="e">
        <f t="shared" ca="1" si="6"/>
        <v>#N/A</v>
      </c>
      <c r="S12" s="166" t="str">
        <f t="shared" ca="1" si="7"/>
        <v/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0.29572782451012869</v>
      </c>
      <c r="F13">
        <f ca="1">VLOOKUP(B13,OUTPUT_COUNTRY!$B$7:$N$26, 9, FALSE)</f>
        <v>22.7</v>
      </c>
      <c r="G13" s="47">
        <f>VLOOKUP(B13,OUTPUT_COUNTRY!$B$7:$N$26, 7, FALSE)</f>
        <v>9.5</v>
      </c>
      <c r="H13">
        <f>VLOOKUP(B13,OUTPUT_COUNTRY!$B$7:$N$26, 8, FALSE)</f>
        <v>54.500000000000007</v>
      </c>
      <c r="I13">
        <f>VLOOKUP(B13,OUTPUT_COUNTRY!$B$7:$N$26, 11, FALSE)</f>
        <v>22.7</v>
      </c>
      <c r="J13" s="47">
        <f t="shared" ca="1" si="0"/>
        <v>0</v>
      </c>
      <c r="K13" s="147" t="e">
        <f t="shared" ca="1" si="1"/>
        <v>#N/A</v>
      </c>
      <c r="L13">
        <f t="shared" si="2"/>
        <v>0</v>
      </c>
      <c r="M13" s="147" t="e">
        <f t="shared" si="3"/>
        <v>#N/A</v>
      </c>
      <c r="N13">
        <f t="shared" si="8"/>
        <v>3.3814876961831164</v>
      </c>
      <c r="O13" s="147" t="e">
        <f t="shared" si="4"/>
        <v>#N/A</v>
      </c>
      <c r="P13">
        <f t="shared" si="9"/>
        <v>0</v>
      </c>
      <c r="Q13" s="147" t="e">
        <f t="shared" si="5"/>
        <v>#N/A</v>
      </c>
      <c r="R13" s="147" t="e">
        <f t="shared" ca="1" si="6"/>
        <v>#N/A</v>
      </c>
      <c r="S13" s="166" t="str">
        <f t="shared" ca="1" si="7"/>
        <v/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0.24929212384430807</v>
      </c>
      <c r="F14">
        <f ca="1">VLOOKUP(B14,OUTPUT_COUNTRY!$B$7:$N$26, 9, FALSE)</f>
        <v>72.7</v>
      </c>
      <c r="G14" s="47">
        <f>VLOOKUP(B14,OUTPUT_COUNTRY!$B$7:$N$26, 7, FALSE)</f>
        <v>19</v>
      </c>
      <c r="H14">
        <f>VLOOKUP(B14,OUTPUT_COUNTRY!$B$7:$N$26, 8, FALSE)</f>
        <v>86.3</v>
      </c>
      <c r="I14">
        <f>VLOOKUP(B14,OUTPUT_COUNTRY!$B$7:$N$26, 11, FALSE)</f>
        <v>36.299999999999997</v>
      </c>
      <c r="J14" s="47">
        <f t="shared" ca="1" si="0"/>
        <v>4.0113581792280613</v>
      </c>
      <c r="K14" s="147" t="e">
        <f t="shared" ca="1" si="1"/>
        <v>#N/A</v>
      </c>
      <c r="L14">
        <f t="shared" si="2"/>
        <v>0</v>
      </c>
      <c r="M14" s="147" t="e">
        <f t="shared" si="3"/>
        <v>#N/A</v>
      </c>
      <c r="N14">
        <f t="shared" si="8"/>
        <v>4.0113581792280613</v>
      </c>
      <c r="O14" s="147" t="e">
        <f t="shared" si="4"/>
        <v>#N/A</v>
      </c>
      <c r="P14">
        <f t="shared" si="9"/>
        <v>0</v>
      </c>
      <c r="Q14" s="147" t="e">
        <f t="shared" si="5"/>
        <v>#N/A</v>
      </c>
      <c r="R14" s="147" t="e">
        <f t="shared" ca="1" si="6"/>
        <v>#N/A</v>
      </c>
      <c r="S14" s="166" t="str">
        <f t="shared" ca="1" si="7"/>
        <v/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0.16086219134395788</v>
      </c>
      <c r="F15">
        <f ca="1">VLOOKUP(B15,OUTPUT_COUNTRY!$B$7:$N$26, 9, FALSE)</f>
        <v>81.8</v>
      </c>
      <c r="G15" s="47">
        <f>VLOOKUP(B15,OUTPUT_COUNTRY!$B$7:$N$26, 7, FALSE)</f>
        <v>9.5</v>
      </c>
      <c r="H15">
        <f>VLOOKUP(B15,OUTPUT_COUNTRY!$B$7:$N$26, 8, FALSE)</f>
        <v>18.099999999999998</v>
      </c>
      <c r="I15">
        <f>VLOOKUP(B15,OUTPUT_COUNTRY!$B$7:$N$26, 11, FALSE)</f>
        <v>95.399999999999991</v>
      </c>
      <c r="J15" s="47">
        <f t="shared" ca="1" si="0"/>
        <v>6.2165011656579106</v>
      </c>
      <c r="K15" s="147" t="e">
        <f t="shared" ca="1" si="1"/>
        <v>#N/A</v>
      </c>
      <c r="L15">
        <f t="shared" si="2"/>
        <v>0</v>
      </c>
      <c r="M15" s="147" t="e">
        <f t="shared" si="3"/>
        <v>#N/A</v>
      </c>
      <c r="N15">
        <f t="shared" si="8"/>
        <v>0</v>
      </c>
      <c r="O15" s="147" t="e">
        <f t="shared" si="4"/>
        <v>#N/A</v>
      </c>
      <c r="P15">
        <f t="shared" si="9"/>
        <v>6.2165011656579106</v>
      </c>
      <c r="Q15" s="147" t="e">
        <f t="shared" si="5"/>
        <v>#N/A</v>
      </c>
      <c r="R15" s="147" t="e">
        <f t="shared" ca="1" si="6"/>
        <v>#N/A</v>
      </c>
      <c r="S15" s="166" t="str">
        <f t="shared" ca="1" si="7"/>
        <v/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0.17946600485215566</v>
      </c>
      <c r="F16">
        <f ca="1">VLOOKUP(B16,OUTPUT_COUNTRY!$B$7:$N$26, 9, FALSE)</f>
        <v>50</v>
      </c>
      <c r="G16" s="47">
        <f>VLOOKUP(B16,OUTPUT_COUNTRY!$B$7:$N$26, 7, FALSE)</f>
        <v>47.599999999999994</v>
      </c>
      <c r="H16">
        <f>VLOOKUP(B16,OUTPUT_COUNTRY!$B$7:$N$26, 8, FALSE)</f>
        <v>4.5</v>
      </c>
      <c r="I16">
        <f>VLOOKUP(B16,OUTPUT_COUNTRY!$B$7:$N$26, 11, FALSE)</f>
        <v>68.100000000000009</v>
      </c>
      <c r="J16" s="47">
        <f t="shared" ca="1" si="0"/>
        <v>0</v>
      </c>
      <c r="K16" s="147" t="e">
        <f t="shared" ca="1" si="1"/>
        <v>#N/A</v>
      </c>
      <c r="L16">
        <f t="shared" si="2"/>
        <v>0</v>
      </c>
      <c r="M16" s="147" t="e">
        <f t="shared" si="3"/>
        <v>#N/A</v>
      </c>
      <c r="N16">
        <f t="shared" si="8"/>
        <v>0</v>
      </c>
      <c r="O16" s="147" t="e">
        <f t="shared" si="4"/>
        <v>#N/A</v>
      </c>
      <c r="P16">
        <f t="shared" si="9"/>
        <v>5.5720859269353067</v>
      </c>
      <c r="Q16" s="147" t="e">
        <f t="shared" si="5"/>
        <v>#N/A</v>
      </c>
      <c r="R16" s="147" t="e">
        <f t="shared" ca="1" si="6"/>
        <v>#N/A</v>
      </c>
      <c r="S16" s="166" t="str">
        <f t="shared" ca="1" si="7"/>
        <v/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0.24157304888567188</v>
      </c>
      <c r="F17">
        <f ca="1">VLOOKUP(B17,OUTPUT_COUNTRY!$B$7:$N$26, 9, FALSE)</f>
        <v>9</v>
      </c>
      <c r="G17" s="47">
        <f>VLOOKUP(B17,OUTPUT_COUNTRY!$B$7:$N$26, 7, FALSE)</f>
        <v>90.4</v>
      </c>
      <c r="H17">
        <f>VLOOKUP(B17,OUTPUT_COUNTRY!$B$7:$N$26, 8, FALSE)</f>
        <v>54.500000000000007</v>
      </c>
      <c r="I17">
        <f>VLOOKUP(B17,OUTPUT_COUNTRY!$B$7:$N$26, 11, FALSE)</f>
        <v>13.600000000000001</v>
      </c>
      <c r="J17" s="47">
        <f t="shared" ca="1" si="0"/>
        <v>0</v>
      </c>
      <c r="K17" s="147" t="e">
        <f t="shared" ca="1" si="1"/>
        <v>#N/A</v>
      </c>
      <c r="L17">
        <f t="shared" si="2"/>
        <v>4.1395346236378598</v>
      </c>
      <c r="M17" s="147" t="e">
        <f t="shared" si="3"/>
        <v>#N/A</v>
      </c>
      <c r="N17">
        <f t="shared" si="8"/>
        <v>4.1395346236378598</v>
      </c>
      <c r="O17" s="147" t="e">
        <f t="shared" si="4"/>
        <v>#N/A</v>
      </c>
      <c r="P17">
        <f t="shared" si="9"/>
        <v>0</v>
      </c>
      <c r="Q17" s="147" t="e">
        <f t="shared" si="5"/>
        <v>#N/A</v>
      </c>
      <c r="R17" s="147" t="e">
        <f t="shared" ca="1" si="6"/>
        <v>#N/A</v>
      </c>
      <c r="S17" s="166" t="str">
        <f t="shared" ca="1" si="7"/>
        <v/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0.23029581034526386</v>
      </c>
      <c r="F18">
        <f ca="1">VLOOKUP(B18,OUTPUT_COUNTRY!$B$7:$N$26, 9, FALSE)</f>
        <v>31.8</v>
      </c>
      <c r="G18" s="47">
        <f>VLOOKUP(B18,OUTPUT_COUNTRY!$B$7:$N$26, 7, FALSE)</f>
        <v>80.900000000000006</v>
      </c>
      <c r="H18">
        <f>VLOOKUP(B18,OUTPUT_COUNTRY!$B$7:$N$26, 8, FALSE)</f>
        <v>18.099999999999998</v>
      </c>
      <c r="I18">
        <f>VLOOKUP(B18,OUTPUT_COUNTRY!$B$7:$N$26, 11, FALSE)</f>
        <v>50</v>
      </c>
      <c r="J18" s="47">
        <f t="shared" ca="1" si="0"/>
        <v>0</v>
      </c>
      <c r="K18" s="147" t="e">
        <f t="shared" ca="1" si="1"/>
        <v>#N/A</v>
      </c>
      <c r="L18">
        <f t="shared" si="2"/>
        <v>4.3422413916292308</v>
      </c>
      <c r="M18" s="147" t="e">
        <f t="shared" si="3"/>
        <v>#N/A</v>
      </c>
      <c r="N18">
        <f t="shared" si="8"/>
        <v>0</v>
      </c>
      <c r="O18" s="147" t="e">
        <f t="shared" si="4"/>
        <v>#N/A</v>
      </c>
      <c r="P18">
        <f t="shared" si="9"/>
        <v>0</v>
      </c>
      <c r="Q18" s="147" t="e">
        <f t="shared" si="5"/>
        <v>#N/A</v>
      </c>
      <c r="R18" s="147" t="e">
        <f t="shared" ca="1" si="6"/>
        <v>#N/A</v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0.31396564213786476</v>
      </c>
      <c r="F19">
        <f ca="1">VLOOKUP(B19,OUTPUT_COUNTRY!$B$7:$N$26, 9, FALSE)</f>
        <v>13.600000000000001</v>
      </c>
      <c r="G19" s="47">
        <f>VLOOKUP(B19,OUTPUT_COUNTRY!$B$7:$N$26, 7, FALSE)</f>
        <v>33.300000000000004</v>
      </c>
      <c r="H19">
        <f>VLOOKUP(B19,OUTPUT_COUNTRY!$B$7:$N$26, 8, FALSE)</f>
        <v>4.5</v>
      </c>
      <c r="I19">
        <f>VLOOKUP(B19,OUTPUT_COUNTRY!$B$7:$N$26, 11, FALSE)</f>
        <v>9</v>
      </c>
      <c r="J19" s="47">
        <f t="shared" ca="1" si="0"/>
        <v>0</v>
      </c>
      <c r="K19" s="147" t="e">
        <f t="shared" ca="1" si="1"/>
        <v>#N/A</v>
      </c>
      <c r="L19">
        <f t="shared" si="2"/>
        <v>0</v>
      </c>
      <c r="M19" s="147" t="e">
        <f t="shared" si="3"/>
        <v>#N/A</v>
      </c>
      <c r="N19">
        <f t="shared" si="8"/>
        <v>0</v>
      </c>
      <c r="O19" s="147" t="e">
        <f t="shared" si="4"/>
        <v>#N/A</v>
      </c>
      <c r="P19">
        <f t="shared" si="9"/>
        <v>0</v>
      </c>
      <c r="Q19" s="147" t="e">
        <f t="shared" si="5"/>
        <v>#N/A</v>
      </c>
      <c r="R19" s="147" t="e">
        <f t="shared" ca="1" si="6"/>
        <v>#N/A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0.25298264473970355</v>
      </c>
      <c r="F20">
        <f ca="1">VLOOKUP(B20,OUTPUT_COUNTRY!$B$7:$N$26, 9, FALSE)</f>
        <v>90.9</v>
      </c>
      <c r="G20" s="47">
        <f>VLOOKUP(B20,OUTPUT_COUNTRY!$B$7:$N$26, 7, FALSE)</f>
        <v>4.7</v>
      </c>
      <c r="H20">
        <f>VLOOKUP(B20,OUTPUT_COUNTRY!$B$7:$N$26, 8, FALSE)</f>
        <v>86.3</v>
      </c>
      <c r="I20">
        <f>VLOOKUP(B20,OUTPUT_COUNTRY!$B$7:$N$26, 11, FALSE)</f>
        <v>45.4</v>
      </c>
      <c r="J20" s="47">
        <f t="shared" ca="1" si="0"/>
        <v>3.952840326374603</v>
      </c>
      <c r="K20" s="147" t="e">
        <f t="shared" ca="1" si="1"/>
        <v>#N/A</v>
      </c>
      <c r="L20">
        <f t="shared" si="2"/>
        <v>0</v>
      </c>
      <c r="M20" s="147" t="e">
        <f t="shared" si="3"/>
        <v>#N/A</v>
      </c>
      <c r="N20">
        <f t="shared" si="8"/>
        <v>3.952840326374603</v>
      </c>
      <c r="O20" s="147" t="e">
        <f t="shared" si="4"/>
        <v>#N/A</v>
      </c>
      <c r="P20">
        <f t="shared" si="9"/>
        <v>0</v>
      </c>
      <c r="Q20" s="147" t="e">
        <f t="shared" si="5"/>
        <v>#N/A</v>
      </c>
      <c r="R20" s="147" t="e">
        <f t="shared" ca="1" si="6"/>
        <v>#N/A</v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0.2719472910336399</v>
      </c>
      <c r="F21">
        <f ca="1">VLOOKUP(B21,OUTPUT_COUNTRY!$B$7:$N$26, 9, FALSE)</f>
        <v>40.9</v>
      </c>
      <c r="G21" s="47">
        <f>VLOOKUP(B21,OUTPUT_COUNTRY!$B$7:$N$26, 7, FALSE)</f>
        <v>23.799999999999997</v>
      </c>
      <c r="H21">
        <f>VLOOKUP(B21,OUTPUT_COUNTRY!$B$7:$N$26, 8, FALSE)</f>
        <v>27.200000000000003</v>
      </c>
      <c r="I21">
        <f>VLOOKUP(B21,OUTPUT_COUNTRY!$B$7:$N$26, 11, FALSE)</f>
        <v>31.8</v>
      </c>
      <c r="J21" s="47">
        <f t="shared" ca="1" si="0"/>
        <v>0</v>
      </c>
      <c r="K21" s="147" t="e">
        <f t="shared" ca="1" si="1"/>
        <v>#N/A</v>
      </c>
      <c r="L21">
        <f t="shared" si="2"/>
        <v>0</v>
      </c>
      <c r="M21" s="147" t="e">
        <f t="shared" si="3"/>
        <v>#N/A</v>
      </c>
      <c r="N21">
        <f t="shared" si="8"/>
        <v>0</v>
      </c>
      <c r="O21" s="147" t="e">
        <f t="shared" si="4"/>
        <v>#N/A</v>
      </c>
      <c r="P21">
        <f t="shared" si="9"/>
        <v>0</v>
      </c>
      <c r="Q21" s="147" t="e">
        <f t="shared" si="5"/>
        <v>#N/A</v>
      </c>
      <c r="R21" s="147" t="e">
        <f t="shared" ca="1" si="6"/>
        <v>#N/A</v>
      </c>
      <c r="S21" s="166" t="str">
        <f t="shared" ca="1" si="7"/>
        <v/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0.17693753355986594</v>
      </c>
      <c r="F22">
        <f ca="1">VLOOKUP(B22,OUTPUT_COUNTRY!$B$7:$N$26, 9, FALSE)</f>
        <v>63.6</v>
      </c>
      <c r="G22" s="47">
        <f>VLOOKUP(B22,OUTPUT_COUNTRY!$B$7:$N$26, 7, FALSE)</f>
        <v>66.600000000000009</v>
      </c>
      <c r="H22">
        <f>VLOOKUP(B22,OUTPUT_COUNTRY!$B$7:$N$26, 8, FALSE)</f>
        <v>27.200000000000003</v>
      </c>
      <c r="I22">
        <f>VLOOKUP(B22,OUTPUT_COUNTRY!$B$7:$N$26, 11, FALSE)</f>
        <v>40.9</v>
      </c>
      <c r="J22" s="47">
        <f t="shared" ca="1" si="0"/>
        <v>0</v>
      </c>
      <c r="K22" s="147" t="e">
        <f t="shared" ca="1" si="1"/>
        <v>#N/A</v>
      </c>
      <c r="L22">
        <f t="shared" si="2"/>
        <v>0</v>
      </c>
      <c r="M22" s="147" t="e">
        <f t="shared" si="3"/>
        <v>#N/A</v>
      </c>
      <c r="N22">
        <f t="shared" si="8"/>
        <v>0</v>
      </c>
      <c r="O22" s="147" t="e">
        <f t="shared" si="4"/>
        <v>#N/A</v>
      </c>
      <c r="P22">
        <f t="shared" si="9"/>
        <v>0</v>
      </c>
      <c r="Q22" s="147" t="e">
        <f t="shared" si="5"/>
        <v>#N/A</v>
      </c>
      <c r="R22" s="147" t="e">
        <f t="shared" ca="1" si="6"/>
        <v>#N/A</v>
      </c>
      <c r="S22" s="166" t="str">
        <f t="shared" ca="1" si="7"/>
        <v/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0.26494467349205369</v>
      </c>
      <c r="F23">
        <f ca="1">VLOOKUP(B23,OUTPUT_COUNTRY!$B$7:$N$26, 9, FALSE)</f>
        <v>68.100000000000009</v>
      </c>
      <c r="G23" s="47">
        <f>VLOOKUP(B23,OUTPUT_COUNTRY!$B$7:$N$26, 7, FALSE)</f>
        <v>85.7</v>
      </c>
      <c r="H23">
        <f>VLOOKUP(B23,OUTPUT_COUNTRY!$B$7:$N$26, 8, FALSE)</f>
        <v>54.500000000000007</v>
      </c>
      <c r="I23">
        <f>VLOOKUP(B23,OUTPUT_COUNTRY!$B$7:$N$26, 11, FALSE)</f>
        <v>86.3</v>
      </c>
      <c r="J23" s="47">
        <f t="shared" ca="1" si="0"/>
        <v>0</v>
      </c>
      <c r="K23" s="147" t="e">
        <f t="shared" ca="1" si="1"/>
        <v>#N/A</v>
      </c>
      <c r="L23">
        <f t="shared" si="2"/>
        <v>3.7743729165024802</v>
      </c>
      <c r="M23" s="147" t="e">
        <f t="shared" si="3"/>
        <v>#N/A</v>
      </c>
      <c r="N23">
        <f t="shared" si="8"/>
        <v>3.7743729165024802</v>
      </c>
      <c r="O23" s="147" t="e">
        <f t="shared" si="4"/>
        <v>#N/A</v>
      </c>
      <c r="P23">
        <f t="shared" si="9"/>
        <v>3.7743729165024802</v>
      </c>
      <c r="Q23" s="147" t="e">
        <f t="shared" si="5"/>
        <v>#N/A</v>
      </c>
      <c r="R23" s="147" t="e">
        <f t="shared" ca="1" si="6"/>
        <v>#N/A</v>
      </c>
      <c r="S23" s="166" t="str">
        <f t="shared" ca="1" si="7"/>
        <v/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0.16994145143841008</v>
      </c>
      <c r="F24">
        <f ca="1">VLOOKUP(B24,OUTPUT_COUNTRY!$B$7:$N$26, 9, FALSE)</f>
        <v>77.2</v>
      </c>
      <c r="G24" s="47">
        <f>VLOOKUP(B24,OUTPUT_COUNTRY!$B$7:$N$26, 7, FALSE)</f>
        <v>61.9</v>
      </c>
      <c r="H24">
        <f>VLOOKUP(B24,OUTPUT_COUNTRY!$B$7:$N$26, 8, FALSE)</f>
        <v>27.200000000000003</v>
      </c>
      <c r="I24">
        <f>VLOOKUP(B24,OUTPUT_COUNTRY!$B$7:$N$26, 11, FALSE)</f>
        <v>81.8</v>
      </c>
      <c r="J24" s="47">
        <f t="shared" ca="1" si="0"/>
        <v>5.8843795409292383</v>
      </c>
      <c r="K24" s="147" t="e">
        <f t="shared" ca="1" si="1"/>
        <v>#N/A</v>
      </c>
      <c r="L24">
        <f t="shared" si="2"/>
        <v>0</v>
      </c>
      <c r="M24" s="147" t="e">
        <f t="shared" si="3"/>
        <v>#N/A</v>
      </c>
      <c r="N24">
        <f t="shared" si="8"/>
        <v>0</v>
      </c>
      <c r="O24" s="147" t="e">
        <f t="shared" si="4"/>
        <v>#N/A</v>
      </c>
      <c r="P24">
        <f t="shared" si="9"/>
        <v>5.8843795409292383</v>
      </c>
      <c r="Q24" s="147" t="e">
        <f t="shared" si="5"/>
        <v>#N/A</v>
      </c>
      <c r="R24" s="147" t="e">
        <f t="shared" ca="1" si="6"/>
        <v>#N/A</v>
      </c>
      <c r="S24" s="166" t="str">
        <f t="shared" ca="1" si="7"/>
        <v/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0.14046109949256444</v>
      </c>
      <c r="F25" t="e">
        <f>VLOOKUP(B25,OUTPUT_COUNTRY!$B$7:$N$26, 9, FALSE)</f>
        <v>#N/A</v>
      </c>
      <c r="G25" s="47" t="e">
        <f>VLOOKUP(B25,OUTPUT_COUNTRY!$B$7:$N$26, 7, FALSE)</f>
        <v>#N/A</v>
      </c>
      <c r="H25" t="e">
        <f>VLOOKUP(B25,OUTPUT_COUNTRY!$B$7:$N$26, 8, FALSE)</f>
        <v>#N/A</v>
      </c>
      <c r="I25" t="e">
        <f>VLOOKUP(B25,OUTPUT_COUNTRY!$B$7:$N$26, 11, FALSE)</f>
        <v>#N/A</v>
      </c>
      <c r="J25" s="47" t="e">
        <f t="shared" si="0"/>
        <v>#N/A</v>
      </c>
      <c r="K25" s="147" t="e">
        <f t="shared" ca="1" si="1"/>
        <v>#N/A</v>
      </c>
      <c r="L25" t="e">
        <f t="shared" si="2"/>
        <v>#N/A</v>
      </c>
      <c r="M25" s="147" t="e">
        <f t="shared" si="3"/>
        <v>#N/A</v>
      </c>
      <c r="N25" t="e">
        <f t="shared" si="8"/>
        <v>#N/A</v>
      </c>
      <c r="O25" s="147" t="e">
        <f t="shared" si="4"/>
        <v>#N/A</v>
      </c>
      <c r="P25" t="e">
        <f t="shared" si="9"/>
        <v>#N/A</v>
      </c>
      <c r="Q25" s="147" t="e">
        <f t="shared" si="5"/>
        <v>#N/A</v>
      </c>
      <c r="R25" s="147" t="e">
        <f t="shared" ca="1" si="6"/>
        <v>#N/A</v>
      </c>
      <c r="S25" s="166" t="str">
        <f t="shared" ca="1" si="7"/>
        <v/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0.3402617760123241</v>
      </c>
      <c r="F26">
        <f ca="1">VLOOKUP(B26,OUTPUT_COUNTRY!$B$7:$N$26, 9, FALSE)</f>
        <v>4.5</v>
      </c>
      <c r="G26" s="47">
        <f>VLOOKUP(B26,OUTPUT_COUNTRY!$B$7:$N$26, 7, FALSE)</f>
        <v>42.8</v>
      </c>
      <c r="H26">
        <f>VLOOKUP(B26,OUTPUT_COUNTRY!$B$7:$N$26, 8, FALSE)</f>
        <v>4.5</v>
      </c>
      <c r="I26">
        <f>VLOOKUP(B26,OUTPUT_COUNTRY!$B$7:$N$26, 11, FALSE)</f>
        <v>4.5</v>
      </c>
      <c r="J26" s="47">
        <f t="shared" ca="1" si="0"/>
        <v>0</v>
      </c>
      <c r="K26" s="147" t="e">
        <f t="shared" ca="1" si="1"/>
        <v>#N/A</v>
      </c>
      <c r="L26">
        <f t="shared" si="2"/>
        <v>0</v>
      </c>
      <c r="M26" s="147" t="e">
        <f t="shared" si="3"/>
        <v>#N/A</v>
      </c>
      <c r="N26">
        <f t="shared" si="8"/>
        <v>0</v>
      </c>
      <c r="O26" s="147" t="e">
        <f t="shared" si="4"/>
        <v>#N/A</v>
      </c>
      <c r="P26">
        <f t="shared" si="9"/>
        <v>0</v>
      </c>
      <c r="Q26" s="147" t="e">
        <f t="shared" si="5"/>
        <v>#N/A</v>
      </c>
      <c r="R26" s="147" t="e">
        <f t="shared" ca="1" si="6"/>
        <v>#N/A</v>
      </c>
      <c r="S26" s="166" t="str">
        <f t="shared" ca="1" si="7"/>
        <v/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0.1695652283706153</v>
      </c>
      <c r="F27">
        <f ca="1">VLOOKUP(B27,OUTPUT_COUNTRY!$B$7:$N$26, 9, FALSE)</f>
        <v>59</v>
      </c>
      <c r="G27" s="47">
        <f>VLOOKUP(B27,OUTPUT_COUNTRY!$B$7:$N$26, 7, FALSE)</f>
        <v>76.099999999999994</v>
      </c>
      <c r="H27">
        <f>VLOOKUP(B27,OUTPUT_COUNTRY!$B$7:$N$26, 8, FALSE)</f>
        <v>27.200000000000003</v>
      </c>
      <c r="I27">
        <f>VLOOKUP(B27,OUTPUT_COUNTRY!$B$7:$N$26, 11, FALSE)</f>
        <v>77.2</v>
      </c>
      <c r="J27" s="47">
        <f t="shared" ca="1" si="0"/>
        <v>0</v>
      </c>
      <c r="K27" s="147" t="e">
        <f t="shared" ca="1" si="1"/>
        <v>#N/A</v>
      </c>
      <c r="L27">
        <f t="shared" si="2"/>
        <v>5.8974355155782305</v>
      </c>
      <c r="M27" s="147" t="e">
        <f t="shared" si="3"/>
        <v>#N/A</v>
      </c>
      <c r="N27">
        <f t="shared" si="8"/>
        <v>0</v>
      </c>
      <c r="O27" s="147" t="e">
        <f t="shared" si="4"/>
        <v>#N/A</v>
      </c>
      <c r="P27">
        <f t="shared" si="9"/>
        <v>5.8974355155782305</v>
      </c>
      <c r="Q27" s="147" t="e">
        <f t="shared" si="5"/>
        <v>#N/A</v>
      </c>
      <c r="R27" s="147" t="e">
        <f t="shared" ca="1" si="6"/>
        <v>#N/A</v>
      </c>
      <c r="S27" s="166" t="str">
        <f t="shared" ca="1" si="7"/>
        <v/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0.21624682976951781</v>
      </c>
      <c r="F28">
        <f ca="1">VLOOKUP(B28,OUTPUT_COUNTRY!$B$7:$N$26, 9, FALSE)</f>
        <v>18.099999999999998</v>
      </c>
      <c r="G28" s="47">
        <f>VLOOKUP(B28,OUTPUT_COUNTRY!$B$7:$N$26, 7, FALSE)</f>
        <v>28.499999999999996</v>
      </c>
      <c r="H28">
        <f>VLOOKUP(B28,OUTPUT_COUNTRY!$B$7:$N$26, 8, FALSE)</f>
        <v>27.200000000000003</v>
      </c>
      <c r="I28">
        <f>VLOOKUP(B28,OUTPUT_COUNTRY!$B$7:$N$26, 11, FALSE)</f>
        <v>59</v>
      </c>
      <c r="J28" s="47">
        <f t="shared" ca="1" si="0"/>
        <v>0</v>
      </c>
      <c r="K28" s="147" t="e">
        <f t="shared" ca="1" si="1"/>
        <v>#N/A</v>
      </c>
      <c r="L28">
        <f t="shared" si="2"/>
        <v>0</v>
      </c>
      <c r="M28" s="147" t="e">
        <f t="shared" si="3"/>
        <v>#N/A</v>
      </c>
      <c r="N28">
        <f t="shared" si="8"/>
        <v>0</v>
      </c>
      <c r="O28" s="147" t="e">
        <f t="shared" si="4"/>
        <v>#N/A</v>
      </c>
      <c r="P28">
        <f t="shared" si="9"/>
        <v>0</v>
      </c>
      <c r="Q28" s="147" t="e">
        <f t="shared" si="5"/>
        <v>#N/A</v>
      </c>
      <c r="R28" s="147" t="e">
        <f t="shared" ca="1" si="6"/>
        <v>#N/A</v>
      </c>
      <c r="S28" s="166" t="str">
        <f t="shared" ca="1" si="7"/>
        <v/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0.16207842629069943</v>
      </c>
      <c r="F29" s="13">
        <f ca="1">VLOOKUP(B29,OUTPUT_COUNTRY!$B$7:$N$26, 9, FALSE)</f>
        <v>36.299999999999997</v>
      </c>
      <c r="G29" s="149">
        <f>VLOOKUP(B29,OUTPUT_COUNTRY!$B$7:$N$26, 7, FALSE)</f>
        <v>38</v>
      </c>
      <c r="H29" s="13">
        <f>VLOOKUP(B29,OUTPUT_COUNTRY!$B$7:$N$26, 8, FALSE)</f>
        <v>54.500000000000007</v>
      </c>
      <c r="I29" s="13">
        <f>VLOOKUP(B29,OUTPUT_COUNTRY!$B$7:$N$26, 11, FALSE)</f>
        <v>54.500000000000007</v>
      </c>
      <c r="J29" s="149">
        <f t="shared" ca="1" si="0"/>
        <v>0</v>
      </c>
      <c r="K29" s="148" t="e">
        <f t="shared" ca="1" si="1"/>
        <v>#N/A</v>
      </c>
      <c r="L29" s="13">
        <f t="shared" si="2"/>
        <v>0</v>
      </c>
      <c r="M29" s="148" t="e">
        <f t="shared" si="3"/>
        <v>#N/A</v>
      </c>
      <c r="N29" s="13">
        <f t="shared" si="8"/>
        <v>6.1698526009033881</v>
      </c>
      <c r="O29" s="148" t="e">
        <f t="shared" si="4"/>
        <v>#N/A</v>
      </c>
      <c r="P29" s="13">
        <f t="shared" si="9"/>
        <v>0</v>
      </c>
      <c r="Q29" s="148" t="e">
        <f t="shared" si="5"/>
        <v>#N/A</v>
      </c>
      <c r="R29" s="148" t="e">
        <f t="shared" ca="1" si="6"/>
        <v>#N/A</v>
      </c>
      <c r="S29" s="167" t="str">
        <f t="shared" ca="1" si="7"/>
        <v/>
      </c>
      <c r="U29" s="52"/>
    </row>
    <row r="30" spans="2:21" x14ac:dyDescent="0.35">
      <c r="J30" s="47" t="e">
        <f ca="1">SUM(J9:J29)</f>
        <v>#N/A</v>
      </c>
      <c r="L30" s="47" t="e">
        <f>SUM(L9:L29)</f>
        <v>#N/A</v>
      </c>
      <c r="N30" t="e">
        <f>SUM(N9:N29)</f>
        <v>#N/A</v>
      </c>
      <c r="P30" t="e">
        <f>SUM(P9:P29)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3"/>
  <sheetViews>
    <sheetView topLeftCell="B1" zoomScale="95" zoomScaleNormal="95" workbookViewId="0">
      <selection activeCell="J21" sqref="J21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IF(VLOOKUP(C4,OUTPUT_COUNTRY!$B$7:$N$26,3,FALSE)&gt;75,"++",(IF(VLOOKUP(C4,OUTPUT_COUNTRY!$B$7:$N$26,3,FALSE)&gt;50,"+",(IF(VLOOKUP(C4,OUTPUT_COUNTRY!$B$7:$N$26,3,FALSE)&gt;25,"-","--")))))</f>
        <v>--</v>
      </c>
      <c r="F4" s="126" t="str">
        <f>IF(VLOOKUP(C4,OUTPUT_COUNTRY!$B$7:$N$26,4,FALSE)&gt;75,"++",(IF(VLOOKUP(C4,OUTPUT_COUNTRY!$B$7:$N$26,4,FALSE)&gt;50,"+",(IF(VLOOKUP(C4,OUTPUT_COUNTRY!$B$7:$N$26,4,FALSE)&gt;25,"-","--")))))</f>
        <v>++</v>
      </c>
      <c r="G4" s="128" t="str">
        <f>IF(VLOOKUP(C4,OUTPUT_COUNTRY!$B$7:$N$26,5,FALSE)&gt;75,"++",(IF(VLOOKUP(C4,OUTPUT_COUNTRY!$B$7:$N$26,5,FALSE)&gt;50,"+",(IF(VLOOKUP(C4,OUTPUT_COUNTRY!$B$7:$N$26,5,FALSE)&gt;25,"-","--")))))</f>
        <v>+</v>
      </c>
      <c r="H4" s="124" t="str">
        <f>IF(VLOOKUP(C4,OUTPUT_COUNTRY!$B$7:$N$26,7,FALSE)&gt;75,"++",(IF(VLOOKUP(C4,OUTPUT_COUNTRY!$B$7:$N$26,7,FALSE)&gt;50,"+",(IF(VLOOKUP(C4,OUTPUT_COUNTRY!$B$7:$N$26,7,FALSE)&gt;25,"-","--")))))</f>
        <v>-</v>
      </c>
      <c r="I4" s="124" t="str">
        <f>IF(VLOOKUP(C4,OUTPUT_COUNTRY!$B$7:$N$26,8,FALSE)&gt;75,"++",(IF(VLOOKUP(C4,OUTPUT_COUNTRY!$B$7:$N$26,8,FALSE)&gt;50,"+",(IF(VLOOKUP(C4,OUTPUT_COUNTRY!$B$7:$N$26,8,FALSE)&gt;25,"-","--")))))</f>
        <v>--</v>
      </c>
      <c r="J4" s="124" t="str">
        <f ca="1">IF(VLOOKUP(C4,OUTPUT_COUNTRY!$B$7:$N$26,9,FALSE)&gt;75,"++",(IF(VLOOKUP(C4,OUTPUT_COUNTRY!$B$7:$N$26,9,FALSE)&gt;50,"+",(IF(VLOOKUP(C4,OUTPUT_COUNTRY!$B$7:$N$26,9,FALSE)&gt;25,"-","--")))))</f>
        <v>-</v>
      </c>
      <c r="K4" s="124" t="str">
        <f>IF(VLOOKUP(C4,OUTPUT_COUNTRY!$B$7:$N$26,11,FALSE)&gt;75,"++",(IF(VLOOKUP(C4,OUTPUT_COUNTRY!$B$7:$N$26,11,FALSE)&gt;50,"+",(IF(VLOOKUP(C4,OUTPUT_COUNTRY!$B$7:$N$26,11,FALSE)&gt;25,"-","--")))))</f>
        <v>+</v>
      </c>
      <c r="L4" s="125" t="str">
        <f ca="1">IF(VLOOKUP(C4,OUTPUT_COUNTRY!$B$7:$N$26,13,FALSE)&gt;75,"++",(IF(VLOOKUP(C4,OUTPUT_COUNTRY!$B$7:$N$26,13,FALSE)&gt;50,"+",(IF(VLOOKUP(C4,OUTPUT_COUNTRY!$B$7:$N$26,13,FALSE)&gt;25,"-","--")))))</f>
        <v>-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IF(VLOOKUP(C5,OUTPUT_COUNTRY!$B$7:$N$26,3,FALSE)&gt;75,"++",(IF(VLOOKUP(C5,OUTPUT_COUNTRY!$B$7:$N$26,3,FALSE)&gt;50,"+",(IF(VLOOKUP(C5,OUTPUT_COUNTRY!$B$7:$N$26,3,FALSE)&gt;25,"-","--")))))</f>
        <v>--</v>
      </c>
      <c r="F5" s="126" t="str">
        <f>IF(VLOOKUP(C5,OUTPUT_COUNTRY!$B$7:$N$26,4,FALSE)&gt;75,"++",(IF(VLOOKUP(C5,OUTPUT_COUNTRY!$B$7:$N$26,4,FALSE)&gt;50,"+",(IF(VLOOKUP(C5,OUTPUT_COUNTRY!$B$7:$N$26,4,FALSE)&gt;25,"-","--")))))</f>
        <v>--</v>
      </c>
      <c r="G5" s="128" t="str">
        <f>IF(VLOOKUP(C5,OUTPUT_COUNTRY!$B$7:$N$26,5,FALSE)&gt;75,"++",(IF(VLOOKUP(C5,OUTPUT_COUNTRY!$B$7:$N$26,5,FALSE)&gt;50,"+",(IF(VLOOKUP(C5,OUTPUT_COUNTRY!$B$7:$N$26,5,FALSE)&gt;25,"-","--")))))</f>
        <v>+</v>
      </c>
      <c r="H5" s="128" t="str">
        <f>IF(VLOOKUP(C5,OUTPUT_COUNTRY!$B$7:$N$26,7,FALSE)&gt;75,"++",(IF(VLOOKUP(C5,OUTPUT_COUNTRY!$B$7:$N$26,7,FALSE)&gt;50,"+",(IF(VLOOKUP(C5,OUTPUT_COUNTRY!$B$7:$N$26,7,FALSE)&gt;25,"-","--")))))</f>
        <v>-</v>
      </c>
      <c r="I5" s="128" t="str">
        <f>IF(VLOOKUP(C5,OUTPUT_COUNTRY!$B$7:$N$26,8,FALSE)&gt;75,"++",(IF(VLOOKUP(C5,OUTPUT_COUNTRY!$B$7:$N$26,8,FALSE)&gt;50,"+",(IF(VLOOKUP(C5,OUTPUT_COUNTRY!$B$7:$N$26,8,FALSE)&gt;25,"-","--")))))</f>
        <v>-</v>
      </c>
      <c r="J5" s="128" t="str">
        <f ca="1">IF(VLOOKUP(C5,OUTPUT_COUNTRY!$B$7:$N$26,9,FALSE)&gt;75,"++",(IF(VLOOKUP(C5,OUTPUT_COUNTRY!$B$7:$N$26,9,FALSE)&gt;50,"+",(IF(VLOOKUP(C5,OUTPUT_COUNTRY!$B$7:$N$26,9,FALSE)&gt;25,"-","--")))))</f>
        <v>--</v>
      </c>
      <c r="K5" s="128" t="str">
        <f>IF(VLOOKUP(C5,OUTPUT_COUNTRY!$B$7:$N$26,11,FALSE)&gt;75,"++",(IF(VLOOKUP(C5,OUTPUT_COUNTRY!$B$7:$N$26,11,FALSE)&gt;50,"+",(IF(VLOOKUP(C5,OUTPUT_COUNTRY!$B$7:$N$26,11,FALSE)&gt;25,"-","--")))))</f>
        <v>+</v>
      </c>
      <c r="L5" s="126" t="str">
        <f ca="1">IF(VLOOKUP(C5,OUTPUT_COUNTRY!$B$7:$N$26,13,FALSE)&gt;75,"++",(IF(VLOOKUP(C5,OUTPUT_COUNTRY!$B$7:$N$26,13,FALSE)&gt;50,"+",(IF(VLOOKUP(C5,OUTPUT_COUNTRY!$B$7:$N$26,13,FALSE)&gt;25,"-","--")))))</f>
        <v>--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IF(VLOOKUP(C6,OUTPUT_COUNTRY!$B$7:$N$26,3,FALSE)&gt;75,"++",(IF(VLOOKUP(C6,OUTPUT_COUNTRY!$B$7:$N$26,3,FALSE)&gt;50,"+",(IF(VLOOKUP(C6,OUTPUT_COUNTRY!$B$7:$N$26,3,FALSE)&gt;25,"-","--")))))</f>
        <v>--</v>
      </c>
      <c r="F6" s="126" t="str">
        <f>IF(VLOOKUP(C6,OUTPUT_COUNTRY!$B$7:$N$26,4,FALSE)&gt;75,"++",(IF(VLOOKUP(C6,OUTPUT_COUNTRY!$B$7:$N$26,4,FALSE)&gt;50,"+",(IF(VLOOKUP(C6,OUTPUT_COUNTRY!$B$7:$N$26,4,FALSE)&gt;25,"-","--")))))</f>
        <v>-</v>
      </c>
      <c r="G6" s="128" t="str">
        <f>IF(VLOOKUP(C6,OUTPUT_COUNTRY!$B$7:$N$26,5,FALSE)&gt;75,"++",(IF(VLOOKUP(C6,OUTPUT_COUNTRY!$B$7:$N$26,5,FALSE)&gt;50,"+",(IF(VLOOKUP(C6,OUTPUT_COUNTRY!$B$7:$N$26,5,FALSE)&gt;25,"-","--")))))</f>
        <v>++</v>
      </c>
      <c r="H6" s="128" t="str">
        <f>IF(VLOOKUP(C6,OUTPUT_COUNTRY!$B$7:$N$26,7,FALSE)&gt;75,"++",(IF(VLOOKUP(C6,OUTPUT_COUNTRY!$B$7:$N$26,7,FALSE)&gt;50,"+",(IF(VLOOKUP(C6,OUTPUT_COUNTRY!$B$7:$N$26,7,FALSE)&gt;25,"-","--")))))</f>
        <v>-</v>
      </c>
      <c r="I6" s="128" t="str">
        <f>IF(VLOOKUP(C6,OUTPUT_COUNTRY!$B$7:$N$26,8,FALSE)&gt;75,"++",(IF(VLOOKUP(C6,OUTPUT_COUNTRY!$B$7:$N$26,8,FALSE)&gt;50,"+",(IF(VLOOKUP(C6,OUTPUT_COUNTRY!$B$7:$N$26,8,FALSE)&gt;25,"-","--")))))</f>
        <v>+</v>
      </c>
      <c r="J6" s="128" t="str">
        <f ca="1">IF(VLOOKUP(C6,OUTPUT_COUNTRY!$B$7:$N$26,9,FALSE)&gt;75,"++",(IF(VLOOKUP(C6,OUTPUT_COUNTRY!$B$7:$N$26,9,FALSE)&gt;50,"+",(IF(VLOOKUP(C6,OUTPUT_COUNTRY!$B$7:$N$26,9,FALSE)&gt;25,"-","--")))))</f>
        <v>-</v>
      </c>
      <c r="K6" s="128" t="str">
        <f>IF(VLOOKUP(C6,OUTPUT_COUNTRY!$B$7:$N$26,11,FALSE)&gt;75,"++",(IF(VLOOKUP(C6,OUTPUT_COUNTRY!$B$7:$N$26,11,FALSE)&gt;50,"+",(IF(VLOOKUP(C6,OUTPUT_COUNTRY!$B$7:$N$26,11,FALSE)&gt;25,"-","--")))))</f>
        <v>+</v>
      </c>
      <c r="L6" s="126" t="str">
        <f ca="1">IF(VLOOKUP(C6,OUTPUT_COUNTRY!$B$7:$N$26,13,FALSE)&gt;75,"++",(IF(VLOOKUP(C6,OUTPUT_COUNTRY!$B$7:$N$26,13,FALSE)&gt;50,"+",(IF(VLOOKUP(C6,OUTPUT_COUNTRY!$B$7:$N$26,13,FALSE)&gt;25,"-","--")))))</f>
        <v>-</v>
      </c>
    </row>
    <row r="7" spans="3:12" x14ac:dyDescent="0.35">
      <c r="C7" s="80" t="s">
        <v>7</v>
      </c>
      <c r="D7" s="82" t="s">
        <v>53</v>
      </c>
      <c r="E7" s="126" t="str">
        <f>IF(VLOOKUP(C7,OUTPUT_COUNTRY!$B$7:$N$26,3,FALSE)&gt;75,"++",(IF(VLOOKUP(C7,OUTPUT_COUNTRY!$B$7:$N$26,3,FALSE)&gt;50,"+",(IF(VLOOKUP(C7,OUTPUT_COUNTRY!$B$7:$N$26,3,FALSE)&gt;25,"-","--")))))</f>
        <v>-</v>
      </c>
      <c r="F7" s="126" t="str">
        <f>IF(VLOOKUP(C7,OUTPUT_COUNTRY!$B$7:$N$26,4,FALSE)&gt;75,"++",(IF(VLOOKUP(C7,OUTPUT_COUNTRY!$B$7:$N$26,4,FALSE)&gt;50,"+",(IF(VLOOKUP(C7,OUTPUT_COUNTRY!$B$7:$N$26,4,FALSE)&gt;25,"-","--")))))</f>
        <v>+</v>
      </c>
      <c r="G7" s="128" t="str">
        <f>IF(VLOOKUP(C7,OUTPUT_COUNTRY!$B$7:$N$26,5,FALSE)&gt;75,"++",(IF(VLOOKUP(C7,OUTPUT_COUNTRY!$B$7:$N$26,5,FALSE)&gt;50,"+",(IF(VLOOKUP(C7,OUTPUT_COUNTRY!$B$7:$N$26,5,FALSE)&gt;25,"-","--")))))</f>
        <v>++</v>
      </c>
      <c r="H7" s="128" t="str">
        <f>IF(VLOOKUP(C7,OUTPUT_COUNTRY!$B$7:$N$26,7,FALSE)&gt;75,"++",(IF(VLOOKUP(C7,OUTPUT_COUNTRY!$B$7:$N$26,7,FALSE)&gt;50,"+",(IF(VLOOKUP(C7,OUTPUT_COUNTRY!$B$7:$N$26,7,FALSE)&gt;25,"-","--")))))</f>
        <v>++</v>
      </c>
      <c r="I7" s="128" t="str">
        <f>IF(VLOOKUP(C7,OUTPUT_COUNTRY!$B$7:$N$26,8,FALSE)&gt;75,"++",(IF(VLOOKUP(C7,OUTPUT_COUNTRY!$B$7:$N$26,8,FALSE)&gt;50,"+",(IF(VLOOKUP(C7,OUTPUT_COUNTRY!$B$7:$N$26,8,FALSE)&gt;25,"-","--")))))</f>
        <v>+</v>
      </c>
      <c r="J7" s="128" t="str">
        <f ca="1">IF(VLOOKUP(C7,OUTPUT_COUNTRY!$B$7:$N$26,9,FALSE)&gt;75,"++",(IF(VLOOKUP(C7,OUTPUT_COUNTRY!$B$7:$N$26,9,FALSE)&gt;50,"+",(IF(VLOOKUP(C7,OUTPUT_COUNTRY!$B$7:$N$26,9,FALSE)&gt;25,"-","--")))))</f>
        <v>--</v>
      </c>
      <c r="K7" s="128" t="str">
        <f>IF(VLOOKUP(C7,OUTPUT_COUNTRY!$B$7:$N$26,11,FALSE)&gt;75,"++",(IF(VLOOKUP(C7,OUTPUT_COUNTRY!$B$7:$N$26,11,FALSE)&gt;50,"+",(IF(VLOOKUP(C7,OUTPUT_COUNTRY!$B$7:$N$26,11,FALSE)&gt;25,"-","--")))))</f>
        <v>--</v>
      </c>
      <c r="L7" s="126" t="str">
        <f ca="1">IF(VLOOKUP(C7,OUTPUT_COUNTRY!$B$7:$N$26,13,FALSE)&gt;75,"++",(IF(VLOOKUP(C7,OUTPUT_COUNTRY!$B$7:$N$26,13,FALSE)&gt;50,"+",(IF(VLOOKUP(C7,OUTPUT_COUNTRY!$B$7:$N$26,13,FALSE)&gt;25,"-","--")))))</f>
        <v>--</v>
      </c>
    </row>
    <row r="8" spans="3:12" x14ac:dyDescent="0.35">
      <c r="C8" s="80" t="s">
        <v>35</v>
      </c>
      <c r="D8" s="82" t="s">
        <v>437</v>
      </c>
      <c r="E8" s="126" t="str">
        <f>IF(VLOOKUP(C8,OUTPUT_COUNTRY!$B$7:$N$26,3,FALSE)&gt;75,"++",(IF(VLOOKUP(C8,OUTPUT_COUNTRY!$B$7:$N$26,3,FALSE)&gt;50,"+",(IF(VLOOKUP(C8,OUTPUT_COUNTRY!$B$7:$N$26,3,FALSE)&gt;25,"-","--")))))</f>
        <v>-</v>
      </c>
      <c r="F8" s="126" t="str">
        <f>IF(VLOOKUP(C8,OUTPUT_COUNTRY!$B$7:$N$26,4,FALSE)&gt;75,"++",(IF(VLOOKUP(C8,OUTPUT_COUNTRY!$B$7:$N$26,4,FALSE)&gt;50,"+",(IF(VLOOKUP(C8,OUTPUT_COUNTRY!$B$7:$N$26,4,FALSE)&gt;25,"-","--")))))</f>
        <v>+</v>
      </c>
      <c r="G8" s="128" t="str">
        <f>IF(VLOOKUP(C8,OUTPUT_COUNTRY!$B$7:$N$26,5,FALSE)&gt;75,"++",(IF(VLOOKUP(C8,OUTPUT_COUNTRY!$B$7:$N$26,5,FALSE)&gt;50,"+",(IF(VLOOKUP(C8,OUTPUT_COUNTRY!$B$7:$N$26,5,FALSE)&gt;25,"-","--")))))</f>
        <v>++</v>
      </c>
      <c r="H8" s="128" t="str">
        <f>IF(VLOOKUP(C8,OUTPUT_COUNTRY!$B$7:$N$26,7,FALSE)&gt;75,"++",(IF(VLOOKUP(C8,OUTPUT_COUNTRY!$B$7:$N$26,7,FALSE)&gt;50,"+",(IF(VLOOKUP(C8,OUTPUT_COUNTRY!$B$7:$N$26,7,FALSE)&gt;25,"-","--")))))</f>
        <v>+</v>
      </c>
      <c r="I8" s="128" t="str">
        <f>IF(VLOOKUP(C8,OUTPUT_COUNTRY!$B$7:$N$26,8,FALSE)&gt;75,"++",(IF(VLOOKUP(C8,OUTPUT_COUNTRY!$B$7:$N$26,8,FALSE)&gt;50,"+",(IF(VLOOKUP(C8,OUTPUT_COUNTRY!$B$7:$N$26,8,FALSE)&gt;25,"-","--")))))</f>
        <v>+</v>
      </c>
      <c r="J8" s="128" t="str">
        <f ca="1">IF(VLOOKUP(C8,OUTPUT_COUNTRY!$B$7:$N$26,9,FALSE)&gt;75,"++",(IF(VLOOKUP(C8,OUTPUT_COUNTRY!$B$7:$N$26,9,FALSE)&gt;50,"+",(IF(VLOOKUP(C8,OUTPUT_COUNTRY!$B$7:$N$26,9,FALSE)&gt;25,"-","--")))))</f>
        <v>-</v>
      </c>
      <c r="K8" s="128" t="str">
        <f>IF(VLOOKUP(C8,OUTPUT_COUNTRY!$B$7:$N$26,11,FALSE)&gt;75,"++",(IF(VLOOKUP(C8,OUTPUT_COUNTRY!$B$7:$N$26,11,FALSE)&gt;50,"+",(IF(VLOOKUP(C8,OUTPUT_COUNTRY!$B$7:$N$26,11,FALSE)&gt;25,"-","--")))))</f>
        <v>+</v>
      </c>
      <c r="L8" s="126" t="str">
        <f ca="1">IF(VLOOKUP(C8,OUTPUT_COUNTRY!$B$7:$N$26,13,FALSE)&gt;75,"++",(IF(VLOOKUP(C8,OUTPUT_COUNTRY!$B$7:$N$26,13,FALSE)&gt;50,"+",(IF(VLOOKUP(C8,OUTPUT_COUNTRY!$B$7:$N$26,13,FALSE)&gt;25,"-","--")))))</f>
        <v>+</v>
      </c>
    </row>
    <row r="9" spans="3:12" x14ac:dyDescent="0.35">
      <c r="C9" s="80" t="s">
        <v>432</v>
      </c>
      <c r="D9" s="82" t="s">
        <v>435</v>
      </c>
      <c r="E9" s="126" t="str">
        <f>IF(VLOOKUP(C9,OUTPUT_COUNTRY!$B$7:$N$26,3,FALSE)&gt;75,"++",(IF(VLOOKUP(C9,OUTPUT_COUNTRY!$B$7:$N$26,3,FALSE)&gt;50,"+",(IF(VLOOKUP(C9,OUTPUT_COUNTRY!$B$7:$N$26,3,FALSE)&gt;25,"-","--")))))</f>
        <v>+</v>
      </c>
      <c r="F9" s="126" t="str">
        <f>IF(VLOOKUP(C9,OUTPUT_COUNTRY!$B$7:$N$26,4,FALSE)&gt;75,"++",(IF(VLOOKUP(C9,OUTPUT_COUNTRY!$B$7:$N$26,4,FALSE)&gt;50,"+",(IF(VLOOKUP(C9,OUTPUT_COUNTRY!$B$7:$N$26,4,FALSE)&gt;25,"-","--")))))</f>
        <v>++</v>
      </c>
      <c r="G9" s="128" t="str">
        <f>IF(VLOOKUP(C9,OUTPUT_COUNTRY!$B$7:$N$26,5,FALSE)&gt;75,"++",(IF(VLOOKUP(C9,OUTPUT_COUNTRY!$B$7:$N$26,5,FALSE)&gt;50,"+",(IF(VLOOKUP(C9,OUTPUT_COUNTRY!$B$7:$N$26,5,FALSE)&gt;25,"-","--")))))</f>
        <v>-</v>
      </c>
      <c r="H9" s="128" t="str">
        <f>IF(VLOOKUP(C9,OUTPUT_COUNTRY!$B$7:$N$26,7,FALSE)&gt;75,"++",(IF(VLOOKUP(C9,OUTPUT_COUNTRY!$B$7:$N$26,7,FALSE)&gt;50,"+",(IF(VLOOKUP(C9,OUTPUT_COUNTRY!$B$7:$N$26,7,FALSE)&gt;25,"-","--")))))</f>
        <v>++</v>
      </c>
      <c r="I9" s="128" t="str">
        <f>IF(VLOOKUP(C9,OUTPUT_COUNTRY!$B$7:$N$26,8,FALSE)&gt;75,"++",(IF(VLOOKUP(C9,OUTPUT_COUNTRY!$B$7:$N$26,8,FALSE)&gt;50,"+",(IF(VLOOKUP(C9,OUTPUT_COUNTRY!$B$7:$N$26,8,FALSE)&gt;25,"-","--")))))</f>
        <v>+</v>
      </c>
      <c r="J9" s="128" t="str">
        <f ca="1">IF(VLOOKUP(C9,OUTPUT_COUNTRY!$B$7:$N$26,9,FALSE)&gt;75,"++",(IF(VLOOKUP(C9,OUTPUT_COUNTRY!$B$7:$N$26,9,FALSE)&gt;50,"+",(IF(VLOOKUP(C9,OUTPUT_COUNTRY!$B$7:$N$26,9,FALSE)&gt;25,"-","--")))))</f>
        <v>+</v>
      </c>
      <c r="K9" s="128" t="str">
        <f>IF(VLOOKUP(C9,OUTPUT_COUNTRY!$B$7:$N$26,11,FALSE)&gt;75,"++",(IF(VLOOKUP(C9,OUTPUT_COUNTRY!$B$7:$N$26,11,FALSE)&gt;50,"+",(IF(VLOOKUP(C9,OUTPUT_COUNTRY!$B$7:$N$26,11,FALSE)&gt;25,"-","--")))))</f>
        <v>++</v>
      </c>
      <c r="L9" s="126" t="str">
        <f ca="1">IF(VLOOKUP(C9,OUTPUT_COUNTRY!$B$7:$N$26,13,FALSE)&gt;75,"++",(IF(VLOOKUP(C9,OUTPUT_COUNTRY!$B$7:$N$26,13,FALSE)&gt;50,"+",(IF(VLOOKUP(C9,OUTPUT_COUNTRY!$B$7:$N$26,13,FALSE)&gt;25,"-","--")))))</f>
        <v>++</v>
      </c>
    </row>
    <row r="10" spans="3:12" x14ac:dyDescent="0.35">
      <c r="C10" s="80" t="s">
        <v>23</v>
      </c>
      <c r="D10" s="82" t="s">
        <v>439</v>
      </c>
      <c r="E10" s="126" t="str">
        <f>IF(VLOOKUP(C10,OUTPUT_COUNTRY!$B$7:$N$26,3,FALSE)&gt;75,"++",(IF(VLOOKUP(C10,OUTPUT_COUNTRY!$B$7:$N$26,3,FALSE)&gt;50,"+",(IF(VLOOKUP(C10,OUTPUT_COUNTRY!$B$7:$N$26,3,FALSE)&gt;25,"-","--")))))</f>
        <v>+</v>
      </c>
      <c r="F10" s="126" t="str">
        <f>IF(VLOOKUP(C10,OUTPUT_COUNTRY!$B$7:$N$26,4,FALSE)&gt;75,"++",(IF(VLOOKUP(C10,OUTPUT_COUNTRY!$B$7:$N$26,4,FALSE)&gt;50,"+",(IF(VLOOKUP(C10,OUTPUT_COUNTRY!$B$7:$N$26,4,FALSE)&gt;25,"-","--")))))</f>
        <v>--</v>
      </c>
      <c r="G10" s="128" t="str">
        <f>IF(VLOOKUP(C10,OUTPUT_COUNTRY!$B$7:$N$26,5,FALSE)&gt;75,"++",(IF(VLOOKUP(C10,OUTPUT_COUNTRY!$B$7:$N$26,5,FALSE)&gt;50,"+",(IF(VLOOKUP(C10,OUTPUT_COUNTRY!$B$7:$N$26,5,FALSE)&gt;25,"-","--")))))</f>
        <v>--</v>
      </c>
      <c r="H10" s="128" t="str">
        <f>IF(VLOOKUP(C10,OUTPUT_COUNTRY!$B$7:$N$26,7,FALSE)&gt;75,"++",(IF(VLOOKUP(C10,OUTPUT_COUNTRY!$B$7:$N$26,7,FALSE)&gt;50,"+",(IF(VLOOKUP(C10,OUTPUT_COUNTRY!$B$7:$N$26,7,FALSE)&gt;25,"-","--")))))</f>
        <v>--</v>
      </c>
      <c r="I10" s="128" t="str">
        <f>IF(VLOOKUP(C10,OUTPUT_COUNTRY!$B$7:$N$26,8,FALSE)&gt;75,"++",(IF(VLOOKUP(C10,OUTPUT_COUNTRY!$B$7:$N$26,8,FALSE)&gt;50,"+",(IF(VLOOKUP(C10,OUTPUT_COUNTRY!$B$7:$N$26,8,FALSE)&gt;25,"-","--")))))</f>
        <v>+</v>
      </c>
      <c r="J10" s="128" t="str">
        <f ca="1">IF(VLOOKUP(C10,OUTPUT_COUNTRY!$B$7:$N$26,9,FALSE)&gt;75,"++",(IF(VLOOKUP(C10,OUTPUT_COUNTRY!$B$7:$N$26,9,FALSE)&gt;50,"+",(IF(VLOOKUP(C10,OUTPUT_COUNTRY!$B$7:$N$26,9,FALSE)&gt;25,"-","--")))))</f>
        <v>--</v>
      </c>
      <c r="K10" s="128" t="str">
        <f>IF(VLOOKUP(C10,OUTPUT_COUNTRY!$B$7:$N$26,11,FALSE)&gt;75,"++",(IF(VLOOKUP(C10,OUTPUT_COUNTRY!$B$7:$N$26,11,FALSE)&gt;50,"+",(IF(VLOOKUP(C10,OUTPUT_COUNTRY!$B$7:$N$26,11,FALSE)&gt;25,"-","--")))))</f>
        <v>--</v>
      </c>
      <c r="L10" s="126" t="str">
        <f ca="1">IF(VLOOKUP(C10,OUTPUT_COUNTRY!$B$7:$N$26,13,FALSE)&gt;75,"++",(IF(VLOOKUP(C10,OUTPUT_COUNTRY!$B$7:$N$26,13,FALSE)&gt;50,"+",(IF(VLOOKUP(C10,OUTPUT_COUNTRY!$B$7:$N$26,13,FALSE)&gt;25,"-","--")))))</f>
        <v>--</v>
      </c>
    </row>
    <row r="11" spans="3:12" x14ac:dyDescent="0.35">
      <c r="C11" s="80" t="s">
        <v>21</v>
      </c>
      <c r="D11" s="82" t="s">
        <v>38</v>
      </c>
      <c r="E11" s="126" t="str">
        <f>IF(VLOOKUP(C11,OUTPUT_COUNTRY!$B$7:$N$26,3,FALSE)&gt;75,"++",(IF(VLOOKUP(C11,OUTPUT_COUNTRY!$B$7:$N$26,3,FALSE)&gt;50,"+",(IF(VLOOKUP(C11,OUTPUT_COUNTRY!$B$7:$N$26,3,FALSE)&gt;25,"-","--")))))</f>
        <v>+</v>
      </c>
      <c r="F11" s="126" t="str">
        <f>IF(VLOOKUP(C11,OUTPUT_COUNTRY!$B$7:$N$26,4,FALSE)&gt;75,"++",(IF(VLOOKUP(C11,OUTPUT_COUNTRY!$B$7:$N$26,4,FALSE)&gt;50,"+",(IF(VLOOKUP(C11,OUTPUT_COUNTRY!$B$7:$N$26,4,FALSE)&gt;25,"-","--")))))</f>
        <v>+</v>
      </c>
      <c r="G11" s="128" t="str">
        <f>IF(VLOOKUP(C11,OUTPUT_COUNTRY!$B$7:$N$26,5,FALSE)&gt;75,"++",(IF(VLOOKUP(C11,OUTPUT_COUNTRY!$B$7:$N$26,5,FALSE)&gt;50,"+",(IF(VLOOKUP(C11,OUTPUT_COUNTRY!$B$7:$N$26,5,FALSE)&gt;25,"-","--")))))</f>
        <v>-</v>
      </c>
      <c r="H11" s="128" t="str">
        <f>IF(VLOOKUP(C11,OUTPUT_COUNTRY!$B$7:$N$26,7,FALSE)&gt;75,"++",(IF(VLOOKUP(C11,OUTPUT_COUNTRY!$B$7:$N$26,7,FALSE)&gt;50,"+",(IF(VLOOKUP(C11,OUTPUT_COUNTRY!$B$7:$N$26,7,FALSE)&gt;25,"-","--")))))</f>
        <v>++</v>
      </c>
      <c r="I11" s="128" t="str">
        <f>IF(VLOOKUP(C11,OUTPUT_COUNTRY!$B$7:$N$26,8,FALSE)&gt;75,"++",(IF(VLOOKUP(C11,OUTPUT_COUNTRY!$B$7:$N$26,8,FALSE)&gt;50,"+",(IF(VLOOKUP(C11,OUTPUT_COUNTRY!$B$7:$N$26,8,FALSE)&gt;25,"-","--")))))</f>
        <v>--</v>
      </c>
      <c r="J11" s="128" t="str">
        <f ca="1">IF(VLOOKUP(C11,OUTPUT_COUNTRY!$B$7:$N$26,9,FALSE)&gt;75,"++",(IF(VLOOKUP(C11,OUTPUT_COUNTRY!$B$7:$N$26,9,FALSE)&gt;50,"+",(IF(VLOOKUP(C11,OUTPUT_COUNTRY!$B$7:$N$26,9,FALSE)&gt;25,"-","--")))))</f>
        <v>-</v>
      </c>
      <c r="K11" s="128" t="str">
        <f>IF(VLOOKUP(C11,OUTPUT_COUNTRY!$B$7:$N$26,11,FALSE)&gt;75,"++",(IF(VLOOKUP(C11,OUTPUT_COUNTRY!$B$7:$N$26,11,FALSE)&gt;50,"+",(IF(VLOOKUP(C11,OUTPUT_COUNTRY!$B$7:$N$26,11,FALSE)&gt;25,"-","--")))))</f>
        <v>-</v>
      </c>
      <c r="L11" s="126" t="str">
        <f ca="1">IF(VLOOKUP(C11,OUTPUT_COUNTRY!$B$7:$N$26,13,FALSE)&gt;75,"++",(IF(VLOOKUP(C11,OUTPUT_COUNTRY!$B$7:$N$26,13,FALSE)&gt;50,"+",(IF(VLOOKUP(C11,OUTPUT_COUNTRY!$B$7:$N$26,13,FALSE)&gt;25,"-","--")))))</f>
        <v>-</v>
      </c>
    </row>
    <row r="12" spans="3:12" x14ac:dyDescent="0.35">
      <c r="C12" s="80" t="s">
        <v>28</v>
      </c>
      <c r="D12" s="82" t="s">
        <v>443</v>
      </c>
      <c r="E12" s="126" t="str">
        <f>IF(VLOOKUP(C12,OUTPUT_COUNTRY!$B$7:$N$26,3,FALSE)&gt;75,"++",(IF(VLOOKUP(C12,OUTPUT_COUNTRY!$B$7:$N$26,3,FALSE)&gt;50,"+",(IF(VLOOKUP(C12,OUTPUT_COUNTRY!$B$7:$N$26,3,FALSE)&gt;25,"-","--")))))</f>
        <v>++</v>
      </c>
      <c r="F12" s="126" t="str">
        <f>IF(VLOOKUP(C12,OUTPUT_COUNTRY!$B$7:$N$26,4,FALSE)&gt;75,"++",(IF(VLOOKUP(C12,OUTPUT_COUNTRY!$B$7:$N$26,4,FALSE)&gt;50,"+",(IF(VLOOKUP(C12,OUTPUT_COUNTRY!$B$7:$N$26,4,FALSE)&gt;25,"-","--")))))</f>
        <v>--</v>
      </c>
      <c r="G12" s="128" t="str">
        <f>IF(VLOOKUP(C12,OUTPUT_COUNTRY!$B$7:$N$26,5,FALSE)&gt;75,"++",(IF(VLOOKUP(C12,OUTPUT_COUNTRY!$B$7:$N$26,5,FALSE)&gt;50,"+",(IF(VLOOKUP(C12,OUTPUT_COUNTRY!$B$7:$N$26,5,FALSE)&gt;25,"-","--")))))</f>
        <v>--</v>
      </c>
      <c r="H12" s="128" t="str">
        <f>IF(VLOOKUP(C12,OUTPUT_COUNTRY!$B$7:$N$26,7,FALSE)&gt;75,"++",(IF(VLOOKUP(C12,OUTPUT_COUNTRY!$B$7:$N$26,7,FALSE)&gt;50,"+",(IF(VLOOKUP(C12,OUTPUT_COUNTRY!$B$7:$N$26,7,FALSE)&gt;25,"-","--")))))</f>
        <v>--</v>
      </c>
      <c r="I12" s="128" t="str">
        <f>IF(VLOOKUP(C12,OUTPUT_COUNTRY!$B$7:$N$26,8,FALSE)&gt;75,"++",(IF(VLOOKUP(C12,OUTPUT_COUNTRY!$B$7:$N$26,8,FALSE)&gt;50,"+",(IF(VLOOKUP(C12,OUTPUT_COUNTRY!$B$7:$N$26,8,FALSE)&gt;25,"-","--")))))</f>
        <v>-</v>
      </c>
      <c r="J12" s="128" t="str">
        <f ca="1">IF(VLOOKUP(C12,OUTPUT_COUNTRY!$B$7:$N$26,9,FALSE)&gt;75,"++",(IF(VLOOKUP(C12,OUTPUT_COUNTRY!$B$7:$N$26,9,FALSE)&gt;50,"+",(IF(VLOOKUP(C12,OUTPUT_COUNTRY!$B$7:$N$26,9,FALSE)&gt;25,"-","--")))))</f>
        <v>-</v>
      </c>
      <c r="K12" s="128" t="str">
        <f>IF(VLOOKUP(C12,OUTPUT_COUNTRY!$B$7:$N$26,11,FALSE)&gt;75,"++",(IF(VLOOKUP(C12,OUTPUT_COUNTRY!$B$7:$N$26,11,FALSE)&gt;50,"+",(IF(VLOOKUP(C12,OUTPUT_COUNTRY!$B$7:$N$26,11,FALSE)&gt;25,"-","--")))))</f>
        <v>-</v>
      </c>
      <c r="L12" s="126" t="str">
        <f ca="1">IF(VLOOKUP(C12,OUTPUT_COUNTRY!$B$7:$N$26,13,FALSE)&gt;75,"++",(IF(VLOOKUP(C12,OUTPUT_COUNTRY!$B$7:$N$26,13,FALSE)&gt;50,"+",(IF(VLOOKUP(C12,OUTPUT_COUNTRY!$B$7:$N$26,13,FALSE)&gt;25,"-","--")))))</f>
        <v>-</v>
      </c>
    </row>
    <row r="13" spans="3:12" x14ac:dyDescent="0.35">
      <c r="C13" s="80" t="s">
        <v>26</v>
      </c>
      <c r="D13" s="82" t="s">
        <v>41</v>
      </c>
      <c r="E13" s="126" t="str">
        <f>IF(VLOOKUP(C13,OUTPUT_COUNTRY!$B$7:$N$26,3,FALSE)&gt;75,"++",(IF(VLOOKUP(C13,OUTPUT_COUNTRY!$B$7:$N$26,3,FALSE)&gt;50,"+",(IF(VLOOKUP(C13,OUTPUT_COUNTRY!$B$7:$N$26,3,FALSE)&gt;25,"-","--")))))</f>
        <v>++</v>
      </c>
      <c r="F13" s="126" t="str">
        <f>IF(VLOOKUP(C13,OUTPUT_COUNTRY!$B$7:$N$26,4,FALSE)&gt;75,"++",(IF(VLOOKUP(C13,OUTPUT_COUNTRY!$B$7:$N$26,4,FALSE)&gt;50,"+",(IF(VLOOKUP(C13,OUTPUT_COUNTRY!$B$7:$N$26,4,FALSE)&gt;25,"-","--")))))</f>
        <v>++</v>
      </c>
      <c r="G13" s="128" t="str">
        <f>IF(VLOOKUP(C13,OUTPUT_COUNTRY!$B$7:$N$26,5,FALSE)&gt;75,"++",(IF(VLOOKUP(C13,OUTPUT_COUNTRY!$B$7:$N$26,5,FALSE)&gt;50,"+",(IF(VLOOKUP(C13,OUTPUT_COUNTRY!$B$7:$N$26,5,FALSE)&gt;25,"-","--")))))</f>
        <v>-</v>
      </c>
      <c r="H13" s="128" t="str">
        <f>IF(VLOOKUP(C13,OUTPUT_COUNTRY!$B$7:$N$26,7,FALSE)&gt;75,"++",(IF(VLOOKUP(C13,OUTPUT_COUNTRY!$B$7:$N$26,7,FALSE)&gt;50,"+",(IF(VLOOKUP(C13,OUTPUT_COUNTRY!$B$7:$N$26,7,FALSE)&gt;25,"-","--")))))</f>
        <v>++</v>
      </c>
      <c r="I13" s="128" t="str">
        <f>IF(VLOOKUP(C13,OUTPUT_COUNTRY!$B$7:$N$26,8,FALSE)&gt;75,"++",(IF(VLOOKUP(C13,OUTPUT_COUNTRY!$B$7:$N$26,8,FALSE)&gt;50,"+",(IF(VLOOKUP(C13,OUTPUT_COUNTRY!$B$7:$N$26,8,FALSE)&gt;25,"-","--")))))</f>
        <v>+</v>
      </c>
      <c r="J13" s="128" t="str">
        <f ca="1">IF(VLOOKUP(C13,OUTPUT_COUNTRY!$B$7:$N$26,9,FALSE)&gt;75,"++",(IF(VLOOKUP(C13,OUTPUT_COUNTRY!$B$7:$N$26,9,FALSE)&gt;50,"+",(IF(VLOOKUP(C13,OUTPUT_COUNTRY!$B$7:$N$26,9,FALSE)&gt;25,"-","--")))))</f>
        <v>+</v>
      </c>
      <c r="K13" s="128" t="str">
        <f>IF(VLOOKUP(C13,OUTPUT_COUNTRY!$B$7:$N$26,11,FALSE)&gt;75,"++",(IF(VLOOKUP(C13,OUTPUT_COUNTRY!$B$7:$N$26,11,FALSE)&gt;50,"+",(IF(VLOOKUP(C13,OUTPUT_COUNTRY!$B$7:$N$26,11,FALSE)&gt;25,"-","--")))))</f>
        <v>++</v>
      </c>
      <c r="L13" s="126" t="str">
        <f ca="1">IF(VLOOKUP(C13,OUTPUT_COUNTRY!$B$7:$N$26,13,FALSE)&gt;75,"++",(IF(VLOOKUP(C13,OUTPUT_COUNTRY!$B$7:$N$26,13,FALSE)&gt;50,"+",(IF(VLOOKUP(C13,OUTPUT_COUNTRY!$B$7:$N$26,13,FALSE)&gt;25,"-","--")))))</f>
        <v>++</v>
      </c>
    </row>
    <row r="14" spans="3:12" x14ac:dyDescent="0.35">
      <c r="C14" s="80" t="s">
        <v>32</v>
      </c>
      <c r="D14" s="82" t="s">
        <v>52</v>
      </c>
      <c r="E14" s="126" t="str">
        <f>IF(VLOOKUP(C14,OUTPUT_COUNTRY!$B$7:$N$26,3,FALSE)&gt;75,"++",(IF(VLOOKUP(C14,OUTPUT_COUNTRY!$B$7:$N$26,3,FALSE)&gt;50,"+",(IF(VLOOKUP(C14,OUTPUT_COUNTRY!$B$7:$N$26,3,FALSE)&gt;25,"-","--")))))</f>
        <v>--</v>
      </c>
      <c r="F14" s="126" t="str">
        <f>IF(VLOOKUP(C14,OUTPUT_COUNTRY!$B$7:$N$26,4,FALSE)&gt;75,"++",(IF(VLOOKUP(C14,OUTPUT_COUNTRY!$B$7:$N$26,4,FALSE)&gt;50,"+",(IF(VLOOKUP(C14,OUTPUT_COUNTRY!$B$7:$N$26,4,FALSE)&gt;25,"-","--")))))</f>
        <v>++</v>
      </c>
      <c r="G14" s="128" t="str">
        <f>IF(VLOOKUP(C14,OUTPUT_COUNTRY!$B$7:$N$26,5,FALSE)&gt;75,"++",(IF(VLOOKUP(C14,OUTPUT_COUNTRY!$B$7:$N$26,5,FALSE)&gt;50,"+",(IF(VLOOKUP(C14,OUTPUT_COUNTRY!$B$7:$N$26,5,FALSE)&gt;25,"-","--")))))</f>
        <v>+</v>
      </c>
      <c r="H14" s="128" t="str">
        <f>IF(VLOOKUP(C14,OUTPUT_COUNTRY!$B$7:$N$26,7,FALSE)&gt;75,"++",(IF(VLOOKUP(C14,OUTPUT_COUNTRY!$B$7:$N$26,7,FALSE)&gt;50,"+",(IF(VLOOKUP(C14,OUTPUT_COUNTRY!$B$7:$N$26,7,FALSE)&gt;25,"-","--")))))</f>
        <v>+</v>
      </c>
      <c r="I14" s="128" t="str">
        <f>IF(VLOOKUP(C14,OUTPUT_COUNTRY!$B$7:$N$26,8,FALSE)&gt;75,"++",(IF(VLOOKUP(C14,OUTPUT_COUNTRY!$B$7:$N$26,8,FALSE)&gt;50,"+",(IF(VLOOKUP(C14,OUTPUT_COUNTRY!$B$7:$N$26,8,FALSE)&gt;25,"-","--")))))</f>
        <v>-</v>
      </c>
      <c r="J14" s="128" t="str">
        <f ca="1">IF(VLOOKUP(C14,OUTPUT_COUNTRY!$B$7:$N$26,9,FALSE)&gt;75,"++",(IF(VLOOKUP(C14,OUTPUT_COUNTRY!$B$7:$N$26,9,FALSE)&gt;50,"+",(IF(VLOOKUP(C14,OUTPUT_COUNTRY!$B$7:$N$26,9,FALSE)&gt;25,"-","--")))))</f>
        <v>+</v>
      </c>
      <c r="K14" s="128" t="str">
        <f>IF(VLOOKUP(C14,OUTPUT_COUNTRY!$B$7:$N$26,11,FALSE)&gt;75,"++",(IF(VLOOKUP(C14,OUTPUT_COUNTRY!$B$7:$N$26,11,FALSE)&gt;50,"+",(IF(VLOOKUP(C14,OUTPUT_COUNTRY!$B$7:$N$26,11,FALSE)&gt;25,"-","--")))))</f>
        <v>-</v>
      </c>
      <c r="L14" s="126" t="str">
        <f ca="1">IF(VLOOKUP(C14,OUTPUT_COUNTRY!$B$7:$N$26,13,FALSE)&gt;75,"++",(IF(VLOOKUP(C14,OUTPUT_COUNTRY!$B$7:$N$26,13,FALSE)&gt;50,"+",(IF(VLOOKUP(C14,OUTPUT_COUNTRY!$B$7:$N$26,13,FALSE)&gt;25,"-","--")))))</f>
        <v>+</v>
      </c>
    </row>
    <row r="15" spans="3:12" x14ac:dyDescent="0.35">
      <c r="C15" s="80" t="s">
        <v>27</v>
      </c>
      <c r="D15" s="82" t="s">
        <v>436</v>
      </c>
      <c r="E15" s="126" t="str">
        <f>IF(VLOOKUP(C15,OUTPUT_COUNTRY!$B$7:$N$26,3,FALSE)&gt;75,"++",(IF(VLOOKUP(C15,OUTPUT_COUNTRY!$B$7:$N$26,3,FALSE)&gt;50,"+",(IF(VLOOKUP(C15,OUTPUT_COUNTRY!$B$7:$N$26,3,FALSE)&gt;25,"-","--")))))</f>
        <v>++</v>
      </c>
      <c r="F15" s="126" t="str">
        <f>IF(VLOOKUP(C15,OUTPUT_COUNTRY!$B$7:$N$26,4,FALSE)&gt;75,"++",(IF(VLOOKUP(C15,OUTPUT_COUNTRY!$B$7:$N$26,4,FALSE)&gt;50,"+",(IF(VLOOKUP(C15,OUTPUT_COUNTRY!$B$7:$N$26,4,FALSE)&gt;25,"-","--")))))</f>
        <v>-</v>
      </c>
      <c r="G15" s="128" t="str">
        <f>IF(VLOOKUP(C15,OUTPUT_COUNTRY!$B$7:$N$26,5,FALSE)&gt;75,"++",(IF(VLOOKUP(C15,OUTPUT_COUNTRY!$B$7:$N$26,5,FALSE)&gt;50,"+",(IF(VLOOKUP(C15,OUTPUT_COUNTRY!$B$7:$N$26,5,FALSE)&gt;25,"-","--")))))</f>
        <v>-</v>
      </c>
      <c r="H15" s="128" t="str">
        <f>IF(VLOOKUP(C15,OUTPUT_COUNTRY!$B$7:$N$26,7,FALSE)&gt;75,"++",(IF(VLOOKUP(C15,OUTPUT_COUNTRY!$B$7:$N$26,7,FALSE)&gt;50,"+",(IF(VLOOKUP(C15,OUTPUT_COUNTRY!$B$7:$N$26,7,FALSE)&gt;25,"-","--")))))</f>
        <v>+</v>
      </c>
      <c r="I15" s="128" t="str">
        <f>IF(VLOOKUP(C15,OUTPUT_COUNTRY!$B$7:$N$26,8,FALSE)&gt;75,"++",(IF(VLOOKUP(C15,OUTPUT_COUNTRY!$B$7:$N$26,8,FALSE)&gt;50,"+",(IF(VLOOKUP(C15,OUTPUT_COUNTRY!$B$7:$N$26,8,FALSE)&gt;25,"-","--")))))</f>
        <v>+</v>
      </c>
      <c r="J15" s="128" t="str">
        <f ca="1">IF(VLOOKUP(C15,OUTPUT_COUNTRY!$B$7:$N$26,9,FALSE)&gt;75,"++",(IF(VLOOKUP(C15,OUTPUT_COUNTRY!$B$7:$N$26,9,FALSE)&gt;50,"+",(IF(VLOOKUP(C15,OUTPUT_COUNTRY!$B$7:$N$26,9,FALSE)&gt;25,"-","--")))))</f>
        <v>-</v>
      </c>
      <c r="K15" s="128" t="str">
        <f>IF(VLOOKUP(C15,OUTPUT_COUNTRY!$B$7:$N$26,11,FALSE)&gt;75,"++",(IF(VLOOKUP(C15,OUTPUT_COUNTRY!$B$7:$N$26,11,FALSE)&gt;50,"+",(IF(VLOOKUP(C15,OUTPUT_COUNTRY!$B$7:$N$26,11,FALSE)&gt;25,"-","--")))))</f>
        <v>--</v>
      </c>
      <c r="L15" s="126" t="str">
        <f ca="1">IF(VLOOKUP(C15,OUTPUT_COUNTRY!$B$7:$N$26,13,FALSE)&gt;75,"++",(IF(VLOOKUP(C15,OUTPUT_COUNTRY!$B$7:$N$26,13,FALSE)&gt;50,"+",(IF(VLOOKUP(C15,OUTPUT_COUNTRY!$B$7:$N$26,13,FALSE)&gt;25,"-","--")))))</f>
        <v>-</v>
      </c>
    </row>
    <row r="16" spans="3:12" x14ac:dyDescent="0.35">
      <c r="C16" s="80" t="s">
        <v>25</v>
      </c>
      <c r="D16" s="82" t="s">
        <v>446</v>
      </c>
      <c r="E16" s="126" t="str">
        <f>IF(VLOOKUP(C16,OUTPUT_COUNTRY!$B$7:$N$26,3,FALSE)&gt;75,"++",(IF(VLOOKUP(C16,OUTPUT_COUNTRY!$B$7:$N$26,3,FALSE)&gt;50,"+",(IF(VLOOKUP(C16,OUTPUT_COUNTRY!$B$7:$N$26,3,FALSE)&gt;25,"-","--")))))</f>
        <v>-</v>
      </c>
      <c r="F16" s="126" t="str">
        <f>IF(VLOOKUP(C16,OUTPUT_COUNTRY!$B$7:$N$26,4,FALSE)&gt;75,"++",(IF(VLOOKUP(C16,OUTPUT_COUNTRY!$B$7:$N$26,4,FALSE)&gt;50,"+",(IF(VLOOKUP(C16,OUTPUT_COUNTRY!$B$7:$N$26,4,FALSE)&gt;25,"-","--")))))</f>
        <v>-</v>
      </c>
      <c r="G16" s="128" t="str">
        <f>IF(VLOOKUP(C16,OUTPUT_COUNTRY!$B$7:$N$26,5,FALSE)&gt;75,"++",(IF(VLOOKUP(C16,OUTPUT_COUNTRY!$B$7:$N$26,5,FALSE)&gt;50,"+",(IF(VLOOKUP(C16,OUTPUT_COUNTRY!$B$7:$N$26,5,FALSE)&gt;25,"-","--")))))</f>
        <v>+</v>
      </c>
      <c r="H16" s="128" t="str">
        <f>IF(VLOOKUP(C16,OUTPUT_COUNTRY!$B$7:$N$26,7,FALSE)&gt;75,"++",(IF(VLOOKUP(C16,OUTPUT_COUNTRY!$B$7:$N$26,7,FALSE)&gt;50,"+",(IF(VLOOKUP(C16,OUTPUT_COUNTRY!$B$7:$N$26,7,FALSE)&gt;25,"-","--")))))</f>
        <v>-</v>
      </c>
      <c r="I16" s="128" t="str">
        <f>IF(VLOOKUP(C16,OUTPUT_COUNTRY!$B$7:$N$26,8,FALSE)&gt;75,"++",(IF(VLOOKUP(C16,OUTPUT_COUNTRY!$B$7:$N$26,8,FALSE)&gt;50,"+",(IF(VLOOKUP(C16,OUTPUT_COUNTRY!$B$7:$N$26,8,FALSE)&gt;25,"-","--")))))</f>
        <v>--</v>
      </c>
      <c r="J16" s="128" t="str">
        <f ca="1">IF(VLOOKUP(C16,OUTPUT_COUNTRY!$B$7:$N$26,9,FALSE)&gt;75,"++",(IF(VLOOKUP(C16,OUTPUT_COUNTRY!$B$7:$N$26,9,FALSE)&gt;50,"+",(IF(VLOOKUP(C16,OUTPUT_COUNTRY!$B$7:$N$26,9,FALSE)&gt;25,"-","--")))))</f>
        <v>--</v>
      </c>
      <c r="K16" s="128" t="str">
        <f>IF(VLOOKUP(C16,OUTPUT_COUNTRY!$B$7:$N$26,11,FALSE)&gt;75,"++",(IF(VLOOKUP(C16,OUTPUT_COUNTRY!$B$7:$N$26,11,FALSE)&gt;50,"+",(IF(VLOOKUP(C16,OUTPUT_COUNTRY!$B$7:$N$26,11,FALSE)&gt;25,"-","--")))))</f>
        <v>--</v>
      </c>
      <c r="L16" s="126" t="str">
        <f ca="1">IF(VLOOKUP(C16,OUTPUT_COUNTRY!$B$7:$N$26,13,FALSE)&gt;75,"++",(IF(VLOOKUP(C16,OUTPUT_COUNTRY!$B$7:$N$26,13,FALSE)&gt;50,"+",(IF(VLOOKUP(C16,OUTPUT_COUNTRY!$B$7:$N$26,13,FALSE)&gt;25,"-","--")))))</f>
        <v>--</v>
      </c>
    </row>
    <row r="17" spans="3:12" x14ac:dyDescent="0.35">
      <c r="C17" s="80" t="s">
        <v>12</v>
      </c>
      <c r="D17" s="82" t="s">
        <v>54</v>
      </c>
      <c r="E17" s="126" t="str">
        <f>IF(VLOOKUP(C17,OUTPUT_COUNTRY!$B$7:$N$26,3,FALSE)&gt;75,"++",(IF(VLOOKUP(C17,OUTPUT_COUNTRY!$B$7:$N$26,3,FALSE)&gt;50,"+",(IF(VLOOKUP(C17,OUTPUT_COUNTRY!$B$7:$N$26,3,FALSE)&gt;25,"-","--")))))</f>
        <v>+</v>
      </c>
      <c r="F17" s="126" t="str">
        <f>IF(VLOOKUP(C17,OUTPUT_COUNTRY!$B$7:$N$26,4,FALSE)&gt;75,"++",(IF(VLOOKUP(C17,OUTPUT_COUNTRY!$B$7:$N$26,4,FALSE)&gt;50,"+",(IF(VLOOKUP(C17,OUTPUT_COUNTRY!$B$7:$N$26,4,FALSE)&gt;25,"-","--")))))</f>
        <v>--</v>
      </c>
      <c r="G17" s="128" t="str">
        <f>IF(VLOOKUP(C17,OUTPUT_COUNTRY!$B$7:$N$26,5,FALSE)&gt;75,"++",(IF(VLOOKUP(C17,OUTPUT_COUNTRY!$B$7:$N$26,5,FALSE)&gt;50,"+",(IF(VLOOKUP(C17,OUTPUT_COUNTRY!$B$7:$N$26,5,FALSE)&gt;25,"-","--")))))</f>
        <v>+</v>
      </c>
      <c r="H17" s="128" t="str">
        <f>IF(VLOOKUP(C17,OUTPUT_COUNTRY!$B$7:$N$26,7,FALSE)&gt;75,"++",(IF(VLOOKUP(C17,OUTPUT_COUNTRY!$B$7:$N$26,7,FALSE)&gt;50,"+",(IF(VLOOKUP(C17,OUTPUT_COUNTRY!$B$7:$N$26,7,FALSE)&gt;25,"-","--")))))</f>
        <v>-</v>
      </c>
      <c r="I17" s="128" t="str">
        <f>IF(VLOOKUP(C17,OUTPUT_COUNTRY!$B$7:$N$26,8,FALSE)&gt;75,"++",(IF(VLOOKUP(C17,OUTPUT_COUNTRY!$B$7:$N$26,8,FALSE)&gt;50,"+",(IF(VLOOKUP(C17,OUTPUT_COUNTRY!$B$7:$N$26,8,FALSE)&gt;25,"-","--")))))</f>
        <v>--</v>
      </c>
      <c r="J17" s="128" t="str">
        <f ca="1">IF(VLOOKUP(C17,OUTPUT_COUNTRY!$B$7:$N$26,9,FALSE)&gt;75,"++",(IF(VLOOKUP(C17,OUTPUT_COUNTRY!$B$7:$N$26,9,FALSE)&gt;50,"+",(IF(VLOOKUP(C17,OUTPUT_COUNTRY!$B$7:$N$26,9,FALSE)&gt;25,"-","--")))))</f>
        <v>--</v>
      </c>
      <c r="K17" s="128" t="str">
        <f>IF(VLOOKUP(C17,OUTPUT_COUNTRY!$B$7:$N$26,11,FALSE)&gt;75,"++",(IF(VLOOKUP(C17,OUTPUT_COUNTRY!$B$7:$N$26,11,FALSE)&gt;50,"+",(IF(VLOOKUP(C17,OUTPUT_COUNTRY!$B$7:$N$26,11,FALSE)&gt;25,"-","--")))))</f>
        <v>--</v>
      </c>
      <c r="L17" s="126" t="str">
        <f ca="1">IF(VLOOKUP(C17,OUTPUT_COUNTRY!$B$7:$N$26,13,FALSE)&gt;75,"++",(IF(VLOOKUP(C17,OUTPUT_COUNTRY!$B$7:$N$26,13,FALSE)&gt;50,"+",(IF(VLOOKUP(C17,OUTPUT_COUNTRY!$B$7:$N$26,13,FALSE)&gt;25,"-","--")))))</f>
        <v>--</v>
      </c>
    </row>
    <row r="18" spans="3:12" x14ac:dyDescent="0.35">
      <c r="C18" s="80" t="s">
        <v>29</v>
      </c>
      <c r="D18" s="82" t="s">
        <v>440</v>
      </c>
      <c r="E18" s="126" t="str">
        <f>IF(VLOOKUP(C18,OUTPUT_COUNTRY!$B$7:$N$26,3,FALSE)&gt;75,"++",(IF(VLOOKUP(C18,OUTPUT_COUNTRY!$B$7:$N$26,3,FALSE)&gt;50,"+",(IF(VLOOKUP(C18,OUTPUT_COUNTRY!$B$7:$N$26,3,FALSE)&gt;25,"-","--")))))</f>
        <v>-</v>
      </c>
      <c r="F18" s="126" t="str">
        <f>IF(VLOOKUP(C18,OUTPUT_COUNTRY!$B$7:$N$26,4,FALSE)&gt;75,"++",(IF(VLOOKUP(C18,OUTPUT_COUNTRY!$B$7:$N$26,4,FALSE)&gt;50,"+",(IF(VLOOKUP(C18,OUTPUT_COUNTRY!$B$7:$N$26,4,FALSE)&gt;25,"-","--")))))</f>
        <v>-</v>
      </c>
      <c r="G18" s="128" t="str">
        <f>IF(VLOOKUP(C18,OUTPUT_COUNTRY!$B$7:$N$26,5,FALSE)&gt;75,"++",(IF(VLOOKUP(C18,OUTPUT_COUNTRY!$B$7:$N$26,5,FALSE)&gt;50,"+",(IF(VLOOKUP(C18,OUTPUT_COUNTRY!$B$7:$N$26,5,FALSE)&gt;25,"-","--")))))</f>
        <v>--</v>
      </c>
      <c r="H18" s="128" t="str">
        <f>IF(VLOOKUP(C18,OUTPUT_COUNTRY!$B$7:$N$26,7,FALSE)&gt;75,"++",(IF(VLOOKUP(C18,OUTPUT_COUNTRY!$B$7:$N$26,7,FALSE)&gt;50,"+",(IF(VLOOKUP(C18,OUTPUT_COUNTRY!$B$7:$N$26,7,FALSE)&gt;25,"-","--")))))</f>
        <v>--</v>
      </c>
      <c r="I18" s="128" t="str">
        <f>IF(VLOOKUP(C18,OUTPUT_COUNTRY!$B$7:$N$26,8,FALSE)&gt;75,"++",(IF(VLOOKUP(C18,OUTPUT_COUNTRY!$B$7:$N$26,8,FALSE)&gt;50,"+",(IF(VLOOKUP(C18,OUTPUT_COUNTRY!$B$7:$N$26,8,FALSE)&gt;25,"-","--")))))</f>
        <v>++</v>
      </c>
      <c r="J18" s="128" t="str">
        <f ca="1">IF(VLOOKUP(C18,OUTPUT_COUNTRY!$B$7:$N$26,9,FALSE)&gt;75,"++",(IF(VLOOKUP(C18,OUTPUT_COUNTRY!$B$7:$N$26,9,FALSE)&gt;50,"+",(IF(VLOOKUP(C18,OUTPUT_COUNTRY!$B$7:$N$26,9,FALSE)&gt;25,"-","--")))))</f>
        <v>+</v>
      </c>
      <c r="K18" s="128" t="str">
        <f>IF(VLOOKUP(C18,OUTPUT_COUNTRY!$B$7:$N$26,11,FALSE)&gt;75,"++",(IF(VLOOKUP(C18,OUTPUT_COUNTRY!$B$7:$N$26,11,FALSE)&gt;50,"+",(IF(VLOOKUP(C18,OUTPUT_COUNTRY!$B$7:$N$26,11,FALSE)&gt;25,"-","--")))))</f>
        <v>-</v>
      </c>
      <c r="L18" s="126" t="str">
        <f ca="1">IF(VLOOKUP(C18,OUTPUT_COUNTRY!$B$7:$N$26,13,FALSE)&gt;75,"++",(IF(VLOOKUP(C18,OUTPUT_COUNTRY!$B$7:$N$26,13,FALSE)&gt;50,"+",(IF(VLOOKUP(C18,OUTPUT_COUNTRY!$B$7:$N$26,13,FALSE)&gt;25,"-","--")))))</f>
        <v>+</v>
      </c>
    </row>
    <row r="19" spans="3:12" x14ac:dyDescent="0.35">
      <c r="C19" s="80" t="s">
        <v>33</v>
      </c>
      <c r="D19" s="82" t="s">
        <v>441</v>
      </c>
      <c r="E19" s="126" t="str">
        <f>IF(VLOOKUP(C19,OUTPUT_COUNTRY!$B$7:$N$26,3,FALSE)&gt;75,"++",(IF(VLOOKUP(C19,OUTPUT_COUNTRY!$B$7:$N$26,3,FALSE)&gt;50,"+",(IF(VLOOKUP(C19,OUTPUT_COUNTRY!$B$7:$N$26,3,FALSE)&gt;25,"-","--")))))</f>
        <v>--</v>
      </c>
      <c r="F19" s="126" t="str">
        <f>IF(VLOOKUP(C19,OUTPUT_COUNTRY!$B$7:$N$26,4,FALSE)&gt;75,"++",(IF(VLOOKUP(C19,OUTPUT_COUNTRY!$B$7:$N$26,4,FALSE)&gt;50,"+",(IF(VLOOKUP(C19,OUTPUT_COUNTRY!$B$7:$N$26,4,FALSE)&gt;25,"-","--")))))</f>
        <v>+</v>
      </c>
      <c r="G19" s="128" t="str">
        <f>IF(VLOOKUP(C19,OUTPUT_COUNTRY!$B$7:$N$26,5,FALSE)&gt;75,"++",(IF(VLOOKUP(C19,OUTPUT_COUNTRY!$B$7:$N$26,5,FALSE)&gt;50,"+",(IF(VLOOKUP(C19,OUTPUT_COUNTRY!$B$7:$N$26,5,FALSE)&gt;25,"-","--")))))</f>
        <v>--</v>
      </c>
      <c r="H19" s="128" t="str">
        <f>IF(VLOOKUP(C19,OUTPUT_COUNTRY!$B$7:$N$26,7,FALSE)&gt;75,"++",(IF(VLOOKUP(C19,OUTPUT_COUNTRY!$B$7:$N$26,7,FALSE)&gt;50,"+",(IF(VLOOKUP(C19,OUTPUT_COUNTRY!$B$7:$N$26,7,FALSE)&gt;25,"-","--")))))</f>
        <v>--</v>
      </c>
      <c r="I19" s="128" t="str">
        <f>IF(VLOOKUP(C19,OUTPUT_COUNTRY!$B$7:$N$26,8,FALSE)&gt;75,"++",(IF(VLOOKUP(C19,OUTPUT_COUNTRY!$B$7:$N$26,8,FALSE)&gt;50,"+",(IF(VLOOKUP(C19,OUTPUT_COUNTRY!$B$7:$N$26,8,FALSE)&gt;25,"-","--")))))</f>
        <v>--</v>
      </c>
      <c r="J19" s="128" t="str">
        <f ca="1">IF(VLOOKUP(C19,OUTPUT_COUNTRY!$B$7:$N$26,9,FALSE)&gt;75,"++",(IF(VLOOKUP(C19,OUTPUT_COUNTRY!$B$7:$N$26,9,FALSE)&gt;50,"+",(IF(VLOOKUP(C19,OUTPUT_COUNTRY!$B$7:$N$26,9,FALSE)&gt;25,"-","--")))))</f>
        <v>++</v>
      </c>
      <c r="K19" s="128" t="str">
        <f>IF(VLOOKUP(C19,OUTPUT_COUNTRY!$B$7:$N$26,11,FALSE)&gt;75,"++",(IF(VLOOKUP(C19,OUTPUT_COUNTRY!$B$7:$N$26,11,FALSE)&gt;50,"+",(IF(VLOOKUP(C19,OUTPUT_COUNTRY!$B$7:$N$26,11,FALSE)&gt;25,"-","--")))))</f>
        <v>++</v>
      </c>
      <c r="L19" s="126" t="str">
        <f ca="1">IF(VLOOKUP(C19,OUTPUT_COUNTRY!$B$7:$N$26,13,FALSE)&gt;75,"++",(IF(VLOOKUP(C19,OUTPUT_COUNTRY!$B$7:$N$26,13,FALSE)&gt;50,"+",(IF(VLOOKUP(C19,OUTPUT_COUNTRY!$B$7:$N$26,13,FALSE)&gt;25,"-","--")))))</f>
        <v>+</v>
      </c>
    </row>
    <row r="20" spans="3:12" x14ac:dyDescent="0.35">
      <c r="C20" s="80" t="s">
        <v>31</v>
      </c>
      <c r="D20" s="82" t="s">
        <v>444</v>
      </c>
      <c r="E20" s="126" t="str">
        <f>IF(VLOOKUP(C20,OUTPUT_COUNTRY!$B$7:$N$26,3,FALSE)&gt;75,"++",(IF(VLOOKUP(C20,OUTPUT_COUNTRY!$B$7:$N$26,3,FALSE)&gt;50,"+",(IF(VLOOKUP(C20,OUTPUT_COUNTRY!$B$7:$N$26,3,FALSE)&gt;25,"-","--")))))</f>
        <v>++</v>
      </c>
      <c r="F20" s="126" t="str">
        <f>IF(VLOOKUP(C20,OUTPUT_COUNTRY!$B$7:$N$26,4,FALSE)&gt;75,"++",(IF(VLOOKUP(C20,OUTPUT_COUNTRY!$B$7:$N$26,4,FALSE)&gt;50,"+",(IF(VLOOKUP(C20,OUTPUT_COUNTRY!$B$7:$N$26,4,FALSE)&gt;25,"-","--")))))</f>
        <v>-</v>
      </c>
      <c r="G20" s="128" t="str">
        <f>IF(VLOOKUP(C20,OUTPUT_COUNTRY!$B$7:$N$26,5,FALSE)&gt;75,"++",(IF(VLOOKUP(C20,OUTPUT_COUNTRY!$B$7:$N$26,5,FALSE)&gt;50,"+",(IF(VLOOKUP(C20,OUTPUT_COUNTRY!$B$7:$N$26,5,FALSE)&gt;25,"-","--")))))</f>
        <v>-</v>
      </c>
      <c r="H20" s="128" t="str">
        <f>IF(VLOOKUP(C20,OUTPUT_COUNTRY!$B$7:$N$26,7,FALSE)&gt;75,"++",(IF(VLOOKUP(C20,OUTPUT_COUNTRY!$B$7:$N$26,7,FALSE)&gt;50,"+",(IF(VLOOKUP(C20,OUTPUT_COUNTRY!$B$7:$N$26,7,FALSE)&gt;25,"-","--")))))</f>
        <v>+</v>
      </c>
      <c r="I20" s="128" t="str">
        <f>IF(VLOOKUP(C20,OUTPUT_COUNTRY!$B$7:$N$26,8,FALSE)&gt;75,"++",(IF(VLOOKUP(C20,OUTPUT_COUNTRY!$B$7:$N$26,8,FALSE)&gt;50,"+",(IF(VLOOKUP(C20,OUTPUT_COUNTRY!$B$7:$N$26,8,FALSE)&gt;25,"-","--")))))</f>
        <v>-</v>
      </c>
      <c r="J20" s="128" t="str">
        <f ca="1">IF(VLOOKUP(C20,OUTPUT_COUNTRY!$B$7:$N$26,9,FALSE)&gt;75,"++",(IF(VLOOKUP(C20,OUTPUT_COUNTRY!$B$7:$N$26,9,FALSE)&gt;50,"+",(IF(VLOOKUP(C20,OUTPUT_COUNTRY!$B$7:$N$26,9,FALSE)&gt;25,"-","--")))))</f>
        <v>++</v>
      </c>
      <c r="K20" s="128" t="str">
        <f>IF(VLOOKUP(C20,OUTPUT_COUNTRY!$B$7:$N$26,11,FALSE)&gt;75,"++",(IF(VLOOKUP(C20,OUTPUT_COUNTRY!$B$7:$N$26,11,FALSE)&gt;50,"+",(IF(VLOOKUP(C20,OUTPUT_COUNTRY!$B$7:$N$26,11,FALSE)&gt;25,"-","--")))))</f>
        <v>++</v>
      </c>
      <c r="L20" s="126" t="str">
        <f ca="1">IF(VLOOKUP(C20,OUTPUT_COUNTRY!$B$7:$N$26,13,FALSE)&gt;75,"++",(IF(VLOOKUP(C20,OUTPUT_COUNTRY!$B$7:$N$26,13,FALSE)&gt;50,"+",(IF(VLOOKUP(C20,OUTPUT_COUNTRY!$B$7:$N$26,13,FALSE)&gt;25,"-","--")))))</f>
        <v>++</v>
      </c>
    </row>
    <row r="21" spans="3:12" x14ac:dyDescent="0.35">
      <c r="C21" s="80" t="s">
        <v>30</v>
      </c>
      <c r="D21" s="82" t="s">
        <v>438</v>
      </c>
      <c r="E21" s="126" t="str">
        <f>IF(VLOOKUP(C21,OUTPUT_COUNTRY!$B$7:$N$26,3,FALSE)&gt;75,"++",(IF(VLOOKUP(C21,OUTPUT_COUNTRY!$B$7:$N$26,3,FALSE)&gt;50,"+",(IF(VLOOKUP(C21,OUTPUT_COUNTRY!$B$7:$N$26,3,FALSE)&gt;25,"-","--")))))</f>
        <v>+</v>
      </c>
      <c r="F21" s="126" t="str">
        <f>IF(VLOOKUP(C21,OUTPUT_COUNTRY!$B$7:$N$26,4,FALSE)&gt;75,"++",(IF(VLOOKUP(C21,OUTPUT_COUNTRY!$B$7:$N$26,4,FALSE)&gt;50,"+",(IF(VLOOKUP(C21,OUTPUT_COUNTRY!$B$7:$N$26,4,FALSE)&gt;25,"-","--")))))</f>
        <v>+</v>
      </c>
      <c r="G21" s="128" t="str">
        <f>IF(VLOOKUP(C21,OUTPUT_COUNTRY!$B$7:$N$26,5,FALSE)&gt;75,"++",(IF(VLOOKUP(C21,OUTPUT_COUNTRY!$B$7:$N$26,5,FALSE)&gt;50,"+",(IF(VLOOKUP(C21,OUTPUT_COUNTRY!$B$7:$N$26,5,FALSE)&gt;25,"-","--")))))</f>
        <v>-</v>
      </c>
      <c r="H21" s="128" t="str">
        <f>IF(VLOOKUP(C21,OUTPUT_COUNTRY!$B$7:$N$26,7,FALSE)&gt;75,"++",(IF(VLOOKUP(C21,OUTPUT_COUNTRY!$B$7:$N$26,7,FALSE)&gt;50,"+",(IF(VLOOKUP(C21,OUTPUT_COUNTRY!$B$7:$N$26,7,FALSE)&gt;25,"-","--")))))</f>
        <v>-</v>
      </c>
      <c r="I21" s="128" t="str">
        <f>IF(VLOOKUP(C21,OUTPUT_COUNTRY!$B$7:$N$26,8,FALSE)&gt;75,"++",(IF(VLOOKUP(C21,OUTPUT_COUNTRY!$B$7:$N$26,8,FALSE)&gt;50,"+",(IF(VLOOKUP(C21,OUTPUT_COUNTRY!$B$7:$N$26,8,FALSE)&gt;25,"-","--")))))</f>
        <v>++</v>
      </c>
      <c r="J21" s="128" t="str">
        <f ca="1">IF(VLOOKUP(C21,OUTPUT_COUNTRY!$B$7:$N$26,9,FALSE)&gt;75,"++",(IF(VLOOKUP(C21,OUTPUT_COUNTRY!$B$7:$N$26,9,FALSE)&gt;50,"+",(IF(VLOOKUP(C21,OUTPUT_COUNTRY!$B$7:$N$26,9,FALSE)&gt;25,"-","--")))))</f>
        <v>++</v>
      </c>
      <c r="K21" s="128" t="str">
        <f>IF(VLOOKUP(C21,OUTPUT_COUNTRY!$B$7:$N$26,11,FALSE)&gt;75,"++",(IF(VLOOKUP(C21,OUTPUT_COUNTRY!$B$7:$N$26,11,FALSE)&gt;50,"+",(IF(VLOOKUP(C21,OUTPUT_COUNTRY!$B$7:$N$26,11,FALSE)&gt;25,"-","--")))))</f>
        <v>-</v>
      </c>
      <c r="L21" s="126" t="str">
        <f ca="1">IF(VLOOKUP(C21,OUTPUT_COUNTRY!$B$7:$N$26,13,FALSE)&gt;75,"++",(IF(VLOOKUP(C21,OUTPUT_COUNTRY!$B$7:$N$26,13,FALSE)&gt;50,"+",(IF(VLOOKUP(C21,OUTPUT_COUNTRY!$B$7:$N$26,13,FALSE)&gt;25,"-","--")))))</f>
        <v>++</v>
      </c>
    </row>
    <row r="22" spans="3:12" x14ac:dyDescent="0.35">
      <c r="C22" s="80" t="s">
        <v>34</v>
      </c>
      <c r="D22" s="82" t="s">
        <v>447</v>
      </c>
      <c r="E22" s="126" t="str">
        <f>IF(VLOOKUP(C22,OUTPUT_COUNTRY!$B$7:$N$26,3,FALSE)&gt;75,"++",(IF(VLOOKUP(C22,OUTPUT_COUNTRY!$B$7:$N$26,3,FALSE)&gt;50,"+",(IF(VLOOKUP(C22,OUTPUT_COUNTRY!$B$7:$N$26,3,FALSE)&gt;25,"-","--")))))</f>
        <v>++</v>
      </c>
      <c r="F22" s="126" t="str">
        <f>IF(VLOOKUP(C22,OUTPUT_COUNTRY!$B$7:$N$26,4,FALSE)&gt;75,"++",(IF(VLOOKUP(C22,OUTPUT_COUNTRY!$B$7:$N$26,4,FALSE)&gt;50,"+",(IF(VLOOKUP(C22,OUTPUT_COUNTRY!$B$7:$N$26,4,FALSE)&gt;25,"-","--")))))</f>
        <v>--</v>
      </c>
      <c r="G22" s="128" t="str">
        <f>IF(VLOOKUP(C22,OUTPUT_COUNTRY!$B$7:$N$26,5,FALSE)&gt;75,"++",(IF(VLOOKUP(C22,OUTPUT_COUNTRY!$B$7:$N$26,5,FALSE)&gt;50,"+",(IF(VLOOKUP(C22,OUTPUT_COUNTRY!$B$7:$N$26,5,FALSE)&gt;25,"-","--")))))</f>
        <v>+</v>
      </c>
      <c r="H22" s="128" t="str">
        <f>IF(VLOOKUP(C22,OUTPUT_COUNTRY!$B$7:$N$26,7,FALSE)&gt;75,"++",(IF(VLOOKUP(C22,OUTPUT_COUNTRY!$B$7:$N$26,7,FALSE)&gt;50,"+",(IF(VLOOKUP(C22,OUTPUT_COUNTRY!$B$7:$N$26,7,FALSE)&gt;25,"-","--")))))</f>
        <v>++</v>
      </c>
      <c r="I22" s="128" t="str">
        <f>IF(VLOOKUP(C22,OUTPUT_COUNTRY!$B$7:$N$26,8,FALSE)&gt;75,"++",(IF(VLOOKUP(C22,OUTPUT_COUNTRY!$B$7:$N$26,8,FALSE)&gt;50,"+",(IF(VLOOKUP(C22,OUTPUT_COUNTRY!$B$7:$N$26,8,FALSE)&gt;25,"-","--")))))</f>
        <v>-</v>
      </c>
      <c r="J22" s="128" t="str">
        <f ca="1">IF(VLOOKUP(C22,OUTPUT_COUNTRY!$B$7:$N$26,9,FALSE)&gt;75,"++",(IF(VLOOKUP(C22,OUTPUT_COUNTRY!$B$7:$N$26,9,FALSE)&gt;50,"+",(IF(VLOOKUP(C22,OUTPUT_COUNTRY!$B$7:$N$26,9,FALSE)&gt;25,"-","--")))))</f>
        <v>+</v>
      </c>
      <c r="K22" s="128" t="str">
        <f>IF(VLOOKUP(C22,OUTPUT_COUNTRY!$B$7:$N$26,11,FALSE)&gt;75,"++",(IF(VLOOKUP(C22,OUTPUT_COUNTRY!$B$7:$N$26,11,FALSE)&gt;50,"+",(IF(VLOOKUP(C22,OUTPUT_COUNTRY!$B$7:$N$26,11,FALSE)&gt;25,"-","--")))))</f>
        <v>++</v>
      </c>
      <c r="L22" s="126" t="str">
        <f ca="1">IF(VLOOKUP(C22,OUTPUT_COUNTRY!$B$7:$N$26,13,FALSE)&gt;75,"++",(IF(VLOOKUP(C22,OUTPUT_COUNTRY!$B$7:$N$26,13,FALSE)&gt;50,"+",(IF(VLOOKUP(C22,OUTPUT_COUNTRY!$B$7:$N$26,13,FALSE)&gt;25,"-","--")))))</f>
        <v>+</v>
      </c>
    </row>
    <row r="23" spans="3:12" x14ac:dyDescent="0.35">
      <c r="C23" s="81" t="s">
        <v>22</v>
      </c>
      <c r="D23" s="83" t="s">
        <v>442</v>
      </c>
      <c r="E23" s="130" t="str">
        <f>IF(VLOOKUP(C23,OUTPUT_COUNTRY!$B$7:$N$26,3,FALSE)&gt;75,"++",(IF(VLOOKUP(C23,OUTPUT_COUNTRY!$B$7:$N$26,3,FALSE)&gt;50,"+",(IF(VLOOKUP(C23,OUTPUT_COUNTRY!$B$7:$N$26,3,FALSE)&gt;25,"-","--")))))</f>
        <v>-</v>
      </c>
      <c r="F23" s="130" t="str">
        <f>IF(VLOOKUP(C23,OUTPUT_COUNTRY!$B$7:$N$26,4,FALSE)&gt;75,"++",(IF(VLOOKUP(C23,OUTPUT_COUNTRY!$B$7:$N$26,4,FALSE)&gt;50,"+",(IF(VLOOKUP(C23,OUTPUT_COUNTRY!$B$7:$N$26,4,FALSE)&gt;25,"-","--")))))</f>
        <v>-</v>
      </c>
      <c r="G23" s="129" t="str">
        <f>IF(VLOOKUP(C23,OUTPUT_COUNTRY!$B$7:$N$26,5,FALSE)&gt;75,"++",(IF(VLOOKUP(C23,OUTPUT_COUNTRY!$B$7:$N$26,5,FALSE)&gt;50,"+",(IF(VLOOKUP(C23,OUTPUT_COUNTRY!$B$7:$N$26,5,FALSE)&gt;25,"-","--")))))</f>
        <v>--</v>
      </c>
      <c r="H23" s="129" t="str">
        <f>IF(VLOOKUP(C23,OUTPUT_COUNTRY!$B$7:$N$26,7,FALSE)&gt;75,"++",(IF(VLOOKUP(C23,OUTPUT_COUNTRY!$B$7:$N$26,7,FALSE)&gt;50,"+",(IF(VLOOKUP(C23,OUTPUT_COUNTRY!$B$7:$N$26,7,FALSE)&gt;25,"-","--")))))</f>
        <v>--</v>
      </c>
      <c r="I23" s="129" t="str">
        <f>IF(VLOOKUP(C23,OUTPUT_COUNTRY!$B$7:$N$26,8,FALSE)&gt;75,"++",(IF(VLOOKUP(C23,OUTPUT_COUNTRY!$B$7:$N$26,8,FALSE)&gt;50,"+",(IF(VLOOKUP(C23,OUTPUT_COUNTRY!$B$7:$N$26,8,FALSE)&gt;25,"-","--")))))</f>
        <v>++</v>
      </c>
      <c r="J23" s="129" t="str">
        <f ca="1">IF(VLOOKUP(C23,OUTPUT_COUNTRY!$B$7:$N$26,9,FALSE)&gt;75,"++",(IF(VLOOKUP(C23,OUTPUT_COUNTRY!$B$7:$N$26,9,FALSE)&gt;50,"+",(IF(VLOOKUP(C23,OUTPUT_COUNTRY!$B$7:$N$26,9,FALSE)&gt;25,"-","--")))))</f>
        <v>++</v>
      </c>
      <c r="K23" s="129" t="str">
        <f>IF(VLOOKUP(C23,OUTPUT_COUNTRY!$B$7:$N$26,11,FALSE)&gt;75,"++",(IF(VLOOKUP(C23,OUTPUT_COUNTRY!$B$7:$N$26,11,FALSE)&gt;50,"+",(IF(VLOOKUP(C23,OUTPUT_COUNTRY!$B$7:$N$26,11,FALSE)&gt;25,"-","--")))))</f>
        <v>-</v>
      </c>
      <c r="L23" s="130" t="str">
        <f ca="1">IF(VLOOKUP(C23,OUTPUT_COUNTRY!$B$7:$N$26,13,FALSE)&gt;75,"++",(IF(VLOOKUP(C23,OUTPUT_COUNTRY!$B$7:$N$26,13,FALSE)&gt;50,"+",(IF(VLOOKUP(C23,OUTPUT_COUNTRY!$B$7:$N$26,13,FALSE)&gt;25,"-","--")))))</f>
        <v>++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8" sqref="O8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45565</v>
      </c>
      <c r="G3" s="4" cm="1">
        <f t="array" ref="G3">_xll.FDS(D3,"FMA_PE(LTM,0,,,""PORTAGG"",""MEANR"")")</f>
        <v>17.169553818587701</v>
      </c>
      <c r="H3" s="4" cm="1">
        <f t="array" ref="H3">_xll.FDS(D3,"FMA_PE(NTMA,0,,,""PORTAGG"",""MEANR"")")</f>
        <v>13.9100777580498</v>
      </c>
      <c r="I3" cm="1">
        <f t="array" ref="I3">_xll.FDS(D3,"FMA_DIV_YLD(NTMA,NOW,NOW,M,""PORTAGG"",""MEANR"")")</f>
        <v>2.6988893405973799</v>
      </c>
      <c r="J3" s="55" cm="1">
        <f t="array" ref="J3">IFERROR(_xll.FDS(D3,"FG_FCF_YIELD_NTM(0)"),(1/G3*100))</f>
        <v>5.2835913844494398</v>
      </c>
      <c r="K3" s="3" cm="1">
        <f t="array" ref="K3">_xll.FDS(D3,"FMA_EVAL_EBITDA(NTMA,0,,,""PORTAGG"",""MEANR"")")</f>
        <v>10.7246866710185</v>
      </c>
      <c r="L3" cm="1">
        <f t="array" ref="L3">_xll.FDS(D3,"FMA_EVAL_EBIT(LTMA,NOW,NOW,M,""PORTAGG"",""MEANR"")")</f>
        <v>17.898511929766698</v>
      </c>
      <c r="M3">
        <f>HLOOKUP(D3,'Index ROE'!$A$1:$V$25,25,FALSE)</f>
        <v>12.0222723103633</v>
      </c>
      <c r="N3">
        <f>VLOOKUP(A3,'LIQIDITY 2'!$A$3:$E$26,5,FALSE)</f>
        <v>2.1608999999999998</v>
      </c>
      <c r="O3" cm="1">
        <f t="array" ref="O3">IFERROR(IFERROR(IFERROR(IFERROR(_xll.FDS(B3,"IMF_IFS_RCPI_Q(0)"),_xll.FDS(B3,"IMF_IFS_RCPI_Q(-1AM)")),_xll.FDS(B3,"IMF_IFS_RCPI_Q(-2AM)")),_xll.FDS(B3,"IMF_IFS_RCPI_Q(-3AM)")),$D$31)</f>
        <v>0.226831</v>
      </c>
      <c r="P3">
        <f>VLOOKUP(E3,GDP_GROWTH!$B$10:$W$165,22,FALSE)</f>
        <v>5.6866931054303738</v>
      </c>
      <c r="Q3">
        <f t="shared" ref="Q3:Q23" si="0">I3-N3</f>
        <v>0.53798934059738013</v>
      </c>
      <c r="R3" s="55">
        <f t="shared" ref="R3:R23" si="1">J3-N3</f>
        <v>3.1226913844494399</v>
      </c>
      <c r="S3">
        <f t="shared" ref="S3:S23" si="2">M3-N3</f>
        <v>9.8613723103633006</v>
      </c>
      <c r="T3">
        <f>M3-O3</f>
        <v>11.7954413103633</v>
      </c>
      <c r="U3" cm="1">
        <f t="array" ref="U3">_xlfn.PERCENTRANK.EXC(_xlfn._xlws.FILTER(Q$3:Q$23, ISNUMBER(Q$3:Q$23)),Q3)*100</f>
        <v>72.7</v>
      </c>
      <c r="V3" cm="1">
        <f t="array" ref="V3">_xlfn.PERCENTRANK.EXC(_xlfn._xlws.FILTER(R$3:R$23, ISNUMBER(R$3:R$23)),R3)*100</f>
        <v>72.7</v>
      </c>
      <c r="W3" cm="1">
        <f t="array" ref="W3">_xlfn.PERCENTRANK.EXC(_xlfn._xlws.FILTER(S$3:S$23, ISNUMBER(S$3:S$23)),S3)*100</f>
        <v>90.9</v>
      </c>
      <c r="X3" cm="1">
        <f t="array" ref="X3">(1-_xlfn.PERCENTRANK.EXC(_xlfn._xlws.FILTER(G$3:G$23, ISNUMBER(G$3:G$23)),G3))*100</f>
        <v>36.4</v>
      </c>
      <c r="Y3" cm="1">
        <f t="array" ref="Y3">(1-_xlfn.PERCENTRANK.EXC(_xlfn._xlws.FILTER(H$3:H$23, ISNUMBER(H$3:H$23)),H3))*100</f>
        <v>27.3</v>
      </c>
      <c r="Z3" cm="1">
        <f t="array" ref="Z3">_xlfn.PERCENTRANK.EXC(_xlfn._xlws.FILTER(T$3:T$23, ISNUMBER(T$3:T$23)),T3)*100</f>
        <v>86.3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55.455000000000013</v>
      </c>
      <c r="AC3" cm="1">
        <f t="array" ref="AC3">_xlfn.PERCENTRANK.EXC(_xlfn._xlws.FILTER(AB$3:AB$23, ISNUMBER(AB$3:AB$23)),AB3)*100</f>
        <v>59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45565</v>
      </c>
      <c r="G4" s="4" cm="1">
        <f t="array" ref="G4">_xll.FDS(D4,"FMA_PE(LTM,0,,,""PORTAGG"",""MEANR"")")</f>
        <v>12.4326281752786</v>
      </c>
      <c r="H4" s="4" cm="1">
        <f t="array" ref="H4">_xll.FDS(D4,"FMA_PE(NTMA,0,,,""PORTAGG"",""MEANR"")")</f>
        <v>9.3788702061683793</v>
      </c>
      <c r="I4" cm="1">
        <f t="array" ref="I4">_xll.FDS(D4,"FMA_DIV_YLD(NTMA,NOW,NOW,M,""PORTAGG"",""MEANR"")")</f>
        <v>4.7710093775129296</v>
      </c>
      <c r="J4" s="55" cm="1">
        <f t="array" ref="J4">IFERROR(_xll.FDS(D4,"FG_FCF_YIELD_NTM(0)"),(1/G4*100))</f>
        <v>9.6032015645581499</v>
      </c>
      <c r="K4" s="3" cm="1">
        <f t="array" ref="K4">_xll.FDS(D4,"FMA_EVAL_EBITDA(NTMA,0,,,""PORTAGG"",""MEANR"")")</f>
        <v>5.8793909133368301</v>
      </c>
      <c r="L4" cm="1">
        <f t="array" ref="L4">_xll.FDS(D4,"FMA_EVAL_EBIT(LTMA,NOW,NOW,M,""PORTAGG"",""MEANR"")")</f>
        <v>9.7075197474236798</v>
      </c>
      <c r="M4">
        <f>HLOOKUP(D4,'Index ROE'!$A$1:$V$25,25,FALSE)</f>
        <v>10.7704189177279</v>
      </c>
      <c r="N4">
        <f>VLOOKUP(A4,'LIQIDITY 2'!$A$3:$E$26,5,FALSE)</f>
        <v>2.1188750000000001</v>
      </c>
      <c r="O4" cm="1">
        <f t="array" ref="O4">IFERROR(IFERROR(IFERROR(IFERROR(_xll.FDS(B4,"IMF_IFS_RCPI_Q(0)"),_xll.FDS(B4,"IMF_IFS_RCPI_Q(-1AM)")),_xll.FDS(B4,"IMF_IFS_RCPI_Q(-2AM)")),_xll.FDS(B4,"IMF_IFS_RCPI_Q(-3AM)")),$D$31)</f>
        <v>3.19889</v>
      </c>
      <c r="P4">
        <f>VLOOKUP(E4,GDP_GROWTH!$B$10:$W$165,22,FALSE)</f>
        <v>2.8445276358834981</v>
      </c>
      <c r="Q4">
        <f t="shared" si="0"/>
        <v>2.6521343775129296</v>
      </c>
      <c r="R4" s="55">
        <f t="shared" si="1"/>
        <v>7.4843265645581498</v>
      </c>
      <c r="S4">
        <f t="shared" si="2"/>
        <v>8.6515439177278992</v>
      </c>
      <c r="T4">
        <f t="shared" ref="T4:T23" si="3">M4-O4</f>
        <v>7.5715289177278997</v>
      </c>
      <c r="U4" cm="1">
        <f t="array" ref="U4">_xlfn.PERCENTRANK.EXC(_xlfn._xlws.FILTER(Q$3:Q$23, ISNUMBER(Q$3:Q$23)),Q4)*100</f>
        <v>90.9</v>
      </c>
      <c r="V4" cm="1">
        <f t="array" ref="V4">_xlfn.PERCENTRANK.EXC(_xlfn._xlws.FILTER(R$3:R$23, ISNUMBER(R$3:R$23)),R4)*100</f>
        <v>95.399999999999991</v>
      </c>
      <c r="W4" cm="1">
        <f t="array" ref="W4">_xlfn.PERCENTRANK.EXC(_xlfn._xlws.FILTER(S$3:S$23, ISNUMBER(S$3:S$23)),S4)*100</f>
        <v>72.7</v>
      </c>
      <c r="X4" cm="1">
        <f t="array" ref="X4">(1-_xlfn.PERCENTRANK.EXC(_xlfn._xlws.FILTER(G$3:G$23, ISNUMBER(G$3:G$23)),G4))*100</f>
        <v>63.7</v>
      </c>
      <c r="Y4" cm="1">
        <f t="array" ref="Y4">(1-_xlfn.PERCENTRANK.EXC(_xlfn._xlws.FILTER(H$3:H$23, ISNUMBER(H$3:H$23)),H4))*100</f>
        <v>72.8</v>
      </c>
      <c r="Z4" cm="1">
        <f t="array" ref="Z4">_xlfn.PERCENTRANK.EXC(_xlfn._xlws.FILTER(T$3:T$23, ISNUMBER(T$3:T$23)),T4)*100</f>
        <v>27.200000000000003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72.509999999999991</v>
      </c>
      <c r="AC4" cm="1">
        <f t="array" ref="AC4">_xlfn.PERCENTRANK.EXC(_xlfn._xlws.FILTER(AB$3:AB$23, ISNUMBER(AB$3:AB$23)),AB4)*100</f>
        <v>86.3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45565</v>
      </c>
      <c r="G5" s="4" cm="1">
        <f t="array" ref="G5">_xll.FDS(D5,"FMA_PE(LTM,0,,,""PORTAGG"",""MEANR"")")</f>
        <v>17.120044550981302</v>
      </c>
      <c r="H5" s="4" cm="1">
        <f t="array" ref="H5">_xll.FDS(D5,"FMA_PE(NTMA,0,,,""PORTAGG"",""MEANR"")")</f>
        <v>13.2483683562215</v>
      </c>
      <c r="I5" cm="1">
        <f t="array" ref="I5">_xll.FDS(D5,"FMA_DIV_YLD(NTMA,NOW,NOW,M,""PORTAGG"",""MEANR"")")</f>
        <v>4.1178263853042196</v>
      </c>
      <c r="J5" s="55" cm="1">
        <f t="array" ref="J5">IFERROR(_xll.FDS(D5,"FG_FCF_YIELD_NTM(0)"),(1/G5*100))</f>
        <v>5.8411062951508566</v>
      </c>
      <c r="K5" s="3" cm="1">
        <f t="array" ref="K5">_xll.FDS(D5,"FMA_EVAL_EBITDA(NTMA,0,,,""PORTAGG"",""MEANR"")")</f>
        <v>6.8257422331284099</v>
      </c>
      <c r="L5" cm="1">
        <f t="array" ref="L5">_xll.FDS(D5,"FMA_EVAL_EBIT(LTMA,NOW,NOW,M,""PORTAGG"",""MEANR"")")</f>
        <v>10.087981590099099</v>
      </c>
      <c r="M5">
        <f>HLOOKUP(D5,'Index ROE'!$A$1:$V$25,25,FALSE)</f>
        <v>14.02340332534</v>
      </c>
      <c r="N5">
        <f>VLOOKUP(A5,'LIQIDITY 2'!$A$3:$E$26,5,FALSE)</f>
        <v>6.7475189999999996</v>
      </c>
      <c r="O5" cm="1">
        <f t="array" ref="O5">IFERROR(IFERROR(IFERROR(IFERROR(_xll.FDS(B5,"IMF_IFS_RCPI_Q(0)"),_xll.FDS(B5,"IMF_IFS_RCPI_Q(-1AM)")),_xll.FDS(B5,"IMF_IFS_RCPI_Q(-2AM)")),_xll.FDS(B5,"IMF_IFS_RCPI_Q(-3AM)")),$D$31)</f>
        <v>3.19889</v>
      </c>
      <c r="P5">
        <f>VLOOKUP(E5,GDP_GROWTH!$B$10:$W$165,22,FALSE)</f>
        <v>3.8153657829076093</v>
      </c>
      <c r="Q5">
        <f t="shared" si="0"/>
        <v>-2.62969261469578</v>
      </c>
      <c r="R5" s="55">
        <f t="shared" si="1"/>
        <v>-0.90641270484914305</v>
      </c>
      <c r="S5">
        <f t="shared" si="2"/>
        <v>7.2758843253400007</v>
      </c>
      <c r="T5">
        <f t="shared" si="3"/>
        <v>10.82451332534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27.200000000000003</v>
      </c>
      <c r="W5" cm="1">
        <f t="array" ref="W5">_xlfn.PERCENTRANK.EXC(_xlfn._xlws.FILTER(S$3:S$23, ISNUMBER(S$3:S$23)),S5)*100</f>
        <v>54.500000000000007</v>
      </c>
      <c r="X5" cm="1">
        <f t="array" ref="X5">(1-_xlfn.PERCENTRANK.EXC(_xlfn._xlws.FILTER(G$3:G$23, ISNUMBER(G$3:G$23)),G5))*100</f>
        <v>41</v>
      </c>
      <c r="Y5" cm="1">
        <f t="array" ref="Y5">(1-_xlfn.PERCENTRANK.EXC(_xlfn._xlws.FILTER(H$3:H$23, ISNUMBER(H$3:H$23)),H5))*100</f>
        <v>36.4</v>
      </c>
      <c r="Z5" cm="1">
        <f t="array" ref="Z5">_xlfn.PERCENTRANK.EXC(_xlfn._xlws.FILTER(T$3:T$23, ISNUMBER(T$3:T$23)),T5)*100</f>
        <v>77.2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41.135000000000005</v>
      </c>
      <c r="AC5" cm="1">
        <f t="array" ref="AC5">_xlfn.PERCENTRANK.EXC(_xlfn._xlws.FILTER(AB$3:AB$23, ISNUMBER(AB$3:AB$23)),AB5)*100</f>
        <v>36.299999999999997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45565</v>
      </c>
      <c r="G6" s="4" cm="1">
        <f t="array" ref="G6">_xll.FDS(D6,"FMA_PE(LTM,0,,,""PORTAGG"",""MEANR"")")</f>
        <v>12.1113827043926</v>
      </c>
      <c r="H6" s="4" cm="1">
        <f t="array" ref="H6">_xll.FDS(D6,"FMA_PE(NTMA,0,,,""PORTAGG"",""MEANR"")")</f>
        <v>10.4613296076468</v>
      </c>
      <c r="I6" cm="1">
        <f t="array" ref="I6">_xll.FDS(D6,"FMA_DIV_YLD(NTMA,NOW,NOW,M,""PORTAGG"",""MEANR"")")</f>
        <v>3.1463634168467398</v>
      </c>
      <c r="J6" s="55" cm="1">
        <f t="array" ref="J6">IFERROR(_xll.FDS(D6,"FG_FCF_YIELD_NTM(0)"),(1/G6*100))</f>
        <v>5.6580782860159298</v>
      </c>
      <c r="K6" s="3" cm="1">
        <f t="array" ref="K6">_xll.FDS(D6,"FMA_EVAL_EBITDA(NTMA,0,,,""PORTAGG"",""MEANR"")")</f>
        <v>8.3192153243653397</v>
      </c>
      <c r="L6" cm="1">
        <f t="array" ref="L6">_xll.FDS(D6,"FMA_EVAL_EBIT(LTMA,NOW,NOW,M,""PORTAGG"",""MEANR"")")</f>
        <v>12.211197434253901</v>
      </c>
      <c r="M6">
        <f>HLOOKUP(D6,'Index ROE'!$A$1:$V$25,25,FALSE)</f>
        <v>11.9407094450378</v>
      </c>
      <c r="N6">
        <f>VLOOKUP(A6,'LIQIDITY 2'!$A$3:$E$26,5,FALSE)</f>
        <v>5.7788633999999997</v>
      </c>
      <c r="O6" cm="1">
        <f t="array" ref="O6">IFERROR(IFERROR(IFERROR(IFERROR(_xll.FDS(B6,"IMF_IFS_RCPI_Q(0)"),_xll.FDS(B6,"IMF_IFS_RCPI_Q(-1AM)")),_xll.FDS(B6,"IMF_IFS_RCPI_Q(-2AM)")),_xll.FDS(B6,"IMF_IFS_RCPI_Q(-3AM)")),$D$31)</f>
        <v>3.19889</v>
      </c>
      <c r="P6">
        <f>VLOOKUP(E6,GDP_GROWTH!$B$10:$W$165,22,FALSE)</f>
        <v>3.9454348254778893</v>
      </c>
      <c r="Q6">
        <f t="shared" si="0"/>
        <v>-2.6324999831532598</v>
      </c>
      <c r="R6" s="55">
        <f t="shared" si="1"/>
        <v>-0.12078511398406988</v>
      </c>
      <c r="S6">
        <f t="shared" si="2"/>
        <v>6.1618460450378008</v>
      </c>
      <c r="T6">
        <f t="shared" si="3"/>
        <v>8.7418194450378</v>
      </c>
      <c r="U6" cm="1">
        <f t="array" ref="U6">_xlfn.PERCENTRANK.EXC(_xlfn._xlws.FILTER(Q$3:Q$23, ISNUMBER(Q$3:Q$23)),Q6)*100</f>
        <v>31.8</v>
      </c>
      <c r="V6" cm="1">
        <f t="array" ref="V6">_xlfn.PERCENTRANK.EXC(_xlfn._xlws.FILTER(R$3:R$23, ISNUMBER(R$3:R$23)),R6)*100</f>
        <v>36.299999999999997</v>
      </c>
      <c r="W6" cm="1">
        <f t="array" ref="W6">_xlfn.PERCENTRANK.EXC(_xlfn._xlws.FILTER(S$3:S$23, ISNUMBER(S$3:S$23)),S6)*100</f>
        <v>31.8</v>
      </c>
      <c r="X6" cm="1">
        <f t="array" ref="X6">(1-_xlfn.PERCENTRANK.EXC(_xlfn._xlws.FILTER(G$3:G$23, ISNUMBER(G$3:G$23)),G6))*100</f>
        <v>68.199999999999989</v>
      </c>
      <c r="Y6" cm="1">
        <f t="array" ref="Y6">(1-_xlfn.PERCENTRANK.EXC(_xlfn._xlws.FILTER(H$3:H$23, ISNUMBER(H$3:H$23)),H6))*100</f>
        <v>63.7</v>
      </c>
      <c r="Z6" cm="1">
        <f t="array" ref="Z6">_xlfn.PERCENTRANK.EXC(_xlfn._xlws.FILTER(T$3:T$23, ISNUMBER(T$3:T$23)),T6)*100</f>
        <v>36.299999999999997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50.45</v>
      </c>
      <c r="AC6" cm="1">
        <f t="array" ref="AC6">_xlfn.PERCENTRANK.EXC(_xlfn._xlws.FILTER(AB$3:AB$23, ISNUMBER(AB$3:AB$23)),AB6)*100</f>
        <v>54.500000000000007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45565</v>
      </c>
      <c r="G7" s="4" cm="1">
        <f t="array" ref="G7">_xll.FDS(D7,"FMA_PE(LTM,0,,,""PORTAGG"",""MEANR"")")</f>
        <v>9.0278688079334906</v>
      </c>
      <c r="H7" s="4" cm="1">
        <f t="array" ref="H7">_xll.FDS(D7,"FMA_PE(NTMA,0,,,""PORTAGG"",""MEANR"")")</f>
        <v>7.8738376608401204</v>
      </c>
      <c r="I7" cm="1">
        <f t="array" ref="I7">_xll.FDS(D7,"FMA_DIV_YLD(NTMA,NOW,NOW,M,""PORTAGG"",""MEANR"")")</f>
        <v>5.7122906427903999</v>
      </c>
      <c r="J7" s="55" cm="1">
        <f t="array" ref="J7">IFERROR(_xll.FDS(D7,"FG_FCF_YIELD_NTM(0)"),(1/G7*100))</f>
        <v>2.11370082875478</v>
      </c>
      <c r="K7" s="3" cm="1">
        <f t="array" ref="K7">_xll.FDS(D7,"FMA_EVAL_EBITDA(NTMA,0,,,""PORTAGG"",""MEANR"")")</f>
        <v>4.4010970567093999</v>
      </c>
      <c r="L7" cm="1">
        <f t="array" ref="L7">_xll.FDS(D7,"FMA_EVAL_EBIT(LTMA,NOW,NOW,M,""PORTAGG"",""MEANR"")")</f>
        <v>8.4736035024690395</v>
      </c>
      <c r="M7">
        <f>HLOOKUP(D7,'Index ROE'!$A$1:$V$25,25,FALSE)</f>
        <v>12.394579327579899</v>
      </c>
      <c r="N7">
        <f>VLOOKUP(A7,'LIQIDITY 2'!$A$3:$E$26,5,FALSE)</f>
        <v>5.4626999999999999</v>
      </c>
      <c r="O7" cm="1">
        <f t="array" ref="O7">IFERROR(IFERROR(IFERROR(IFERROR(_xll.FDS(B7,"IMF_IFS_RCPI_Q(0)"),_xll.FDS(B7,"IMF_IFS_RCPI_Q(-1AM)")),_xll.FDS(B7,"IMF_IFS_RCPI_Q(-2AM)")),_xll.FDS(B7,"IMF_IFS_RCPI_Q(-3AM)")),$D$31)</f>
        <v>2.6024375000000002</v>
      </c>
      <c r="P7">
        <f>VLOOKUP(E7,GDP_GROWTH!$B$10:$W$165,22,FALSE)</f>
        <v>3.7030435940290873</v>
      </c>
      <c r="Q7">
        <f t="shared" si="0"/>
        <v>0.2495906427904</v>
      </c>
      <c r="R7" s="55">
        <f t="shared" si="1"/>
        <v>-3.3489991712452198</v>
      </c>
      <c r="S7">
        <f t="shared" si="2"/>
        <v>6.9318793275798996</v>
      </c>
      <c r="T7">
        <f t="shared" si="3"/>
        <v>9.7921418275798988</v>
      </c>
      <c r="U7" cm="1">
        <f t="array" ref="U7">_xlfn.PERCENTRANK.EXC(_xlfn._xlws.FILTER(Q$3:Q$23, ISNUMBER(Q$3:Q$23)),Q7)*100</f>
        <v>59</v>
      </c>
      <c r="V7" cm="1">
        <f t="array" ref="V7">_xlfn.PERCENTRANK.EXC(_xlfn._xlws.FILTER(R$3:R$23, ISNUMBER(R$3:R$23)),R7)*100</f>
        <v>13.600000000000001</v>
      </c>
      <c r="W7" cm="1">
        <f t="array" ref="W7">_xlfn.PERCENTRANK.EXC(_xlfn._xlws.FILTER(S$3:S$23, ISNUMBER(S$3:S$23)),S7)*100</f>
        <v>50</v>
      </c>
      <c r="X7" cm="1">
        <f t="array" ref="X7">(1-_xlfn.PERCENTRANK.EXC(_xlfn._xlws.FILTER(G$3:G$23, ISNUMBER(G$3:G$23)),G7))*100</f>
        <v>86.4</v>
      </c>
      <c r="Y7" cm="1">
        <f t="array" ref="Y7">(1-_xlfn.PERCENTRANK.EXC(_xlfn._xlws.FILTER(H$3:H$23, ISNUMBER(H$3:H$23)),H7))*100</f>
        <v>86.4</v>
      </c>
      <c r="Z7" cm="1">
        <f t="array" ref="Z7">_xlfn.PERCENTRANK.EXC(_xlfn._xlws.FILTER(T$3:T$23, ISNUMBER(T$3:T$23)),T7)*100</f>
        <v>59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60.45</v>
      </c>
      <c r="AC7" cm="1">
        <f t="array" ref="AC7">_xlfn.PERCENTRANK.EXC(_xlfn._xlws.FILTER(AB$3:AB$23, ISNUMBER(AB$3:AB$23)),AB7)*100</f>
        <v>72.7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45565</v>
      </c>
      <c r="G8" s="4" cm="1">
        <f t="array" ref="G8">_xll.FDS(D8,"FMA_PE(LTM,0,,,""PORTAGG"",""MEANR"")")</f>
        <v>17.3463202446164</v>
      </c>
      <c r="H8" s="4" cm="1">
        <f t="array" ref="H8">_xll.FDS(D8,"FMA_PE(NTMA,0,,,""PORTAGG"",""MEANR"")")</f>
        <v>11.499377060473201</v>
      </c>
      <c r="I8" cm="1">
        <f t="array" ref="I8">_xll.FDS(D8,"FMA_DIV_YLD(NTMA,NOW,NOW,M,""PORTAGG"",""MEANR"")")</f>
        <v>3.7380997658040598</v>
      </c>
      <c r="J8" s="55" cm="1">
        <f t="array" ref="J8">IFERROR(_xll.FDS(D8,"FG_FCF_YIELD_NTM(0)"),(1/G8*100))</f>
        <v>7.5122377173252</v>
      </c>
      <c r="K8" s="3" cm="1">
        <f t="array" ref="K8">_xll.FDS(D8,"FMA_EVAL_EBITDA(NTMA,0,,,""PORTAGG"",""MEANR"")")</f>
        <v>6.7092578909606901</v>
      </c>
      <c r="L8" cm="1">
        <f t="array" ref="L8">_xll.FDS(D8,"FMA_EVAL_EBIT(LTMA,NOW,NOW,M,""PORTAGG"",""MEANR"")")</f>
        <v>11.7915035190422</v>
      </c>
      <c r="M8">
        <f>HLOOKUP(D8,'Index ROE'!$A$1:$V$25,25,FALSE)</f>
        <v>12.932447143095301</v>
      </c>
      <c r="N8">
        <f>VLOOKUP(A8,'LIQIDITY 2'!$A$3:$E$26,5,FALSE)</f>
        <v>6.4712319999999997</v>
      </c>
      <c r="O8" cm="1">
        <f t="array" ref="O8">IFERROR(IFERROR(IFERROR(IFERROR(_xll.FDS(B8,"IMF_IFS_RCPI_Q(0)"),_xll.FDS(B8,"IMF_IFS_RCPI_Q(-1AM)")),_xll.FDS(B8,"IMF_IFS_RCPI_Q(-2AM)")),_xll.FDS(B8,"IMF_IFS_RCPI_Q(-3AM)")),$D$31)</f>
        <v>3.19889</v>
      </c>
      <c r="P8">
        <f>VLOOKUP(E8,GDP_GROWTH!$B$10:$W$165,22,FALSE)</f>
        <v>2.3642552134477857</v>
      </c>
      <c r="Q8">
        <f t="shared" si="0"/>
        <v>-2.7331322341959399</v>
      </c>
      <c r="R8" s="55">
        <f t="shared" si="1"/>
        <v>1.0410057173252003</v>
      </c>
      <c r="S8">
        <f t="shared" si="2"/>
        <v>6.4612151430953011</v>
      </c>
      <c r="T8">
        <f t="shared" si="3"/>
        <v>9.7335571430953003</v>
      </c>
      <c r="U8" cm="1">
        <f t="array" ref="U8">_xlfn.PERCENTRANK.EXC(_xlfn._xlws.FILTER(Q$3:Q$23, ISNUMBER(Q$3:Q$23)),Q8)*100</f>
        <v>27.200000000000003</v>
      </c>
      <c r="V8" cm="1">
        <f t="array" ref="V8">_xlfn.PERCENTRANK.EXC(_xlfn._xlws.FILTER(R$3:R$23, ISNUMBER(R$3:R$23)),R8)*100</f>
        <v>59</v>
      </c>
      <c r="W8" cm="1">
        <f t="array" ref="W8">_xlfn.PERCENTRANK.EXC(_xlfn._xlws.FILTER(S$3:S$23, ISNUMBER(S$3:S$23)),S8)*100</f>
        <v>36.299999999999997</v>
      </c>
      <c r="X8" cm="1">
        <f t="array" ref="X8">(1-_xlfn.PERCENTRANK.EXC(_xlfn._xlws.FILTER(G$3:G$23, ISNUMBER(G$3:G$23)),G8))*100</f>
        <v>27.3</v>
      </c>
      <c r="Y8" cm="1">
        <f t="array" ref="Y8">(1-_xlfn.PERCENTRANK.EXC(_xlfn._xlws.FILTER(H$3:H$23, ISNUMBER(H$3:H$23)),H8))*100</f>
        <v>41</v>
      </c>
      <c r="Z8" cm="1">
        <f t="array" ref="Z8">_xlfn.PERCENTRANK.EXC(_xlfn._xlws.FILTER(T$3:T$23, ISNUMBER(T$3:T$23)),T8)*100</f>
        <v>54.500000000000007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42.265000000000008</v>
      </c>
      <c r="AC8" cm="1">
        <f t="array" ref="AC8">_xlfn.PERCENTRANK.EXC(_xlfn._xlws.FILTER(AB$3:AB$23, ISNUMBER(AB$3:AB$23)),AB8)*100</f>
        <v>40.9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45565</v>
      </c>
      <c r="G9" s="4" cm="1">
        <f t="array" ref="G9">_xll.FDS(D9,"FMA_PE(LTM,0,,,""PORTAGG"",""MEANR"")")</f>
        <v>18.774118696411801</v>
      </c>
      <c r="H9" s="4" cm="1">
        <f t="array" ref="H9">_xll.FDS(D9,"FMA_PE(NTMA,0,,,""PORTAGG"",""MEANR"")")</f>
        <v>14.1661056853189</v>
      </c>
      <c r="I9" cm="1">
        <f t="array" ref="I9">_xll.FDS(D9,"FMA_DIV_YLD(NTMA,NOW,NOW,M,""PORTAGG"",""MEANR"")")</f>
        <v>4.0504538397633798</v>
      </c>
      <c r="J9" s="55" cm="1">
        <f t="array" ref="J9">IFERROR(_xll.FDS(D9,"FG_FCF_YIELD_NTM(0)"),(1/G9*100))</f>
        <v>6.0298098395205102</v>
      </c>
      <c r="K9" s="3" cm="1">
        <f t="array" ref="K9">_xll.FDS(D9,"FMA_EVAL_EBITDA(NTMA,0,,,""PORTAGG"",""MEANR"")")</f>
        <v>8.3554443242032495</v>
      </c>
      <c r="L9" cm="1">
        <f t="array" ref="L9">_xll.FDS(D9,"FMA_EVAL_EBIT(LTMA,NOW,NOW,M,""PORTAGG"",""MEANR"")")</f>
        <v>16.2766784457475</v>
      </c>
      <c r="M9">
        <f>HLOOKUP(D9,'Index ROE'!$A$1:$V$25,25,FALSE)</f>
        <v>9.5585136214236197</v>
      </c>
      <c r="N9">
        <f>VLOOKUP(A9,'LIQIDITY 2'!$A$3:$E$26,5,FALSE)</f>
        <v>3.7967689999999998</v>
      </c>
      <c r="O9" cm="1">
        <f t="array" ref="O9">IFERROR(IFERROR(IFERROR(IFERROR(_xll.FDS(B9,"IMF_IFS_RCPI_Q(0)"),_xll.FDS(B9,"IMF_IFS_RCPI_Q(-1AM)")),_xll.FDS(B9,"IMF_IFS_RCPI_Q(-2AM)")),_xll.FDS(B9,"IMF_IFS_RCPI_Q(-3AM)")),$D$31)</f>
        <v>3.19889</v>
      </c>
      <c r="P9">
        <f>VLOOKUP(E9,GDP_GROWTH!$B$10:$W$165,22,FALSE)</f>
        <v>3.5466921531802975</v>
      </c>
      <c r="Q9">
        <f t="shared" si="0"/>
        <v>0.25368483976337997</v>
      </c>
      <c r="R9" s="55">
        <f t="shared" si="1"/>
        <v>2.2330408395205104</v>
      </c>
      <c r="S9">
        <f t="shared" si="2"/>
        <v>5.7617446214236203</v>
      </c>
      <c r="T9">
        <f t="shared" si="3"/>
        <v>6.3596236214236193</v>
      </c>
      <c r="U9" cm="1">
        <f t="array" ref="U9">_xlfn.PERCENTRANK.EXC(_xlfn._xlws.FILTER(Q$3:Q$23, ISNUMBER(Q$3:Q$23)),Q9)*100</f>
        <v>63.6</v>
      </c>
      <c r="V9" cm="1">
        <f t="array" ref="V9">_xlfn.PERCENTRANK.EXC(_xlfn._xlws.FILTER(R$3:R$23, ISNUMBER(R$3:R$23)),R9)*100</f>
        <v>68.100000000000009</v>
      </c>
      <c r="W9" cm="1">
        <f t="array" ref="W9">_xlfn.PERCENTRANK.EXC(_xlfn._xlws.FILTER(S$3:S$23, ISNUMBER(S$3:S$23)),S9)*100</f>
        <v>18.099999999999998</v>
      </c>
      <c r="X9" cm="1">
        <f t="array" ref="X9">(1-_xlfn.PERCENTRANK.EXC(_xlfn._xlws.FILTER(G$3:G$23, ISNUMBER(G$3:G$23)),G9))*100</f>
        <v>22.799999999999997</v>
      </c>
      <c r="Y9" cm="1">
        <f t="array" ref="Y9">(1-_xlfn.PERCENTRANK.EXC(_xlfn._xlws.FILTER(H$3:H$23, ISNUMBER(H$3:H$23)),H9))*100</f>
        <v>22.799999999999997</v>
      </c>
      <c r="Z9" cm="1">
        <f t="array" ref="Z9">_xlfn.PERCENTRANK.EXC(_xlfn._xlws.FILTER(T$3:T$23, ISNUMBER(T$3:T$23)),T9)*100</f>
        <v>22.7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35.685000000000002</v>
      </c>
      <c r="AC9" cm="1">
        <f t="array" ref="AC9">_xlfn.PERCENTRANK.EXC(_xlfn._xlws.FILTER(AB$3:AB$23, ISNUMBER(AB$3:AB$23)),AB9)*100</f>
        <v>22.7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45565</v>
      </c>
      <c r="G10" s="4" cm="1">
        <f t="array" ref="G10">_xll.FDS(D10,"FMA_PE(LTM,0,,,""PORTAGG"",""MEANR"")")</f>
        <v>20.871926196794998</v>
      </c>
      <c r="H10" s="4" cm="1">
        <f t="array" ref="H10">_xll.FDS(D10,"FMA_PE(NTMA,0,,,""PORTAGG"",""MEANR"")")</f>
        <v>16.0871035002959</v>
      </c>
      <c r="I10" cm="1">
        <f t="array" ref="I10">_xll.FDS(D10,"FMA_DIV_YLD(NTMA,NOW,NOW,M,""PORTAGG"",""MEANR"")")</f>
        <v>3.4132541511967598</v>
      </c>
      <c r="J10" s="55" cm="1">
        <f t="array" ref="J10">IFERROR(_xll.FDS(D10,"FG_FCF_YIELD_NTM(0)"),(1/G10*100))</f>
        <v>4.2301548152087696</v>
      </c>
      <c r="K10" s="3" cm="1">
        <f t="array" ref="K10">_xll.FDS(D10,"FMA_EVAL_EBITDA(NTMA,0,,,""PORTAGG"",""MEANR"")")</f>
        <v>9.5208673264958499</v>
      </c>
      <c r="L10" cm="1">
        <f t="array" ref="L10">_xll.FDS(D10,"FMA_EVAL_EBIT(LTMA,NOW,NOW,M,""PORTAGG"",""MEANR"")")</f>
        <v>18.162340441862099</v>
      </c>
      <c r="M10">
        <f>HLOOKUP(D10,'Index ROE'!$A$1:$V$25,25,FALSE)</f>
        <v>11.9161171814971</v>
      </c>
      <c r="N10">
        <f>VLOOKUP(A10,'LIQIDITY 2'!$A$3:$E$26,5,FALSE)</f>
        <v>4.0754999999999999</v>
      </c>
      <c r="O10" cm="1">
        <f t="array" ref="O10">IFERROR(IFERROR(IFERROR(IFERROR(_xll.FDS(B10,"IMF_IFS_RCPI_Q(0)"),_xll.FDS(B10,"IMF_IFS_RCPI_Q(-1AM)")),_xll.FDS(B10,"IMF_IFS_RCPI_Q(-2AM)")),_xll.FDS(B10,"IMF_IFS_RCPI_Q(-3AM)")),$D$31)</f>
        <v>3.19889</v>
      </c>
      <c r="P10">
        <f>VLOOKUP(E10,GDP_GROWTH!$B$10:$W$165,22,FALSE)</f>
        <v>3.5195870793715778</v>
      </c>
      <c r="Q10">
        <f t="shared" si="0"/>
        <v>-0.66224584880324011</v>
      </c>
      <c r="R10" s="55">
        <f t="shared" si="1"/>
        <v>0.15465481520876967</v>
      </c>
      <c r="S10">
        <f t="shared" si="2"/>
        <v>7.8406171814971</v>
      </c>
      <c r="T10">
        <f t="shared" si="3"/>
        <v>8.7172271814970994</v>
      </c>
      <c r="U10" cm="1">
        <f t="array" ref="U10">_xlfn.PERCENTRANK.EXC(_xlfn._xlws.FILTER(Q$3:Q$23, ISNUMBER(Q$3:Q$23)),Q10)*100</f>
        <v>54.500000000000007</v>
      </c>
      <c r="V10" cm="1">
        <f t="array" ref="V10">_xlfn.PERCENTRANK.EXC(_xlfn._xlws.FILTER(R$3:R$23, ISNUMBER(R$3:R$23)),R10)*100</f>
        <v>50</v>
      </c>
      <c r="W10" cm="1">
        <f t="array" ref="W10">_xlfn.PERCENTRANK.EXC(_xlfn._xlws.FILTER(S$3:S$23, ISNUMBER(S$3:S$23)),S10)*100</f>
        <v>59</v>
      </c>
      <c r="X10" cm="1">
        <f t="array" ref="X10">(1-_xlfn.PERCENTRANK.EXC(_xlfn._xlws.FILTER(G$3:G$23, ISNUMBER(G$3:G$23)),G10))*100</f>
        <v>9.0999999999999979</v>
      </c>
      <c r="Y10" cm="1">
        <f t="array" ref="Y10">(1-_xlfn.PERCENTRANK.EXC(_xlfn._xlws.FILTER(H$3:H$23, ISNUMBER(H$3:H$23)),H10))*100</f>
        <v>13.700000000000001</v>
      </c>
      <c r="Z10" cm="1">
        <f t="array" ref="Z10">_xlfn.PERCENTRANK.EXC(_xlfn._xlws.FILTER(T$3:T$23, ISNUMBER(T$3:T$23)),T10)*100</f>
        <v>31.8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30.005000000000003</v>
      </c>
      <c r="AC10" cm="1">
        <f t="array" ref="AC10">_xlfn.PERCENTRANK.EXC(_xlfn._xlws.FILTER(AB$3:AB$23, ISNUMBER(AB$3:AB$23)),AB10)*100</f>
        <v>13.600000000000001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45565</v>
      </c>
      <c r="G11" s="4" cm="1">
        <f t="array" ref="G11">_xll.FDS(D11,"FMA_PE(LTM,0,,,""PORTAGG"",""MEANR"")")</f>
        <v>13.5580380086371</v>
      </c>
      <c r="H11" s="4" cm="1">
        <f t="array" ref="H11">_xll.FDS(D11,"FMA_PE(NTMA,0,,,""PORTAGG"",""MEANR"")")</f>
        <v>10.803298428586199</v>
      </c>
      <c r="I11" cm="1">
        <f t="array" ref="I11">_xll.FDS(D11,"FMA_DIV_YLD(NTMA,NOW,NOW,M,""PORTAGG"",""MEANR"")")</f>
        <v>4.8761892702337004</v>
      </c>
      <c r="J11" s="55" cm="1">
        <f t="array" ref="J11">IFERROR(_xll.FDS(D11,"FG_FCF_YIELD_NTM(0)"),(1/G11*100))</f>
        <v>9.9144506484752792</v>
      </c>
      <c r="K11" s="3" cm="1">
        <f t="array" ref="K11">_xll.FDS(D11,"FMA_EVAL_EBITDA(NTMA,0,,,""PORTAGG"",""MEANR"")")</f>
        <v>5.7926586267128499</v>
      </c>
      <c r="L11" cm="1">
        <f t="array" ref="L11">_xll.FDS(D11,"FMA_EVAL_EBIT(LTMA,NOW,NOW,M,""PORTAGG"",""MEANR"")")</f>
        <v>9.9801939534228108</v>
      </c>
      <c r="M11">
        <f>HLOOKUP(D11,'Index ROE'!$A$1:$V$25,25,FALSE)</f>
        <v>13.7129718327555</v>
      </c>
      <c r="N11">
        <f>VLOOKUP(A11,'LIQIDITY 2'!$A$3:$E$26,5,FALSE)</f>
        <v>9.6913999999999998</v>
      </c>
      <c r="O11" cm="1">
        <f t="array" ref="O11">IFERROR(IFERROR(IFERROR(IFERROR(_xll.FDS(B11,"IMF_IFS_RCPI_Q(0)"),_xll.FDS(B11,"IMF_IFS_RCPI_Q(-1AM)")),_xll.FDS(B11,"IMF_IFS_RCPI_Q(-2AM)")),_xll.FDS(B11,"IMF_IFS_RCPI_Q(-3AM)")),$D$31)</f>
        <v>4.7719990000000001</v>
      </c>
      <c r="P11">
        <f>VLOOKUP(E11,GDP_GROWTH!$B$10:$W$165,22,FALSE)</f>
        <v>0.75528355941661962</v>
      </c>
      <c r="Q11">
        <f t="shared" si="0"/>
        <v>-4.8152107297662994</v>
      </c>
      <c r="R11" s="55">
        <f t="shared" si="1"/>
        <v>0.22305064847527944</v>
      </c>
      <c r="S11">
        <f t="shared" si="2"/>
        <v>4.0215718327554999</v>
      </c>
      <c r="T11">
        <f t="shared" si="3"/>
        <v>8.9409728327554987</v>
      </c>
      <c r="U11" cm="1">
        <f t="array" ref="U11">_xlfn.PERCENTRANK.EXC(_xlfn._xlws.FILTER(Q$3:Q$23, ISNUMBER(Q$3:Q$23)),Q11)*100</f>
        <v>22.7</v>
      </c>
      <c r="V11" cm="1">
        <f t="array" ref="V11">_xlfn.PERCENTRANK.EXC(_xlfn._xlws.FILTER(R$3:R$23, ISNUMBER(R$3:R$23)),R11)*100</f>
        <v>54.500000000000007</v>
      </c>
      <c r="W11" cm="1">
        <f t="array" ref="W11">_xlfn.PERCENTRANK.EXC(_xlfn._xlws.FILTER(S$3:S$23, ISNUMBER(S$3:S$23)),S11)*100</f>
        <v>9</v>
      </c>
      <c r="X11" cm="1">
        <f t="array" ref="X11">(1-_xlfn.PERCENTRANK.EXC(_xlfn._xlws.FILTER(G$3:G$23, ISNUMBER(G$3:G$23)),G11))*100</f>
        <v>59.099999999999994</v>
      </c>
      <c r="Y11" cm="1">
        <f t="array" ref="Y11">(1-_xlfn.PERCENTRANK.EXC(_xlfn._xlws.FILTER(H$3:H$23, ISNUMBER(H$3:H$23)),H11))*100</f>
        <v>54.6</v>
      </c>
      <c r="Z11" cm="1">
        <f t="array" ref="Z11">_xlfn.PERCENTRANK.EXC(_xlfn._xlws.FILTER(T$3:T$23, ISNUMBER(T$3:T$23)),T11)*100</f>
        <v>45.4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48.625</v>
      </c>
      <c r="AC11" cm="1">
        <f t="array" ref="AC11">_xlfn.PERCENTRANK.EXC(_xlfn._xlws.FILTER(AB$3:AB$23, ISNUMBER(AB$3:AB$23)),AB11)*100</f>
        <v>45.4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45565</v>
      </c>
      <c r="G12" s="4" cm="1">
        <f t="array" ref="G12">_xll.FDS(D12,"FMA_PE(LTM,0,,,""PORTAGG"",""MEANR"")")</f>
        <v>14.1181684228013</v>
      </c>
      <c r="H12" s="4" cm="1">
        <f t="array" ref="H12">_xll.FDS(D12,"FMA_PE(NTMA,0,,,""PORTAGG"",""MEANR"")")</f>
        <v>8.2788123176955004</v>
      </c>
      <c r="I12" cm="1">
        <f t="array" ref="I12">_xll.FDS(D12,"FMA_DIV_YLD(NTMA,NOW,NOW,M,""PORTAGG"",""MEANR"")")</f>
        <v>2.3616481484477201</v>
      </c>
      <c r="J12" s="55" cm="1">
        <f t="array" ref="J12">IFERROR(_xll.FDS(D12,"FG_FCF_YIELD_NTM(0)"),(1/G12*100))</f>
        <v>7.44109764196567</v>
      </c>
      <c r="K12" s="3" cm="1">
        <f t="array" ref="K12">_xll.FDS(D12,"FMA_EVAL_EBITDA(NTMA,0,,,""PORTAGG"",""MEANR"")")</f>
        <v>5.6907169151952202</v>
      </c>
      <c r="L12" cm="1">
        <f t="array" ref="L12">_xll.FDS(D12,"FMA_EVAL_EBIT(LTMA,NOW,NOW,M,""PORTAGG"",""MEANR"")")</f>
        <v>14.220451244646</v>
      </c>
      <c r="M12">
        <f>HLOOKUP(D12,'Index ROE'!$A$1:$V$25,25,FALSE)</f>
        <v>8.9059619435426995</v>
      </c>
      <c r="N12">
        <f>VLOOKUP(A12,'LIQIDITY 2'!$A$3:$E$26,5,FALSE)</f>
        <v>3.0870000000000002</v>
      </c>
      <c r="O12" cm="1">
        <f t="array" ref="O12">IFERROR(IFERROR(IFERROR(IFERROR(_xll.FDS(B12,"IMF_IFS_RCPI_Q(0)"),_xll.FDS(B12,"IMF_IFS_RCPI_Q(-1AM)")),_xll.FDS(B12,"IMF_IFS_RCPI_Q(-2AM)")),_xll.FDS(B12,"IMF_IFS_RCPI_Q(-3AM)")),$D$31)</f>
        <v>2.6691832999999998</v>
      </c>
      <c r="P12">
        <f>VLOOKUP(E12,GDP_GROWTH!$B$10:$W$165,22,FALSE)</f>
        <v>2.41003689527024</v>
      </c>
      <c r="Q12">
        <f t="shared" si="0"/>
        <v>-0.7253518515522801</v>
      </c>
      <c r="R12" s="55">
        <f t="shared" si="1"/>
        <v>4.3540976419656694</v>
      </c>
      <c r="S12">
        <f t="shared" si="2"/>
        <v>5.8189619435426998</v>
      </c>
      <c r="T12">
        <f t="shared" si="3"/>
        <v>6.2367786435426993</v>
      </c>
      <c r="U12" cm="1">
        <f t="array" ref="U12">_xlfn.PERCENTRANK.EXC(_xlfn._xlws.FILTER(Q$3:Q$23, ISNUMBER(Q$3:Q$23)),Q12)*100</f>
        <v>50</v>
      </c>
      <c r="V12" cm="1">
        <f t="array" ref="V12">_xlfn.PERCENTRANK.EXC(_xlfn._xlws.FILTER(R$3:R$23, ISNUMBER(R$3:R$23)),R12)*100</f>
        <v>81.8</v>
      </c>
      <c r="W12" cm="1">
        <f t="array" ref="W12">_xlfn.PERCENTRANK.EXC(_xlfn._xlws.FILTER(S$3:S$23, ISNUMBER(S$3:S$23)),S12)*100</f>
        <v>22.7</v>
      </c>
      <c r="X12" cm="1">
        <f t="array" ref="X12">(1-_xlfn.PERCENTRANK.EXC(_xlfn._xlws.FILTER(G$3:G$23, ISNUMBER(G$3:G$23)),G12))*100</f>
        <v>54.6</v>
      </c>
      <c r="Y12" cm="1">
        <f t="array" ref="Y12">(1-_xlfn.PERCENTRANK.EXC(_xlfn._xlws.FILTER(H$3:H$23, ISNUMBER(H$3:H$23)),H12))*100</f>
        <v>77.3</v>
      </c>
      <c r="Z12" cm="1">
        <f t="array" ref="Z12">_xlfn.PERCENTRANK.EXC(_xlfn._xlws.FILTER(T$3:T$23, ISNUMBER(T$3:T$23)),T12)*100</f>
        <v>13.600000000000001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59.555</v>
      </c>
      <c r="AC12" cm="1">
        <f t="array" ref="AC12">_xlfn.PERCENTRANK.EXC(_xlfn._xlws.FILTER(AB$3:AB$23, ISNUMBER(AB$3:AB$23)),AB12)*100</f>
        <v>68.100000000000009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45565</v>
      </c>
      <c r="G13" s="4" cm="1">
        <f t="array" ref="G13">_xll.FDS(D13,"FMA_PE(LTM,0,,,""PORTAGG"",""MEANR"")")</f>
        <v>9.2799178069217696</v>
      </c>
      <c r="H13" s="4" cm="1">
        <f t="array" ref="H13">_xll.FDS(D13,"FMA_PE(NTMA,0,,,""PORTAGG"",""MEANR"")")</f>
        <v>8.1473597929920007</v>
      </c>
      <c r="I13" cm="1">
        <f t="array" ref="I13">_xll.FDS(D13,"FMA_DIV_YLD(NTMA,NOW,NOW,M,""PORTAGG"",""MEANR"")")</f>
        <v>5.71439846687238</v>
      </c>
      <c r="J13" s="55" cm="1">
        <f t="array" ref="J13">IFERROR(_xll.FDS(D13,"FG_FCF_YIELD_NTM(0)"),(1/G13*100))</f>
        <v>9.30464123658194</v>
      </c>
      <c r="K13" s="3" cm="1">
        <f t="array" ref="K13">_xll.FDS(D13,"FMA_EVAL_EBITDA(NTMA,0,,,""PORTAGG"",""MEANR"")")</f>
        <v>4.6517625521606396</v>
      </c>
      <c r="L13" cm="1">
        <f t="array" ref="L13">_xll.FDS(D13,"FMA_EVAL_EBIT(LTMA,NOW,NOW,M,""PORTAGG"",""MEANR"")")</f>
        <v>7.1241765788761304</v>
      </c>
      <c r="M13">
        <f>HLOOKUP(D13,'Index ROE'!$A$1:$V$25,25,FALSE)</f>
        <v>18.606733270154201</v>
      </c>
      <c r="N13">
        <f>VLOOKUP(A13,'LIQIDITY 2'!$A$3:$E$26,5,FALSE)</f>
        <v>12.554957</v>
      </c>
      <c r="O13" cm="1">
        <f t="array" ref="O13">IFERROR(IFERROR(IFERROR(IFERROR(_xll.FDS(B13,"IMF_IFS_RCPI_Q(0)"),_xll.FDS(B13,"IMF_IFS_RCPI_Q(-1AM)")),_xll.FDS(B13,"IMF_IFS_RCPI_Q(-2AM)")),_xll.FDS(B13,"IMF_IFS_RCPI_Q(-3AM)")),$D$31)</f>
        <v>3.9473410000000002</v>
      </c>
      <c r="P13">
        <f>VLOOKUP(E13,GDP_GROWTH!$B$10:$W$165,22,FALSE)</f>
        <v>0.86151944639016875</v>
      </c>
      <c r="Q13">
        <f t="shared" si="0"/>
        <v>-6.84055853312762</v>
      </c>
      <c r="R13" s="55">
        <f t="shared" si="1"/>
        <v>-3.2503157634180599</v>
      </c>
      <c r="S13">
        <f t="shared" si="2"/>
        <v>6.0517762701542015</v>
      </c>
      <c r="T13">
        <f t="shared" si="3"/>
        <v>14.659392270154202</v>
      </c>
      <c r="U13" cm="1">
        <f t="array" ref="U13">_xlfn.PERCENTRANK.EXC(_xlfn._xlws.FILTER(Q$3:Q$23, ISNUMBER(Q$3:Q$23)),Q13)*100</f>
        <v>9</v>
      </c>
      <c r="V13" cm="1">
        <f t="array" ref="V13">_xlfn.PERCENTRANK.EXC(_xlfn._xlws.FILTER(R$3:R$23, ISNUMBER(R$3:R$23)),R13)*100</f>
        <v>18.099999999999998</v>
      </c>
      <c r="W13" cm="1">
        <f t="array" ref="W13">_xlfn.PERCENTRANK.EXC(_xlfn._xlws.FILTER(S$3:S$23, ISNUMBER(S$3:S$23)),S13)*100</f>
        <v>27.200000000000003</v>
      </c>
      <c r="X13" cm="1">
        <f t="array" ref="X13">(1-_xlfn.PERCENTRANK.EXC(_xlfn._xlws.FILTER(G$3:G$23, ISNUMBER(G$3:G$23)),G13))*100</f>
        <v>81.899999999999991</v>
      </c>
      <c r="Y13" cm="1">
        <f t="array" ref="Y13">(1-_xlfn.PERCENTRANK.EXC(_xlfn._xlws.FILTER(H$3:H$23, ISNUMBER(H$3:H$23)),H13))*100</f>
        <v>81.899999999999991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58.184999999999995</v>
      </c>
      <c r="AC13" cm="1">
        <f t="array" ref="AC13">_xlfn.PERCENTRANK.EXC(_xlfn._xlws.FILTER(AB$3:AB$23, ISNUMBER(AB$3:AB$23)),AB13)*100</f>
        <v>63.6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45565</v>
      </c>
      <c r="G14" s="4" cm="1">
        <f t="array" ref="G14">_xll.FDS(D14,"FMA_PE(LTM,0,,,""PORTAGG"",""MEANR"")")</f>
        <v>15.786360923313699</v>
      </c>
      <c r="H14" s="4" cm="1">
        <f t="array" ref="H14">_xll.FDS(D14,"FMA_PE(NTMA,0,,,""PORTAGG"",""MEANR"")")</f>
        <v>10.506660629422401</v>
      </c>
      <c r="I14" cm="1">
        <f t="array" ref="I14">_xll.FDS(D14,"FMA_DIV_YLD(NTMA,NOW,NOW,M,""PORTAGG"",""MEANR"")")</f>
        <v>3.7240584679973598</v>
      </c>
      <c r="J14" s="55" cm="1">
        <f t="array" ref="J14">IFERROR(_xll.FDS(D14,"FG_FCF_YIELD_NTM(0)"),(1/G14*100))</f>
        <v>7.6702078920487402</v>
      </c>
      <c r="K14" s="3" cm="1">
        <f t="array" ref="K14">_xll.FDS(D14,"FMA_EVAL_EBITDA(NTMA,0,,,""PORTAGG"",""MEANR"")")</f>
        <v>7.6844029806652001</v>
      </c>
      <c r="L14" cm="1">
        <f t="array" ref="L14">_xll.FDS(D14,"FMA_EVAL_EBIT(LTMA,NOW,NOW,M,""PORTAGG"",""MEANR"")")</f>
        <v>13.260427308938899</v>
      </c>
      <c r="M14">
        <f>HLOOKUP(D14,'Index ROE'!$A$1:$V$25,25,FALSE)</f>
        <v>14.5722752976358</v>
      </c>
      <c r="N14">
        <f>VLOOKUP(A14,'LIQIDITY 2'!$A$3:$E$26,5,FALSE)</f>
        <v>10.403542</v>
      </c>
      <c r="O14" cm="1">
        <f t="array" ref="O14">IFERROR(IFERROR(IFERROR(IFERROR(_xll.FDS(B14,"IMF_IFS_RCPI_Q(0)"),_xll.FDS(B14,"IMF_IFS_RCPI_Q(-1AM)")),_xll.FDS(B14,"IMF_IFS_RCPI_Q(-2AM)")),_xll.FDS(B14,"IMF_IFS_RCPI_Q(-3AM)")),$D$31)</f>
        <v>5.0606</v>
      </c>
      <c r="P14">
        <f>VLOOKUP(E14,GDP_GROWTH!$B$10:$W$165,22,FALSE)</f>
        <v>2.0053433544621524</v>
      </c>
      <c r="Q14">
        <f t="shared" si="0"/>
        <v>-6.6794835320026404</v>
      </c>
      <c r="R14" s="55">
        <f t="shared" si="1"/>
        <v>-2.7333341079512596</v>
      </c>
      <c r="S14">
        <f t="shared" si="2"/>
        <v>4.1687332976358</v>
      </c>
      <c r="T14">
        <f t="shared" si="3"/>
        <v>9.5116752976358008</v>
      </c>
      <c r="U14" cm="1">
        <f t="array" ref="U14">_xlfn.PERCENTRANK.EXC(_xlfn._xlws.FILTER(Q$3:Q$23, ISNUMBER(Q$3:Q$23)),Q14)*100</f>
        <v>13.600000000000001</v>
      </c>
      <c r="V14" cm="1">
        <f t="array" ref="V14">_xlfn.PERCENTRANK.EXC(_xlfn._xlws.FILTER(R$3:R$23, ISNUMBER(R$3:R$23)),R14)*100</f>
        <v>22.7</v>
      </c>
      <c r="W14" cm="1">
        <f t="array" ref="W14">_xlfn.PERCENTRANK.EXC(_xlfn._xlws.FILTER(S$3:S$23, ISNUMBER(S$3:S$23)),S14)*100</f>
        <v>13.600000000000001</v>
      </c>
      <c r="X14" cm="1">
        <f t="array" ref="X14">(1-_xlfn.PERCENTRANK.EXC(_xlfn._xlws.FILTER(G$3:G$23, ISNUMBER(G$3:G$23)),G14))*100</f>
        <v>45.499999999999993</v>
      </c>
      <c r="Y14" cm="1">
        <f t="array" ref="Y14">(1-_xlfn.PERCENTRANK.EXC(_xlfn._xlws.FILTER(H$3:H$23, ISNUMBER(H$3:H$23)),H14))*100</f>
        <v>59.099999999999994</v>
      </c>
      <c r="Z14" cm="1">
        <f t="array" ref="Z14">_xlfn.PERCENTRANK.EXC(_xlfn._xlws.FILTER(T$3:T$23, ISNUMBER(T$3:T$23)),T14)*100</f>
        <v>50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38.864999999999995</v>
      </c>
      <c r="AC14" cm="1">
        <f t="array" ref="AC14">_xlfn.PERCENTRANK.EXC(_xlfn._xlws.FILTER(AB$3:AB$23, ISNUMBER(AB$3:AB$23)),AB14)*100</f>
        <v>31.8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45565</v>
      </c>
      <c r="G15" s="4" cm="1">
        <f t="array" ref="G15">_xll.FDS(D15,"FMA_PE(LTM,0,,,""PORTAGG"",""MEANR"")")</f>
        <v>7.1000300818409601</v>
      </c>
      <c r="H15" s="4" cm="1">
        <f t="array" ref="H15">_xll.FDS(D15,"FMA_PE(NTMA,0,,,""PORTAGG"",""MEANR"")")</f>
        <v>6.7352709086839297</v>
      </c>
      <c r="I15" cm="1">
        <f t="array" ref="I15">_xll.FDS(D15,"FMA_DIV_YLD(NTMA,NOW,NOW,M,""PORTAGG"",""MEANR"")")</f>
        <v>6.4880608084085498</v>
      </c>
      <c r="J15" s="55" cm="1">
        <f t="array" ref="J15">IFERROR(_xll.FDS(D15,"FG_FCF_YIELD_NTM(0)"),(1/G15*100))</f>
        <v>3.1972456718507201</v>
      </c>
      <c r="K15" s="3" cm="1">
        <f t="array" ref="K15">_xll.FDS(D15,"FMA_EVAL_EBITDA(NTMA,0,,,""PORTAGG"",""MEANR"")")</f>
        <v>5.2819468155309304</v>
      </c>
      <c r="L15" cm="1">
        <f t="array" ref="L15">_xll.FDS(D15,"FMA_EVAL_EBIT(LTMA,NOW,NOW,M,""PORTAGG"",""MEANR"")")</f>
        <v>8.0296709894359903</v>
      </c>
      <c r="M15">
        <f>HLOOKUP(D15,'Index ROE'!$A$1:$V$25,25,FALSE)</f>
        <v>13.1253657894167</v>
      </c>
      <c r="N15">
        <f>VLOOKUP(A15,'LIQIDITY 2'!$A$3:$E$26,5,FALSE)</f>
        <v>3.1909999999999998</v>
      </c>
      <c r="O15" cm="1">
        <f t="array" ref="O15">IFERROR(IFERROR(IFERROR(IFERROR(_xll.FDS(B15,"IMF_IFS_RCPI_Q(0)"),_xll.FDS(B15,"IMF_IFS_RCPI_Q(-1AM)")),_xll.FDS(B15,"IMF_IFS_RCPI_Q(-2AM)")),_xll.FDS(B15,"IMF_IFS_RCPI_Q(-3AM)")),$D$31)</f>
        <v>2.5719759999999998</v>
      </c>
      <c r="P15">
        <f>VLOOKUP(E15,GDP_GROWTH!$B$10:$W$165,22,FALSE)</f>
        <v>0.85736345187500396</v>
      </c>
      <c r="Q15">
        <f t="shared" si="0"/>
        <v>3.29706080840855</v>
      </c>
      <c r="R15" s="55">
        <f t="shared" si="1"/>
        <v>6.2456718507202247E-3</v>
      </c>
      <c r="S15">
        <f t="shared" si="2"/>
        <v>9.9343657894166988</v>
      </c>
      <c r="T15">
        <f t="shared" si="3"/>
        <v>10.5533897894167</v>
      </c>
      <c r="U15" cm="1">
        <f t="array" ref="U15">_xlfn.PERCENTRANK.EXC(_xlfn._xlws.FILTER(Q$3:Q$23, ISNUMBER(Q$3:Q$23)),Q15)*100</f>
        <v>95.399999999999991</v>
      </c>
      <c r="V15" cm="1">
        <f t="array" ref="V15">_xlfn.PERCENTRANK.EXC(_xlfn._xlws.FILTER(R$3:R$23, ISNUMBER(R$3:R$23)),R15)*100</f>
        <v>45.4</v>
      </c>
      <c r="W15" cm="1">
        <f t="array" ref="W15">_xlfn.PERCENTRANK.EXC(_xlfn._xlws.FILTER(S$3:S$23, ISNUMBER(S$3:S$23)),S15)*100</f>
        <v>95.399999999999991</v>
      </c>
      <c r="X15" cm="1">
        <f t="array" ref="X15">(1-_xlfn.PERCENTRANK.EXC(_xlfn._xlws.FILTER(G$3:G$23, ISNUMBER(G$3:G$23)),G15))*100</f>
        <v>95.5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72.7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79.554999999999993</v>
      </c>
      <c r="AC15" cm="1">
        <f t="array" ref="AC15">_xlfn.PERCENTRANK.EXC(_xlfn._xlws.FILTER(AB$3:AB$23, ISNUMBER(AB$3:AB$23)),AB15)*100</f>
        <v>95.399999999999991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45565</v>
      </c>
      <c r="G16" s="4" cm="1">
        <f t="array" ref="G16">_xll.FDS(D16,"FMA_PE(LTM,0,,,""PORTAGG"",""MEANR"")")</f>
        <v>27.401071275090601</v>
      </c>
      <c r="H16" s="4" cm="1">
        <f t="array" ref="H16">_xll.FDS(D16,"FMA_PE(NTMA,0,,,""PORTAGG"",""MEANR"")")</f>
        <v>23.969595672156899</v>
      </c>
      <c r="I16" cm="1">
        <f t="array" ref="I16">_xll.FDS(D16,"FMA_DIV_YLD(NTMA,NOW,NOW,M,""PORTAGG"",""MEANR"")")</f>
        <v>1.21341275131075</v>
      </c>
      <c r="J16" s="55" cm="1">
        <f t="array" ref="J16">IFERROR(_xll.FDS(D16,"FG_FCF_YIELD_NTM(0)"),(1/G16*100))</f>
        <v>2.7191429277539898</v>
      </c>
      <c r="K16" s="3" cm="1">
        <f t="array" ref="K16">_xll.FDS(D16,"FMA_EVAL_EBITDA(NTMA,0,,,""PORTAGG"",""MEANR"")")</f>
        <v>15.688758347710101</v>
      </c>
      <c r="L16" cm="1">
        <f t="array" ref="L16">_xll.FDS(D16,"FMA_EVAL_EBIT(LTMA,NOW,NOW,M,""PORTAGG"",""MEANR"")")</f>
        <v>24.4678115305224</v>
      </c>
      <c r="M16">
        <f>HLOOKUP(D16,'Index ROE'!$A$1:$V$25,25,FALSE)</f>
        <v>16.0781656045333</v>
      </c>
      <c r="N16">
        <f>VLOOKUP(A16,'LIQIDITY 2'!$A$3:$E$26,5,FALSE)</f>
        <v>6.7725</v>
      </c>
      <c r="O16" cm="1">
        <f t="array" ref="O16">IFERROR(IFERROR(IFERROR(IFERROR(_xll.FDS(B16,"IMF_IFS_RCPI_Q(0)"),_xll.FDS(B16,"IMF_IFS_RCPI_Q(-1AM)")),_xll.FDS(B16,"IMF_IFS_RCPI_Q(-2AM)")),_xll.FDS(B16,"IMF_IFS_RCPI_Q(-3AM)")),$D$31)</f>
        <v>3.19889</v>
      </c>
      <c r="P16">
        <f>VLOOKUP(E16,GDP_GROWTH!$B$10:$W$165,22,FALSE)</f>
        <v>4.5925545086595072</v>
      </c>
      <c r="Q16">
        <f t="shared" si="0"/>
        <v>-5.5590872486892504</v>
      </c>
      <c r="R16" s="55">
        <f t="shared" si="1"/>
        <v>-4.0533570722460102</v>
      </c>
      <c r="S16">
        <f t="shared" si="2"/>
        <v>9.3056656045332993</v>
      </c>
      <c r="T16">
        <f t="shared" si="3"/>
        <v>12.8792756045333</v>
      </c>
      <c r="U16" cm="1">
        <f t="array" ref="U16">_xlfn.PERCENTRANK.EXC(_xlfn._xlws.FILTER(Q$3:Q$23, ISNUMBER(Q$3:Q$23)),Q16)*100</f>
        <v>18.099999999999998</v>
      </c>
      <c r="V16" cm="1">
        <f t="array" ref="V16">_xlfn.PERCENTRANK.EXC(_xlfn._xlws.FILTER(R$3:R$23, ISNUMBER(R$3:R$23)),R16)*100</f>
        <v>9</v>
      </c>
      <c r="W16" cm="1">
        <f t="array" ref="W16">_xlfn.PERCENTRANK.EXC(_xlfn._xlws.FILTER(S$3:S$23, ISNUMBER(S$3:S$23)),S16)*100</f>
        <v>81.8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90.9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22.725000000000001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45565</v>
      </c>
      <c r="G17" s="4" cm="1">
        <f t="array" ref="G17">_xll.FDS(D17,"FMA_PE(LTM,0,,,""PORTAGG"",""MEANR"")")</f>
        <v>15.6415430187774</v>
      </c>
      <c r="H17" s="4" cm="1">
        <f t="array" ref="H17">_xll.FDS(D17,"FMA_PE(NTMA,0,,,""PORTAGG"",""MEANR"")")</f>
        <v>11.010931479405301</v>
      </c>
      <c r="I17" cm="1">
        <f t="array" ref="I17">_xll.FDS(D17,"FMA_DIV_YLD(NTMA,NOW,NOW,M,""PORTAGG"",""MEANR"")")</f>
        <v>2.5081050747409299</v>
      </c>
      <c r="J17" s="55" cm="1">
        <f t="array" ref="J17">IFERROR(_xll.FDS(D17,"FG_FCF_YIELD_NTM(0)"),(1/G17*100))</f>
        <v>5.9743734469252603</v>
      </c>
      <c r="K17" s="3" cm="1">
        <f t="array" ref="K17">_xll.FDS(D17,"FMA_EVAL_EBITDA(NTMA,0,,,""PORTAGG"",""MEANR"")")</f>
        <v>10.205020413004499</v>
      </c>
      <c r="L17" cm="1">
        <f t="array" ref="L17">_xll.FDS(D17,"FMA_EVAL_EBIT(LTMA,NOW,NOW,M,""PORTAGG"",""MEANR"")")</f>
        <v>15.424910548228199</v>
      </c>
      <c r="M17">
        <f>HLOOKUP(D17,'Index ROE'!$A$1:$V$25,25,FALSE)</f>
        <v>11.563438773696999</v>
      </c>
      <c r="N17">
        <f>VLOOKUP(A17,'LIQIDITY 2'!$A$3:$E$26,5,FALSE)</f>
        <v>2.1608999999999998</v>
      </c>
      <c r="O17" cm="1">
        <f t="array" ref="O17">IFERROR(IFERROR(IFERROR(IFERROR(_xll.FDS(B17,"IMF_IFS_RCPI_Q(0)"),_xll.FDS(B17,"IMF_IFS_RCPI_Q(-1AM)")),_xll.FDS(B17,"IMF_IFS_RCPI_Q(-2AM)")),_xll.FDS(B17,"IMF_IFS_RCPI_Q(-3AM)")),$D$31)</f>
        <v>0.226831</v>
      </c>
      <c r="P17">
        <f>VLOOKUP(E17,GDP_GROWTH!$B$10:$W$165,22,FALSE)</f>
        <v>5.6866931054303738</v>
      </c>
      <c r="Q17">
        <f t="shared" si="0"/>
        <v>0.3472050747409301</v>
      </c>
      <c r="R17" s="55">
        <f t="shared" si="1"/>
        <v>3.8134734469252605</v>
      </c>
      <c r="S17">
        <f t="shared" si="2"/>
        <v>9.4025387736969996</v>
      </c>
      <c r="T17">
        <f t="shared" si="3"/>
        <v>11.336607773696999</v>
      </c>
      <c r="U17" cm="1">
        <f t="array" ref="U17">_xlfn.PERCENTRANK.EXC(_xlfn._xlws.FILTER(Q$3:Q$23, ISNUMBER(Q$3:Q$23)),Q17)*100</f>
        <v>68.100000000000009</v>
      </c>
      <c r="V17" cm="1">
        <f t="array" ref="V17">_xlfn.PERCENTRANK.EXC(_xlfn._xlws.FILTER(R$3:R$23, ISNUMBER(R$3:R$23)),R17)*100</f>
        <v>77.2</v>
      </c>
      <c r="W17" cm="1">
        <f t="array" ref="W17">_xlfn.PERCENTRANK.EXC(_xlfn._xlws.FILTER(S$3:S$23, ISNUMBER(S$3:S$23)),S17)*100</f>
        <v>86.3</v>
      </c>
      <c r="X17" cm="1">
        <f t="array" ref="X17">(1-_xlfn.PERCENTRANK.EXC(_xlfn._xlws.FILTER(G$3:G$23, ISNUMBER(G$3:G$23)),G17))*100</f>
        <v>50</v>
      </c>
      <c r="Y17" cm="1">
        <f t="array" ref="Y17">(1-_xlfn.PERCENTRANK.EXC(_xlfn._xlws.FILTER(H$3:H$23, ISNUMBER(H$3:H$23)),H17))*100</f>
        <v>45.499999999999993</v>
      </c>
      <c r="Z17" cm="1">
        <f t="array" ref="Z17">_xlfn.PERCENTRANK.EXC(_xlfn._xlws.FILTER(T$3:T$23, ISNUMBER(T$3:T$23)),T17)*100</f>
        <v>81.8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63.39</v>
      </c>
      <c r="AC17" cm="1">
        <f t="array" ref="AC17">_xlfn.PERCENTRANK.EXC(_xlfn._xlws.FILTER(AB$3:AB$23, ISNUMBER(AB$3:AB$23)),AB17)*100</f>
        <v>77.2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45565</v>
      </c>
      <c r="G18" s="4" cm="1">
        <f t="array" ref="G18">_xll.FDS(D18,"FMA_PE(LTM,0,,,""PORTAGG"",""MEANR"")")</f>
        <v>11.850850926332299</v>
      </c>
      <c r="H18" s="4" cm="1">
        <f t="array" ref="H18">_xll.FDS(D18,"FMA_PE(NTMA,0,,,""PORTAGG"",""MEANR"")")</f>
        <v>10.8965848680641</v>
      </c>
      <c r="I18" cm="1">
        <f t="array" ref="I18">_xll.FDS(D18,"FMA_DIV_YLD(NTMA,NOW,NOW,M,""PORTAGG"",""MEANR"")")</f>
        <v>5.3275375886451402</v>
      </c>
      <c r="J18" s="55" cm="1">
        <f t="array" ref="J18">IFERROR(_xll.FDS(D18,"FG_FCF_YIELD_NTM(0)"),(1/G18*100))</f>
        <v>8.4382126331369562</v>
      </c>
      <c r="K18" s="3" cm="1">
        <f t="array" ref="K18">_xll.FDS(D18,"FMA_EVAL_EBITDA(NTMA,0,,,""PORTAGG"",""MEANR"")")</f>
        <v>9.4472650804844598</v>
      </c>
      <c r="L18" cm="1">
        <f t="array" ref="L18">_xll.FDS(D18,"FMA_EVAL_EBIT(LTMA,NOW,NOW,M,""PORTAGG"",""MEANR"")")</f>
        <v>16.287629023602999</v>
      </c>
      <c r="M18">
        <f>HLOOKUP(D18,'Index ROE'!$A$1:$V$25,25,FALSE)</f>
        <v>12.1192289718939</v>
      </c>
      <c r="N18">
        <f>VLOOKUP(A18,'LIQIDITY 2'!$A$3:$E$26,5,FALSE)</f>
        <v>4.0754999999999999</v>
      </c>
      <c r="O18" cm="1">
        <f t="array" ref="O18">IFERROR(IFERROR(IFERROR(IFERROR(_xll.FDS(B18,"IMF_IFS_RCPI_Q(0)"),_xll.FDS(B18,"IMF_IFS_RCPI_Q(-1AM)")),_xll.FDS(B18,"IMF_IFS_RCPI_Q(-2AM)")),_xll.FDS(B18,"IMF_IFS_RCPI_Q(-3AM)")),$D$31)</f>
        <v>3.19889</v>
      </c>
      <c r="P18">
        <f>VLOOKUP(E18,GDP_GROWTH!$B$10:$W$165,22,FALSE)</f>
        <v>1.453731693851934</v>
      </c>
      <c r="Q18">
        <f t="shared" si="0"/>
        <v>1.2520375886451403</v>
      </c>
      <c r="R18" s="55">
        <f t="shared" si="1"/>
        <v>4.3627126331369563</v>
      </c>
      <c r="S18">
        <f t="shared" si="2"/>
        <v>8.0437289718939002</v>
      </c>
      <c r="T18">
        <f t="shared" si="3"/>
        <v>8.9203389718938997</v>
      </c>
      <c r="U18" cm="1">
        <f t="array" ref="U18">_xlfn.PERCENTRANK.EXC(_xlfn._xlws.FILTER(Q$3:Q$23, ISNUMBER(Q$3:Q$23)),Q18)*100</f>
        <v>86.3</v>
      </c>
      <c r="V18" cm="1">
        <f t="array" ref="V18">_xlfn.PERCENTRANK.EXC(_xlfn._xlws.FILTER(R$3:R$23, ISNUMBER(R$3:R$23)),R18)*100</f>
        <v>86.3</v>
      </c>
      <c r="W18" cm="1">
        <f t="array" ref="W18">_xlfn.PERCENTRANK.EXC(_xlfn._xlws.FILTER(S$3:S$23, ISNUMBER(S$3:S$23)),S18)*100</f>
        <v>68.100000000000009</v>
      </c>
      <c r="X18" cm="1">
        <f t="array" ref="X18">(1-_xlfn.PERCENTRANK.EXC(_xlfn._xlws.FILTER(G$3:G$23, ISNUMBER(G$3:G$23)),G18))*100</f>
        <v>72.8</v>
      </c>
      <c r="Y18" cm="1">
        <f t="array" ref="Y18">(1-_xlfn.PERCENTRANK.EXC(_xlfn._xlws.FILTER(H$3:H$23, ISNUMBER(H$3:H$23)),H18))*100</f>
        <v>50</v>
      </c>
      <c r="Z18" cm="1">
        <f t="array" ref="Z18">_xlfn.PERCENTRANK.EXC(_xlfn._xlws.FILTER(T$3:T$23, ISNUMBER(T$3:T$23)),T18)*100</f>
        <v>40.9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67.490000000000009</v>
      </c>
      <c r="AC18" cm="1">
        <f t="array" ref="AC18">_xlfn.PERCENTRANK.EXC(_xlfn._xlws.FILTER(AB$3:AB$23, ISNUMBER(AB$3:AB$23)),AB18)*100</f>
        <v>81.8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45565</v>
      </c>
      <c r="G19" s="4" cm="1">
        <f t="array" ref="G19">_xll.FDS(D19,"FMA_PE(LTM,0,,,""PORTAGG"",""MEANR"")")</f>
        <v>17.205934147617398</v>
      </c>
      <c r="H19" s="4" cm="1">
        <f t="array" ref="H19">_xll.FDS(D19,"FMA_PE(NTMA,0,,,""PORTAGG"",""MEANR"")")</f>
        <v>14.8727028271949</v>
      </c>
      <c r="I19" cm="1">
        <f t="array" ref="I19">_xll.FDS(D19,"FMA_DIV_YLD(NTMA,NOW,NOW,M,""PORTAGG"",""MEANR"")")</f>
        <v>3.5224212407500199</v>
      </c>
      <c r="J19" s="55" cm="1">
        <f t="array" ref="J19">IFERROR(_xll.FDS(D19,"FG_FCF_YIELD_NTM(0)"),(1/G19*100))</f>
        <v>4.6009911801625103</v>
      </c>
      <c r="K19" s="3" cm="1">
        <f t="array" ref="K19">_xll.FDS(D19,"FMA_EVAL_EBITDA(NTMA,0,,,""PORTAGG"",""MEANR"")")</f>
        <v>9.6885703776659504</v>
      </c>
      <c r="L19" cm="1">
        <f t="array" ref="L19">_xll.FDS(D19,"FMA_EVAL_EBIT(LTMA,NOW,NOW,M,""PORTAGG"",""MEANR"")")</f>
        <v>18.329454996941699</v>
      </c>
      <c r="M19">
        <f>HLOOKUP(D19,'Index ROE'!$A$1:$V$25,25,FALSE)</f>
        <v>9.3488241189838792</v>
      </c>
      <c r="N19">
        <f>VLOOKUP(A19,'LIQIDITY 2'!$A$3:$E$26,5,FALSE)</f>
        <v>2.5396230000000002</v>
      </c>
      <c r="O19" cm="1">
        <f t="array" ref="O19">IFERROR(IFERROR(IFERROR(IFERROR(_xll.FDS(B19,"IMF_IFS_RCPI_Q(0)"),_xll.FDS(B19,"IMF_IFS_RCPI_Q(-1AM)")),_xll.FDS(B19,"IMF_IFS_RCPI_Q(-2AM)")),_xll.FDS(B19,"IMF_IFS_RCPI_Q(-3AM)")),$D$31)</f>
        <v>3.19889</v>
      </c>
      <c r="P19">
        <f>VLOOKUP(E19,GDP_GROWTH!$B$10:$W$165,22,FALSE)</f>
        <v>1.3158022817511328</v>
      </c>
      <c r="Q19">
        <f t="shared" si="0"/>
        <v>0.98279824075001976</v>
      </c>
      <c r="R19" s="55">
        <f t="shared" si="1"/>
        <v>2.0613681801625101</v>
      </c>
      <c r="S19">
        <f t="shared" si="2"/>
        <v>6.8092011189838786</v>
      </c>
      <c r="T19">
        <f t="shared" si="3"/>
        <v>6.1499341189838788</v>
      </c>
      <c r="U19" cm="1">
        <f t="array" ref="U19">_xlfn.PERCENTRANK.EXC(_xlfn._xlws.FILTER(Q$3:Q$23, ISNUMBER(Q$3:Q$23)),Q19)*100</f>
        <v>77.2</v>
      </c>
      <c r="V19" cm="1">
        <f t="array" ref="V19">_xlfn.PERCENTRANK.EXC(_xlfn._xlws.FILTER(R$3:R$23, ISNUMBER(R$3:R$23)),R19)*100</f>
        <v>63.6</v>
      </c>
      <c r="W19" cm="1">
        <f t="array" ref="W19">_xlfn.PERCENTRANK.EXC(_xlfn._xlws.FILTER(S$3:S$23, ISNUMBER(S$3:S$23)),S19)*100</f>
        <v>40.9</v>
      </c>
      <c r="X19" cm="1">
        <f t="array" ref="X19">(1-_xlfn.PERCENTRANK.EXC(_xlfn._xlws.FILTER(G$3:G$23, ISNUMBER(G$3:G$23)),G19))*100</f>
        <v>31.899999999999995</v>
      </c>
      <c r="Y19" cm="1">
        <f t="array" ref="Y19">(1-_xlfn.PERCENTRANK.EXC(_xlfn._xlws.FILTER(H$3:H$23, ISNUMBER(H$3:H$23)),H19))*100</f>
        <v>18.200000000000006</v>
      </c>
      <c r="Z19" cm="1">
        <f t="array" ref="Z19">_xlfn.PERCENTRANK.EXC(_xlfn._xlws.FILTER(T$3:T$23, ISNUMBER(T$3:T$23)),T19)*100</f>
        <v>9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37.274999999999999</v>
      </c>
      <c r="AC19" cm="1">
        <f t="array" ref="AC19">_xlfn.PERCENTRANK.EXC(_xlfn._xlws.FILTER(AB$3:AB$23, ISNUMBER(AB$3:AB$23)),AB19)*100</f>
        <v>27.200000000000003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45565</v>
      </c>
      <c r="G20" s="4" cm="1">
        <f t="array" ref="G20">_xll.FDS(D20,"FMA_PE(LTM,0,,,""PORTAGG"",""MEANR"")")</f>
        <v>7.9431822659816698</v>
      </c>
      <c r="H20" s="4" cm="1">
        <f t="array" ref="H20">_xll.FDS(D20,"FMA_PE(NTMA,0,,,""PORTAGG"",""MEANR"")")</f>
        <v>5.4485640555261599</v>
      </c>
      <c r="I20" cm="1">
        <f t="array" ref="I20">_xll.FDS(D20,"FMA_DIV_YLD(NTMA,NOW,NOW,M,""PORTAGG"",""MEANR"")")</f>
        <v>4.7302561605006099</v>
      </c>
      <c r="J20" s="55" cm="1">
        <f t="array" ref="J20">IFERROR(_xll.FDS(D20,"FG_FCF_YIELD_NTM(0)"),(1/G20*100))</f>
        <v>12.589412738049685</v>
      </c>
      <c r="K20" s="3" cm="1">
        <f t="array" ref="K20">_xll.FDS(D20,"FMA_EVAL_EBITDA(NTMA,0,,,""PORTAGG"",""MEANR"")")</f>
        <v>4.42667856045309</v>
      </c>
      <c r="L20" cm="1">
        <f t="array" ref="L20">_xll.FDS(D20,"FMA_EVAL_EBIT(LTMA,NOW,NOW,M,""PORTAGG"",""MEANR"")")</f>
        <v>8.6821969403446406</v>
      </c>
      <c r="M20">
        <f>HLOOKUP(D20,'Index ROE'!$A$1:$V$25,25,FALSE)</f>
        <v>25.846008849302699</v>
      </c>
      <c r="N20">
        <f>VLOOKUP(A20,'LIQIDITY 2'!$A$3:$E$26,5,FALSE)</f>
        <v>26.018294999999998</v>
      </c>
      <c r="O20" cm="1">
        <f t="array" ref="O20">IFERROR(IFERROR(IFERROR(IFERROR(_xll.FDS(B20,"IMF_IFS_RCPI_Q(0)"),_xll.FDS(B20,"IMF_IFS_RCPI_Q(-1AM)")),_xll.FDS(B20,"IMF_IFS_RCPI_Q(-2AM)")),_xll.FDS(B20,"IMF_IFS_RCPI_Q(-3AM)")),$D$31)</f>
        <v>72.273380000000003</v>
      </c>
      <c r="P20">
        <f>VLOOKUP(E20,GDP_GROWTH!$B$10:$W$165,22,FALSE)</f>
        <v>4.8494927539907469</v>
      </c>
      <c r="Q20">
        <f t="shared" si="0"/>
        <v>-21.288038839499389</v>
      </c>
      <c r="R20" s="55">
        <f t="shared" si="1"/>
        <v>-13.428882261950314</v>
      </c>
      <c r="S20">
        <f t="shared" si="2"/>
        <v>-0.17228615069729969</v>
      </c>
      <c r="T20">
        <f t="shared" si="3"/>
        <v>-46.427371150697304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91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48.875000000000007</v>
      </c>
      <c r="AC20" cm="1">
        <f t="array" ref="AC20">_xlfn.PERCENTRANK.EXC(_xlfn._xlws.FILTER(AB$3:AB$23, ISNUMBER(AB$3:AB$23)),AB20)*100</f>
        <v>50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45565</v>
      </c>
      <c r="G21" s="4" cm="1">
        <f t="array" ref="G21">_xll.FDS(D21,"FMA_PE(LTM,0,,,""PORTAGG"",""MEANR"")")</f>
        <v>9.8857307914840806</v>
      </c>
      <c r="H21" s="4" cm="1">
        <f t="array" ref="H21">_xll.FDS(D21,"FMA_PE(NTMA,0,,,""PORTAGG"",""MEANR"")")</f>
        <v>9.4578669068338304</v>
      </c>
      <c r="I21" cm="1">
        <f t="array" ref="I21">_xll.FDS(D21,"FMA_DIV_YLD(NTMA,NOW,NOW,M,""PORTAGG"",""MEANR"")")</f>
        <v>5.2180643147415697</v>
      </c>
      <c r="J21" s="55" cm="1">
        <f t="array" ref="J21">IFERROR(_xll.FDS(D21,"FG_FCF_YIELD_NTM(0)"),(1/G21*100))</f>
        <v>10.7149546603306</v>
      </c>
      <c r="K21" s="3" cm="1">
        <f t="array" ref="K21">_xll.FDS(D21,"FMA_EVAL_EBITDA(NTMA,0,,,""PORTAGG"",""MEANR"")")</f>
        <v>6.4375349106552298</v>
      </c>
      <c r="L21" cm="1">
        <f t="array" ref="L21">_xll.FDS(D21,"FMA_EVAL_EBIT(LTMA,NOW,NOW,M,""PORTAGG"",""MEANR"")")</f>
        <v>9.4378598266412599</v>
      </c>
      <c r="M21">
        <f>HLOOKUP(D21,'Index ROE'!$A$1:$V$25,25,FALSE)</f>
        <v>13.2251182354264</v>
      </c>
      <c r="N21">
        <f>VLOOKUP(A21,'LIQIDITY 2'!$A$3:$E$26,5,FALSE)</f>
        <v>4.0754999999999999</v>
      </c>
      <c r="O21" cm="1">
        <f t="array" ref="O21">IFERROR(IFERROR(IFERROR(IFERROR(_xll.FDS(B21,"IMF_IFS_RCPI_Q(0)"),_xll.FDS(B21,"IMF_IFS_RCPI_Q(-1AM)")),_xll.FDS(B21,"IMF_IFS_RCPI_Q(-2AM)")),_xll.FDS(B21,"IMF_IFS_RCPI_Q(-3AM)")),$D$31)</f>
        <v>3.19889</v>
      </c>
      <c r="P21">
        <f>VLOOKUP(E21,GDP_GROWTH!$B$10:$W$165,22,FALSE)</f>
        <v>2.4407957064008778</v>
      </c>
      <c r="Q21">
        <f t="shared" si="0"/>
        <v>1.1425643147415698</v>
      </c>
      <c r="R21" s="55">
        <f t="shared" si="1"/>
        <v>6.6394546603305997</v>
      </c>
      <c r="S21">
        <f t="shared" si="2"/>
        <v>9.1496182354264004</v>
      </c>
      <c r="T21">
        <f t="shared" si="3"/>
        <v>10.0262282354264</v>
      </c>
      <c r="U21" cm="1">
        <f t="array" ref="U21">_xlfn.PERCENTRANK.EXC(_xlfn._xlws.FILTER(Q$3:Q$23, ISNUMBER(Q$3:Q$23)),Q21)*100</f>
        <v>81.8</v>
      </c>
      <c r="V21" cm="1">
        <f t="array" ref="V21">_xlfn.PERCENTRANK.EXC(_xlfn._xlws.FILTER(R$3:R$23, ISNUMBER(R$3:R$23)),R21)*100</f>
        <v>90.9</v>
      </c>
      <c r="W21" cm="1">
        <f t="array" ref="W21">_xlfn.PERCENTRANK.EXC(_xlfn._xlws.FILTER(S$3:S$23, ISNUMBER(S$3:S$23)),S21)*100</f>
        <v>77.2</v>
      </c>
      <c r="X21" cm="1">
        <f t="array" ref="X21">(1-_xlfn.PERCENTRANK.EXC(_xlfn._xlws.FILTER(G$3:G$23, ISNUMBER(G$3:G$23)),G21))*100</f>
        <v>77.3</v>
      </c>
      <c r="Y21" cm="1">
        <f t="array" ref="Y21">(1-_xlfn.PERCENTRANK.EXC(_xlfn._xlws.FILTER(H$3:H$23, ISNUMBER(H$3:H$23)),H21))*100</f>
        <v>68.199999999999989</v>
      </c>
      <c r="Z21" cm="1">
        <f t="array" ref="Z21">_xlfn.PERCENTRANK.EXC(_xlfn._xlws.FILTER(T$3:T$23, ISNUMBER(T$3:T$23)),T21)*100</f>
        <v>63.6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77.27</v>
      </c>
      <c r="AC21" cm="1">
        <f t="array" ref="AC21">_xlfn.PERCENTRANK.EXC(_xlfn._xlws.FILTER(AB$3:AB$23, ISNUMBER(AB$3:AB$23)),AB21)*100</f>
        <v>90.9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45565</v>
      </c>
      <c r="G22" s="4" cm="1">
        <f t="array" ref="G22">_xll.FDS(D22,"FMA_PE(LTM,0,,,""PORTAGG"",""MEANR"")")</f>
        <v>19.628358007327702</v>
      </c>
      <c r="H22" s="4" cm="1">
        <f t="array" ref="H22">_xll.FDS(D22,"FMA_PE(NTMA,0,,,""PORTAGG"",""MEANR"")")</f>
        <v>13.430800417001</v>
      </c>
      <c r="I22" cm="1">
        <f t="array" ref="I22">_xll.FDS(D22,"FMA_DIV_YLD(NTMA,NOW,NOW,M,""PORTAGG"",""MEANR"")")</f>
        <v>2.0027973646538602</v>
      </c>
      <c r="J22" s="55" cm="1">
        <f t="array" ref="J22">IFERROR(_xll.FDS(D22,"FG_FCF_YIELD_NTM(0)"),(1/G22*100))</f>
        <v>2.8018582744699501</v>
      </c>
      <c r="K22" s="3" cm="1">
        <f t="array" ref="K22">_xll.FDS(D22,"FMA_EVAL_EBITDA(NTMA,0,,,""PORTAGG"",""MEANR"")")</f>
        <v>10.101655667753301</v>
      </c>
      <c r="L22" cm="1">
        <f t="array" ref="L22">_xll.FDS(D22,"FMA_EVAL_EBIT(LTMA,NOW,NOW,M,""PORTAGG"",""MEANR"")")</f>
        <v>17.812253949634101</v>
      </c>
      <c r="M22">
        <f>HLOOKUP(D22,'Index ROE'!$A$1:$V$25,25,FALSE)</f>
        <v>10.732551314639</v>
      </c>
      <c r="N22">
        <f>VLOOKUP(A22,'LIQIDITY 2'!$A$3:$E$26,5,FALSE)</f>
        <v>2.883454</v>
      </c>
      <c r="O22" cm="1">
        <f t="array" ref="O22">IFERROR(IFERROR(IFERROR(IFERROR(_xll.FDS(B22,"IMF_IFS_RCPI_Q(0)"),_xll.FDS(B22,"IMF_IFS_RCPI_Q(-1AM)")),_xll.FDS(B22,"IMF_IFS_RCPI_Q(-2AM)")),_xll.FDS(B22,"IMF_IFS_RCPI_Q(-3AM)")),$D$31)</f>
        <v>4.3949327</v>
      </c>
      <c r="P22">
        <f>VLOOKUP(E22,GDP_GROWTH!$B$10:$W$165,22,FALSE)</f>
        <v>8.3599457036252378</v>
      </c>
      <c r="Q22">
        <f t="shared" si="0"/>
        <v>-0.8806566353461398</v>
      </c>
      <c r="R22" s="55">
        <f t="shared" si="1"/>
        <v>-8.1595725530049901E-2</v>
      </c>
      <c r="S22">
        <f t="shared" si="2"/>
        <v>7.8490973146389997</v>
      </c>
      <c r="T22">
        <f t="shared" si="3"/>
        <v>6.3376186146390001</v>
      </c>
      <c r="U22" cm="1">
        <f t="array" ref="U22">_xlfn.PERCENTRANK.EXC(_xlfn._xlws.FILTER(Q$3:Q$23, ISNUMBER(Q$3:Q$23)),Q22)*100</f>
        <v>45.4</v>
      </c>
      <c r="V22" cm="1">
        <f t="array" ref="V22">_xlfn.PERCENTRANK.EXC(_xlfn._xlws.FILTER(R$3:R$23, ISNUMBER(R$3:R$23)),R22)*100</f>
        <v>40.9</v>
      </c>
      <c r="W22" cm="1">
        <f t="array" ref="W22">_xlfn.PERCENTRANK.EXC(_xlfn._xlws.FILTER(S$3:S$23, ISNUMBER(S$3:S$23)),S22)*100</f>
        <v>63.6</v>
      </c>
      <c r="X22" cm="1">
        <f t="array" ref="X22">(1-_xlfn.PERCENTRANK.EXC(_xlfn._xlws.FILTER(G$3:G$23, ISNUMBER(G$3:G$23)),G22))*100</f>
        <v>18.200000000000006</v>
      </c>
      <c r="Y22" cm="1">
        <f t="array" ref="Y22">(1-_xlfn.PERCENTRANK.EXC(_xlfn._xlws.FILTER(H$3:H$23, ISNUMBER(H$3:H$23)),H22))*100</f>
        <v>31.899999999999995</v>
      </c>
      <c r="Z22" cm="1">
        <f t="array" ref="Z22">_xlfn.PERCENTRANK.EXC(_xlfn._xlws.FILTER(T$3:T$23, ISNUMBER(T$3:T$23)),T22)*100</f>
        <v>18.099999999999998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33.19</v>
      </c>
      <c r="AC22" cm="1">
        <f t="array" ref="AC22">_xlfn.PERCENTRANK.EXC(_xlfn._xlws.FILTER(AB$3:AB$23, ISNUMBER(AB$3:AB$23)),AB22)*100</f>
        <v>18.099999999999998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45565</v>
      </c>
      <c r="G23" s="4" cm="1">
        <f t="array" ref="G23">_xll.FDS(D23,"FMA_PE(LTM,0,,,""PORTAGG"",""MEANR"")")</f>
        <v>20.320584713837</v>
      </c>
      <c r="H23" s="4" cm="1">
        <f t="array" ref="H23">_xll.FDS(D23,"FMA_PE(NTMA,0,,,""PORTAGG"",""MEANR"")")</f>
        <v>16.6432417970294</v>
      </c>
      <c r="I23" cm="1">
        <f t="array" ref="I23">_xll.FDS(D23,"FMA_DIV_YLD(NTMA,NOW,NOW,M,""PORTAGG"",""MEANR"")")</f>
        <v>3.5839178376699601</v>
      </c>
      <c r="J23" s="55" cm="1">
        <f t="array" ref="J23">IFERROR(_xll.FDS(D23,"FG_FCF_YIELD_NTM(0)"),(1/G23*100))</f>
        <v>4.4138842178097901</v>
      </c>
      <c r="K23" s="3" cm="1">
        <f t="array" ref="K23">_xll.FDS(D23,"FMA_EVAL_EBITDA(NTMA,0,,,""PORTAGG"",""MEANR"")")</f>
        <v>11.215701750808901</v>
      </c>
      <c r="L23" cm="1">
        <f t="array" ref="L23">_xll.FDS(D23,"FMA_EVAL_EBIT(LTMA,NOW,NOW,M,""PORTAGG"",""MEANR"")")</f>
        <v>20.899050449074899</v>
      </c>
      <c r="M23">
        <f>HLOOKUP(D23,'Index ROE'!$A$1:$V$25,25,FALSE)</f>
        <v>11.7583310618864</v>
      </c>
      <c r="N23">
        <f>VLOOKUP(A23,'LIQIDITY 2'!$A$3:$E$26,5,FALSE)</f>
        <v>4.8950550000000002</v>
      </c>
      <c r="O23" cm="1">
        <f t="array" ref="O23">IFERROR(IFERROR(IFERROR(IFERROR(_xll.FDS(B23,"IMF_IFS_RCPI_Q(0)"),_xll.FDS(B23,"IMF_IFS_RCPI_Q(-1AM)")),_xll.FDS(B23,"IMF_IFS_RCPI_Q(-2AM)")),_xll.FDS(B23,"IMF_IFS_RCPI_Q(-3AM)")),$D$31)</f>
        <v>1.5452075999999999</v>
      </c>
      <c r="P23">
        <f>VLOOKUP(E23,GDP_GROWTH!$B$10:$W$165,22,FALSE)</f>
        <v>2.105673262075014</v>
      </c>
      <c r="Q23">
        <f t="shared" si="0"/>
        <v>-1.3111371623300401</v>
      </c>
      <c r="R23" s="55">
        <f t="shared" si="1"/>
        <v>-0.48117078219021003</v>
      </c>
      <c r="S23">
        <f t="shared" si="2"/>
        <v>6.8632760618863999</v>
      </c>
      <c r="T23">
        <f t="shared" si="3"/>
        <v>10.213123461886401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31.8</v>
      </c>
      <c r="W23" cm="1">
        <f t="array" ref="W23">_xlfn.PERCENTRANK.EXC(_xlfn._xlws.FILTER(S$3:S$23, ISNUMBER(S$3:S$23)),S23)*100</f>
        <v>45.4</v>
      </c>
      <c r="X23" cm="1">
        <f t="array" ref="X23">(1-_xlfn.PERCENTRANK.EXC(_xlfn._xlws.FILTER(G$3:G$23, ISNUMBER(G$3:G$23)),G23))*100</f>
        <v>13.700000000000001</v>
      </c>
      <c r="Y23" cm="1">
        <f t="array" ref="Y23">(1-_xlfn.PERCENTRANK.EXC(_xlfn._xlws.FILTER(H$3:H$23, ISNUMBER(H$3:H$23)),H23))*100</f>
        <v>9.0999999999999979</v>
      </c>
      <c r="Z23" cm="1">
        <f t="array" ref="Z23">_xlfn.PERCENTRANK.EXC(_xlfn._xlws.FILTER(T$3:T$23, ISNUMBER(T$3:T$23)),T23)*100</f>
        <v>68.100000000000009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27.045000000000002</v>
      </c>
      <c r="AC23" cm="1">
        <f t="array" ref="AC23">_xlfn.PERCENTRANK.EXC(_xlfn._xlws.FILTER(AB$3:AB$23, ISNUMBER(AB$3:AB$23)),AB23)*100</f>
        <v>9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45504</v>
      </c>
      <c r="G27" s="4" cm="1">
        <f t="array" ref="G27">_xll.FDS(D27,"FG_PE(0)")</f>
        <v>15.5204531278484</v>
      </c>
      <c r="H27" s="4" cm="1">
        <f t="array" ref="H27">_xll.FDS(D27,"FG_PE_NTM(0,,,90,0)")</f>
        <v>13.3519132854373</v>
      </c>
      <c r="I27" cm="1">
        <f t="array" ref="I27">_xll.FDS(D27,"FMA_DIV_YLD(NTMA,NOW,NOW,M,""PORTAGG"",""MEANR"")")</f>
        <v>3.4822100327256198</v>
      </c>
      <c r="J27" s="55" cm="1">
        <f t="array" ref="J27">_xll.FDS(D27,"FG_FCF_YIELD_NTM(0)")</f>
        <v>5.2832389440043901</v>
      </c>
      <c r="K27" s="3" cm="1">
        <f t="array" ref="K27">_xll.FDS(D27,"FMA_EVAL_EBITDA(NTMA,0,,,""PORTAGG"",""MEANR"")")</f>
        <v>9.0576513947074897</v>
      </c>
      <c r="L27" cm="1">
        <f t="array" ref="L27">_xll.FDS(D27,"FMA_EVAL_EBIT(LTMA,NOW,NOW,M,""PORTAGG"",""MEANR"")")</f>
        <v>13.532481429399599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45534</v>
      </c>
      <c r="G28" s="4" cm="1">
        <f t="array" ref="G28">_xll.FDS(D28,"FG_PE(0)")</f>
        <v>15.257602938288199</v>
      </c>
      <c r="H28" s="4" cm="1">
        <f t="array" ref="H28">_xll.FDS(D28,"FG_PE_NTM(0,,,90,0)")</f>
        <v>12.8384353290412</v>
      </c>
      <c r="I28" cm="1">
        <f t="array" ref="I28">_xll.FDS(D28,"FMA_DIV_YLD(NTMA,NOW,NOW,M,""PORTAGG"",""MEANR"")")</f>
        <v>2.9815136932541502</v>
      </c>
      <c r="J28" s="55" cm="1">
        <f t="array" ref="J28">_xll.FDS(D28,"FG_FCF_YIELD_NTM(0)")</f>
        <v>5.3690699868963696</v>
      </c>
      <c r="K28" s="3" cm="1">
        <f t="array" ref="K28">_xll.FDS(D28,"FMA_EVAL_EBITDA(NTMA,0,,,""PORTAGG"",""MEANR"")")</f>
        <v>8.9176153183754394</v>
      </c>
      <c r="L28" cm="1">
        <f t="array" ref="L28">_xll.FDS(D28,"FMA_EVAL_EBIT(LTMA,NOW,NOW,M,""PORTAGG"",""MEANR"")")</f>
        <v>14.516023323941701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IFERROR(IFERROR(IFERROR(_xll.FDS(B31,"IMF_IFS_RCPI_Q(0)"),_xll.FDS(B31,"IMF_IFS_RCPI_Q(-1AM)")),_xll.FDS(B31,"IMF_IFS_RCPI_Q(-2AM)")),_xll.FDS(B31,"IMF_IFS_RCPI_Q(-3AM)"))</f>
        <v>3.19889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2.1608999999999998</v>
      </c>
      <c r="G3" s="26" cm="1">
        <f t="array" ref="G3">_xll.FDSB(C3,"PCTCHG(FG_YIELD(0,,,,""YTM""),FG_YIELD(-1AM,,,,""YTM""))")</f>
        <v>1.7516697999999999</v>
      </c>
      <c r="H3" s="26" cm="1">
        <f t="array" ref="H3">_xll.FDSB(C3,"PCTCHG(FG_YIELD(0,,,,""YTM""),FG_YIELD(-3AM,,,,""YTM""))")</f>
        <v>-5.1154780000000004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3.35</v>
      </c>
      <c r="M3" s="36" cm="1">
        <f t="array" ref="M3">_xll.FDSB(J3,"(SUBARRAY(NOT_NA(NO_REPEAT_F(FG_YIELD(now,-10AY,D))),0,1)-SUBARRAY(NOT_NA(NO_REPEAT_F(FG_YIELD(now,-10AY,D))),1,1))*100")</f>
        <v>-10</v>
      </c>
      <c r="N3" s="38">
        <f t="shared" ref="N3:N23" si="0">M3*-1</f>
        <v>10</v>
      </c>
      <c r="S3">
        <f t="shared" ref="S3" si="1">IF(M3&gt; 0, 0, 1)</f>
        <v>1</v>
      </c>
      <c r="T3">
        <f>IF(G3&lt;0, 1, 0)</f>
        <v>0</v>
      </c>
      <c r="U3">
        <f>IF(H3&lt;0, 1, 0)</f>
        <v>1</v>
      </c>
      <c r="V3" s="47">
        <f>SUMPRODUCT($S$1:$U$1,S3:U3)</f>
        <v>0.75</v>
      </c>
      <c r="X3">
        <f t="shared" ref="X3:X23" si="2">_xlfn.PERCENTRANK.EXC($V$3:$V$23,V3)*100</f>
        <v>54.500000000000007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2.1188750000000001</v>
      </c>
      <c r="G4" s="26" cm="1">
        <f t="array" ref="G4">_xll.FDSB(C4,"PCTCHG(FG_YIELD(0,,,,""YTM""),FG_YIELD(-1AM,,,,""YTM""))")</f>
        <v>1.5834395999999999</v>
      </c>
      <c r="H4" s="26" cm="1">
        <f t="array" ref="H4">_xll.FDSB(C4,"PCTCHG(FG_YIELD(0,,,,""YTM""),FG_YIELD(-3AM,,,,""YTM""))")</f>
        <v>-28.587938000000001</v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5.5</v>
      </c>
      <c r="M4" s="36" cm="1">
        <f t="array" ref="M4">_xll.FDSB(J4,"(SUBARRAY(NOT_NA(NO_REPEAT_F(FG_YIELD(now,-10AY,D))),0,1)-SUBARRAY(NOT_NA(NO_REPEAT_F(FG_YIELD(now,-10AY,D))),1,1))*100")</f>
        <v>-25</v>
      </c>
      <c r="N4" s="38">
        <f t="shared" si="0"/>
        <v>25</v>
      </c>
      <c r="S4">
        <f t="shared" ref="S4:S23" si="3">IF(M4&gt; 0, 0, 1)</f>
        <v>1</v>
      </c>
      <c r="T4">
        <f t="shared" ref="T4:T23" si="4">IF(G4&lt;0, 1, 0)</f>
        <v>0</v>
      </c>
      <c r="U4">
        <f t="shared" ref="U4:U23" si="5">IF(H4&lt;0, 1, 0)</f>
        <v>1</v>
      </c>
      <c r="V4" s="47">
        <f t="shared" ref="V4:V23" si="6">SUMPRODUCT($S$1:$U$1,S4:U4)</f>
        <v>0.75</v>
      </c>
      <c r="X4">
        <f t="shared" si="2"/>
        <v>54.500000000000007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6.7475189999999996</v>
      </c>
      <c r="G5" s="26" cm="1">
        <f t="array" ref="G5">_xll.FDSB(C5,"PCTCHG(FG_YIELD(0,,,,""YTM""),FG_YIELD(-1AM,,,,""YTM""))")</f>
        <v>1.2713080000000001</v>
      </c>
      <c r="H5" s="26" cm="1">
        <f t="array" ref="H5">_xll.FDSB(C5,"PCTCHG(FG_YIELD(0,,,,""YTM""),FG_YIELD(-3AM,,,,""YTM""))")</f>
        <v>-4.0397886999999999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</v>
      </c>
      <c r="M5" s="36" cm="1">
        <f t="array" ref="M5">_xll.FDSB(J5,"(SUBARRAY(NOT_NA(NO_REPEAT_F(FG_YIELD(now,-10AY,D))),0,1)-SUBARRAY(NOT_NA(NO_REPEAT_F(FG_YIELD(now,-10AY,D))),1,1))*100")</f>
        <v>-25</v>
      </c>
      <c r="N5" s="38">
        <f t="shared" si="0"/>
        <v>25</v>
      </c>
      <c r="S5">
        <f t="shared" si="3"/>
        <v>1</v>
      </c>
      <c r="T5">
        <f t="shared" si="4"/>
        <v>0</v>
      </c>
      <c r="U5">
        <f t="shared" si="5"/>
        <v>1</v>
      </c>
      <c r="V5" s="47">
        <f t="shared" si="6"/>
        <v>0.75</v>
      </c>
      <c r="X5">
        <f t="shared" si="2"/>
        <v>54.500000000000007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5.7788633999999997</v>
      </c>
      <c r="G6" s="26" cm="1">
        <f t="array" ref="G6">_xll.FDSB(C6,"PCTCHG(FG_YIELD(0,,,,""YTM""),FG_YIELD(-1AM,,,,""YTM""))")</f>
        <v>-5.9200153000000002</v>
      </c>
      <c r="H6" s="26" cm="1">
        <f t="array" ref="H6">_xll.FDSB(C6,"PCTCHG(FG_YIELD(0,,,,""YTM""),FG_YIELD(-3AM,,,,""YTM""))")</f>
        <v>-7.4576960000000003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6.25</v>
      </c>
      <c r="M6" s="36" cm="1">
        <f t="array" ref="M6">_xll.FDSB(J6,"(SUBARRAY(NOT_NA(NO_REPEAT_F(FG_YIELD(now,-10AY,D))),0,1)-SUBARRAY(NOT_NA(NO_REPEAT_F(FG_YIELD(now,-10AY,D))),1,1))*100")</f>
        <v>-25</v>
      </c>
      <c r="N6" s="38">
        <f t="shared" si="0"/>
        <v>25</v>
      </c>
      <c r="S6">
        <f t="shared" si="3"/>
        <v>1</v>
      </c>
      <c r="T6">
        <f t="shared" si="4"/>
        <v>1</v>
      </c>
      <c r="U6">
        <f t="shared" si="5"/>
        <v>1</v>
      </c>
      <c r="V6" s="47">
        <f t="shared" si="6"/>
        <v>1</v>
      </c>
      <c r="X6">
        <f t="shared" si="2"/>
        <v>86.3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5.4626999999999999</v>
      </c>
      <c r="G7" s="26" cm="1">
        <f t="array" ref="G7">_xll.FDSB(C7,"PCTCHG(FG_YIELD(0,,,,""YTM""),FG_YIELD(-1AM,,,,""YTM""))")</f>
        <v>3.713619</v>
      </c>
      <c r="H7" s="26" cm="1">
        <f t="array" ref="H7">_xll.FDSB(C7,"PCTCHG(FG_YIELD(0,,,,""YTM""),FG_YIELD(-3AM,,,,""YTM""))")</f>
        <v>-4.7563415000000004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0</v>
      </c>
      <c r="U7">
        <f t="shared" si="5"/>
        <v>1</v>
      </c>
      <c r="V7" s="47">
        <f t="shared" si="6"/>
        <v>0.75</v>
      </c>
      <c r="X7">
        <f t="shared" si="2"/>
        <v>54.500000000000007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6.4712319999999997</v>
      </c>
      <c r="G8" s="26" cm="1">
        <f t="array" ref="G8">_xll.FDSB(C8,"PCTCHG(FG_YIELD(0,,,,""YTM""),FG_YIELD(-1AM,,,,""YTM""))")</f>
        <v>-0.87962739999999995</v>
      </c>
      <c r="H8" s="26" cm="1">
        <f t="array" ref="H8">_xll.FDSB(C8,"PCTCHG(FG_YIELD(0,,,,""YTM""),FG_YIELD(-3AM,,,,""YTM""))")</f>
        <v>-7.4708815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5.25</v>
      </c>
      <c r="M8" s="36" cm="1">
        <f t="array" ref="M8">_xll.FDSB(J8,"(SUBARRAY(NOT_NA(NO_REPEAT_F(FG_YIELD(now,-10AY,D))),0,1)-SUBARRAY(NOT_NA(NO_REPEAT_F(FG_YIELD(now,-10AY,D))),1,1))*100")</f>
        <v>0</v>
      </c>
      <c r="N8" s="38">
        <f t="shared" si="0"/>
        <v>0</v>
      </c>
      <c r="S8">
        <f t="shared" si="3"/>
        <v>1</v>
      </c>
      <c r="T8">
        <f t="shared" si="4"/>
        <v>1</v>
      </c>
      <c r="U8">
        <f t="shared" si="5"/>
        <v>1</v>
      </c>
      <c r="V8" s="47">
        <f t="shared" si="6"/>
        <v>1</v>
      </c>
      <c r="X8">
        <f t="shared" si="2"/>
        <v>86.3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3.7967689999999998</v>
      </c>
      <c r="G9" s="26" cm="1">
        <f t="array" ref="G9">_xll.FDSB(C9,"PCTCHG(FG_YIELD(0,,,,""YTM""),FG_YIELD(-1AM,,,,""YTM""))")</f>
        <v>1.4563062</v>
      </c>
      <c r="H9" s="26" cm="1">
        <f t="array" ref="H9">_xll.FDSB(C9,"PCTCHG(FG_YIELD(0,,,,""YTM""),FG_YIELD(-3AM,,,,""YTM""))")</f>
        <v>-1.5335238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0</v>
      </c>
      <c r="U9">
        <f t="shared" si="5"/>
        <v>1</v>
      </c>
      <c r="V9" s="47">
        <f t="shared" si="6"/>
        <v>0.25</v>
      </c>
      <c r="X9">
        <f t="shared" si="2"/>
        <v>18.099999999999998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4.0754999999999999</v>
      </c>
      <c r="G10" s="26" t="str" cm="1">
        <f t="array" ref="G10">_xll.FDSB(C10,"PCTCHG(FG_YIELD(0,,,,""YTM""),FG_YIELD(-1AM,,,,""YTM""))")</f>
        <v/>
      </c>
      <c r="H10" s="26" t="str" cm="1">
        <f t="array" ref="H10">_xll.FDSB(C10,"PCTCHG(FG_YIELD(0,,,,""YTM""),FG_YIELD(-3AM,,,,""YTM""))")</f>
        <v/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0</v>
      </c>
      <c r="U10">
        <f t="shared" si="5"/>
        <v>0</v>
      </c>
      <c r="V10" s="47">
        <f t="shared" si="6"/>
        <v>0</v>
      </c>
      <c r="X10">
        <f t="shared" si="2"/>
        <v>4.5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9.6913999999999998</v>
      </c>
      <c r="G11" s="26" cm="1">
        <f t="array" ref="G11">_xll.FDSB(C11,"PCTCHG(FG_YIELD(0,,,,""YTM""),FG_YIELD(-1AM,,,,""YTM""))")</f>
        <v>2.0469604000000001</v>
      </c>
      <c r="H11" s="26" cm="1">
        <f t="array" ref="H11">_xll.FDSB(C11,"PCTCHG(FG_YIELD(0,,,,""YTM""),FG_YIELD(-3AM,,,,""YTM""))")</f>
        <v>-1.9515864999999999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10.5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0</v>
      </c>
      <c r="U11">
        <f t="shared" si="5"/>
        <v>1</v>
      </c>
      <c r="V11" s="47">
        <f t="shared" si="6"/>
        <v>0.75</v>
      </c>
      <c r="X11">
        <f t="shared" si="2"/>
        <v>54.500000000000007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3.0870000000000002</v>
      </c>
      <c r="G12" s="26" cm="1">
        <f t="array" ref="G12">_xll.FDSB(C12,"PCTCHG(FG_YIELD(0,,,,""YTM""),FG_YIELD(-1AM,,,,""YTM""))")</f>
        <v>2.657038</v>
      </c>
      <c r="H12" s="26" cm="1">
        <f t="array" ref="H12">_xll.FDSB(C12,"PCTCHG(FG_YIELD(0,,,,""YTM""),FG_YIELD(-3AM,,,,""YTM""))")</f>
        <v>-3.4799733000000002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0</v>
      </c>
      <c r="U12">
        <f t="shared" si="5"/>
        <v>1</v>
      </c>
      <c r="V12" s="47">
        <f t="shared" si="6"/>
        <v>0.25</v>
      </c>
      <c r="X12">
        <f t="shared" si="2"/>
        <v>18.099999999999998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12.554957</v>
      </c>
      <c r="G13" s="26" cm="1">
        <f t="array" ref="G13">_xll.FDSB(C13,"PCTCHG(FG_YIELD(0,,,,""YTM""),FG_YIELD(-1AM,,,,""YTM""))")</f>
        <v>4.8365859999999996</v>
      </c>
      <c r="H13" s="26" cm="1">
        <f t="array" ref="H13">_xll.FDSB(C13,"PCTCHG(FG_YIELD(0,,,,""YTM""),FG_YIELD(-3AM,,,,""YTM""))")</f>
        <v>6.7358450000000003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10.75</v>
      </c>
      <c r="M13" s="36" cm="1">
        <f t="array" ref="M13">_xll.FDSB(J13,"(SUBARRAY(NOT_NA(NO_REPEAT_F(FG_YIELD(now,-10AY,D))),0,1)-SUBARRAY(NOT_NA(NO_REPEAT_F(FG_YIELD(now,-10AY,D))),1,1))*100")</f>
        <v>25</v>
      </c>
      <c r="N13" s="38">
        <f t="shared" si="0"/>
        <v>-25</v>
      </c>
      <c r="S13">
        <f t="shared" si="3"/>
        <v>0</v>
      </c>
      <c r="T13">
        <f t="shared" si="4"/>
        <v>0</v>
      </c>
      <c r="U13">
        <f t="shared" si="5"/>
        <v>0</v>
      </c>
      <c r="V13" s="47">
        <f t="shared" si="6"/>
        <v>0</v>
      </c>
      <c r="X13">
        <f t="shared" si="2"/>
        <v>4.5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Treasury - South Africa Benchmark Bond 10Y</v>
      </c>
      <c r="E14" s="26" cm="1">
        <f t="array" ref="E14">IFERROR(_xll.FDS(C14,"FG_YIELD(0,,,,""YTM"")"),$E$26)</f>
        <v>10.403542</v>
      </c>
      <c r="G14" s="26" cm="1">
        <f t="array" ref="G14">_xll.FDSB(C14,"PCTCHG(FG_YIELD(0,,,,""YTM""),FG_YIELD(-1AM,,,,""YTM""))")</f>
        <v>-0.40749385999999999</v>
      </c>
      <c r="H14" s="26" cm="1">
        <f t="array" ref="H14">_xll.FDSB(C14,"PCTCHG(FG_YIELD(0,,,,""YTM""),FG_YIELD(-3AM,,,,""YTM""))")</f>
        <v>-5.7969540000000004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S14">
        <f t="shared" si="3"/>
        <v>1</v>
      </c>
      <c r="T14">
        <f t="shared" si="4"/>
        <v>1</v>
      </c>
      <c r="U14">
        <f t="shared" si="5"/>
        <v>1</v>
      </c>
      <c r="V14" s="47">
        <f t="shared" si="6"/>
        <v>1</v>
      </c>
      <c r="X14">
        <f t="shared" si="2"/>
        <v>86.3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3.1909999999999998</v>
      </c>
      <c r="G15" s="26" cm="1">
        <f t="array" ref="G15">_xll.FDSB(C15,"PCTCHG(FG_YIELD(0,,,,""YTM""),FG_YIELD(-1AM,,,,""YTM""))")</f>
        <v>-0.31240206999999998</v>
      </c>
      <c r="H15" s="26" cm="1">
        <f t="array" ref="H15">_xll.FDSB(C15,"PCTCHG(FG_YIELD(0,,,,""YTM""),FG_YIELD(-3AM,,,,""YTM""))")</f>
        <v>-9.52651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3.65</v>
      </c>
      <c r="M15" s="36" cm="1">
        <f t="array" ref="M15">_xll.FDSB(J15,"(SUBARRAY(NOT_NA(NO_REPEAT_F(FG_YIELD(now,-10AY,D))),0,1)-SUBARRAY(NOT_NA(NO_REPEAT_F(FG_YIELD(now,-10AY,D))),1,1))*100")</f>
        <v>-60</v>
      </c>
      <c r="N15" s="38">
        <f t="shared" si="0"/>
        <v>60</v>
      </c>
      <c r="T15">
        <f t="shared" si="4"/>
        <v>1</v>
      </c>
      <c r="U15">
        <f t="shared" si="5"/>
        <v>1</v>
      </c>
      <c r="V15" s="47">
        <f t="shared" si="6"/>
        <v>0.5</v>
      </c>
      <c r="X15">
        <f t="shared" si="2"/>
        <v>27.200000000000003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6.7725</v>
      </c>
      <c r="G16" s="26" cm="1">
        <f t="array" ref="G16">_xll.FDSB(C16,"PCTCHG(FG_YIELD(0,,,,""YTM""),FG_YIELD(-1AM,,,,""YTM""))")</f>
        <v>-1.1458151000000001</v>
      </c>
      <c r="H16" s="26" cm="1">
        <f t="array" ref="H16">_xll.FDSB(C16,"PCTCHG(FG_YIELD(0,,,,""YTM""),FG_YIELD(-3AM,,,,""YTM""))")</f>
        <v>-2.9101868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1</v>
      </c>
      <c r="U16">
        <f t="shared" si="5"/>
        <v>1</v>
      </c>
      <c r="V16" s="47">
        <f t="shared" si="6"/>
        <v>0.5</v>
      </c>
      <c r="X16">
        <f t="shared" si="2"/>
        <v>27.200000000000003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2.1608999999999998</v>
      </c>
      <c r="G17" s="26" cm="1">
        <f t="array" ref="G17">_xll.FDSB(C17,"PCTCHG(FG_YIELD(0,,,,""YTM""),FG_YIELD(-1AM,,,,""YTM""))")</f>
        <v>1.7516697999999999</v>
      </c>
      <c r="H17" s="26" cm="1">
        <f t="array" ref="H17">_xll.FDSB(C17,"PCTCHG(FG_YIELD(0,,,,""YTM""),FG_YIELD(-3AM,,,,""YTM""))")</f>
        <v>-5.1154780000000004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3.35</v>
      </c>
      <c r="M17" s="36" cm="1">
        <f t="array" ref="M17">_xll.FDSB(J17,"(SUBARRAY(NOT_NA(NO_REPEAT_F(FG_YIELD(now,-10AY,D))),0,1)-SUBARRAY(NOT_NA(NO_REPEAT_F(FG_YIELD(now,-10AY,D))),1,1))*100")</f>
        <v>-10</v>
      </c>
      <c r="N17" s="38">
        <f t="shared" si="0"/>
        <v>10</v>
      </c>
      <c r="S17">
        <f t="shared" si="3"/>
        <v>1</v>
      </c>
      <c r="T17">
        <f t="shared" si="4"/>
        <v>0</v>
      </c>
      <c r="U17">
        <f t="shared" si="5"/>
        <v>1</v>
      </c>
      <c r="V17" s="47">
        <f t="shared" si="6"/>
        <v>0.75</v>
      </c>
      <c r="X17">
        <f t="shared" si="2"/>
        <v>54.500000000000007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4.0754999999999999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5.7</v>
      </c>
      <c r="M18" s="36" cm="1">
        <f t="array" ref="M18">_xll.FDSB(J18,"(SUBARRAY(NOT_NA(NO_REPEAT_F(FG_YIELD(now,-10AY,D))),0,1)-SUBARRAY(NOT_NA(NO_REPEAT_F(FG_YIELD(now,-10AY,D))),1,1))*100")</f>
        <v>-55</v>
      </c>
      <c r="N18" s="38">
        <f t="shared" si="0"/>
        <v>55</v>
      </c>
      <c r="S18">
        <f t="shared" si="3"/>
        <v>1</v>
      </c>
      <c r="T18">
        <f t="shared" si="4"/>
        <v>0</v>
      </c>
      <c r="U18">
        <f t="shared" si="5"/>
        <v>0</v>
      </c>
      <c r="V18" s="47">
        <f t="shared" si="6"/>
        <v>0.5</v>
      </c>
      <c r="X18">
        <f t="shared" si="2"/>
        <v>27.200000000000003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2.5396230000000002</v>
      </c>
      <c r="G19" s="26" cm="1">
        <f t="array" ref="G19">_xll.FDSB(C19,"PCTCHG(FG_YIELD(0,,,,""YTM""),FG_YIELD(-1AM,,,,""YTM""))")</f>
        <v>-0.15348238</v>
      </c>
      <c r="H19" s="26" cm="1">
        <f t="array" ref="H19">_xll.FDSB(C19,"PCTCHG(FG_YIELD(0,,,,""YTM""),FG_YIELD(-3AM,,,,""YTM""))")</f>
        <v>-4.7743650000000004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1</v>
      </c>
      <c r="U19">
        <f t="shared" si="5"/>
        <v>1</v>
      </c>
      <c r="V19" s="47">
        <f t="shared" si="6"/>
        <v>0.5</v>
      </c>
      <c r="X19">
        <f t="shared" si="2"/>
        <v>27.200000000000003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26.018294999999998</v>
      </c>
      <c r="G20" s="26" cm="1">
        <f t="array" ref="G20">_xll.FDSB(C20,"PCTCHG(FG_YIELD(0,,,,""YTM""),FG_YIELD(-1AM,,,,""YTM""))")</f>
        <v>2.5009066999999998</v>
      </c>
      <c r="H20" s="26" cm="1">
        <f t="array" ref="H20">_xll.FDSB(C20,"PCTCHG(FG_YIELD(0,,,,""YTM""),FG_YIELD(-3AM,,,,""YTM""))")</f>
        <v>9.0001420000000003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0</v>
      </c>
      <c r="U20">
        <f t="shared" si="5"/>
        <v>0</v>
      </c>
      <c r="V20" s="47">
        <f t="shared" si="6"/>
        <v>0</v>
      </c>
      <c r="X20">
        <f t="shared" si="2"/>
        <v>4.5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4.0754999999999999</v>
      </c>
      <c r="G21" s="26" t="str" cm="1">
        <f t="array" ref="G21">_xll.FDSB(C21,"PCTCHG(FG_YIELD(0,,,,""YTM""),FG_YIELD(-1AM,,,,""YTM""))")</f>
        <v/>
      </c>
      <c r="H21" s="26" t="str" cm="1">
        <f t="array" ref="H21">_xll.FDSB(C21,"PCTCHG(FG_YIELD(0,,,,""YTM""),FG_YIELD(-3AM,,,,""YTM""))")</f>
        <v/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4.9000000000000004</v>
      </c>
      <c r="M21" s="36" cm="1">
        <f t="array" ref="M21">_xll.FDSB(J21,"(SUBARRAY(NOT_NA(NO_REPEAT_F(FG_YIELD(now,-10AY,D))),0,1)-SUBARRAY(NOT_NA(NO_REPEAT_F(FG_YIELD(now,-10AY,D))),1,1))*100")</f>
        <v>-50</v>
      </c>
      <c r="N21" s="38">
        <f t="shared" si="0"/>
        <v>50</v>
      </c>
      <c r="S21">
        <f t="shared" si="3"/>
        <v>1</v>
      </c>
      <c r="T21">
        <f t="shared" si="4"/>
        <v>0</v>
      </c>
      <c r="U21">
        <f t="shared" si="5"/>
        <v>0</v>
      </c>
      <c r="V21" s="47">
        <f t="shared" si="6"/>
        <v>0.5</v>
      </c>
      <c r="X21">
        <f t="shared" si="2"/>
        <v>27.200000000000003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2.883454</v>
      </c>
      <c r="G22" s="26" cm="1">
        <f t="array" ref="G22">_xll.FDSB(C22,"PCTCHG(FG_YIELD(0,,,,""YTM""),FG_YIELD(-1AM,,,,""YTM""))")</f>
        <v>7.1418489999999997</v>
      </c>
      <c r="H22" s="26" cm="1">
        <f t="array" ref="H22">_xll.FDSB(C22,"PCTCHG(FG_YIELD(0,,,,""YTM""),FG_YIELD(-3AM,,,,""YTM""))")</f>
        <v>4.6580205000000001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0</v>
      </c>
      <c r="U22">
        <f t="shared" si="5"/>
        <v>0</v>
      </c>
      <c r="V22" s="47">
        <f t="shared" si="6"/>
        <v>0.5</v>
      </c>
      <c r="X22">
        <f t="shared" si="2"/>
        <v>27.200000000000003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4.8950550000000002</v>
      </c>
      <c r="G23" s="26" cm="1">
        <f t="array" ref="G23">_xll.FDSB(C23,"PCTCHG(FG_YIELD(0,,,,""YTM""),FG_YIELD(-1AM,,,,""YTM""))")</f>
        <v>4.8300986000000004</v>
      </c>
      <c r="H23" s="26" cm="1">
        <f t="array" ref="H23">_xll.FDSB(C23,"PCTCHG(FG_YIELD(0,,,,""YTM""),FG_YIELD(-3AM,,,,""YTM""))")</f>
        <v>-5.8781103999999997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5.5</v>
      </c>
      <c r="M23" s="36" cm="1">
        <f t="array" ref="M23">_xll.FDSB(J23,"(SUBARRAY(NOT_NA(NO_REPEAT_F(FG_YIELD(now,-10AY,D))),0,1)-SUBARRAY(NOT_NA(NO_REPEAT_F(FG_YIELD(now,-10AY,D))),1,1))*100")</f>
        <v>-50</v>
      </c>
      <c r="N23" s="38">
        <f t="shared" si="0"/>
        <v>50</v>
      </c>
      <c r="S23">
        <f t="shared" si="3"/>
        <v>1</v>
      </c>
      <c r="T23">
        <f t="shared" si="4"/>
        <v>0</v>
      </c>
      <c r="U23">
        <f t="shared" si="5"/>
        <v>1</v>
      </c>
      <c r="V23" s="47">
        <f t="shared" si="6"/>
        <v>0.75</v>
      </c>
      <c r="X23">
        <f t="shared" si="2"/>
        <v>54.500000000000007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4.0754999999999999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2.1608999999999998</v>
      </c>
      <c r="H2" cm="1">
        <f t="array" ref="H2">_xll.FDS(B2,"FG_ROE(0)")</f>
        <v>10.1533702313764</v>
      </c>
      <c r="I2">
        <f>HLOOKUP(B2,'Index ROE'!$B$1:$V$25,24,FALSE)</f>
        <v>13.11018017748075</v>
      </c>
      <c r="J2" cm="1">
        <f t="array" ref="J2">_xll.FDS(B2, "FMA_RBICS_REV_CURRENT(30, LOC, ""PORTAGG"")")</f>
        <v>22.263114502182798</v>
      </c>
      <c r="K2" s="77">
        <f>HLOOKUP(B2,'Index earnings'!$A$1:$V$26,26,FALSE)</f>
        <v>7.2169155222421066E-2</v>
      </c>
      <c r="L2">
        <f>HLOOKUP(B2,'Yearly returns'!$B$1:$V$128,126,FALSE)</f>
        <v>-29.70438</v>
      </c>
      <c r="M2">
        <f>I2-G2</f>
        <v>10.94928017748075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72.7</v>
      </c>
      <c r="R2">
        <f>N2*Assumption!$F$64 + O2*Assumption!$F$61 + P2*Assumption!$F$62 + Q2*Assumption!$F$63</f>
        <v>84.075000000000003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2.1188750000000001</v>
      </c>
      <c r="H3" cm="1">
        <f t="array" ref="H3">_xll.FDS(B3,"FG_ROE(0)")</f>
        <v>9.1372549922465804</v>
      </c>
      <c r="I3">
        <f>HLOOKUP(B3,'Index ROE'!$B$1:$V$25,24,FALSE)</f>
        <v>10.7704189177279</v>
      </c>
      <c r="J3" cm="1">
        <f t="array" ref="J3">_xll.FDS(B3, "FMA_RBICS_REV_CURRENT(30, LOC, ""PORTAGG"")")</f>
        <v>35.130990650441397</v>
      </c>
      <c r="K3" s="77">
        <f>HLOOKUP(B3,'Index earnings'!$A$1:$V$26,26,FALSE)</f>
        <v>2.1185121040589117E-2</v>
      </c>
      <c r="L3">
        <f>HLOOKUP(B3,'Yearly returns'!$B$1:$V$128,126,FALSE)</f>
        <v>-44.716811999999997</v>
      </c>
      <c r="M3">
        <f t="shared" ref="M3:M22" si="0">I3-G3</f>
        <v>8.6515439177278992</v>
      </c>
      <c r="N3" cm="1">
        <f t="array" ref="N3">_xlfn.PERCENTRANK.EXC(_xlfn._xlws.FILTER(M$2:M$22, ISNUMBER(M$2:M$22)),M3)*100</f>
        <v>68.100000000000009</v>
      </c>
      <c r="O3" cm="1">
        <f t="array" ref="O3">(1-_xlfn.PERCENTRANK.EXC(_xlfn._xlws.FILTER(J$2:J$22, ISNUMBER(J$2:J$22)),J3))*100</f>
        <v>54.6</v>
      </c>
      <c r="P3" cm="1">
        <f t="array" ref="P3">_xlfn.PERCENTRANK.EXC(_xlfn._xlws.FILTER(K$2:K$22, ISNUMBER(K$2:K$22)),K3)*100</f>
        <v>40.9</v>
      </c>
      <c r="Q3" cm="1">
        <f t="array" ref="Q3">_xlfn.PERCENTRANK.EXC(_xlfn._xlws.FILTER(L$2:L$22, ISNUMBER(L$2:L$22)),L3)*100</f>
        <v>27.200000000000003</v>
      </c>
      <c r="R3">
        <f>N3*Assumption!$F$64 + O3*Assumption!$F$61 + P3*Assumption!$F$62 + Q3*Assumption!$F$63</f>
        <v>47.7</v>
      </c>
      <c r="S3" cm="1">
        <f t="array" ref="S3">_xlfn.PERCENTRANK.EXC(_xlfn._xlws.FILTER(R$2:R$22, ISNUMBER(R$2:R$22)),R3)*100</f>
        <v>45.4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6.7475189999999996</v>
      </c>
      <c r="H4" cm="1">
        <f t="array" ref="H4">_xll.FDS(B4,"FG_ROE(0)")</f>
        <v>12.523738514894401</v>
      </c>
      <c r="I4">
        <f>HLOOKUP(B4,'Index ROE'!$B$1:$V$25,24,FALSE)</f>
        <v>15.657517511443299</v>
      </c>
      <c r="J4" cm="1">
        <f t="array" ref="J4">_xll.FDS(B4, "FMA_RBICS_REV_CURRENT(30, LOC, ""PORTAGG"")")</f>
        <v>53.271733157215699</v>
      </c>
      <c r="K4" s="77">
        <f>HLOOKUP(B4,'Index earnings'!$A$1:$V$26,26,FALSE)</f>
        <v>4.2935760209013241E-2</v>
      </c>
      <c r="L4">
        <f>HLOOKUP(B4,'Yearly returns'!$B$1:$V$128,126,FALSE)</f>
        <v>-40.593445000000003</v>
      </c>
      <c r="M4">
        <f t="shared" si="0"/>
        <v>8.9099985114432982</v>
      </c>
      <c r="N4" cm="1">
        <f t="array" ref="N4">_xlfn.PERCENTRANK.EXC(_xlfn._xlws.FILTER(M$2:M$22, ISNUMBER(M$2:M$22)),M4)*100</f>
        <v>77.2</v>
      </c>
      <c r="O4" cm="1">
        <f t="array" ref="O4">(1-_xlfn.PERCENTRANK.EXC(_xlfn._xlws.FILTER(J$2:J$22, ISNUMBER(J$2:J$22)),J4))*100</f>
        <v>18.200000000000006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31.8</v>
      </c>
      <c r="R4">
        <f>N4*Assumption!$F$64 + O4*Assumption!$F$61 + P4*Assumption!$F$62 + Q4*Assumption!$F$63</f>
        <v>48.825000000000003</v>
      </c>
      <c r="S4" cm="1">
        <f t="array" ref="S4">_xlfn.PERCENTRANK.EXC(_xlfn._xlws.FILTER(R$2:R$22, ISNUMBER(R$2:R$22)),R4)*100</f>
        <v>59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5.7788633999999997</v>
      </c>
      <c r="H5" cm="1">
        <f t="array" ref="H5">_xll.FDS(B5,"FG_ROE(0)")</f>
        <v>12.5806088418315</v>
      </c>
      <c r="I5">
        <f>HLOOKUP(B5,'Index ROE'!$B$1:$V$25,24,FALSE)</f>
        <v>12.530824852807651</v>
      </c>
      <c r="J5" cm="1">
        <f t="array" ref="J5">_xll.FDS(B5, "FMA_RBICS_REV_CURRENT(30, LOC, ""PORTAGG"")")</f>
        <v>40.960553444429799</v>
      </c>
      <c r="K5" s="77">
        <f>HLOOKUP(B5,'Index earnings'!$A$1:$V$26,26,FALSE)</f>
        <v>6.5968962435704714E-2</v>
      </c>
      <c r="L5">
        <f>HLOOKUP(B5,'Yearly returns'!$B$1:$V$128,126,FALSE)</f>
        <v>-31.810020000000002</v>
      </c>
      <c r="M5">
        <f t="shared" si="0"/>
        <v>6.7519614528076515</v>
      </c>
      <c r="N5" cm="1">
        <f t="array" ref="N5">_xlfn.PERCENTRANK.EXC(_xlfn._xlws.FILTER(M$2:M$22, ISNUMBER(M$2:M$22)),M5)*100</f>
        <v>36.299999999999997</v>
      </c>
      <c r="O5" cm="1">
        <f t="array" ref="O5">(1-_xlfn.PERCENTRANK.EXC(_xlfn._xlws.FILTER(J$2:J$22, ISNUMBER(J$2:J$22)),J5))*100</f>
        <v>41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63.6</v>
      </c>
      <c r="R5">
        <f>N5*Assumption!$F$64 + O5*Assumption!$F$61 + P5*Assumption!$F$62 + Q5*Assumption!$F$63</f>
        <v>55.674999999999997</v>
      </c>
      <c r="S5" cm="1">
        <f t="array" ref="S5">_xlfn.PERCENTRANK.EXC(_xlfn._xlws.FILTER(R$2:R$22, ISNUMBER(R$2:R$22)),R5)*100</f>
        <v>68.100000000000009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5.4626999999999999</v>
      </c>
      <c r="H6" cm="1">
        <f t="array" ref="H6">_xll.FDS(B6,"FG_ROE(0)")</f>
        <v>12.858656951206299</v>
      </c>
      <c r="I6">
        <f>HLOOKUP(B6,'Index ROE'!$B$1:$V$25,24,FALSE)</f>
        <v>10.013481596831115</v>
      </c>
      <c r="J6" cm="1">
        <f t="array" ref="J6">_xll.FDS(B6, "FMA_RBICS_REV_CURRENT(30, LOC, ""PORTAGG"")")</f>
        <v>46.646333418052699</v>
      </c>
      <c r="K6" s="77">
        <f>HLOOKUP(B6,'Index earnings'!$A$1:$V$26,26,FALSE)</f>
        <v>3.6620331475524681E-2</v>
      </c>
      <c r="L6">
        <f>HLOOKUP(B6,'Yearly returns'!$B$1:$V$128,126,FALSE)</f>
        <v>-52.305219999999998</v>
      </c>
      <c r="M6">
        <f t="shared" si="0"/>
        <v>4.5507815968311149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59</v>
      </c>
      <c r="Q6" cm="1">
        <f t="array" ref="Q6">_xlfn.PERCENTRANK.EXC(_xlfn._xlws.FILTER(L$2:L$22, ISNUMBER(L$2:L$22)),L6)*100</f>
        <v>13.600000000000001</v>
      </c>
      <c r="R6">
        <f>N6*Assumption!$F$64 + O6*Assumption!$F$61 + P6*Assumption!$F$62 + Q6*Assumption!$F$63</f>
        <v>29.524999999999999</v>
      </c>
      <c r="S6" cm="1">
        <f t="array" ref="S6">_xlfn.PERCENTRANK.EXC(_xlfn._xlws.FILTER(R$2:R$22, ISNUMBER(R$2:R$22)),R6)*100</f>
        <v>13.600000000000001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6.4712319999999997</v>
      </c>
      <c r="H7" cm="1">
        <f t="array" ref="H7">_xll.FDS(B7,"FG_ROE(0)")</f>
        <v>10.926605748375801</v>
      </c>
      <c r="I7">
        <f>HLOOKUP(B7,'Index ROE'!$B$1:$V$25,24,FALSE)</f>
        <v>12.932447143095301</v>
      </c>
      <c r="J7" cm="1">
        <f t="array" ref="J7">_xll.FDS(B7, "FMA_RBICS_REV_CURRENT(30, LOC, ""PORTAGG"")")</f>
        <v>29.8040222376735</v>
      </c>
      <c r="K7" s="77">
        <f>HLOOKUP(B7,'Index earnings'!$A$1:$V$26,26,FALSE)</f>
        <v>1.6222352047230215E-2</v>
      </c>
      <c r="L7">
        <f>HLOOKUP(B7,'Yearly returns'!$B$1:$V$128,126,FALSE)</f>
        <v>-39.232872</v>
      </c>
      <c r="M7">
        <f t="shared" si="0"/>
        <v>6.4612151430953011</v>
      </c>
      <c r="N7" cm="1">
        <f t="array" ref="N7">_xlfn.PERCENTRANK.EXC(_xlfn._xlws.FILTER(M$2:M$22, ISNUMBER(M$2:M$22)),M7)*100</f>
        <v>31.8</v>
      </c>
      <c r="O7" cm="1">
        <f t="array" ref="O7">(1-_xlfn.PERCENTRANK.EXC(_xlfn._xlws.FILTER(J$2:J$22, ISNUMBER(J$2:J$22)),J7))*100</f>
        <v>63.7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40.9</v>
      </c>
      <c r="R7">
        <f>N7*Assumption!$F$64 + O7*Assumption!$F$61 + P7*Assumption!$F$62 + Q7*Assumption!$F$63</f>
        <v>42.05</v>
      </c>
      <c r="S7" cm="1">
        <f t="array" ref="S7">_xlfn.PERCENTRANK.EXC(_xlfn._xlws.FILTER(R$2:R$22, ISNUMBER(R$2:R$22)),R7)*100</f>
        <v>31.8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3.7967689999999998</v>
      </c>
      <c r="H8" cm="1">
        <f t="array" ref="H8">_xll.FDS(B8,"FG_ROE(0)")</f>
        <v>8.3611847694115102</v>
      </c>
      <c r="I8">
        <f>HLOOKUP(B8,'Index ROE'!$B$1:$V$25,24,FALSE)</f>
        <v>11.93920849991995</v>
      </c>
      <c r="J8" cm="1">
        <f t="array" ref="J8">_xll.FDS(B8, "FMA_RBICS_REV_CURRENT(30, LOC, ""PORTAGG"")")</f>
        <v>43.632040658612297</v>
      </c>
      <c r="K8" s="77">
        <f>HLOOKUP(B8,'Index earnings'!$A$1:$V$26,26,FALSE)</f>
        <v>2.3807424866461258E-2</v>
      </c>
      <c r="L8">
        <f>HLOOKUP(B8,'Yearly returns'!$B$1:$V$128,126,FALSE)</f>
        <v>-35.877270000000003</v>
      </c>
      <c r="M8">
        <f t="shared" si="0"/>
        <v>8.1424394999199503</v>
      </c>
      <c r="N8" cm="1">
        <f t="array" ref="N8">_xlfn.PERCENTRANK.EXC(_xlfn._xlws.FILTER(M$2:M$22, ISNUMBER(M$2:M$22)),M8)*100</f>
        <v>59</v>
      </c>
      <c r="O8" cm="1">
        <f t="array" ref="O8">(1-_xlfn.PERCENTRANK.EXC(_xlfn._xlws.FILTER(J$2:J$22, ISNUMBER(J$2:J$22)),J8))*100</f>
        <v>31.899999999999995</v>
      </c>
      <c r="P8" cm="1">
        <f t="array" ref="P8">_xlfn.PERCENTRANK.EXC(_xlfn._xlws.FILTER(K$2:K$22, ISNUMBER(K$2:K$22)),K8)*100</f>
        <v>45.4</v>
      </c>
      <c r="Q8" cm="1">
        <f t="array" ref="Q8">_xlfn.PERCENTRANK.EXC(_xlfn._xlws.FILTER(L$2:L$22, ISNUMBER(L$2:L$22)),L8)*100</f>
        <v>59</v>
      </c>
      <c r="R8">
        <f>N8*Assumption!$F$64 + O8*Assumption!$F$61 + P8*Assumption!$F$62 + Q8*Assumption!$F$63</f>
        <v>48.824999999999996</v>
      </c>
      <c r="S8" cm="1">
        <f t="array" ref="S8">_xlfn.PERCENTRANK.EXC(_xlfn._xlws.FILTER(R$2:R$22, ISNUMBER(R$2:R$22)),R8)*100</f>
        <v>54.500000000000007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4.0754999999999999</v>
      </c>
      <c r="H9" cm="1">
        <f t="array" ref="H9">_xll.FDS(B9,"FG_ROE(0)")</f>
        <v>11.0394995338802</v>
      </c>
      <c r="I9">
        <f>HLOOKUP(B9,'Index ROE'!$B$1:$V$25,24,FALSE)</f>
        <v>12.1494708776913</v>
      </c>
      <c r="J9" cm="1">
        <f t="array" ref="J9">_xll.FDS(B9, "FMA_RBICS_REV_CURRENT(30, LOC, ""PORTAGG"")")</f>
        <v>18.667687162585999</v>
      </c>
      <c r="K9" s="77">
        <f>HLOOKUP(B9,'Index earnings'!$A$1:$V$26,26,FALSE)</f>
        <v>3.7644175693682058E-2</v>
      </c>
      <c r="L9">
        <f>HLOOKUP(B9,'Yearly returns'!$B$1:$V$128,126,FALSE)</f>
        <v>-28.309529999999999</v>
      </c>
      <c r="M9">
        <f t="shared" si="0"/>
        <v>8.0739708776913002</v>
      </c>
      <c r="N9" cm="1">
        <f t="array" ref="N9">_xlfn.PERCENTRANK.EXC(_xlfn._xlws.FILTER(M$2:M$22, ISNUMBER(M$2:M$22)),M9)*100</f>
        <v>54.500000000000007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63.6</v>
      </c>
      <c r="Q9" cm="1">
        <f t="array" ref="Q9">_xlfn.PERCENTRANK.EXC(_xlfn._xlws.FILTER(L$2:L$22, ISNUMBER(L$2:L$22)),L9)*100</f>
        <v>77.2</v>
      </c>
      <c r="R9">
        <f>N9*Assumption!$F$64 + O9*Assumption!$F$61 + P9*Assumption!$F$62 + Q9*Assumption!$F$63</f>
        <v>71.575000000000003</v>
      </c>
      <c r="S9" cm="1">
        <f t="array" ref="S9">_xlfn.PERCENTRANK.EXC(_xlfn._xlws.FILTER(R$2:R$22, ISNUMBER(R$2:R$22)),R9)*100</f>
        <v>86.3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9.6913999999999998</v>
      </c>
      <c r="H10" cm="1">
        <f t="array" ref="H10">_xll.FDS(B10,"FG_ROE(0)")</f>
        <v>11.001852852001001</v>
      </c>
      <c r="I10">
        <f>HLOOKUP(B10,'Index ROE'!$B$1:$V$25,24,FALSE)</f>
        <v>12.78064669069385</v>
      </c>
      <c r="J10" cm="1">
        <f t="array" ref="J10">_xll.FDS(B10, "FMA_RBICS_REV_CURRENT(30, LOC, ""PORTAGG"")")</f>
        <v>25.773402402130898</v>
      </c>
      <c r="K10" s="77">
        <f>HLOOKUP(B10,'Index earnings'!$A$1:$V$26,26,FALSE)</f>
        <v>5.803877206746777E-2</v>
      </c>
      <c r="L10">
        <f>HLOOKUP(B10,'Yearly returns'!$B$1:$V$128,126,FALSE)</f>
        <v>-37.492072999999998</v>
      </c>
      <c r="M10">
        <f t="shared" si="0"/>
        <v>3.0892466906938498</v>
      </c>
      <c r="N10" cm="1">
        <f t="array" ref="N10">_xlfn.PERCENTRANK.EXC(_xlfn._xlws.FILTER(M$2:M$22, ISNUMBER(M$2:M$22)),M10)*100</f>
        <v>18.099999999999998</v>
      </c>
      <c r="O10" cm="1">
        <f t="array" ref="O10">(1-_xlfn.PERCENTRANK.EXC(_xlfn._xlws.FILTER(J$2:J$22, ISNUMBER(J$2:J$22)),J10))*100</f>
        <v>68.199999999999989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50</v>
      </c>
      <c r="R10">
        <f>N10*Assumption!$F$64 + O10*Assumption!$F$61 + P10*Assumption!$F$62 + Q10*Assumption!$F$63</f>
        <v>52.25</v>
      </c>
      <c r="S10" cm="1">
        <f t="array" ref="S10">_xlfn.PERCENTRANK.EXC(_xlfn._xlws.FILTER(R$2:R$22, ISNUMBER(R$2:R$22)),R10)*100</f>
        <v>63.6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3.0870000000000002</v>
      </c>
      <c r="H11" cm="1">
        <f t="array" ref="H11">_xll.FDS(B11,"FG_ROE(0)")</f>
        <v>7.14509186069058</v>
      </c>
      <c r="I11">
        <f>HLOOKUP(B11,'Index ROE'!$B$1:$V$25,24,FALSE)</f>
        <v>10.671681938827749</v>
      </c>
      <c r="J11" cm="1">
        <f t="array" ref="J11">_xll.FDS(B11, "FMA_RBICS_REV_CURRENT(30, LOC, ""PORTAGG"")")</f>
        <v>16.056884842669501</v>
      </c>
      <c r="K11" s="77">
        <f>HLOOKUP(B11,'Index earnings'!$A$1:$V$26,26,FALSE)</f>
        <v>2.4558906920942647E-2</v>
      </c>
      <c r="L11">
        <f>HLOOKUP(B11,'Yearly returns'!$B$1:$V$128,126,FALSE)</f>
        <v>-36.180121999999997</v>
      </c>
      <c r="M11">
        <f t="shared" si="0"/>
        <v>7.5846819388277495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54.500000000000007</v>
      </c>
      <c r="Q11" cm="1">
        <f t="array" ref="Q11">_xlfn.PERCENTRANK.EXC(_xlfn._xlws.FILTER(L$2:L$22, ISNUMBER(L$2:L$22)),L11)*100</f>
        <v>54.500000000000007</v>
      </c>
      <c r="R11">
        <f>N11*Assumption!$F$64 + O11*Assumption!$F$61 + P11*Assumption!$F$62 + Q11*Assumption!$F$63</f>
        <v>63.625</v>
      </c>
      <c r="S11" cm="1">
        <f t="array" ref="S11">_xlfn.PERCENTRANK.EXC(_xlfn._xlws.FILTER(R$2:R$22, ISNUMBER(R$2:R$22)),R11)*100</f>
        <v>72.7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12.554957</v>
      </c>
      <c r="H12" cm="1">
        <f t="array" ref="H12">_xll.FDS(B12,"FG_ROE(0)")</f>
        <v>18.3934644801205</v>
      </c>
      <c r="I12">
        <f>HLOOKUP(B12,'Index ROE'!$B$1:$V$25,24,FALSE)</f>
        <v>14.789114385536951</v>
      </c>
      <c r="J12" cm="1">
        <f t="array" ref="J12">_xll.FDS(B12, "FMA_RBICS_REV_CURRENT(30, LOC, ""PORTAGG"")")</f>
        <v>35.681481478640997</v>
      </c>
      <c r="K12" s="77">
        <f>HLOOKUP(B12,'Index earnings'!$A$1:$V$26,26,FALSE)</f>
        <v>2.0687579449468974E-2</v>
      </c>
      <c r="L12">
        <f>HLOOKUP(B12,'Yearly returns'!$B$1:$V$128,126,FALSE)</f>
        <v>-52.07696</v>
      </c>
      <c r="M12">
        <f t="shared" si="0"/>
        <v>2.2341573855369514</v>
      </c>
      <c r="N12" cm="1">
        <f t="array" ref="N12">_xlfn.PERCENTRANK.EXC(_xlfn._xlws.FILTER(M$2:M$22, ISNUMBER(M$2:M$22)),M12)*100</f>
        <v>13.600000000000001</v>
      </c>
      <c r="O12" cm="1">
        <f t="array" ref="O12">(1-_xlfn.PERCENTRANK.EXC(_xlfn._xlws.FILTER(J$2:J$22, ISNUMBER(J$2:J$22)),J12))*100</f>
        <v>50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18.099999999999998</v>
      </c>
      <c r="R12">
        <f>N12*Assumption!$F$64 + O12*Assumption!$F$61 + P12*Assumption!$F$62 + Q12*Assumption!$F$63</f>
        <v>29.5</v>
      </c>
      <c r="S12" cm="1">
        <f t="array" ref="S12">_xlfn.PERCENTRANK.EXC(_xlfn._xlws.FILTER(R$2:R$22, ISNUMBER(R$2:R$22)),R12)*100</f>
        <v>9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Treasury - South Africa Benchmark Bond 10Y</v>
      </c>
      <c r="G13">
        <f>VLOOKUP(A13,'LIQIDITY 2'!$A$3:$E$26,5,FALSE)</f>
        <v>10.403542</v>
      </c>
      <c r="H13" cm="1">
        <f t="array" ref="H13">_xll.FDS(B13,"FG_ROE(0)")</f>
        <v>12.4716928729306</v>
      </c>
      <c r="I13">
        <f>HLOOKUP(B13,'Index ROE'!$B$1:$V$25,24,FALSE)</f>
        <v>16.7616860731518</v>
      </c>
      <c r="J13" cm="1">
        <f t="array" ref="J13">_xll.FDS(B13, "FMA_RBICS_REV_CURRENT(30, LOC, ""PORTAGG"")")</f>
        <v>46.180704979612102</v>
      </c>
      <c r="K13" s="77">
        <f>HLOOKUP(B13,'Index earnings'!$A$1:$V$26,26,FALSE)</f>
        <v>2.3841978697412891E-2</v>
      </c>
      <c r="L13">
        <f>HLOOKUP(B13,'Yearly returns'!$B$1:$V$128,126,FALSE)</f>
        <v>-38.451500000000003</v>
      </c>
      <c r="M13">
        <f t="shared" si="0"/>
        <v>6.3581440731518004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27.3</v>
      </c>
      <c r="P13" cm="1">
        <f t="array" ref="P13">_xlfn.PERCENTRANK.EXC(_xlfn._xlws.FILTER(K$2:K$22, ISNUMBER(K$2:K$22)),K13)*100</f>
        <v>50</v>
      </c>
      <c r="Q13" cm="1">
        <f t="array" ref="Q13">_xlfn.PERCENTRANK.EXC(_xlfn._xlws.FILTER(L$2:L$22, ISNUMBER(L$2:L$22)),L13)*100</f>
        <v>45.4</v>
      </c>
      <c r="R13">
        <f>N13*Assumption!$F$64 + O13*Assumption!$F$61 + P13*Assumption!$F$62 + Q13*Assumption!$F$63</f>
        <v>37.475000000000001</v>
      </c>
      <c r="S13" cm="1">
        <f t="array" ref="S13">_xlfn.PERCENTRANK.EXC(_xlfn._xlws.FILTER(R$2:R$22, ISNUMBER(R$2:R$22)),R13)*100</f>
        <v>27.200000000000003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3.1909999999999998</v>
      </c>
      <c r="H14" cm="1">
        <f t="array" ref="H14">_xll.FDS(B14,"FG_ROE(0)")</f>
        <v>15.1054393225903</v>
      </c>
      <c r="I14">
        <f>HLOOKUP(B14,'Index ROE'!$B$1:$V$25,24,FALSE)</f>
        <v>5.4192242708958744</v>
      </c>
      <c r="J14" cm="1">
        <f t="array" ref="J14">_xll.FDS(B14, "FMA_RBICS_REV_CURRENT(30, LOC, ""PORTAGG"")")</f>
        <v>42.459010856855201</v>
      </c>
      <c r="K14" s="77">
        <f>HLOOKUP(B14,'Index earnings'!$A$1:$V$26,26,FALSE)</f>
        <v>-9.9977006807554725E-2</v>
      </c>
      <c r="L14">
        <f>HLOOKUP(B14,'Yearly returns'!$B$1:$V$128,126,FALSE)</f>
        <v>-54.408700000000003</v>
      </c>
      <c r="M14">
        <f t="shared" si="0"/>
        <v>2.2282242708958746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36.4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4.5</v>
      </c>
      <c r="R14">
        <f>N14*Assumption!$F$64 + O14*Assumption!$F$61 + P14*Assumption!$F$62 + Q14*Assumption!$F$63</f>
        <v>13.6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6.7725</v>
      </c>
      <c r="H15" cm="1">
        <f t="array" ref="H15">_xll.FDS(B15,"FG_ROE(0)")</f>
        <v>15.6166037405788</v>
      </c>
      <c r="I15">
        <f>HLOOKUP(B15,'Index ROE'!$B$1:$V$25,24,FALSE)</f>
        <v>15.463136340534799</v>
      </c>
      <c r="J15" cm="1">
        <f t="array" ref="J15">_xll.FDS(B15, "FMA_RBICS_REV_CURRENT(30, LOC, ""PORTAGG"")")</f>
        <v>30.4038446451613</v>
      </c>
      <c r="K15" s="77">
        <f>HLOOKUP(B15,'Index earnings'!$A$1:$V$26,26,FALSE)</f>
        <v>6.0169965942033388E-2</v>
      </c>
      <c r="L15">
        <f>HLOOKUP(B15,'Yearly returns'!$B$1:$V$128,126,FALSE)</f>
        <v>-27.660655999999999</v>
      </c>
      <c r="M15">
        <f t="shared" si="0"/>
        <v>8.6906363405347982</v>
      </c>
      <c r="N15" cm="1">
        <f t="array" ref="N15">_xlfn.PERCENTRANK.EXC(_xlfn._xlws.FILTER(M$2:M$22, ISNUMBER(M$2:M$22)),M15)*100</f>
        <v>72.7</v>
      </c>
      <c r="O15" cm="1">
        <f t="array" ref="O15">(1-_xlfn.PERCENTRANK.EXC(_xlfn._xlws.FILTER(J$2:J$22, ISNUMBER(J$2:J$22)),J15))*100</f>
        <v>59.099999999999994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81.8</v>
      </c>
      <c r="R15">
        <f>N15*Assumption!$F$64 + O15*Assumption!$F$61 + P15*Assumption!$F$62 + Q15*Assumption!$F$63</f>
        <v>72.7</v>
      </c>
      <c r="S15" cm="1">
        <f t="array" ref="S15">_xlfn.PERCENTRANK.EXC(_xlfn._xlws.FILTER(R$2:R$22, ISNUMBER(R$2:R$22)),R15)*100</f>
        <v>90.9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2.1608999999999998</v>
      </c>
      <c r="H16" cm="1">
        <f t="array" ref="H16">_xll.FDS(B16,"FG_ROE(0)")</f>
        <v>11.037550098292099</v>
      </c>
      <c r="I16">
        <f>HLOOKUP(B16,'Index ROE'!$B$1:$V$25,24,FALSE)</f>
        <v>12.885451183674199</v>
      </c>
      <c r="J16" cm="1">
        <f t="array" ref="J16">_xll.FDS(B16, "FMA_RBICS_REV_CURRENT(30, LOC, ""PORTAGG"")")</f>
        <v>24.3151658986367</v>
      </c>
      <c r="K16" s="77">
        <f>HLOOKUP(B16,'Index earnings'!$A$1:$V$26,26,FALSE)</f>
        <v>7.2169155222421066E-2</v>
      </c>
      <c r="L16">
        <f>HLOOKUP(B16,'Yearly returns'!$B$1:$V$128,126,FALSE)</f>
        <v>-40.145249999999997</v>
      </c>
      <c r="M16">
        <f t="shared" si="0"/>
        <v>10.724551183674199</v>
      </c>
      <c r="N16" cm="1">
        <f t="array" ref="N16">_xlfn.PERCENTRANK.EXC(_xlfn._xlws.FILTER(M$2:M$22, ISNUMBER(M$2:M$22)),M16)*100</f>
        <v>86.3</v>
      </c>
      <c r="O16" cm="1">
        <f t="array" ref="O16">(1-_xlfn.PERCENTRANK.EXC(_xlfn._xlws.FILTER(J$2:J$22, ISNUMBER(J$2:J$22)),J16))*100</f>
        <v>72.8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36.299999999999997</v>
      </c>
      <c r="R16">
        <f>N16*Assumption!$F$64 + O16*Assumption!$F$61 + P16*Assumption!$F$62 + Q16*Assumption!$F$63</f>
        <v>70.424999999999997</v>
      </c>
      <c r="S16" cm="1">
        <f t="array" ref="S16">_xlfn.PERCENTRANK.EXC(_xlfn._xlws.FILTER(R$2:R$22, ISNUMBER(R$2:R$22)),R16)*100</f>
        <v>81.8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4.0754999999999999</v>
      </c>
      <c r="H17" cm="1">
        <f t="array" ref="H17">_xll.FDS(B17,"FG_ROE(0)")</f>
        <v>10.8727763595995</v>
      </c>
      <c r="I17">
        <f>HLOOKUP(B17,'Index ROE'!$B$1:$V$25,24,FALSE)</f>
        <v>12.269166041116101</v>
      </c>
      <c r="J17" cm="1">
        <f t="array" ref="J17">_xll.FDS(B17, "FMA_RBICS_REV_CURRENT(30, LOC, ""PORTAGG"")")</f>
        <v>61.356486300086303</v>
      </c>
      <c r="K17" s="77">
        <f>HLOOKUP(B17,'Index earnings'!$A$1:$V$26,26,FALSE)</f>
        <v>8.8740466700483189E-3</v>
      </c>
      <c r="L17">
        <f>HLOOKUP(B17,'Yearly returns'!$B$1:$V$128,126,FALSE)</f>
        <v>-23.493939999999998</v>
      </c>
      <c r="M17">
        <f t="shared" si="0"/>
        <v>8.1936660411161011</v>
      </c>
      <c r="N17" cm="1">
        <f t="array" ref="N17">_xlfn.PERCENTRANK.EXC(_xlfn._xlws.FILTER(M$2:M$22, ISNUMBER(M$2:M$22)),M17)*100</f>
        <v>63.6</v>
      </c>
      <c r="O17" cm="1">
        <f t="array" ref="O17">(1-_xlfn.PERCENTRANK.EXC(_xlfn._xlws.FILTER(J$2:J$22, ISNUMBER(J$2:J$22)),J17))*100</f>
        <v>4.6000000000000041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46.575000000000003</v>
      </c>
      <c r="S17" cm="1">
        <f t="array" ref="S17">_xlfn.PERCENTRANK.EXC(_xlfn._xlws.FILTER(R$2:R$22, ISNUMBER(R$2:R$22)),R17)*100</f>
        <v>36.299999999999997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2.5396230000000002</v>
      </c>
      <c r="H18" cm="1">
        <f t="array" ref="H18">_xll.FDS(B18,"FG_ROE(0)")</f>
        <v>8.0997940536328397</v>
      </c>
      <c r="I18">
        <f>HLOOKUP(B18,'Index ROE'!$B$1:$V$25,24,FALSE)</f>
        <v>13.0025654489041</v>
      </c>
      <c r="J18" cm="1">
        <f t="array" ref="J18">_xll.FDS(B18, "FMA_RBICS_REV_CURRENT(30, LOC, ""PORTAGG"")")</f>
        <v>23.721379347041498</v>
      </c>
      <c r="K18" s="77">
        <f>HLOOKUP(B18,'Index earnings'!$A$1:$V$26,26,FALSE)</f>
        <v>1.2617045604423671E-2</v>
      </c>
      <c r="L18">
        <f>HLOOKUP(B18,'Yearly returns'!$B$1:$V$128,126,FALSE)</f>
        <v>-26.117086</v>
      </c>
      <c r="M18">
        <f t="shared" si="0"/>
        <v>10.4629424489041</v>
      </c>
      <c r="N18" cm="1">
        <f t="array" ref="N18">_xlfn.PERCENTRANK.EXC(_xlfn._xlws.FILTER(M$2:M$22, ISNUMBER(M$2:M$22)),M18)*100</f>
        <v>81.8</v>
      </c>
      <c r="O18" cm="1">
        <f t="array" ref="O18">(1-_xlfn.PERCENTRANK.EXC(_xlfn._xlws.FILTER(J$2:J$22, ISNUMBER(J$2:J$22)),J18))*100</f>
        <v>77.3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90.9</v>
      </c>
      <c r="R18">
        <f>N18*Assumption!$F$64 + O18*Assumption!$F$61 + P18*Assumption!$F$62 + Q18*Assumption!$F$63</f>
        <v>69.300000000000011</v>
      </c>
      <c r="S18" cm="1">
        <f t="array" ref="S18">_xlfn.PERCENTRANK.EXC(_xlfn._xlws.FILTER(R$2:R$22, ISNUMBER(R$2:R$22)),R18)*100</f>
        <v>77.2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26.018294999999998</v>
      </c>
      <c r="H19" cm="1">
        <f t="array" ref="H19">_xll.FDS(B19,"FG_ROE(0)")</f>
        <v>15.679270610866499</v>
      </c>
      <c r="I19">
        <f>HLOOKUP(B19,'Index ROE'!$B$1:$V$25,24,FALSE)</f>
        <v>14.774119834582851</v>
      </c>
      <c r="J19" cm="1">
        <f t="array" ref="J19">_xll.FDS(B19, "FMA_RBICS_REV_CURRENT(30, LOC, ""PORTAGG"")")</f>
        <v>23.619903508214801</v>
      </c>
      <c r="K19" s="77">
        <f>HLOOKUP(B19,'Index earnings'!$A$1:$V$26,26,FALSE)</f>
        <v>8.200571631078879E-2</v>
      </c>
      <c r="L19">
        <f>HLOOKUP(B19,'Yearly returns'!$B$1:$V$128,126,FALSE)</f>
        <v>-54.217055999999999</v>
      </c>
      <c r="M19">
        <f t="shared" si="0"/>
        <v>-11.244175165417147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9</v>
      </c>
      <c r="R19">
        <f>N19*Assumption!$F$64 + O19*Assumption!$F$61 + P19*Assumption!$F$62 + Q19*Assumption!$F$63</f>
        <v>47.699999999999996</v>
      </c>
      <c r="S19" cm="1">
        <f t="array" ref="S19">_xlfn.PERCENTRANK.EXC(_xlfn._xlws.FILTER(R$2:R$22, ISNUMBER(R$2:R$22)),R19)*100</f>
        <v>40.9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4.0754999999999999</v>
      </c>
      <c r="H20" cm="1">
        <f t="array" ref="H20">_xll.FDS(B20,"FG_ROE(0)")</f>
        <v>14.8468698111969</v>
      </c>
      <c r="I20">
        <f>HLOOKUP(B20,'Index ROE'!$B$1:$V$25,24,FALSE)</f>
        <v>11.156370494280349</v>
      </c>
      <c r="J20" cm="1">
        <f t="array" ref="J20">_xll.FDS(B20, "FMA_RBICS_REV_CURRENT(30, LOC, ""PORTAGG"")")</f>
        <v>57.664033369967399</v>
      </c>
      <c r="K20" s="77">
        <f>HLOOKUP(B20,'Index earnings'!$A$1:$V$26,26,FALSE)</f>
        <v>8.3481705833627906E-3</v>
      </c>
      <c r="L20">
        <f>HLOOKUP(B20,'Yearly returns'!$B$1:$V$128,126,FALSE)</f>
        <v>-30.465872000000001</v>
      </c>
      <c r="M20">
        <f t="shared" si="0"/>
        <v>7.0808704942803491</v>
      </c>
      <c r="N20" cm="1">
        <f t="array" ref="N20">_xlfn.PERCENTRANK.EXC(_xlfn._xlws.FILTER(M$2:M$22, ISNUMBER(M$2:M$22)),M20)*100</f>
        <v>40.9</v>
      </c>
      <c r="O20" cm="1">
        <f t="array" ref="O20">(1-_xlfn.PERCENTRANK.EXC(_xlfn._xlws.FILTER(J$2:J$22, ISNUMBER(J$2:J$22)),J20))*100</f>
        <v>9.0999999999999979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68.100000000000009</v>
      </c>
      <c r="R20">
        <f>N20*Assumption!$F$64 + O20*Assumption!$F$61 + P20*Assumption!$F$62 + Q20*Assumption!$F$63</f>
        <v>34.049999999999997</v>
      </c>
      <c r="S20" cm="1">
        <f t="array" ref="S20">_xlfn.PERCENTRANK.EXC(_xlfn._xlws.FILTER(R$2:R$22, ISNUMBER(R$2:R$22)),R20)*100</f>
        <v>18.099999999999998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2.883454</v>
      </c>
      <c r="H21" cm="1">
        <f t="array" ref="H21">_xll.FDS(B21,"FG_ROE(0)")</f>
        <v>8.1392789352329196</v>
      </c>
      <c r="I21">
        <f>HLOOKUP(B21,'Index ROE'!$B$1:$V$25,24,FALSE)</f>
        <v>15.109726785561501</v>
      </c>
      <c r="J21" cm="1">
        <f t="array" ref="J21">_xll.FDS(B21, "FMA_RBICS_REV_CURRENT(30, LOC, ""PORTAGG"")")</f>
        <v>55.417234416641499</v>
      </c>
      <c r="K21" s="77">
        <f>HLOOKUP(B21,'Index earnings'!$A$1:$V$26,26,FALSE)</f>
        <v>-4.4922818987835234E-2</v>
      </c>
      <c r="L21">
        <f>HLOOKUP(B21,'Yearly returns'!$B$1:$V$128,126,FALSE)</f>
        <v>-46.503872000000001</v>
      </c>
      <c r="M21">
        <f t="shared" si="0"/>
        <v>12.2262727855615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13.700000000000001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22.7</v>
      </c>
      <c r="R21">
        <f>N21*Assumption!$F$64 + O21*Assumption!$F$61 + P21*Assumption!$F$62 + Q21*Assumption!$F$63</f>
        <v>35.199999999999996</v>
      </c>
      <c r="S21" cm="1">
        <f t="array" ref="S21">_xlfn.PERCENTRANK.EXC(_xlfn._xlws.FILTER(R$2:R$22, ISNUMBER(R$2:R$22)),R21)*100</f>
        <v>22.7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4.8950550000000002</v>
      </c>
      <c r="H22" cm="1">
        <f t="array" ref="H22">_xll.FDS(B22,"FG_ROE(0)")</f>
        <v>11.785465895171001</v>
      </c>
      <c r="I22">
        <f>HLOOKUP(B22,'Index ROE'!$B$1:$V$25,24,FALSE)</f>
        <v>11.9967853551854</v>
      </c>
      <c r="J22" cm="1">
        <f t="array" ref="J22">_xll.FDS(B22, "FMA_RBICS_REV_CURRENT(30, LOC, ""PORTAGG"")")</f>
        <v>39.4472302321321</v>
      </c>
      <c r="K22" s="77">
        <f>HLOOKUP(B22,'Index earnings'!$A$1:$V$26,26,FALSE)</f>
        <v>-1.602635124967311E-2</v>
      </c>
      <c r="L22">
        <f>HLOOKUP(B22,'Yearly returns'!$B$1:$V$128,126,FALSE)</f>
        <v>-26.403320000000001</v>
      </c>
      <c r="M22">
        <f t="shared" si="0"/>
        <v>7.1017303551854001</v>
      </c>
      <c r="N22" cm="1">
        <f t="array" ref="N22">_xlfn.PERCENTRANK.EXC(_xlfn._xlws.FILTER(M$2:M$22, ISNUMBER(M$2:M$22)),M22)*100</f>
        <v>45.4</v>
      </c>
      <c r="O22" cm="1">
        <f t="array" ref="O22">(1-_xlfn.PERCENTRANK.EXC(_xlfn._xlws.FILTER(J$2:J$22, ISNUMBER(J$2:J$22)),J22))*100</f>
        <v>45.499999999999993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86.3</v>
      </c>
      <c r="R22">
        <f>N22*Assumption!$F$64 + O22*Assumption!$F$61 + P22*Assumption!$F$62 + Q22*Assumption!$F$63</f>
        <v>47.7</v>
      </c>
      <c r="S22" cm="1">
        <f t="array" ref="S22">_xlfn.PERCENTRANK.EXC(_xlfn._xlws.FILTER(R$2:R$22, ISNUMBER(R$2:R$22)),R22)*100</f>
        <v>45.4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N1" activePane="topRight" state="frozen"/>
      <selection pane="topRight" activeCell="O6" sqref="O6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8332266.5</v>
      </c>
      <c r="E3" cm="1">
        <f t="array" ref="E3">_xll.FDS(C3,"FMA_COS_UP(""EPS"",""1M"",+1,NOW,,,""PORTAGG"",""MEANR"")")</f>
        <v>85</v>
      </c>
      <c r="F3" cm="1">
        <f t="array" ref="F3">_xll.FDS(C3,"FMA_COS_DOWN(""EPS"",""1M"",+1,NOW,,,""PORTAGG"",""MEANR"")")</f>
        <v>115</v>
      </c>
      <c r="G3" cm="1">
        <f t="array" ref="G3">_xll.FDS(A3,"SIZE(FG_CONSTITUENTS)")</f>
        <v>433</v>
      </c>
      <c r="H3" s="9">
        <f t="shared" ref="H3:H23" si="0">E3/$G3</f>
        <v>0.19630484988452657</v>
      </c>
      <c r="I3" s="9">
        <f t="shared" ref="I3:I23" si="1">F3/$G3</f>
        <v>0.26558891454965355</v>
      </c>
      <c r="J3" s="9">
        <f t="shared" ref="J3:J23" si="2">H3-I3</f>
        <v>-6.9284064665126988E-2</v>
      </c>
      <c r="K3" s="5" cm="1">
        <f t="array" ref="K3">_xll.FDS(A3,"FMA_PCT_ABOVE_MAVG(200,0,,,,""PORTAGG"")")/100</f>
        <v>0.90972222222222199</v>
      </c>
      <c r="L3" s="41" cm="1">
        <f t="array" ref="L3">_xll.FDSB(A3,"PERCENT_CHANGE(FMA_EPS(+1,0,,,,""PORTAGG"",""MEAN""),FMA_EPS(+1,-1AM,,,,""PORTAGG"",""MEAN""))")</f>
        <v>25.127527541780498</v>
      </c>
      <c r="M3" s="41" cm="1">
        <f t="array" ref="M3">_xll.FDSB(A3,"PERCENT_CHANGE(FMA_EPS(+1,0,,,,""PORTAGG"",""MEAN""),FMA_EPS(+1,-3AM,,,,""PORTAGG"",""MEAN""))")</f>
        <v>23.178134920652401</v>
      </c>
      <c r="N3" s="3" cm="1">
        <f t="array" ref="N3">_xll.FDS(C3,"FG_TOTAL_RETURNC(0,-1AM)")</f>
        <v>26.616610000000001</v>
      </c>
      <c r="O3" s="3" cm="1">
        <f t="array" ref="O3">_xll.FDS(C3,"FG_TOTAL_RETURNC(0,-3AM)")</f>
        <v>19.865725999999999</v>
      </c>
      <c r="P3" s="3" cm="1">
        <f t="array" ref="P3">_xll.FDS(C3,"FG_TOTAL_RETURNC(0,-6AM)")</f>
        <v>18.26042</v>
      </c>
      <c r="Q3" s="9" cm="1">
        <f t="array" ref="Q3">_xll.FDS(C3,"P_PRICE(0)/P_PRICE_HIGH_PR(0,,,,,,""PRICE"",""INTRA"",""52W"")")</f>
        <v>0.79973649999999996</v>
      </c>
      <c r="R3" s="9" cm="1">
        <f t="array" ref="R3">_xll.FDS(C3,"P_PRICE(0)/P_PRICE_low_PR(0,,,,,,""PRICE"",""INTRA"",""52W"")-1")</f>
        <v>0.31784630000000003</v>
      </c>
      <c r="S3" s="3" cm="1">
        <f t="array" ref="S3">_xll.FDS(C3,"FG_TOTAL_RETURNC(0,-12AM)")</f>
        <v>12.923002</v>
      </c>
      <c r="T3" s="4" cm="1">
        <f t="array" ref="T3">_xlfn.PERCENTRANK.EXC(_xlfn._xlws.FILTER($R$3:$R$23, ISNUMBER($R$3:$R$23)),R3)*100</f>
        <v>72.7</v>
      </c>
      <c r="U3" s="4">
        <f t="shared" ref="U3:U23" si="3">100-T3</f>
        <v>27.299999999999997</v>
      </c>
      <c r="V3" s="4" cm="1">
        <f t="array" ref="V3">_xlfn.PERCENTRANK.EXC(_xlfn._xlws.FILTER($Q$3:$Q$23, ISNUMBER($Q$3:$Q$23)),Q3)*100</f>
        <v>18.099999999999998</v>
      </c>
      <c r="W3" s="4" cm="1">
        <f t="array" ref="W3">_xlfn.PERCENTRANK.EXC(_xlfn._xlws.FILTER($O$3:$O$23, ISNUMBER($O$3:$O$23)),O3)*100</f>
        <v>90.9</v>
      </c>
      <c r="X3" s="4" cm="1">
        <f t="array" ref="X3">_xlfn.PERCENTRANK.EXC(_xlfn._xlws.FILTER($P$3:$P$23, ISNUMBER($P$3:$P$23)),P3)*100</f>
        <v>81.8</v>
      </c>
      <c r="Y3" s="200" cm="1">
        <f t="array" ref="Y3">_xlfn.PERCENTRANK.EXC(_xlfn._xlws.FILTER($S$3:$S$23, ISNUMBER($S$3:$S$23)),S3)*100</f>
        <v>45.4</v>
      </c>
      <c r="Z3" s="4" cm="1">
        <f t="array" ref="Z3">_xlfn.PERCENTRANK.EXC(_xlfn._xlws.FILTER($K$3:$K$23, ISNUMBER($K$3:$K$23)),K3)*100</f>
        <v>90.9</v>
      </c>
      <c r="AA3" s="4" cm="1">
        <f t="array" ref="AA3">_xlfn.PERCENTRANK.EXC(_xlfn._xlws.FILTER($H$3:$H$23, ISNUMBER($H$3:$H$23)),H3)*100</f>
        <v>13.600000000000001</v>
      </c>
      <c r="AB3" s="4" cm="1">
        <f t="array" ref="AB3">_xlfn.PERCENTRANK.EXC(_xlfn._xlws.FILTER($J$3:$J$23, ISNUMBER($J$3:$J$23)),J3)*100</f>
        <v>36.299999999999997</v>
      </c>
      <c r="AC3" s="4">
        <f t="shared" ref="AC3:AC23" si="4">_xlfn.PERCENTRANK.EXC($L$3:$L$23,L3)*100</f>
        <v>95.399999999999991</v>
      </c>
      <c r="AD3" s="4">
        <f t="shared" ref="AD3:AD23" si="5">_xlfn.PERCENTRANK.EXC($M$3:$M$23,M3)*100</f>
        <v>95.399999999999991</v>
      </c>
      <c r="AE3" s="4">
        <f t="shared" ref="AE3:AE23" si="6">_xlfn.PERCENTRANK.EXC($D$3:$D$23,D3)*100</f>
        <v>90.9</v>
      </c>
      <c r="AF3" s="4">
        <f>'Economic Momentum'!Q4</f>
        <v>31.8</v>
      </c>
      <c r="AG3" s="4">
        <f ca="1">'Economic Momentum'!R4</f>
        <v>22.7</v>
      </c>
      <c r="AH3" s="4">
        <f t="shared" ref="AH3:AH23" ca="1" si="7">SUMPRODUCT($U$2:$AG$2,U3:AG3)</f>
        <v>59.05</v>
      </c>
      <c r="AJ3" s="3" cm="1">
        <f t="array" aca="1" ref="AJ3" ca="1">_xlfn.PERCENTRANK.EXC(_xlfn._xlws.FILTER($AH$3:$AH$23, ISNUMBER($AH$3:$AH$23)),AH3)*100</f>
        <v>54.500000000000007</v>
      </c>
      <c r="AK3">
        <f t="shared" ref="AK3:AK23" si="8">COUNTIF(V3:AB3,"&gt;70")</f>
        <v>3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143458.14000000001</v>
      </c>
      <c r="E4" cm="1">
        <f t="array" ref="E4">_xll.FDS(C4,"FMA_COS_UP(""EPS"",""1M"",+1,NOW,,,""PORTAGG"",""MEANR"")")</f>
        <v>16</v>
      </c>
      <c r="F4" cm="1">
        <f t="array" ref="F4">_xll.FDS(C4,"FMA_COS_DOWN(""EPS"",""1M"",+1,NOW,,,""PORTAGG"",""MEANR"")")</f>
        <v>6</v>
      </c>
      <c r="G4" cm="1">
        <f t="array" ref="G4">_xll.FDS(A4,"SIZE(FG_CONSTITUENTS)")</f>
        <v>28</v>
      </c>
      <c r="H4" s="9">
        <f t="shared" si="0"/>
        <v>0.5714285714285714</v>
      </c>
      <c r="I4" s="9">
        <f t="shared" si="1"/>
        <v>0.21428571428571427</v>
      </c>
      <c r="J4" s="9">
        <f t="shared" si="2"/>
        <v>0.3571428571428571</v>
      </c>
      <c r="K4" s="5" cm="1">
        <f t="array" ref="K4">_xll.FDS(A4,"FMA_PCT_ABOVE_MAVG(200,0,,,,""PORTAGG"")")/100</f>
        <v>0.32142857142857101</v>
      </c>
      <c r="L4" s="41" cm="1">
        <f t="array" ref="L4">_xll.FDSB(A4,"PERCENT_CHANGE(FMA_EPS(+1,0,,,,""PORTAGG"",""MEAN""),FMA_EPS(+1,-1AM,,,,""PORTAGG"",""MEAN""))")</f>
        <v>2.8969134856988301</v>
      </c>
      <c r="M4" s="41" cm="1">
        <f t="array" ref="M4">_xll.FDSB(A4,"PERCENT_CHANGE(FMA_EPS(+1,0,,,,""PORTAGG"",""MEAN""),FMA_EPS(+1,-3AM,,,,""PORTAGG"",""MEAN""))")</f>
        <v>-5.10242144112686</v>
      </c>
      <c r="N4" s="3" cm="1">
        <f t="array" ref="N4">_xll.FDS(C4,"FG_TOTAL_RETURNC(0,-1AM)")</f>
        <v>6.9589733999999996</v>
      </c>
      <c r="O4" s="3" cm="1">
        <f t="array" ref="O4">_xll.FDS(C4,"FG_TOTAL_RETURNC(0,-3AM)")</f>
        <v>-1.1156558999999999</v>
      </c>
      <c r="P4" s="3" cm="1">
        <f t="array" ref="P4">_xll.FDS(C4,"FG_TOTAL_RETURNC(0,-6AM)")</f>
        <v>-1.0898292000000001</v>
      </c>
      <c r="Q4" s="9" cm="1">
        <f t="array" ref="Q4">_xll.FDS(C4,"P_PRICE(0)/P_PRICE_HIGH_PR(0,,,,,,""PRICE"",""INTRA"",""52W"")")</f>
        <v>0.89925569999999999</v>
      </c>
      <c r="R4" s="9" cm="1">
        <f t="array" ref="R4">_xll.FDS(C4,"P_PRICE(0)/P_PRICE_low_PR(0,,,,,,""PRICE"",""INTRA"",""52W"")-1")</f>
        <v>0.1233629</v>
      </c>
      <c r="S4" s="3" cm="1">
        <f t="array" ref="S4">_xll.FDS(C4,"FG_TOTAL_RETURNC(0,-12AM)")</f>
        <v>8.9913609999999995</v>
      </c>
      <c r="T4" s="4" cm="1">
        <f t="array" ref="T4">_xlfn.PERCENTRANK.EXC(_xlfn._xlws.FILTER($R$3:$R$23, ISNUMBER($R$3:$R$23)),R4)*100</f>
        <v>27.200000000000003</v>
      </c>
      <c r="U4" s="4">
        <f t="shared" si="3"/>
        <v>72.8</v>
      </c>
      <c r="V4" s="4" cm="1">
        <f t="array" ref="V4">_xlfn.PERCENTRANK.EXC(_xlfn._xlws.FILTER($Q$3:$Q$23, ISNUMBER($Q$3:$Q$23)),Q4)*100</f>
        <v>31.8</v>
      </c>
      <c r="W4" s="4" cm="1">
        <f t="array" ref="W4">_xlfn.PERCENTRANK.EXC(_xlfn._xlws.FILTER($O$3:$O$23, ISNUMBER($O$3:$O$23)),O4)*100</f>
        <v>31.8</v>
      </c>
      <c r="X4" s="4" cm="1">
        <f t="array" ref="X4">_xlfn.PERCENTRANK.EXC(_xlfn._xlws.FILTER($P$3:$P$23, ISNUMBER($P$3:$P$23)),P4)*100</f>
        <v>27.200000000000003</v>
      </c>
      <c r="Y4" s="200" cm="1">
        <f t="array" ref="Y4">_xlfn.PERCENTRANK.EXC(_xlfn._xlws.FILTER($S$3:$S$23, ISNUMBER($S$3:$S$23)),S4)*100</f>
        <v>36.299999999999997</v>
      </c>
      <c r="Z4" s="4" cm="1">
        <f t="array" ref="Z4">_xlfn.PERCENTRANK.EXC(_xlfn._xlws.FILTER($K$3:$K$23, ISNUMBER($K$3:$K$23)),K4)*100</f>
        <v>13.600000000000001</v>
      </c>
      <c r="AA4" s="4" cm="1">
        <f t="array" ref="AA4">_xlfn.PERCENTRANK.EXC(_xlfn._xlws.FILTER($H$3:$H$23, ISNUMBER($H$3:$H$23)),H4)*100</f>
        <v>90.9</v>
      </c>
      <c r="AB4" s="4" cm="1">
        <f t="array" ref="AB4">_xlfn.PERCENTRANK.EXC(_xlfn._xlws.FILTER($J$3:$J$23, ISNUMBER($J$3:$J$23)),J4)*100</f>
        <v>95.399999999999991</v>
      </c>
      <c r="AC4" s="4">
        <f t="shared" si="4"/>
        <v>81.8</v>
      </c>
      <c r="AD4" s="4">
        <f t="shared" si="5"/>
        <v>22.7</v>
      </c>
      <c r="AE4" s="4">
        <f t="shared" si="6"/>
        <v>18.099999999999998</v>
      </c>
      <c r="AF4" s="4">
        <f>'Economic Momentum'!Q5</f>
        <v>45.4</v>
      </c>
      <c r="AG4" s="4">
        <f ca="1">'Economic Momentum'!R5</f>
        <v>36.299999999999997</v>
      </c>
      <c r="AH4" s="4">
        <f t="shared" ca="1" si="7"/>
        <v>30.419999999999998</v>
      </c>
      <c r="AJ4" s="3" cm="1">
        <f t="array" aca="1" ref="AJ4" ca="1">_xlfn.PERCENTRANK.EXC(_xlfn._xlws.FILTER($AH$3:$AH$23, ISNUMBER($AH$3:$AH$23)),AH4)*100</f>
        <v>27.200000000000003</v>
      </c>
      <c r="AK4">
        <f t="shared" si="8"/>
        <v>2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694339.1</v>
      </c>
      <c r="E5" cm="1">
        <f t="array" ref="E5">_xll.FDS(C5,"FMA_COS_UP(""EPS"",""1M"",+1,NOW,,,""PORTAGG"",""MEANR"")")</f>
        <v>15</v>
      </c>
      <c r="F5" cm="1">
        <f t="array" ref="F5">_xll.FDS(C5,"FMA_COS_DOWN(""EPS"",""1M"",+1,NOW,,,""PORTAGG"",""MEANR"")")</f>
        <v>24</v>
      </c>
      <c r="G5" cm="1">
        <f t="array" ref="G5">_xll.FDS(A5,"SIZE(FG_CONSTITUENTS)")</f>
        <v>74</v>
      </c>
      <c r="H5" s="9">
        <f t="shared" si="0"/>
        <v>0.20270270270270271</v>
      </c>
      <c r="I5" s="9">
        <f t="shared" si="1"/>
        <v>0.32432432432432434</v>
      </c>
      <c r="J5" s="9">
        <f t="shared" si="2"/>
        <v>-0.12162162162162163</v>
      </c>
      <c r="K5" s="5" cm="1">
        <f t="array" ref="K5">_xll.FDS(A5,"FMA_PCT_ABOVE_MAVG(200,0,,,,""PORTAGG"")")/100</f>
        <v>0.64864864864864902</v>
      </c>
      <c r="L5" s="41" cm="1">
        <f t="array" ref="L5">_xll.FDSB(A5,"PERCENT_CHANGE(FMA_EPS(+1,0,,,,""PORTAGG"",""MEAN""),FMA_EPS(+1,-1AM,,,,""PORTAGG"",""MEAN""))")</f>
        <v>-1.8191393315586599</v>
      </c>
      <c r="M5" s="41" cm="1">
        <f t="array" ref="M5">_xll.FDSB(A5,"PERCENT_CHANGE(FMA_EPS(+1,0,,,,""PORTAGG"",""MEAN""),FMA_EPS(+1,-3AM,,,,""PORTAGG"",""MEAN""))")</f>
        <v>-3.6290974763253798</v>
      </c>
      <c r="N5" s="3" cm="1">
        <f t="array" ref="N5">_xll.FDS(C5,"FG_TOTAL_RETURNC(0,-1AM)")</f>
        <v>-1.7695129000000001</v>
      </c>
      <c r="O5" s="3" cm="1">
        <f t="array" ref="O5">_xll.FDS(C5,"FG_TOTAL_RETURNC(0,-3AM)")</f>
        <v>7.2844385999999997</v>
      </c>
      <c r="P5" s="3" cm="1">
        <f t="array" ref="P5">_xll.FDS(C5,"FG_TOTAL_RETURNC(0,-6AM)")</f>
        <v>3.0874967999999998</v>
      </c>
      <c r="Q5" s="9" cm="1">
        <f t="array" ref="Q5">_xll.FDS(C5,"P_PRICE(0)/P_PRICE_HIGH_PR(0,,,,,,""PRICE"",""INTRA"",""52W"")")</f>
        <v>0.9167902</v>
      </c>
      <c r="R5" s="9" cm="1">
        <f t="array" ref="R5">_xll.FDS(C5,"P_PRICE(0)/P_PRICE_low_PR(0,,,,,,""PRICE"",""INTRA"",""52W"")-1")</f>
        <v>0.19679379999999999</v>
      </c>
      <c r="S5" s="3" cm="1">
        <f t="array" ref="S5">_xll.FDS(C5,"FG_TOTAL_RETURNC(0,-12AM)")</f>
        <v>3.161645</v>
      </c>
      <c r="T5" s="4" cm="1">
        <f t="array" ref="T5">_xlfn.PERCENTRANK.EXC(_xlfn._xlws.FILTER($R$3:$R$23, ISNUMBER($R$3:$R$23)),R5)*100</f>
        <v>50</v>
      </c>
      <c r="U5" s="4">
        <f t="shared" si="3"/>
        <v>50</v>
      </c>
      <c r="V5" s="4" cm="1">
        <f t="array" ref="V5">_xlfn.PERCENTRANK.EXC(_xlfn._xlws.FILTER($Q$3:$Q$23, ISNUMBER($Q$3:$Q$23)),Q5)*100</f>
        <v>45.4</v>
      </c>
      <c r="W5" s="4" cm="1">
        <f t="array" ref="W5">_xlfn.PERCENTRANK.EXC(_xlfn._xlws.FILTER($O$3:$O$23, ISNUMBER($O$3:$O$23)),O5)*100</f>
        <v>63.6</v>
      </c>
      <c r="X5" s="4" cm="1">
        <f t="array" ref="X5">_xlfn.PERCENTRANK.EXC(_xlfn._xlws.FILTER($P$3:$P$23, ISNUMBER($P$3:$P$23)),P5)*100</f>
        <v>45.4</v>
      </c>
      <c r="Y5" s="200" cm="1">
        <f t="array" ref="Y5">_xlfn.PERCENTRANK.EXC(_xlfn._xlws.FILTER($S$3:$S$23, ISNUMBER($S$3:$S$23)),S5)*100</f>
        <v>27.200000000000003</v>
      </c>
      <c r="Z5" s="4" cm="1">
        <f t="array" ref="Z5">_xlfn.PERCENTRANK.EXC(_xlfn._xlws.FILTER($K$3:$K$23, ISNUMBER($K$3:$K$23)),K5)*100</f>
        <v>68.100000000000009</v>
      </c>
      <c r="AA5" s="4" cm="1">
        <f t="array" ref="AA5">_xlfn.PERCENTRANK.EXC(_xlfn._xlws.FILTER($H$3:$H$23, ISNUMBER($H$3:$H$23)),H5)*100</f>
        <v>18.099999999999998</v>
      </c>
      <c r="AB5" s="4" cm="1">
        <f t="array" ref="AB5">_xlfn.PERCENTRANK.EXC(_xlfn._xlws.FILTER($J$3:$J$23, ISNUMBER($J$3:$J$23)),J5)*100</f>
        <v>18.099999999999998</v>
      </c>
      <c r="AC5" s="4">
        <f t="shared" si="4"/>
        <v>18.099999999999998</v>
      </c>
      <c r="AD5" s="4">
        <f t="shared" si="5"/>
        <v>31.8</v>
      </c>
      <c r="AE5" s="4">
        <f t="shared" si="6"/>
        <v>63.6</v>
      </c>
      <c r="AF5" s="4">
        <f>'Economic Momentum'!Q6</f>
        <v>27.200000000000003</v>
      </c>
      <c r="AG5" s="4">
        <f ca="1">'Economic Momentum'!R6</f>
        <v>4.5</v>
      </c>
      <c r="AH5" s="4">
        <f t="shared" ca="1" si="7"/>
        <v>50.859999999999992</v>
      </c>
      <c r="AJ5" s="3" cm="1">
        <f t="array" aca="1" ref="AJ5" ca="1">_xlfn.PERCENTRANK.EXC(_xlfn._xlws.FILTER($AH$3:$AH$23, ISNUMBER($AH$3:$AH$23)),AH5)*100</f>
        <v>45.4</v>
      </c>
      <c r="AK5">
        <f t="shared" si="8"/>
        <v>0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245821.16</v>
      </c>
      <c r="E6" cm="1">
        <f t="array" ref="E6">_xll.FDS(C6,"FMA_COS_UP(""EPS"",""1M"",+1,NOW,,,""PORTAGG"",""MEANR"")")</f>
        <v>13</v>
      </c>
      <c r="F6" cm="1">
        <f t="array" ref="F6">_xll.FDS(C6,"FMA_COS_DOWN(""EPS"",""1M"",+1,NOW,,,""PORTAGG"",""MEANR"")")</f>
        <v>6</v>
      </c>
      <c r="G6" cm="1">
        <f t="array" ref="G6">_xll.FDS(A6,"SIZE(FG_CONSTITUENTS)")</f>
        <v>33</v>
      </c>
      <c r="H6" s="9">
        <f t="shared" si="0"/>
        <v>0.39393939393939392</v>
      </c>
      <c r="I6" s="9">
        <f t="shared" si="1"/>
        <v>0.18181818181818182</v>
      </c>
      <c r="J6" s="9">
        <f t="shared" si="2"/>
        <v>0.2121212121212121</v>
      </c>
      <c r="K6" s="5" cm="1">
        <f t="array" ref="K6">_xll.FDS(A6,"FMA_PCT_ABOVE_MAVG(200,0,,,,""PORTAGG"")")/100</f>
        <v>0.81818181818181801</v>
      </c>
      <c r="L6" s="41" cm="1">
        <f t="array" ref="L6">_xll.FDSB(A6,"PERCENT_CHANGE(FMA_EPS(+1,0,,,,""PORTAGG"",""MEAN""),FMA_EPS(+1,-1AM,,,,""PORTAGG"",""MEAN""))")</f>
        <v>-0.46434207195410698</v>
      </c>
      <c r="M6" s="41" cm="1">
        <f t="array" ref="M6">_xll.FDSB(A6,"PERCENT_CHANGE(FMA_EPS(+1,0,,,,""PORTAGG"",""MEAN""),FMA_EPS(+1,-3AM,,,,""PORTAGG"",""MEAN""))")</f>
        <v>3.00293850296752</v>
      </c>
      <c r="N6" s="3" cm="1">
        <f t="array" ref="N6">_xll.FDS(C6,"FG_TOTAL_RETURNC(0,-1AM)")</f>
        <v>1.9169331000000001</v>
      </c>
      <c r="O6" s="3" cm="1">
        <f t="array" ref="O6">_xll.FDS(C6,"FG_TOTAL_RETURNC(0,-3AM)")</f>
        <v>15.766132000000001</v>
      </c>
      <c r="P6" s="3" cm="1">
        <f t="array" ref="P6">_xll.FDS(C6,"FG_TOTAL_RETURNC(0,-6AM)")</f>
        <v>10.728764999999999</v>
      </c>
      <c r="Q6" s="9" cm="1">
        <f t="array" ref="Q6">_xll.FDS(C6,"P_PRICE(0)/P_PRICE_HIGH_PR(0,,,,,,""PRICE"",""INTRA"",""52W"")")</f>
        <v>0.95699995999999998</v>
      </c>
      <c r="R6" s="9" cm="1">
        <f t="array" ref="R6">_xll.FDS(C6,"P_PRICE(0)/P_PRICE_low_PR(0,,,,,,""PRICE"",""INTRA"",""52W"")-1")</f>
        <v>0.24178195</v>
      </c>
      <c r="S6" s="3" cm="1">
        <f t="array" ref="S6">_xll.FDS(C6,"FG_TOTAL_RETURNC(0,-12AM)")</f>
        <v>18.194412</v>
      </c>
      <c r="T6" s="4" cm="1">
        <f t="array" ref="T6">_xlfn.PERCENTRANK.EXC(_xlfn._xlws.FILTER($R$3:$R$23, ISNUMBER($R$3:$R$23)),R6)*100</f>
        <v>54.500000000000007</v>
      </c>
      <c r="U6" s="4">
        <f t="shared" si="3"/>
        <v>45.499999999999993</v>
      </c>
      <c r="V6" s="4" cm="1">
        <f t="array" ref="V6">_xlfn.PERCENTRANK.EXC(_xlfn._xlws.FILTER($Q$3:$Q$23, ISNUMBER($Q$3:$Q$23)),Q6)*100</f>
        <v>77.2</v>
      </c>
      <c r="W6" s="4" cm="1">
        <f t="array" ref="W6">_xlfn.PERCENTRANK.EXC(_xlfn._xlws.FILTER($O$3:$O$23, ISNUMBER($O$3:$O$23)),O6)*100</f>
        <v>86.3</v>
      </c>
      <c r="X6" s="4" cm="1">
        <f t="array" ref="X6">_xlfn.PERCENTRANK.EXC(_xlfn._xlws.FILTER($P$3:$P$23, ISNUMBER($P$3:$P$23)),P6)*100</f>
        <v>77.2</v>
      </c>
      <c r="Y6" s="200" cm="1">
        <f t="array" ref="Y6">_xlfn.PERCENTRANK.EXC(_xlfn._xlws.FILTER($S$3:$S$23, ISNUMBER($S$3:$S$23)),S6)*100</f>
        <v>59</v>
      </c>
      <c r="Z6" s="4" cm="1">
        <f t="array" ref="Z6">_xlfn.PERCENTRANK.EXC(_xlfn._xlws.FILTER($K$3:$K$23, ISNUMBER($K$3:$K$23)),K6)*100</f>
        <v>86.3</v>
      </c>
      <c r="AA6" s="4" cm="1">
        <f t="array" ref="AA6">_xlfn.PERCENTRANK.EXC(_xlfn._xlws.FILTER($H$3:$H$23, ISNUMBER($H$3:$H$23)),H6)*100</f>
        <v>81.8</v>
      </c>
      <c r="AB6" s="4" cm="1">
        <f t="array" ref="AB6">_xlfn.PERCENTRANK.EXC(_xlfn._xlws.FILTER($J$3:$J$23, ISNUMBER($J$3:$J$23)),J6)*100</f>
        <v>90.9</v>
      </c>
      <c r="AC6" s="4">
        <f t="shared" si="4"/>
        <v>40.9</v>
      </c>
      <c r="AD6" s="4">
        <f t="shared" si="5"/>
        <v>59</v>
      </c>
      <c r="AE6" s="4">
        <f t="shared" si="6"/>
        <v>31.8</v>
      </c>
      <c r="AF6" s="4">
        <f>'Economic Momentum'!Q7</f>
        <v>86.3</v>
      </c>
      <c r="AG6" s="4">
        <f ca="1">'Economic Momentum'!R7</f>
        <v>77.2</v>
      </c>
      <c r="AH6" s="4">
        <f t="shared" ca="1" si="7"/>
        <v>79.929999999999993</v>
      </c>
      <c r="AJ6" s="3" cm="1">
        <f t="array" aca="1" ref="AJ6" ca="1">_xlfn.PERCENTRANK.EXC(_xlfn._xlws.FILTER($AH$3:$AH$23, ISNUMBER($AH$3:$AH$23)),AH6)*100</f>
        <v>95.399999999999991</v>
      </c>
      <c r="AK6">
        <f t="shared" si="8"/>
        <v>6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194876.83</v>
      </c>
      <c r="E7" cm="1">
        <f t="array" ref="E7">_xll.FDS(C7,"FMA_COS_UP(""EPS"",""1M"",+1,NOW,,,""PORTAGG"",""MEANR"")")</f>
        <v>12</v>
      </c>
      <c r="F7" cm="1">
        <f t="array" ref="F7">_xll.FDS(C7,"FMA_COS_DOWN(""EPS"",""1M"",+1,NOW,,,""PORTAGG"",""MEANR"")")</f>
        <v>10</v>
      </c>
      <c r="G7" cm="1">
        <f t="array" ref="G7">_xll.FDS(A7,"SIZE(FG_CONSTITUENTS)")</f>
        <v>35</v>
      </c>
      <c r="H7" s="9">
        <f t="shared" si="0"/>
        <v>0.34285714285714286</v>
      </c>
      <c r="I7" s="9">
        <f t="shared" si="1"/>
        <v>0.2857142857142857</v>
      </c>
      <c r="J7" s="9">
        <f t="shared" si="2"/>
        <v>5.7142857142857162E-2</v>
      </c>
      <c r="K7" s="5" cm="1">
        <f t="array" ref="K7">_xll.FDS(A7,"FMA_PCT_ABOVE_MAVG(200,0,,,,""PORTAGG"")")/100</f>
        <v>0.29411764705882404</v>
      </c>
      <c r="L7" s="41" cm="1">
        <f t="array" ref="L7">_xll.FDSB(A7,"PERCENT_CHANGE(FMA_EPS(+1,0,,,,""PORTAGG"",""MEAN""),FMA_EPS(+1,-1AM,,,,""PORTAGG"",""MEAN""))")</f>
        <v>-3.0232265981998498</v>
      </c>
      <c r="M7" s="41" cm="1">
        <f t="array" ref="M7">_xll.FDSB(A7,"PERCENT_CHANGE(FMA_EPS(+1,0,,,,""PORTAGG"",""MEAN""),FMA_EPS(+1,-3AM,,,,""PORTAGG"",""MEAN""))")</f>
        <v>-0.86139652065665495</v>
      </c>
      <c r="N7" s="3" cm="1">
        <f t="array" ref="N7">_xll.FDS(C7,"FG_TOTAL_RETURNC(0,-1AM)")</f>
        <v>0.12727975999999999</v>
      </c>
      <c r="O7" s="3" cm="1">
        <f t="array" ref="O7">_xll.FDS(C7,"FG_TOTAL_RETURNC(0,-3AM)")</f>
        <v>-5.675459</v>
      </c>
      <c r="P7" s="3" cm="1">
        <f t="array" ref="P7">_xll.FDS(C7,"FG_TOTAL_RETURNC(0,-6AM)")</f>
        <v>-0.56650639999999997</v>
      </c>
      <c r="Q7" s="9" cm="1">
        <f t="array" ref="Q7">_xll.FDS(C7,"P_PRICE(0)/P_PRICE_HIGH_PR(0,,,,,,""PRICE"",""INTRA"",""52W"")")</f>
        <v>0.90456115999999998</v>
      </c>
      <c r="R7" s="9" cm="1">
        <f t="array" ref="R7">_xll.FDS(C7,"P_PRICE(0)/P_PRICE_low_PR(0,,,,,,""PRICE"",""INTRA"",""52W"")-1")</f>
        <v>0.33333325000000003</v>
      </c>
      <c r="S7" s="3" cm="1">
        <f t="array" ref="S7">_xll.FDS(C7,"FG_TOTAL_RETURNC(0,-12AM)")</f>
        <v>38.322197000000003</v>
      </c>
      <c r="T7" s="4" cm="1">
        <f t="array" ref="T7">_xlfn.PERCENTRANK.EXC(_xlfn._xlws.FILTER($R$3:$R$23, ISNUMBER($R$3:$R$23)),R7)*100</f>
        <v>77.2</v>
      </c>
      <c r="U7" s="4">
        <f t="shared" si="3"/>
        <v>22.799999999999997</v>
      </c>
      <c r="V7" s="4" cm="1">
        <f t="array" ref="V7">_xlfn.PERCENTRANK.EXC(_xlfn._xlws.FILTER($Q$3:$Q$23, ISNUMBER($Q$3:$Q$23)),Q7)*100</f>
        <v>36.299999999999997</v>
      </c>
      <c r="W7" s="4" cm="1">
        <f t="array" ref="W7">_xlfn.PERCENTRANK.EXC(_xlfn._xlws.FILTER($O$3:$O$23, ISNUMBER($O$3:$O$23)),O7)*100</f>
        <v>18.099999999999998</v>
      </c>
      <c r="X7" s="4" cm="1">
        <f t="array" ref="X7">_xlfn.PERCENTRANK.EXC(_xlfn._xlws.FILTER($P$3:$P$23, ISNUMBER($P$3:$P$23)),P7)*100</f>
        <v>31.8</v>
      </c>
      <c r="Y7" s="200" cm="1">
        <f t="array" ref="Y7">_xlfn.PERCENTRANK.EXC(_xlfn._xlws.FILTER($S$3:$S$23, ISNUMBER($S$3:$S$23)),S7)*100</f>
        <v>90.9</v>
      </c>
      <c r="Z7" s="4" cm="1">
        <f t="array" ref="Z7">_xlfn.PERCENTRANK.EXC(_xlfn._xlws.FILTER($K$3:$K$23, ISNUMBER($K$3:$K$23)),K7)*100</f>
        <v>9</v>
      </c>
      <c r="AA7" s="4" cm="1">
        <f t="array" ref="AA7">_xlfn.PERCENTRANK.EXC(_xlfn._xlws.FILTER($H$3:$H$23, ISNUMBER($H$3:$H$23)),H7)*100</f>
        <v>72.7</v>
      </c>
      <c r="AB7" s="4" cm="1">
        <f t="array" ref="AB7">_xlfn.PERCENTRANK.EXC(_xlfn._xlws.FILTER($J$3:$J$23, ISNUMBER($J$3:$J$23)),J7)*100</f>
        <v>72.7</v>
      </c>
      <c r="AC7" s="4">
        <f t="shared" si="4"/>
        <v>9</v>
      </c>
      <c r="AD7" s="4">
        <f t="shared" si="5"/>
        <v>54.500000000000007</v>
      </c>
      <c r="AE7" s="4">
        <f t="shared" si="6"/>
        <v>27.200000000000003</v>
      </c>
      <c r="AF7" s="4">
        <f>'Economic Momentum'!Q8</f>
        <v>22.7</v>
      </c>
      <c r="AG7" s="4">
        <f ca="1">'Economic Momentum'!R8</f>
        <v>95.399999999999991</v>
      </c>
      <c r="AH7" s="4">
        <f t="shared" ca="1" si="7"/>
        <v>29.49</v>
      </c>
      <c r="AJ7" s="3" cm="1">
        <f t="array" aca="1" ref="AJ7" ca="1">_xlfn.PERCENTRANK.EXC(_xlfn._xlws.FILTER($AH$3:$AH$23, ISNUMBER($AH$3:$AH$23)),AH7)*100</f>
        <v>22.7</v>
      </c>
      <c r="AK7">
        <f t="shared" si="8"/>
        <v>3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35106.769999999997</v>
      </c>
      <c r="E8" cm="1">
        <f t="array" ref="E8">_xll.FDS(C8,"FMA_COS_UP(""EPS"",""1M"",+1,NOW,,,""PORTAGG"",""MEANR"")")</f>
        <v>7</v>
      </c>
      <c r="F8" cm="1">
        <f t="array" ref="F8">_xll.FDS(C8,"FMA_COS_DOWN(""EPS"",""1M"",+1,NOW,,,""PORTAGG"",""MEANR"")")</f>
        <v>8</v>
      </c>
      <c r="G8" cm="1">
        <f t="array" ref="G8">_xll.FDS(A8,"SIZE(FG_CONSTITUENTS)")</f>
        <v>26</v>
      </c>
      <c r="H8" s="9">
        <f t="shared" si="0"/>
        <v>0.26923076923076922</v>
      </c>
      <c r="I8" s="9">
        <f t="shared" si="1"/>
        <v>0.30769230769230771</v>
      </c>
      <c r="J8" s="9">
        <f t="shared" si="2"/>
        <v>-3.8461538461538491E-2</v>
      </c>
      <c r="K8" s="5" cm="1">
        <f t="array" ref="K8">_xll.FDS(A8,"FMA_PCT_ABOVE_MAVG(200,0,,,,""PORTAGG"")")/100</f>
        <v>0.76923076923076905</v>
      </c>
      <c r="L8" s="41" cm="1">
        <f t="array" ref="L8">_xll.FDSB(A8,"PERCENT_CHANGE(FMA_EPS(+1,0,,,,""PORTAGG"",""MEAN""),FMA_EPS(+1,-1AM,,,,""PORTAGG"",""MEAN""))")</f>
        <v>1.9647870702275601</v>
      </c>
      <c r="M8" s="41" cm="1">
        <f t="array" ref="M8">_xll.FDSB(A8,"PERCENT_CHANGE(FMA_EPS(+1,0,,,,""PORTAGG"",""MEAN""),FMA_EPS(+1,-3AM,,,,""PORTAGG"",""MEAN""))")</f>
        <v>3.9406205164652901</v>
      </c>
      <c r="N8" s="3" cm="1">
        <f t="array" ref="N8">_xll.FDS(C8,"FG_TOTAL_RETURNC(0,-1AM)")</f>
        <v>12.396478999999999</v>
      </c>
      <c r="O8" s="3" cm="1">
        <f t="array" ref="O8">_xll.FDS(C8,"FG_TOTAL_RETURNC(0,-3AM)")</f>
        <v>3.0856848000000001</v>
      </c>
      <c r="P8" s="3" cm="1">
        <f t="array" ref="P8">_xll.FDS(C8,"FG_TOTAL_RETURNC(0,-6AM)")</f>
        <v>10.4155655</v>
      </c>
      <c r="Q8" s="9" cm="1">
        <f t="array" ref="Q8">_xll.FDS(C8,"P_PRICE(0)/P_PRICE_HIGH_PR(0,,,,,,""PRICE"",""INTRA"",""52W"")")</f>
        <v>0.96575489999999997</v>
      </c>
      <c r="R8" s="9" cm="1">
        <f t="array" ref="R8">_xll.FDS(C8,"P_PRICE(0)/P_PRICE_low_PR(0,,,,,,""PRICE"",""INTRA"",""52W"")-1")</f>
        <v>0.52119099999999996</v>
      </c>
      <c r="S8" s="3" cm="1">
        <f t="array" ref="S8">_xll.FDS(C8,"FG_TOTAL_RETURNC(0,-12AM)")</f>
        <v>54.945957</v>
      </c>
      <c r="T8" s="4" cm="1">
        <f t="array" ref="T8">_xlfn.PERCENTRANK.EXC(_xlfn._xlws.FILTER($R$3:$R$23, ISNUMBER($R$3:$R$23)),R8)*100</f>
        <v>95.399999999999991</v>
      </c>
      <c r="U8" s="4">
        <f t="shared" si="3"/>
        <v>4.6000000000000085</v>
      </c>
      <c r="V8" s="4" cm="1">
        <f t="array" ref="V8">_xlfn.PERCENTRANK.EXC(_xlfn._xlws.FILTER($Q$3:$Q$23, ISNUMBER($Q$3:$Q$23)),Q8)*100</f>
        <v>86.3</v>
      </c>
      <c r="W8" s="4" cm="1">
        <f t="array" ref="W8">_xlfn.PERCENTRANK.EXC(_xlfn._xlws.FILTER($O$3:$O$23, ISNUMBER($O$3:$O$23)),O8)*100</f>
        <v>54.500000000000007</v>
      </c>
      <c r="X8" s="4" cm="1">
        <f t="array" ref="X8">_xlfn.PERCENTRANK.EXC(_xlfn._xlws.FILTER($P$3:$P$23, ISNUMBER($P$3:$P$23)),P8)*100</f>
        <v>68.100000000000009</v>
      </c>
      <c r="Y8" s="200" cm="1">
        <f t="array" ref="Y8">_xlfn.PERCENTRANK.EXC(_xlfn._xlws.FILTER($S$3:$S$23, ISNUMBER($S$3:$S$23)),S8)*100</f>
        <v>95.399999999999991</v>
      </c>
      <c r="Z8" s="4" cm="1">
        <f t="array" ref="Z8">_xlfn.PERCENTRANK.EXC(_xlfn._xlws.FILTER($K$3:$K$23, ISNUMBER($K$3:$K$23)),K8)*100</f>
        <v>81.8</v>
      </c>
      <c r="AA8" s="4" cm="1">
        <f t="array" ref="AA8">_xlfn.PERCENTRANK.EXC(_xlfn._xlws.FILTER($H$3:$H$23, ISNUMBER($H$3:$H$23)),H8)*100</f>
        <v>45.4</v>
      </c>
      <c r="AB8" s="4" cm="1">
        <f t="array" ref="AB8">_xlfn.PERCENTRANK.EXC(_xlfn._xlws.FILTER($J$3:$J$23, ISNUMBER($J$3:$J$23)),J8)*100</f>
        <v>54.500000000000007</v>
      </c>
      <c r="AC8" s="4">
        <f t="shared" si="4"/>
        <v>72.7</v>
      </c>
      <c r="AD8" s="4">
        <f t="shared" si="5"/>
        <v>68.100000000000009</v>
      </c>
      <c r="AE8" s="4">
        <f t="shared" si="6"/>
        <v>9</v>
      </c>
      <c r="AF8" s="4">
        <f>'Economic Momentum'!Q9</f>
        <v>45.4</v>
      </c>
      <c r="AG8" s="4">
        <f ca="1">'Economic Momentum'!R9</f>
        <v>36.299999999999997</v>
      </c>
      <c r="AH8" s="4">
        <f t="shared" ca="1" si="7"/>
        <v>71.300000000000011</v>
      </c>
      <c r="AJ8" s="3" cm="1">
        <f t="array" aca="1" ref="AJ8" ca="1">_xlfn.PERCENTRANK.EXC(_xlfn._xlws.FILTER($AH$3:$AH$23, ISNUMBER($AH$3:$AH$23)),AH8)*100</f>
        <v>72.7</v>
      </c>
      <c r="AK8">
        <f t="shared" si="8"/>
        <v>3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440878.16</v>
      </c>
      <c r="E9" cm="1">
        <f t="array" ref="E9">_xll.FDS(C9,"FMA_COS_UP(""EPS"",""1M"",+1,NOW,,,""PORTAGG"",""MEANR"")")</f>
        <v>8</v>
      </c>
      <c r="F9" cm="1">
        <f t="array" ref="F9">_xll.FDS(C9,"FMA_COS_DOWN(""EPS"",""1M"",+1,NOW,,,""PORTAGG"",""MEANR"")")</f>
        <v>14</v>
      </c>
      <c r="G9" cm="1">
        <f t="array" ref="G9">_xll.FDS(A9,"SIZE(FG_CONSTITUENTS)")</f>
        <v>34</v>
      </c>
      <c r="H9" s="9">
        <f t="shared" si="0"/>
        <v>0.23529411764705882</v>
      </c>
      <c r="I9" s="9">
        <f t="shared" si="1"/>
        <v>0.41176470588235292</v>
      </c>
      <c r="J9" s="9">
        <f t="shared" si="2"/>
        <v>-0.1764705882352941</v>
      </c>
      <c r="K9" s="5" cm="1">
        <f t="array" ref="K9">_xll.FDS(A9,"FMA_PCT_ABOVE_MAVG(200,0,,,,""PORTAGG"")")/100</f>
        <v>0.47058823529411797</v>
      </c>
      <c r="L9" s="41" cm="1">
        <f t="array" ref="L9">_xll.FDSB(A9,"PERCENT_CHANGE(FMA_EPS(+1,0,,,,""PORTAGG"",""MEAN""),FMA_EPS(+1,-1AM,,,,""PORTAGG"",""MEAN""))")</f>
        <v>2.4673609907814802</v>
      </c>
      <c r="M9" s="41" cm="1">
        <f t="array" ref="M9">_xll.FDSB(A9,"PERCENT_CHANGE(FMA_EPS(+1,0,,,,""PORTAGG"",""MEAN""),FMA_EPS(+1,-3AM,,,,""PORTAGG"",""MEAN""))")</f>
        <v>8.9110262727736398</v>
      </c>
      <c r="N9" s="3" cm="1">
        <f t="array" ref="N9">_xll.FDS(C9,"FG_TOTAL_RETURNC(0,-1AM)")</f>
        <v>1.6053200000000001</v>
      </c>
      <c r="O9" s="3" cm="1">
        <f t="array" ref="O9">_xll.FDS(C9,"FG_TOTAL_RETURNC(0,-3AM)")</f>
        <v>12.532532</v>
      </c>
      <c r="P9" s="3" cm="1">
        <f t="array" ref="P9">_xll.FDS(C9,"FG_TOTAL_RETURNC(0,-6AM)")</f>
        <v>21.27713</v>
      </c>
      <c r="Q9" s="9" cm="1">
        <f t="array" ref="Q9">_xll.FDS(C9,"P_PRICE(0)/P_PRICE_HIGH_PR(0,,,,,,""PRICE"",""INTRA"",""52W"")")</f>
        <v>0.94397969999999998</v>
      </c>
      <c r="R9" s="9" cm="1">
        <f t="array" ref="R9">_xll.FDS(C9,"P_PRICE(0)/P_PRICE_low_PR(0,,,,,,""PRICE"",""INTRA"",""52W"")-1")</f>
        <v>0.27706694999999998</v>
      </c>
      <c r="S9" s="3" cm="1">
        <f t="array" ref="S9">_xll.FDS(C9,"FG_TOTAL_RETURNC(0,-12AM)")</f>
        <v>29.246925000000001</v>
      </c>
      <c r="T9" s="4" cm="1">
        <f t="array" ref="T9">_xlfn.PERCENTRANK.EXC(_xlfn._xlws.FILTER($R$3:$R$23, ISNUMBER($R$3:$R$23)),R9)*100</f>
        <v>63.6</v>
      </c>
      <c r="U9" s="4">
        <f t="shared" si="3"/>
        <v>36.4</v>
      </c>
      <c r="V9" s="4" cm="1">
        <f t="array" ref="V9">_xlfn.PERCENTRANK.EXC(_xlfn._xlws.FILTER($Q$3:$Q$23, ISNUMBER($Q$3:$Q$23)),Q9)*100</f>
        <v>63.6</v>
      </c>
      <c r="W9" s="4" cm="1">
        <f t="array" ref="W9">_xlfn.PERCENTRANK.EXC(_xlfn._xlws.FILTER($O$3:$O$23, ISNUMBER($O$3:$O$23)),O9)*100</f>
        <v>81.8</v>
      </c>
      <c r="X9" s="4" cm="1">
        <f t="array" ref="X9">_xlfn.PERCENTRANK.EXC(_xlfn._xlws.FILTER($P$3:$P$23, ISNUMBER($P$3:$P$23)),P9)*100</f>
        <v>86.3</v>
      </c>
      <c r="Y9" s="200" cm="1">
        <f t="array" ref="Y9">_xlfn.PERCENTRANK.EXC(_xlfn._xlws.FILTER($S$3:$S$23, ISNUMBER($S$3:$S$23)),S9)*100</f>
        <v>72.7</v>
      </c>
      <c r="Z9" s="4" cm="1">
        <f t="array" ref="Z9">_xlfn.PERCENTRANK.EXC(_xlfn._xlws.FILTER($K$3:$K$23, ISNUMBER($K$3:$K$23)),K9)*100</f>
        <v>45.4</v>
      </c>
      <c r="AA9" s="4" cm="1">
        <f t="array" ref="AA9">_xlfn.PERCENTRANK.EXC(_xlfn._xlws.FILTER($H$3:$H$23, ISNUMBER($H$3:$H$23)),H9)*100</f>
        <v>36.299999999999997</v>
      </c>
      <c r="AB9" s="4" cm="1">
        <f t="array" ref="AB9">_xlfn.PERCENTRANK.EXC(_xlfn._xlws.FILTER($J$3:$J$23, ISNUMBER($J$3:$J$23)),J9)*100</f>
        <v>9</v>
      </c>
      <c r="AC9" s="4">
        <f t="shared" si="4"/>
        <v>77.2</v>
      </c>
      <c r="AD9" s="4">
        <f t="shared" si="5"/>
        <v>86.3</v>
      </c>
      <c r="AE9" s="4">
        <f t="shared" si="6"/>
        <v>50</v>
      </c>
      <c r="AF9" s="4">
        <f>'Economic Momentum'!Q10</f>
        <v>40.9</v>
      </c>
      <c r="AG9" s="4">
        <f ca="1">'Economic Momentum'!R10</f>
        <v>72.7</v>
      </c>
      <c r="AH9" s="4">
        <f t="shared" ca="1" si="7"/>
        <v>75.87</v>
      </c>
      <c r="AJ9" s="3" cm="1">
        <f t="array" aca="1" ref="AJ9" ca="1">_xlfn.PERCENTRANK.EXC(_xlfn._xlws.FILTER($AH$3:$AH$23, ISNUMBER($AH$3:$AH$23)),AH9)*100</f>
        <v>81.8</v>
      </c>
      <c r="AK9">
        <f t="shared" si="8"/>
        <v>3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2453010.7999999998</v>
      </c>
      <c r="E10" cm="1">
        <f t="array" ref="E10">_xll.FDS(C10,"FMA_COS_UP(""EPS"",""1M"",+1,NOW,,,""PORTAGG"",""MEANR"")")</f>
        <v>34</v>
      </c>
      <c r="F10" cm="1">
        <f t="array" ref="F10">_xll.FDS(C10,"FMA_COS_DOWN(""EPS"",""1M"",+1,NOW,,,""PORTAGG"",""MEANR"")")</f>
        <v>15</v>
      </c>
      <c r="G10" cm="1">
        <f t="array" ref="G10">_xll.FDS(A10,"SIZE(FG_CONSTITUENTS)")</f>
        <v>90</v>
      </c>
      <c r="H10" s="9">
        <f t="shared" si="0"/>
        <v>0.37777777777777777</v>
      </c>
      <c r="I10" s="9">
        <f t="shared" si="1"/>
        <v>0.16666666666666666</v>
      </c>
      <c r="J10" s="9">
        <f t="shared" si="2"/>
        <v>0.21111111111111111</v>
      </c>
      <c r="K10" s="5" cm="1">
        <f t="array" ref="K10">_xll.FDS(A10,"FMA_PCT_ABOVE_MAVG(200,0,,,,""PORTAGG"")")/100</f>
        <v>0.63636363636363602</v>
      </c>
      <c r="L10" s="41" cm="1">
        <f t="array" ref="L10">_xll.FDSB(A10,"PERCENT_CHANGE(FMA_EPS(+1,0,,,,""PORTAGG"",""MEAN""),FMA_EPS(+1,-1AM,,,,""PORTAGG"",""MEAN""))")</f>
        <v>-0.219457259035507</v>
      </c>
      <c r="M10" s="41" cm="1">
        <f t="array" ref="M10">_xll.FDSB(A10,"PERCENT_CHANGE(FMA_EPS(+1,0,,,,""PORTAGG"",""MEAN""),FMA_EPS(+1,-3AM,,,,""PORTAGG"",""MEAN""))")</f>
        <v>11.707357728351299</v>
      </c>
      <c r="N10" s="3" cm="1">
        <f t="array" ref="N10">_xll.FDS(C10,"FG_TOTAL_RETURNC(0,-1AM)")</f>
        <v>7.1653485000000003</v>
      </c>
      <c r="O10" s="3" cm="1">
        <f t="array" ref="O10">_xll.FDS(C10,"FG_TOTAL_RETURNC(0,-3AM)")</f>
        <v>-4.2897344000000004</v>
      </c>
      <c r="P10" s="3" cm="1">
        <f t="array" ref="P10">_xll.FDS(C10,"FG_TOTAL_RETURNC(0,-6AM)")</f>
        <v>10.515631000000001</v>
      </c>
      <c r="Q10" s="9" cm="1">
        <f t="array" ref="Q10">_xll.FDS(C10,"P_PRICE(0)/P_PRICE_HIGH_PR(0,,,,,,""PRICE"",""INTRA"",""52W"")")</f>
        <v>0.94366443</v>
      </c>
      <c r="R10" s="9" cm="1">
        <f t="array" ref="R10">_xll.FDS(C10,"P_PRICE(0)/P_PRICE_low_PR(0,,,,,,""PRICE"",""INTRA"",""52W"")-1")</f>
        <v>0.2923442</v>
      </c>
      <c r="S10" s="3" cm="1">
        <f t="array" ref="S10">_xll.FDS(C10,"FG_TOTAL_RETURNC(0,-12AM)")</f>
        <v>33.933033000000002</v>
      </c>
      <c r="T10" s="4" cm="1">
        <f t="array" ref="T10">_xlfn.PERCENTRANK.EXC(_xlfn._xlws.FILTER($R$3:$R$23, ISNUMBER($R$3:$R$23)),R10)*100</f>
        <v>68.100000000000009</v>
      </c>
      <c r="U10" s="4">
        <f t="shared" si="3"/>
        <v>31.899999999999991</v>
      </c>
      <c r="V10" s="4" cm="1">
        <f t="array" ref="V10">_xlfn.PERCENTRANK.EXC(_xlfn._xlws.FILTER($Q$3:$Q$23, ISNUMBER($Q$3:$Q$23)),Q10)*100</f>
        <v>59</v>
      </c>
      <c r="W10" s="4" cm="1">
        <f t="array" ref="W10">_xlfn.PERCENTRANK.EXC(_xlfn._xlws.FILTER($O$3:$O$23, ISNUMBER($O$3:$O$23)),O10)*100</f>
        <v>22.7</v>
      </c>
      <c r="X10" s="4" cm="1">
        <f t="array" ref="X10">_xlfn.PERCENTRANK.EXC(_xlfn._xlws.FILTER($P$3:$P$23, ISNUMBER($P$3:$P$23)),P10)*100</f>
        <v>72.7</v>
      </c>
      <c r="Y10" s="200" cm="1">
        <f t="array" ref="Y10">_xlfn.PERCENTRANK.EXC(_xlfn._xlws.FILTER($S$3:$S$23, ISNUMBER($S$3:$S$23)),S10)*100</f>
        <v>86.3</v>
      </c>
      <c r="Z10" s="4" cm="1">
        <f t="array" ref="Z10">_xlfn.PERCENTRANK.EXC(_xlfn._xlws.FILTER($K$3:$K$23, ISNUMBER($K$3:$K$23)),K10)*100</f>
        <v>63.6</v>
      </c>
      <c r="AA10" s="4" cm="1">
        <f t="array" ref="AA10">_xlfn.PERCENTRANK.EXC(_xlfn._xlws.FILTER($H$3:$H$23, ISNUMBER($H$3:$H$23)),H10)*100</f>
        <v>77.2</v>
      </c>
      <c r="AB10" s="4" cm="1">
        <f t="array" ref="AB10">_xlfn.PERCENTRANK.EXC(_xlfn._xlws.FILTER($J$3:$J$23, ISNUMBER($J$3:$J$23)),J10)*100</f>
        <v>86.3</v>
      </c>
      <c r="AC10" s="4">
        <f t="shared" si="4"/>
        <v>45.4</v>
      </c>
      <c r="AD10" s="4">
        <f t="shared" si="5"/>
        <v>90.9</v>
      </c>
      <c r="AE10" s="4">
        <f t="shared" si="6"/>
        <v>77.2</v>
      </c>
      <c r="AF10" s="4">
        <f>'Economic Momentum'!Q11</f>
        <v>68.100000000000009</v>
      </c>
      <c r="AG10" s="4">
        <f ca="1">'Economic Momentum'!R11</f>
        <v>86.3</v>
      </c>
      <c r="AH10" s="4">
        <f t="shared" ca="1" si="7"/>
        <v>52.22</v>
      </c>
      <c r="AJ10" s="3" cm="1">
        <f t="array" aca="1" ref="AJ10" ca="1">_xlfn.PERCENTRANK.EXC(_xlfn._xlws.FILTER($AH$3:$AH$23, ISNUMBER($AH$3:$AH$23)),AH10)*100</f>
        <v>50</v>
      </c>
      <c r="AK10">
        <f t="shared" si="8"/>
        <v>4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417534.03</v>
      </c>
      <c r="E11" cm="1">
        <f t="array" ref="E11">_xll.FDS(C11,"FMA_COS_UP(""EPS"",""1M"",+1,NOW,,,""PORTAGG"",""MEANR"")")</f>
        <v>20</v>
      </c>
      <c r="F11" cm="1">
        <f t="array" ref="F11">_xll.FDS(C11,"FMA_COS_DOWN(""EPS"",""1M"",+1,NOW,,,""PORTAGG"",""MEANR"")")</f>
        <v>16</v>
      </c>
      <c r="G11" cm="1">
        <f t="array" ref="G11">_xll.FDS(A11,"SIZE(FG_CONSTITUENTS)")</f>
        <v>45</v>
      </c>
      <c r="H11" s="9">
        <f t="shared" si="0"/>
        <v>0.44444444444444442</v>
      </c>
      <c r="I11" s="9">
        <f t="shared" si="1"/>
        <v>0.35555555555555557</v>
      </c>
      <c r="J11" s="9">
        <f t="shared" si="2"/>
        <v>8.8888888888888851E-2</v>
      </c>
      <c r="K11" s="5" cm="1">
        <f t="array" ref="K11">_xll.FDS(A11,"FMA_PCT_ABOVE_MAVG(200,0,,,,""PORTAGG"")")/100</f>
        <v>0.35555555555555601</v>
      </c>
      <c r="L11" s="41" cm="1">
        <f t="array" ref="L11">_xll.FDSB(A11,"PERCENT_CHANGE(FMA_EPS(+1,0,,,,""PORTAGG"",""MEAN""),FMA_EPS(+1,-1AM,,,,""PORTAGG"",""MEAN""))")</f>
        <v>3.0460244558246501</v>
      </c>
      <c r="M11" s="41" cm="1">
        <f t="array" ref="M11">_xll.FDSB(A11,"PERCENT_CHANGE(FMA_EPS(+1,0,,,,""PORTAGG"",""MEAN""),FMA_EPS(+1,-3AM,,,,""PORTAGG"",""MEAN""))")</f>
        <v>-5.9427142657093297</v>
      </c>
      <c r="N11" s="3" cm="1">
        <f t="array" ref="N11">_xll.FDS(C11,"FG_TOTAL_RETURNC(0,-1AM)")</f>
        <v>6.8221927000000004</v>
      </c>
      <c r="O11" s="3" cm="1">
        <f t="array" ref="O11">_xll.FDS(C11,"FG_TOTAL_RETURNC(0,-3AM)")</f>
        <v>-9.6201659999999993</v>
      </c>
      <c r="P11" s="3" cm="1">
        <f t="array" ref="P11">_xll.FDS(C11,"FG_TOTAL_RETURNC(0,-6AM)")</f>
        <v>-19.714092000000001</v>
      </c>
      <c r="Q11" s="9" cm="1">
        <f t="array" ref="Q11">_xll.FDS(C11,"P_PRICE(0)/P_PRICE_HIGH_PR(0,,,,,,""PRICE"",""INTRA"",""52W"")")</f>
        <v>0.76616985000000004</v>
      </c>
      <c r="R11" s="9" cm="1">
        <f t="array" ref="R11">_xll.FDS(C11,"P_PRICE(0)/P_PRICE_low_PR(0,,,,,,""PRICE"",""INTRA"",""52W"")-1")</f>
        <v>7.3060273999999994E-2</v>
      </c>
      <c r="S11" s="3" cm="1">
        <f t="array" ref="S11">_xll.FDS(C11,"FG_TOTAL_RETURNC(0,-12AM)")</f>
        <v>-0.77234506999999997</v>
      </c>
      <c r="T11" s="4" cm="1">
        <f t="array" ref="T11">_xlfn.PERCENTRANK.EXC(_xlfn._xlws.FILTER($R$3:$R$23, ISNUMBER($R$3:$R$23)),R11)*100</f>
        <v>9</v>
      </c>
      <c r="U11" s="4">
        <f t="shared" si="3"/>
        <v>91</v>
      </c>
      <c r="V11" s="4" cm="1">
        <f t="array" ref="V11">_xlfn.PERCENTRANK.EXC(_xlfn._xlws.FILTER($Q$3:$Q$23, ISNUMBER($Q$3:$Q$23)),Q11)*100</f>
        <v>9</v>
      </c>
      <c r="W11" s="4" cm="1">
        <f t="array" ref="W11">_xlfn.PERCENTRANK.EXC(_xlfn._xlws.FILTER($O$3:$O$23, ISNUMBER($O$3:$O$23)),O11)*100</f>
        <v>9</v>
      </c>
      <c r="X11" s="4" cm="1">
        <f t="array" ref="X11">_xlfn.PERCENTRANK.EXC(_xlfn._xlws.FILTER($P$3:$P$23, ISNUMBER($P$3:$P$23)),P11)*100</f>
        <v>4.5</v>
      </c>
      <c r="Y11" s="200" cm="1">
        <f t="array" ref="Y11">_xlfn.PERCENTRANK.EXC(_xlfn._xlws.FILTER($S$3:$S$23, ISNUMBER($S$3:$S$23)),S11)*100</f>
        <v>13.600000000000001</v>
      </c>
      <c r="Z11" s="4" cm="1">
        <f t="array" ref="Z11">_xlfn.PERCENTRANK.EXC(_xlfn._xlws.FILTER($K$3:$K$23, ISNUMBER($K$3:$K$23)),K11)*100</f>
        <v>22.7</v>
      </c>
      <c r="AA11" s="4" cm="1">
        <f t="array" ref="AA11">_xlfn.PERCENTRANK.EXC(_xlfn._xlws.FILTER($H$3:$H$23, ISNUMBER($H$3:$H$23)),H11)*100</f>
        <v>86.3</v>
      </c>
      <c r="AB11" s="4" cm="1">
        <f t="array" ref="AB11">_xlfn.PERCENTRANK.EXC(_xlfn._xlws.FILTER($J$3:$J$23, ISNUMBER($J$3:$J$23)),J11)*100</f>
        <v>81.8</v>
      </c>
      <c r="AC11" s="4">
        <f t="shared" si="4"/>
        <v>86.3</v>
      </c>
      <c r="AD11" s="4">
        <f t="shared" si="5"/>
        <v>13.600000000000001</v>
      </c>
      <c r="AE11" s="4">
        <f t="shared" si="6"/>
        <v>45.4</v>
      </c>
      <c r="AF11" s="4">
        <f>'Economic Momentum'!Q12</f>
        <v>9</v>
      </c>
      <c r="AG11" s="4">
        <f ca="1">'Economic Momentum'!R12</f>
        <v>9</v>
      </c>
      <c r="AH11" s="4">
        <f t="shared" ca="1" si="7"/>
        <v>7.6499999999999995</v>
      </c>
      <c r="AJ11" s="3" cm="1">
        <f t="array" aca="1" ref="AJ11" ca="1">_xlfn.PERCENTRANK.EXC(_xlfn._xlws.FILTER($AH$3:$AH$23, ISNUMBER($AH$3:$AH$23)),AH11)*100</f>
        <v>9</v>
      </c>
      <c r="AK11">
        <f t="shared" si="8"/>
        <v>2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1812119.6</v>
      </c>
      <c r="E12" cm="1">
        <f t="array" ref="E12">_xll.FDS(C12,"FMA_COS_UP(""EPS"",""1M"",+1,NOW,,,""PORTAGG"",""MEANR"")")</f>
        <v>29</v>
      </c>
      <c r="F12" cm="1">
        <f t="array" ref="F12">_xll.FDS(C12,"FMA_COS_DOWN(""EPS"",""1M"",+1,NOW,,,""PORTAGG"",""MEANR"")")</f>
        <v>37</v>
      </c>
      <c r="G12" cm="1">
        <f t="array" ref="G12">_xll.FDS(A12,"SIZE(FG_CONSTITUENTS)")</f>
        <v>101</v>
      </c>
      <c r="H12" s="9">
        <f t="shared" si="0"/>
        <v>0.28712871287128711</v>
      </c>
      <c r="I12" s="9">
        <f t="shared" si="1"/>
        <v>0.36633663366336633</v>
      </c>
      <c r="J12" s="9">
        <f t="shared" si="2"/>
        <v>-7.9207920792079223E-2</v>
      </c>
      <c r="K12" s="5" cm="1">
        <f t="array" ref="K12">_xll.FDS(A12,"FMA_PCT_ABOVE_MAVG(200,0,,,,""PORTAGG"")")/100</f>
        <v>0.5</v>
      </c>
      <c r="L12" s="41" cm="1">
        <f t="array" ref="L12">_xll.FDSB(A12,"PERCENT_CHANGE(FMA_EPS(+1,0,,,,""PORTAGG"",""MEAN""),FMA_EPS(+1,-1AM,,,,""PORTAGG"",""MEAN""))")</f>
        <v>-0.76789203236540304</v>
      </c>
      <c r="M12" s="41" cm="1">
        <f t="array" ref="M12">_xll.FDSB(A12,"PERCENT_CHANGE(FMA_EPS(+1,0,,,,""PORTAGG"",""MEAN""),FMA_EPS(+1,-3AM,,,,""PORTAGG"",""MEAN""))")</f>
        <v>3.6424820835410001</v>
      </c>
      <c r="N12" s="3" cm="1">
        <f t="array" ref="N12">_xll.FDS(C12,"FG_TOTAL_RETURNC(0,-1AM)")</f>
        <v>3.3126712</v>
      </c>
      <c r="O12" s="3" cm="1">
        <f t="array" ref="O12">_xll.FDS(C12,"FG_TOTAL_RETURNC(0,-3AM)")</f>
        <v>-7.9796553000000001</v>
      </c>
      <c r="P12" s="3" cm="1">
        <f t="array" ref="P12">_xll.FDS(C12,"FG_TOTAL_RETURNC(0,-6AM)")</f>
        <v>-6.3139200000000006E-2</v>
      </c>
      <c r="Q12" s="9" cm="1">
        <f t="array" ref="Q12">_xll.FDS(C12,"P_PRICE(0)/P_PRICE_HIGH_PR(0,,,,,,""PRICE"",""INTRA"",""52W"")")</f>
        <v>0.91073870000000001</v>
      </c>
      <c r="R12" s="9" cm="1">
        <f t="array" ref="R12">_xll.FDS(C12,"P_PRICE(0)/P_PRICE_low_PR(0,,,,,,""PRICE"",""INTRA"",""52W"")-1")</f>
        <v>0.16186452000000001</v>
      </c>
      <c r="S12" s="3" cm="1">
        <f t="array" ref="S12">_xll.FDS(C12,"FG_TOTAL_RETURNC(0,-12AM)")</f>
        <v>10.958147</v>
      </c>
      <c r="T12" s="4" cm="1">
        <f t="array" ref="T12">_xlfn.PERCENTRANK.EXC(_xlfn._xlws.FILTER($R$3:$R$23, ISNUMBER($R$3:$R$23)),R12)*100</f>
        <v>40.9</v>
      </c>
      <c r="U12" s="4">
        <f t="shared" si="3"/>
        <v>59.1</v>
      </c>
      <c r="V12" s="4" cm="1">
        <f t="array" ref="V12">_xlfn.PERCENTRANK.EXC(_xlfn._xlws.FILTER($Q$3:$Q$23, ISNUMBER($Q$3:$Q$23)),Q12)*100</f>
        <v>40.9</v>
      </c>
      <c r="W12" s="4" cm="1">
        <f t="array" ref="W12">_xlfn.PERCENTRANK.EXC(_xlfn._xlws.FILTER($O$3:$O$23, ISNUMBER($O$3:$O$23)),O12)*100</f>
        <v>13.600000000000001</v>
      </c>
      <c r="X12" s="4" cm="1">
        <f t="array" ref="X12">_xlfn.PERCENTRANK.EXC(_xlfn._xlws.FILTER($P$3:$P$23, ISNUMBER($P$3:$P$23)),P12)*100</f>
        <v>36.299999999999997</v>
      </c>
      <c r="Y12" s="200" cm="1">
        <f t="array" ref="Y12">_xlfn.PERCENTRANK.EXC(_xlfn._xlws.FILTER($S$3:$S$23, ISNUMBER($S$3:$S$23)),S12)*100</f>
        <v>40.9</v>
      </c>
      <c r="Z12" s="4" cm="1">
        <f t="array" ref="Z12">_xlfn.PERCENTRANK.EXC(_xlfn._xlws.FILTER($K$3:$K$23, ISNUMBER($K$3:$K$23)),K12)*100</f>
        <v>54.500000000000007</v>
      </c>
      <c r="AA12" s="4" cm="1">
        <f t="array" ref="AA12">_xlfn.PERCENTRANK.EXC(_xlfn._xlws.FILTER($H$3:$H$23, ISNUMBER($H$3:$H$23)),H12)*100</f>
        <v>59</v>
      </c>
      <c r="AB12" s="4" cm="1">
        <f t="array" ref="AB12">_xlfn.PERCENTRANK.EXC(_xlfn._xlws.FILTER($J$3:$J$23, ISNUMBER($J$3:$J$23)),J12)*100</f>
        <v>31.8</v>
      </c>
      <c r="AC12" s="4">
        <f t="shared" si="4"/>
        <v>36.299999999999997</v>
      </c>
      <c r="AD12" s="4">
        <f t="shared" si="5"/>
        <v>63.6</v>
      </c>
      <c r="AE12" s="4">
        <f t="shared" si="6"/>
        <v>72.7</v>
      </c>
      <c r="AF12" s="4">
        <f>'Economic Momentum'!Q13</f>
        <v>18.099999999999998</v>
      </c>
      <c r="AG12" s="4">
        <f ca="1">'Economic Momentum'!R13</f>
        <v>63.6</v>
      </c>
      <c r="AH12" s="4">
        <f t="shared" ca="1" si="7"/>
        <v>31.33</v>
      </c>
      <c r="AJ12" s="3" cm="1">
        <f t="array" aca="1" ref="AJ12" ca="1">_xlfn.PERCENTRANK.EXC(_xlfn._xlws.FILTER($AH$3:$AH$23, ISNUMBER($AH$3:$AH$23)),AH12)*100</f>
        <v>31.8</v>
      </c>
      <c r="AK12">
        <f t="shared" si="8"/>
        <v>0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685759.94</v>
      </c>
      <c r="E13" cm="1">
        <f t="array" ref="E13">_xll.FDS(C13,"FMA_COS_UP(""EPS"",""1M"",+1,NOW,,,""PORTAGG"",""MEANR"")")</f>
        <v>17</v>
      </c>
      <c r="F13" cm="1">
        <f t="array" ref="F13">_xll.FDS(C13,"FMA_COS_DOWN(""EPS"",""1M"",+1,NOW,,,""PORTAGG"",""MEANR"")")</f>
        <v>22</v>
      </c>
      <c r="G13" cm="1">
        <f t="array" ref="G13">_xll.FDS(A13,"SIZE(FG_CONSTITUENTS)")</f>
        <v>55</v>
      </c>
      <c r="H13" s="9">
        <f t="shared" si="0"/>
        <v>0.30909090909090908</v>
      </c>
      <c r="I13" s="9">
        <f t="shared" si="1"/>
        <v>0.4</v>
      </c>
      <c r="J13" s="9">
        <f t="shared" si="2"/>
        <v>-9.0909090909090939E-2</v>
      </c>
      <c r="K13" s="5" cm="1">
        <f t="array" ref="K13">_xll.FDS(A13,"FMA_PCT_ABOVE_MAVG(200,0,,,,""PORTAGG"")")/100</f>
        <v>0.41509433962264197</v>
      </c>
      <c r="L13" s="41" cm="1">
        <f t="array" ref="L13">_xll.FDSB(A13,"PERCENT_CHANGE(FMA_EPS(+1,0,,,,""PORTAGG"",""MEAN""),FMA_EPS(+1,-1AM,,,,""PORTAGG"",""MEAN""))")</f>
        <v>1.7980082163565401</v>
      </c>
      <c r="M13" s="41" cm="1">
        <f t="array" ref="M13">_xll.FDSB(A13,"PERCENT_CHANGE(FMA_EPS(+1,0,,,,""PORTAGG"",""MEAN""),FMA_EPS(+1,-3AM,,,,""PORTAGG"",""MEAN""))")</f>
        <v>-17.007651074091001</v>
      </c>
      <c r="N13" s="3" cm="1">
        <f t="array" ref="N13">_xll.FDS(C13,"FG_TOTAL_RETURNC(0,-1AM)")</f>
        <v>-1.7235457999999999</v>
      </c>
      <c r="O13" s="3" cm="1">
        <f t="array" ref="O13">_xll.FDS(C13,"FG_TOTAL_RETURNC(0,-3AM)")</f>
        <v>-1.0756372999999999</v>
      </c>
      <c r="P13" s="3" cm="1">
        <f t="array" ref="P13">_xll.FDS(C13,"FG_TOTAL_RETURNC(0,-6AM)")</f>
        <v>-8.2106410000000007</v>
      </c>
      <c r="Q13" s="9" cm="1">
        <f t="array" ref="Q13">_xll.FDS(C13,"P_PRICE(0)/P_PRICE_HIGH_PR(0,,,,,,""PRICE"",""INTRA"",""52W"")")</f>
        <v>0.79770565000000004</v>
      </c>
      <c r="R13" s="9" cm="1">
        <f t="array" ref="R13">_xll.FDS(C13,"P_PRICE(0)/P_PRICE_low_PR(0,,,,,,""PRICE"",""INTRA"",""52W"")-1")</f>
        <v>8.6923360000000005E-2</v>
      </c>
      <c r="S13" s="3" cm="1">
        <f t="array" ref="S13">_xll.FDS(C13,"FG_TOTAL_RETURNC(0,-12AM)")</f>
        <v>-0.32554864999999999</v>
      </c>
      <c r="T13" s="4" cm="1">
        <f t="array" ref="T13">_xlfn.PERCENTRANK.EXC(_xlfn._xlws.FILTER($R$3:$R$23, ISNUMBER($R$3:$R$23)),R13)*100</f>
        <v>13.600000000000001</v>
      </c>
      <c r="U13" s="4">
        <f t="shared" si="3"/>
        <v>86.4</v>
      </c>
      <c r="V13" s="4" cm="1">
        <f t="array" ref="V13">_xlfn.PERCENTRANK.EXC(_xlfn._xlws.FILTER($Q$3:$Q$23, ISNUMBER($Q$3:$Q$23)),Q13)*100</f>
        <v>13.600000000000001</v>
      </c>
      <c r="W13" s="4" cm="1">
        <f t="array" ref="W13">_xlfn.PERCENTRANK.EXC(_xlfn._xlws.FILTER($O$3:$O$23, ISNUMBER($O$3:$O$23)),O13)*100</f>
        <v>36.299999999999997</v>
      </c>
      <c r="X13" s="4" cm="1">
        <f t="array" ref="X13">_xlfn.PERCENTRANK.EXC(_xlfn._xlws.FILTER($P$3:$P$23, ISNUMBER($P$3:$P$23)),P13)*100</f>
        <v>13.600000000000001</v>
      </c>
      <c r="Y13" s="200" cm="1">
        <f t="array" ref="Y13">_xlfn.PERCENTRANK.EXC(_xlfn._xlws.FILTER($S$3:$S$23, ISNUMBER($S$3:$S$23)),S13)*100</f>
        <v>18.099999999999998</v>
      </c>
      <c r="Z13" s="4" cm="1">
        <f t="array" ref="Z13">_xlfn.PERCENTRANK.EXC(_xlfn._xlws.FILTER($K$3:$K$23, ISNUMBER($K$3:$K$23)),K13)*100</f>
        <v>31.8</v>
      </c>
      <c r="AA13" s="4" cm="1">
        <f t="array" ref="AA13">_xlfn.PERCENTRANK.EXC(_xlfn._xlws.FILTER($H$3:$H$23, ISNUMBER($H$3:$H$23)),H13)*100</f>
        <v>63.6</v>
      </c>
      <c r="AB13" s="4" cm="1">
        <f t="array" ref="AB13">_xlfn.PERCENTRANK.EXC(_xlfn._xlws.FILTER($J$3:$J$23, ISNUMBER($J$3:$J$23)),J13)*100</f>
        <v>27.200000000000003</v>
      </c>
      <c r="AC13" s="4">
        <f t="shared" si="4"/>
        <v>59</v>
      </c>
      <c r="AD13" s="4">
        <f t="shared" si="5"/>
        <v>9</v>
      </c>
      <c r="AE13" s="4">
        <f t="shared" si="6"/>
        <v>59</v>
      </c>
      <c r="AF13" s="4">
        <f>'Economic Momentum'!Q14</f>
        <v>81.8</v>
      </c>
      <c r="AG13" s="4">
        <f ca="1">'Economic Momentum'!R14</f>
        <v>54.500000000000007</v>
      </c>
      <c r="AH13" s="4">
        <f t="shared" ca="1" si="7"/>
        <v>20.409999999999997</v>
      </c>
      <c r="AJ13" s="3" cm="1">
        <f t="array" aca="1" ref="AJ13" ca="1">_xlfn.PERCENTRANK.EXC(_xlfn._xlws.FILTER($AH$3:$AH$23, ISNUMBER($AH$3:$AH$23)),AH13)*100</f>
        <v>13.600000000000001</v>
      </c>
      <c r="AK13">
        <f t="shared" si="8"/>
        <v>0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368945.25</v>
      </c>
      <c r="E14" cm="1">
        <f t="array" ref="E14">_xll.FDS(C14,"FMA_COS_UP(""EPS"",""1M"",+1,NOW,,,""PORTAGG"",""MEANR"")")</f>
        <v>11</v>
      </c>
      <c r="F14" cm="1">
        <f t="array" ref="F14">_xll.FDS(C14,"FMA_COS_DOWN(""EPS"",""1M"",+1,NOW,,,""PORTAGG"",""MEANR"")")</f>
        <v>13</v>
      </c>
      <c r="G14" cm="1">
        <f t="array" ref="G14">_xll.FDS(A14,"SIZE(FG_CONSTITUENTS)")</f>
        <v>33</v>
      </c>
      <c r="H14" s="9">
        <f t="shared" si="0"/>
        <v>0.33333333333333331</v>
      </c>
      <c r="I14" s="9">
        <f t="shared" si="1"/>
        <v>0.39393939393939392</v>
      </c>
      <c r="J14" s="9">
        <f t="shared" si="2"/>
        <v>-6.0606060606060608E-2</v>
      </c>
      <c r="K14" s="5" cm="1">
        <f t="array" ref="K14">_xll.FDS(A14,"FMA_PCT_ABOVE_MAVG(200,0,,,,""PORTAGG"")")/100</f>
        <v>0.66666666666666696</v>
      </c>
      <c r="L14" s="41" cm="1">
        <f t="array" ref="L14">_xll.FDSB(A14,"PERCENT_CHANGE(FMA_EPS(+1,0,,,,""PORTAGG"",""MEAN""),FMA_EPS(+1,-1AM,,,,""PORTAGG"",""MEAN""))")</f>
        <v>1.91828676958184</v>
      </c>
      <c r="M14" s="41" cm="1">
        <f t="array" ref="M14">_xll.FDSB(A14,"PERCENT_CHANGE(FMA_EPS(+1,0,,,,""PORTAGG"",""MEAN""),FMA_EPS(+1,-3AM,,,,""PORTAGG"",""MEAN""))")</f>
        <v>-2.8979966038547902</v>
      </c>
      <c r="N14" s="3" cm="1">
        <f t="array" ref="N14">_xll.FDS(C14,"FG_TOTAL_RETURNC(0,-1AM)")</f>
        <v>8.3534830000000007</v>
      </c>
      <c r="O14" s="3" cm="1">
        <f t="array" ref="O14">_xll.FDS(C14,"FG_TOTAL_RETURNC(0,-3AM)")</f>
        <v>11.088573</v>
      </c>
      <c r="P14" s="3" cm="1">
        <f t="array" ref="P14">_xll.FDS(C14,"FG_TOTAL_RETURNC(0,-6AM)")</f>
        <v>24.723016999999999</v>
      </c>
      <c r="Q14" s="9" cm="1">
        <f t="array" ref="Q14">_xll.FDS(C14,"P_PRICE(0)/P_PRICE_HIGH_PR(0,,,,,,""PRICE"",""INTRA"",""52W"")")</f>
        <v>0.95381850000000001</v>
      </c>
      <c r="R14" s="9" cm="1">
        <f t="array" ref="R14">_xll.FDS(C14,"P_PRICE(0)/P_PRICE_low_PR(0,,,,,,""PRICE"",""INTRA"",""52W"")-1")</f>
        <v>0.34268594000000002</v>
      </c>
      <c r="S14" s="3" cm="1">
        <f t="array" ref="S14">_xll.FDS(C14,"FG_TOTAL_RETURNC(0,-12AM)")</f>
        <v>31.283771999999999</v>
      </c>
      <c r="T14" s="4" cm="1">
        <f t="array" ref="T14">_xlfn.PERCENTRANK.EXC(_xlfn._xlws.FILTER($R$3:$R$23, ISNUMBER($R$3:$R$23)),R14)*100</f>
        <v>86.3</v>
      </c>
      <c r="U14" s="4">
        <f t="shared" si="3"/>
        <v>13.700000000000003</v>
      </c>
      <c r="V14" s="4" cm="1">
        <f t="array" ref="V14">_xlfn.PERCENTRANK.EXC(_xlfn._xlws.FILTER($Q$3:$Q$23, ISNUMBER($Q$3:$Q$23)),Q14)*100</f>
        <v>72.7</v>
      </c>
      <c r="W14" s="4" cm="1">
        <f t="array" ref="W14">_xlfn.PERCENTRANK.EXC(_xlfn._xlws.FILTER($O$3:$O$23, ISNUMBER($O$3:$O$23)),O14)*100</f>
        <v>77.2</v>
      </c>
      <c r="X14" s="4" cm="1">
        <f t="array" ref="X14">_xlfn.PERCENTRANK.EXC(_xlfn._xlws.FILTER($P$3:$P$23, ISNUMBER($P$3:$P$23)),P14)*100</f>
        <v>90.9</v>
      </c>
      <c r="Y14" s="200" cm="1">
        <f t="array" ref="Y14">_xlfn.PERCENTRANK.EXC(_xlfn._xlws.FILTER($S$3:$S$23, ISNUMBER($S$3:$S$23)),S14)*100</f>
        <v>81.8</v>
      </c>
      <c r="Z14" s="4" cm="1">
        <f t="array" ref="Z14">_xlfn.PERCENTRANK.EXC(_xlfn._xlws.FILTER($K$3:$K$23, ISNUMBER($K$3:$K$23)),K14)*100</f>
        <v>72.7</v>
      </c>
      <c r="AA14" s="4" cm="1">
        <f t="array" ref="AA14">_xlfn.PERCENTRANK.EXC(_xlfn._xlws.FILTER($H$3:$H$23, ISNUMBER($H$3:$H$23)),H14)*100</f>
        <v>68.100000000000009</v>
      </c>
      <c r="AB14" s="4" cm="1">
        <f t="array" ref="AB14">_xlfn.PERCENTRANK.EXC(_xlfn._xlws.FILTER($J$3:$J$23, ISNUMBER($J$3:$J$23)),J14)*100</f>
        <v>45.4</v>
      </c>
      <c r="AC14" s="4">
        <f t="shared" si="4"/>
        <v>68.100000000000009</v>
      </c>
      <c r="AD14" s="4">
        <f t="shared" si="5"/>
        <v>36.299999999999997</v>
      </c>
      <c r="AE14" s="4">
        <f t="shared" si="6"/>
        <v>40.9</v>
      </c>
      <c r="AF14" s="4">
        <f>'Economic Momentum'!Q15</f>
        <v>72.7</v>
      </c>
      <c r="AG14" s="4">
        <f ca="1">'Economic Momentum'!R15</f>
        <v>81.8</v>
      </c>
      <c r="AH14" s="4">
        <f t="shared" ca="1" si="7"/>
        <v>79.510000000000005</v>
      </c>
      <c r="AJ14" s="3" cm="1">
        <f t="array" aca="1" ref="AJ14" ca="1">_xlfn.PERCENTRANK.EXC(_xlfn._xlws.FILTER($AH$3:$AH$23, ISNUMBER($AH$3:$AH$23)),AH14)*100</f>
        <v>90.9</v>
      </c>
      <c r="AK14">
        <f t="shared" si="8"/>
        <v>5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81358.649999999994</v>
      </c>
      <c r="E15" cm="1">
        <f t="array" ref="E15">_xll.FDS(C15,"FMA_COS_UP(""EPS"",""1M"",+1,NOW,,,""PORTAGG"",""MEANR"")")</f>
        <v>9</v>
      </c>
      <c r="F15" cm="1">
        <f t="array" ref="F15">_xll.FDS(C15,"FMA_COS_DOWN(""EPS"",""1M"",+1,NOW,,,""PORTAGG"",""MEANR"")")</f>
        <v>7</v>
      </c>
      <c r="G15" cm="1">
        <f t="array" ref="G15">_xll.FDS(A15,"SIZE(FG_CONSTITUENTS)")</f>
        <v>32</v>
      </c>
      <c r="H15" s="9">
        <f t="shared" si="0"/>
        <v>0.28125</v>
      </c>
      <c r="I15" s="9">
        <f t="shared" si="1"/>
        <v>0.21875</v>
      </c>
      <c r="J15" s="9">
        <f t="shared" si="2"/>
        <v>6.25E-2</v>
      </c>
      <c r="K15" s="5" cm="1">
        <f t="array" ref="K15">_xll.FDS(A15,"FMA_PCT_ABOVE_MAVG(200,0,,,,""PORTAGG"")")/100</f>
        <v>0.44827586206896597</v>
      </c>
      <c r="L15" s="41" cm="1">
        <f t="array" ref="L15">_xll.FDSB(A15,"PERCENT_CHANGE(FMA_EPS(+1,0,,,,""PORTAGG"",""MEAN""),FMA_EPS(+1,-1AM,,,,""PORTAGG"",""MEAN""))")</f>
        <v>1.8151835675617001</v>
      </c>
      <c r="M15" s="41" cm="1">
        <f t="array" ref="M15">_xll.FDSB(A15,"PERCENT_CHANGE(FMA_EPS(+1,0,,,,""PORTAGG"",""MEAN""),FMA_EPS(+1,-3AM,,,,""PORTAGG"",""MEAN""))")</f>
        <v>5.2806198536677904</v>
      </c>
      <c r="N15" s="3" cm="1">
        <f t="array" ref="N15">_xll.FDS(C15,"FG_TOTAL_RETURNC(0,-1AM)")</f>
        <v>-1.1481821999999999</v>
      </c>
      <c r="O15" s="3" cm="1">
        <f t="array" ref="O15">_xll.FDS(C15,"FG_TOTAL_RETURNC(0,-3AM)")</f>
        <v>-1.2432098</v>
      </c>
      <c r="P15" s="3" cm="1">
        <f t="array" ref="P15">_xll.FDS(C15,"FG_TOTAL_RETURNC(0,-6AM)")</f>
        <v>2.0783067000000002</v>
      </c>
      <c r="Q15" s="9" cm="1">
        <f t="array" ref="Q15">_xll.FDS(C15,"P_PRICE(0)/P_PRICE_HIGH_PR(0,,,,,,""PRICE"",""INTRA"",""52W"")")</f>
        <v>0.93096285999999995</v>
      </c>
      <c r="R15" s="9" cm="1">
        <f t="array" ref="R15">_xll.FDS(C15,"P_PRICE(0)/P_PRICE_low_PR(0,,,,,,""PRICE"",""INTRA"",""52W"")-1")</f>
        <v>0.26868486000000003</v>
      </c>
      <c r="S15" s="3" cm="1">
        <f t="array" ref="S15">_xll.FDS(C15,"FG_TOTAL_RETURNC(0,-12AM)")</f>
        <v>29.958057</v>
      </c>
      <c r="T15" s="4" cm="1">
        <f t="array" ref="T15">_xlfn.PERCENTRANK.EXC(_xlfn._xlws.FILTER($R$3:$R$23, ISNUMBER($R$3:$R$23)),R15)*100</f>
        <v>59</v>
      </c>
      <c r="U15" s="4">
        <f t="shared" si="3"/>
        <v>41</v>
      </c>
      <c r="V15" s="4" cm="1">
        <f t="array" ref="V15">_xlfn.PERCENTRANK.EXC(_xlfn._xlws.FILTER($Q$3:$Q$23, ISNUMBER($Q$3:$Q$23)),Q15)*100</f>
        <v>54.500000000000007</v>
      </c>
      <c r="W15" s="4" cm="1">
        <f t="array" ref="W15">_xlfn.PERCENTRANK.EXC(_xlfn._xlws.FILTER($O$3:$O$23, ISNUMBER($O$3:$O$23)),O15)*100</f>
        <v>27.200000000000003</v>
      </c>
      <c r="X15" s="4" cm="1">
        <f t="array" ref="X15">_xlfn.PERCENTRANK.EXC(_xlfn._xlws.FILTER($P$3:$P$23, ISNUMBER($P$3:$P$23)),P15)*100</f>
        <v>40.9</v>
      </c>
      <c r="Y15" s="200" cm="1">
        <f t="array" ref="Y15">_xlfn.PERCENTRANK.EXC(_xlfn._xlws.FILTER($S$3:$S$23, ISNUMBER($S$3:$S$23)),S15)*100</f>
        <v>77.2</v>
      </c>
      <c r="Z15" s="4" cm="1">
        <f t="array" ref="Z15">_xlfn.PERCENTRANK.EXC(_xlfn._xlws.FILTER($K$3:$K$23, ISNUMBER($K$3:$K$23)),K15)*100</f>
        <v>40.9</v>
      </c>
      <c r="AA15" s="4" cm="1">
        <f t="array" ref="AA15">_xlfn.PERCENTRANK.EXC(_xlfn._xlws.FILTER($H$3:$H$23, ISNUMBER($H$3:$H$23)),H15)*100</f>
        <v>54.500000000000007</v>
      </c>
      <c r="AB15" s="4" cm="1">
        <f t="array" ref="AB15">_xlfn.PERCENTRANK.EXC(_xlfn._xlws.FILTER($J$3:$J$23, ISNUMBER($J$3:$J$23)),J15)*100</f>
        <v>77.2</v>
      </c>
      <c r="AC15" s="4">
        <f t="shared" si="4"/>
        <v>63.6</v>
      </c>
      <c r="AD15" s="4">
        <f t="shared" si="5"/>
        <v>77.2</v>
      </c>
      <c r="AE15" s="4">
        <f t="shared" si="6"/>
        <v>13.600000000000001</v>
      </c>
      <c r="AF15" s="4">
        <f>'Economic Momentum'!Q16</f>
        <v>59</v>
      </c>
      <c r="AG15" s="4">
        <f ca="1">'Economic Momentum'!R16</f>
        <v>13.600000000000001</v>
      </c>
      <c r="AH15" s="4">
        <f t="shared" ca="1" si="7"/>
        <v>42.230000000000004</v>
      </c>
      <c r="AJ15" s="3" cm="1">
        <f t="array" aca="1" ref="AJ15" ca="1">_xlfn.PERCENTRANK.EXC(_xlfn._xlws.FILTER($AH$3:$AH$23, ISNUMBER($AH$3:$AH$23)),AH15)*100</f>
        <v>40.9</v>
      </c>
      <c r="AK15">
        <f t="shared" si="8"/>
        <v>2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5431541.5</v>
      </c>
      <c r="E16" cm="1">
        <f t="array" ref="E16">_xll.FDS(C16,"FMA_COS_UP(""EPS"",""1M"",+1,NOW,,,""PORTAGG"",""MEANR"")")</f>
        <v>43</v>
      </c>
      <c r="F16" cm="1">
        <f t="array" ref="F16">_xll.FDS(C16,"FMA_COS_DOWN(""EPS"",""1M"",+1,NOW,,,""PORTAGG"",""MEANR"")")</f>
        <v>62</v>
      </c>
      <c r="G16" cm="1">
        <f t="array" ref="G16">_xll.FDS(A16,"SIZE(FG_CONSTITUENTS)")</f>
        <v>153</v>
      </c>
      <c r="H16" s="9">
        <f t="shared" si="0"/>
        <v>0.28104575163398693</v>
      </c>
      <c r="I16" s="9">
        <f t="shared" si="1"/>
        <v>0.40522875816993464</v>
      </c>
      <c r="J16" s="9">
        <f t="shared" si="2"/>
        <v>-0.12418300653594772</v>
      </c>
      <c r="K16" s="5" cm="1">
        <f t="array" ref="K16">_xll.FDS(A16,"FMA_PCT_ABOVE_MAVG(200,0,,,,""PORTAGG"")")/100</f>
        <v>0.74342105263157909</v>
      </c>
      <c r="L16" s="41" cm="1">
        <f t="array" ref="L16">_xll.FDSB(A16,"PERCENT_CHANGE(FMA_EPS(+1,0,,,,""PORTAGG"",""MEAN""),FMA_EPS(+1,-1AM,,,,""PORTAGG"",""MEAN""))")</f>
        <v>-3.1941081219524103E-2</v>
      </c>
      <c r="M16" s="41" cm="1">
        <f t="array" ref="M16">_xll.FDSB(A16,"PERCENT_CHANGE(FMA_EPS(+1,0,,,,""PORTAGG"",""MEAN""),FMA_EPS(+1,-3AM,,,,""PORTAGG"",""MEAN""))")</f>
        <v>-5.0248399606827103</v>
      </c>
      <c r="N16" s="3" cm="1">
        <f t="array" ref="N16">_xll.FDS(C16,"FG_TOTAL_RETURNC(0,-1AM)")</f>
        <v>0.10519028</v>
      </c>
      <c r="O16" s="3" cm="1">
        <f t="array" ref="O16">_xll.FDS(C16,"FG_TOTAL_RETURNC(0,-3AM)")</f>
        <v>0.63446760000000002</v>
      </c>
      <c r="P16" s="3" cm="1">
        <f t="array" ref="P16">_xll.FDS(C16,"FG_TOTAL_RETURNC(0,-6AM)")</f>
        <v>9.3450780000000009</v>
      </c>
      <c r="Q16" s="9" cm="1">
        <f t="array" ref="Q16">_xll.FDS(C16,"P_PRICE(0)/P_PRICE_HIGH_PR(0,,,,,,""PRICE"",""INTRA"",""52W"")")</f>
        <v>0.95982509999999999</v>
      </c>
      <c r="R16" s="9" cm="1">
        <f t="array" ref="R16">_xll.FDS(C16,"P_PRICE(0)/P_PRICE_low_PR(0,,,,,,""PRICE"",""INTRA"",""52W"")-1")</f>
        <v>0.33817672999999998</v>
      </c>
      <c r="S16" s="3" cm="1">
        <f t="array" ref="S16">_xll.FDS(C16,"FG_TOTAL_RETURNC(0,-12AM)")</f>
        <v>28.055609</v>
      </c>
      <c r="T16" s="4" cm="1">
        <f t="array" ref="T16">_xlfn.PERCENTRANK.EXC(_xlfn._xlws.FILTER($R$3:$R$23, ISNUMBER($R$3:$R$23)),R16)*100</f>
        <v>81.8</v>
      </c>
      <c r="U16" s="4">
        <f t="shared" si="3"/>
        <v>18.200000000000003</v>
      </c>
      <c r="V16" s="4" cm="1">
        <f t="array" ref="V16">_xlfn.PERCENTRANK.EXC(_xlfn._xlws.FILTER($Q$3:$Q$23, ISNUMBER($Q$3:$Q$23)),Q16)*100</f>
        <v>81.8</v>
      </c>
      <c r="W16" s="4" cm="1">
        <f t="array" ref="W16">_xlfn.PERCENTRANK.EXC(_xlfn._xlws.FILTER($O$3:$O$23, ISNUMBER($O$3:$O$23)),O16)*100</f>
        <v>45.4</v>
      </c>
      <c r="X16" s="4" cm="1">
        <f t="array" ref="X16">_xlfn.PERCENTRANK.EXC(_xlfn._xlws.FILTER($P$3:$P$23, ISNUMBER($P$3:$P$23)),P16)*100</f>
        <v>63.6</v>
      </c>
      <c r="Y16" s="200" cm="1">
        <f t="array" ref="Y16">_xlfn.PERCENTRANK.EXC(_xlfn._xlws.FILTER($S$3:$S$23, ISNUMBER($S$3:$S$23)),S16)*100</f>
        <v>68.100000000000009</v>
      </c>
      <c r="Z16" s="4" cm="1">
        <f t="array" ref="Z16">_xlfn.PERCENTRANK.EXC(_xlfn._xlws.FILTER($K$3:$K$23, ISNUMBER($K$3:$K$23)),K16)*100</f>
        <v>77.2</v>
      </c>
      <c r="AA16" s="4" cm="1">
        <f t="array" ref="AA16">_xlfn.PERCENTRANK.EXC(_xlfn._xlws.FILTER($H$3:$H$23, ISNUMBER($H$3:$H$23)),H16)*100</f>
        <v>50</v>
      </c>
      <c r="AB16" s="4" cm="1">
        <f t="array" ref="AB16">_xlfn.PERCENTRANK.EXC(_xlfn._xlws.FILTER($J$3:$J$23, ISNUMBER($J$3:$J$23)),J16)*100</f>
        <v>13.600000000000001</v>
      </c>
      <c r="AC16" s="4">
        <f t="shared" si="4"/>
        <v>54.500000000000007</v>
      </c>
      <c r="AD16" s="4">
        <f t="shared" si="5"/>
        <v>27.200000000000003</v>
      </c>
      <c r="AE16" s="4">
        <f t="shared" si="6"/>
        <v>86.3</v>
      </c>
      <c r="AF16" s="4">
        <f>'Economic Momentum'!Q17</f>
        <v>95.399999999999991</v>
      </c>
      <c r="AG16" s="4">
        <f ca="1">'Economic Momentum'!R17</f>
        <v>59</v>
      </c>
      <c r="AH16" s="4">
        <f t="shared" ca="1" si="7"/>
        <v>65.419999999999987</v>
      </c>
      <c r="AJ16" s="3" cm="1">
        <f t="array" aca="1" ref="AJ16" ca="1">_xlfn.PERCENTRANK.EXC(_xlfn._xlws.FILTER($AH$3:$AH$23, ISNUMBER($AH$3:$AH$23)),AH16)*100</f>
        <v>63.6</v>
      </c>
      <c r="AK16">
        <f t="shared" si="8"/>
        <v>2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8332266.5</v>
      </c>
      <c r="E17" cm="1">
        <f t="array" ref="E17">_xll.FDS(C17,"FMA_COS_UP(""EPS"",""1M"",+1,NOW,,,""PORTAGG"",""MEANR"")")</f>
        <v>144</v>
      </c>
      <c r="F17" cm="1">
        <f t="array" ref="F17">_xll.FDS(C17,"FMA_COS_DOWN(""EPS"",""1M"",+1,NOW,,,""PORTAGG"",""MEANR"")")</f>
        <v>164</v>
      </c>
      <c r="G17" cm="1">
        <f t="array" ref="G17">_xll.FDS(A17,"SIZE(FG_CONSTITUENTS)")</f>
        <v>597</v>
      </c>
      <c r="H17" s="9">
        <f t="shared" si="0"/>
        <v>0.24120603015075376</v>
      </c>
      <c r="I17" s="9">
        <f t="shared" si="1"/>
        <v>0.27470686767169178</v>
      </c>
      <c r="J17" s="9">
        <f t="shared" si="2"/>
        <v>-3.350083752093802E-2</v>
      </c>
      <c r="K17" s="5" cm="1">
        <f t="array" ref="K17">_xll.FDS(A17,"FMA_PCT_ABOVE_MAVG(200,0,,,,""PORTAGG"")")/100</f>
        <v>0.932546374367622</v>
      </c>
      <c r="L17" s="41" cm="1">
        <f t="array" ref="L17">_xll.FDSB(A17,"PERCENT_CHANGE(FMA_EPS(+1,0,,,,""PORTAGG"",""MEAN""),FMA_EPS(+1,-1AM,,,,""PORTAGG"",""MEAN""))")</f>
        <v>3.17766200743776</v>
      </c>
      <c r="M17" s="41" cm="1">
        <f t="array" ref="M17">_xll.FDSB(A17,"PERCENT_CHANGE(FMA_EPS(+1,0,,,,""PORTAGG"",""MEAN""),FMA_EPS(+1,-3AM,,,,""PORTAGG"",""MEAN""))")</f>
        <v>5.4915135570263001</v>
      </c>
      <c r="N17" s="3" cm="1">
        <f t="array" ref="N17">_xll.FDS(C17,"FG_TOTAL_RETURNC(0,-1AM)")</f>
        <v>29.483055</v>
      </c>
      <c r="O17" s="3" cm="1">
        <f t="array" ref="O17">_xll.FDS(C17,"FG_TOTAL_RETURNC(0,-3AM)")</f>
        <v>22.599530000000001</v>
      </c>
      <c r="P17" s="3" cm="1">
        <f t="array" ref="P17">_xll.FDS(C17,"FG_TOTAL_RETURNC(0,-6AM)")</f>
        <v>30.699407999999998</v>
      </c>
      <c r="Q17" s="9" cm="1">
        <f t="array" ref="Q17">_xll.FDS(C17,"P_PRICE(0)/P_PRICE_HIGH_PR(0,,,,,,""PRICE"",""INTRA"",""52W"")")</f>
        <v>0.87563765000000005</v>
      </c>
      <c r="R17" s="9" cm="1">
        <f t="array" ref="R17">_xll.FDS(C17,"P_PRICE(0)/P_PRICE_low_PR(0,,,,,,""PRICE"",""INTRA"",""52W"")-1")</f>
        <v>0.47133206999999999</v>
      </c>
      <c r="S17" s="3" cm="1">
        <f t="array" ref="S17">_xll.FDS(C17,"FG_TOTAL_RETURNC(0,-12AM)")</f>
        <v>22.776389999999999</v>
      </c>
      <c r="T17" s="4" cm="1">
        <f t="array" ref="T17">_xlfn.PERCENTRANK.EXC(_xlfn._xlws.FILTER($R$3:$R$23, ISNUMBER($R$3:$R$23)),R17)*100</f>
        <v>90.9</v>
      </c>
      <c r="U17" s="4">
        <f t="shared" si="3"/>
        <v>9.0999999999999943</v>
      </c>
      <c r="V17" s="4" cm="1">
        <f t="array" ref="V17">_xlfn.PERCENTRANK.EXC(_xlfn._xlws.FILTER($Q$3:$Q$23, ISNUMBER($Q$3:$Q$23)),Q17)*100</f>
        <v>22.7</v>
      </c>
      <c r="W17" s="4" cm="1">
        <f t="array" ref="W17">_xlfn.PERCENTRANK.EXC(_xlfn._xlws.FILTER($O$3:$O$23, ISNUMBER($O$3:$O$23)),O17)*100</f>
        <v>95.399999999999991</v>
      </c>
      <c r="X17" s="4" cm="1">
        <f t="array" ref="X17">_xlfn.PERCENTRANK.EXC(_xlfn._xlws.FILTER($P$3:$P$23, ISNUMBER($P$3:$P$23)),P17)*100</f>
        <v>95.399999999999991</v>
      </c>
      <c r="Y17" s="200" cm="1">
        <f t="array" ref="Y17">_xlfn.PERCENTRANK.EXC(_xlfn._xlws.FILTER($S$3:$S$23, ISNUMBER($S$3:$S$23)),S17)*100</f>
        <v>63.6</v>
      </c>
      <c r="Z17" s="4" cm="1">
        <f t="array" ref="Z17">_xlfn.PERCENTRANK.EXC(_xlfn._xlws.FILTER($K$3:$K$23, ISNUMBER($K$3:$K$23)),K17)*100</f>
        <v>95.399999999999991</v>
      </c>
      <c r="AA17" s="4" cm="1">
        <f t="array" ref="AA17">_xlfn.PERCENTRANK.EXC(_xlfn._xlws.FILTER($H$3:$H$23, ISNUMBER($H$3:$H$23)),H17)*100</f>
        <v>40.9</v>
      </c>
      <c r="AB17" s="4" cm="1">
        <f t="array" ref="AB17">_xlfn.PERCENTRANK.EXC(_xlfn._xlws.FILTER($J$3:$J$23, ISNUMBER($J$3:$J$23)),J17)*100</f>
        <v>59</v>
      </c>
      <c r="AC17" s="4">
        <f t="shared" si="4"/>
        <v>90.9</v>
      </c>
      <c r="AD17" s="4">
        <f t="shared" si="5"/>
        <v>81.8</v>
      </c>
      <c r="AE17" s="4">
        <f t="shared" si="6"/>
        <v>90.9</v>
      </c>
      <c r="AF17" s="4">
        <f>'Economic Momentum'!Q18</f>
        <v>31.8</v>
      </c>
      <c r="AG17" s="4">
        <f ca="1">'Economic Momentum'!R18</f>
        <v>22.7</v>
      </c>
      <c r="AH17" s="4">
        <f t="shared" ca="1" si="7"/>
        <v>66.319999999999993</v>
      </c>
      <c r="AJ17" s="3" cm="1">
        <f t="array" aca="1" ref="AJ17" ca="1">_xlfn.PERCENTRANK.EXC(_xlfn._xlws.FILTER($AH$3:$AH$23, ISNUMBER($AH$3:$AH$23)),AH17)*100</f>
        <v>68.100000000000009</v>
      </c>
      <c r="AK17">
        <f t="shared" si="8"/>
        <v>3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168448.92</v>
      </c>
      <c r="E18" cm="1">
        <f t="array" ref="E18">_xll.FDS(C18,"FMA_COS_UP(""EPS"",""1M"",+1,NOW,,,""PORTAGG"",""MEANR"")")</f>
        <v>3</v>
      </c>
      <c r="F18" cm="1">
        <f t="array" ref="F18">_xll.FDS(C18,"FMA_COS_DOWN(""EPS"",""1M"",+1,NOW,,,""PORTAGG"",""MEANR"")")</f>
        <v>5</v>
      </c>
      <c r="G18" cm="1">
        <f t="array" ref="G18">_xll.FDS(A18,"SIZE(FG_CONSTITUENTS)")</f>
        <v>35</v>
      </c>
      <c r="H18" s="9">
        <f t="shared" si="0"/>
        <v>8.5714285714285715E-2</v>
      </c>
      <c r="I18" s="9">
        <f t="shared" si="1"/>
        <v>0.14285714285714285</v>
      </c>
      <c r="J18" s="9">
        <f t="shared" si="2"/>
        <v>-5.7142857142857134E-2</v>
      </c>
      <c r="K18" s="5" cm="1">
        <f t="array" ref="K18">_xll.FDS(A18,"FMA_PCT_ABOVE_MAVG(200,0,,,,""PORTAGG"")")/100</f>
        <v>0.57142857142857106</v>
      </c>
      <c r="L18" s="41" cm="1">
        <f t="array" ref="L18">_xll.FDSB(A18,"PERCENT_CHANGE(FMA_EPS(+1,0,,,,""PORTAGG"",""MEAN""),FMA_EPS(+1,-1AM,,,,""PORTAGG"",""MEAN""))")</f>
        <v>-0.11109811586637899</v>
      </c>
      <c r="M18" s="41" cm="1">
        <f t="array" ref="M18">_xll.FDSB(A18,"PERCENT_CHANGE(FMA_EPS(+1,0,,,,""PORTAGG"",""MEAN""),FMA_EPS(+1,-3AM,,,,""PORTAGG"",""MEAN""))")</f>
        <v>-1.84331950190051</v>
      </c>
      <c r="N18" s="3" cm="1">
        <f t="array" ref="N18">_xll.FDS(C18,"FG_TOTAL_RETURNC(0,-1AM)")</f>
        <v>3.0474066999999998</v>
      </c>
      <c r="O18" s="3" cm="1">
        <f t="array" ref="O18">_xll.FDS(C18,"FG_TOTAL_RETURNC(0,-3AM)")</f>
        <v>6.0395000000000003</v>
      </c>
      <c r="P18" s="3" cm="1">
        <f t="array" ref="P18">_xll.FDS(C18,"FG_TOTAL_RETURNC(0,-6AM)")</f>
        <v>9.2463130000000007</v>
      </c>
      <c r="Q18" s="9" cm="1">
        <f t="array" ref="Q18">_xll.FDS(C18,"P_PRICE(0)/P_PRICE_HIGH_PR(0,,,,,,""PRICE"",""INTRA"",""52W"")")</f>
        <v>0.98489749999999998</v>
      </c>
      <c r="R18" s="9" cm="1">
        <f t="array" ref="R18">_xll.FDS(C18,"P_PRICE(0)/P_PRICE_low_PR(0,,,,,,""PRICE"",""INTRA"",""52W"")-1")</f>
        <v>0.16602813999999999</v>
      </c>
      <c r="S18" s="3" cm="1">
        <f t="array" ref="S18">_xll.FDS(C18,"FG_TOTAL_RETURNC(0,-12AM)")</f>
        <v>13.191867</v>
      </c>
      <c r="T18" s="4" cm="1">
        <f t="array" ref="T18">_xlfn.PERCENTRANK.EXC(_xlfn._xlws.FILTER($R$3:$R$23, ISNUMBER($R$3:$R$23)),R18)*100</f>
        <v>45.4</v>
      </c>
      <c r="U18" s="4">
        <f t="shared" si="3"/>
        <v>54.6</v>
      </c>
      <c r="V18" s="4" cm="1">
        <f t="array" ref="V18">_xlfn.PERCENTRANK.EXC(_xlfn._xlws.FILTER($Q$3:$Q$23, ISNUMBER($Q$3:$Q$23)),Q18)*100</f>
        <v>90.9</v>
      </c>
      <c r="W18" s="4" cm="1">
        <f t="array" ref="W18">_xlfn.PERCENTRANK.EXC(_xlfn._xlws.FILTER($O$3:$O$23, ISNUMBER($O$3:$O$23)),O18)*100</f>
        <v>59</v>
      </c>
      <c r="X18" s="4" cm="1">
        <f t="array" ref="X18">_xlfn.PERCENTRANK.EXC(_xlfn._xlws.FILTER($P$3:$P$23, ISNUMBER($P$3:$P$23)),P18)*100</f>
        <v>59</v>
      </c>
      <c r="Y18" s="200" cm="1">
        <f t="array" ref="Y18">_xlfn.PERCENTRANK.EXC(_xlfn._xlws.FILTER($S$3:$S$23, ISNUMBER($S$3:$S$23)),S18)*100</f>
        <v>54.500000000000007</v>
      </c>
      <c r="Z18" s="4" cm="1">
        <f t="array" ref="Z18">_xlfn.PERCENTRANK.EXC(_xlfn._xlws.FILTER($K$3:$K$23, ISNUMBER($K$3:$K$23)),K18)*100</f>
        <v>59</v>
      </c>
      <c r="AA18" s="4" cm="1">
        <f t="array" ref="AA18">_xlfn.PERCENTRANK.EXC(_xlfn._xlws.FILTER($H$3:$H$23, ISNUMBER($H$3:$H$23)),H18)*100</f>
        <v>4.5</v>
      </c>
      <c r="AB18" s="4" cm="1">
        <f t="array" ref="AB18">_xlfn.PERCENTRANK.EXC(_xlfn._xlws.FILTER($J$3:$J$23, ISNUMBER($J$3:$J$23)),J18)*100</f>
        <v>50</v>
      </c>
      <c r="AC18" s="4">
        <f t="shared" si="4"/>
        <v>50</v>
      </c>
      <c r="AD18" s="4">
        <f t="shared" si="5"/>
        <v>45.4</v>
      </c>
      <c r="AE18" s="4">
        <f t="shared" si="6"/>
        <v>22.7</v>
      </c>
      <c r="AF18" s="4">
        <f>'Economic Momentum'!Q19</f>
        <v>77.2</v>
      </c>
      <c r="AG18" s="4">
        <f ca="1">'Economic Momentum'!R19</f>
        <v>31.8</v>
      </c>
      <c r="AH18" s="4">
        <f t="shared" ca="1" si="7"/>
        <v>71.760000000000005</v>
      </c>
      <c r="AJ18" s="3" cm="1">
        <f t="array" aca="1" ref="AJ18" ca="1">_xlfn.PERCENTRANK.EXC(_xlfn._xlws.FILTER($AH$3:$AH$23, ISNUMBER($AH$3:$AH$23)),AH18)*100</f>
        <v>77.2</v>
      </c>
      <c r="AK18">
        <f t="shared" si="8"/>
        <v>1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541660.483653098</v>
      </c>
      <c r="E19" cm="1">
        <f t="array" ref="E19">_xll.FDS(C19,"FMA_COS_UP(""EPS"",""1M"",+1,NOW,,,""PORTAGG"",""MEANR"")")</f>
        <v>44</v>
      </c>
      <c r="F19" cm="1">
        <f t="array" ref="F19">_xll.FDS(C19,"FMA_COS_DOWN(""EPS"",""1M"",+1,NOW,,,""PORTAGG"",""MEANR"")")</f>
        <v>56</v>
      </c>
      <c r="G19" s="1" cm="1">
        <f t="array" ref="G19">_xll.FDS(A19,"SIZE(FG_CONSTITUENTS)")</f>
        <v>1</v>
      </c>
      <c r="H19" s="48">
        <f t="shared" si="0"/>
        <v>44</v>
      </c>
      <c r="I19" s="48">
        <f t="shared" si="1"/>
        <v>56</v>
      </c>
      <c r="J19" s="9">
        <f t="shared" si="2"/>
        <v>-12</v>
      </c>
      <c r="K19" s="6" cm="1">
        <f t="array" ref="K19">_xll.FDS(A19,"FMA_PCT_ABOVE_MAVG(200,0,,,,""PORTAGG"")")/100</f>
        <v>0.41543026706231501</v>
      </c>
      <c r="L19" s="41" cm="1">
        <f t="array" ref="L19">_xll.FDSB(A19,"PERCENT_CHANGE(FMA_EPS(+1,0,,,,""PORTAGG"",""MEAN""),FMA_EPS(+1,-1AM,,,,""PORTAGG"",""MEAN""))")</f>
        <v>-1.7916980035340799</v>
      </c>
      <c r="M19" s="41" cm="1">
        <f t="array" ref="M19">_xll.FDSB(A19,"PERCENT_CHANGE(FMA_EPS(+1,0,,,,""PORTAGG"",""MEAN""),FMA_EPS(+1,-3AM,,,,""PORTAGG"",""MEAN""))")</f>
        <v>-5.10377266876755</v>
      </c>
      <c r="N19" s="3" cm="1">
        <f t="array" ref="N19">_xll.FDS(C19,"FG_TOTAL_RETURNC(0,-1AM)")</f>
        <v>2.835369</v>
      </c>
      <c r="O19" s="54" cm="1">
        <f t="array" ref="O19">_xll.FDS(C19,"FG_TOTAL_RETURNC(0,-3AM)")</f>
        <v>10.975754</v>
      </c>
      <c r="P19" s="54" cm="1">
        <f t="array" ref="P19">_xll.FDS(C19,"FG_TOTAL_RETURNC(0,-6AM)")</f>
        <v>4.2857050000000001</v>
      </c>
      <c r="Q19" s="9" cm="1">
        <f t="array" ref="Q19">_xll.FDS(C19,"P_PRICE(0)/P_PRICE_HIGH_PR(0,,,,,,""PRICE"",""INTRA"",""52W"")")</f>
        <v>0.99593765000000001</v>
      </c>
      <c r="R19" s="9" cm="1">
        <f t="array" ref="R19">_xll.FDS(C19,"P_PRICE(0)/P_PRICE_low_PR(0,,,,,,""PRICE"",""INTRA"",""52W"")-1")</f>
        <v>0.15343594999999999</v>
      </c>
      <c r="S19" s="3" cm="1">
        <f t="array" ref="S19">_xll.FDS(C19,"FG_TOTAL_RETURNC(0,-12AM)")</f>
        <v>2.3751259999999998</v>
      </c>
      <c r="T19" s="4" cm="1">
        <f t="array" ref="T19">_xlfn.PERCENTRANK.EXC(_xlfn._xlws.FILTER($R$3:$R$23, ISNUMBER($R$3:$R$23)),R19)*100</f>
        <v>36.299999999999997</v>
      </c>
      <c r="U19" s="4">
        <f t="shared" si="3"/>
        <v>63.7</v>
      </c>
      <c r="V19" s="4" cm="1">
        <f t="array" ref="V19">_xlfn.PERCENTRANK.EXC(_xlfn._xlws.FILTER($Q$3:$Q$23, ISNUMBER($Q$3:$Q$23)),Q19)*100</f>
        <v>95.399999999999991</v>
      </c>
      <c r="W19" s="4" cm="1">
        <f t="array" ref="W19">_xlfn.PERCENTRANK.EXC(_xlfn._xlws.FILTER($O$3:$O$23, ISNUMBER($O$3:$O$23)),O19)*100</f>
        <v>72.7</v>
      </c>
      <c r="X19" s="4" cm="1">
        <f t="array" ref="X19">_xlfn.PERCENTRANK.EXC(_xlfn._xlws.FILTER($P$3:$P$23, ISNUMBER($P$3:$P$23)),P19)*100</f>
        <v>54.500000000000007</v>
      </c>
      <c r="Y19" s="200" cm="1">
        <f t="array" ref="Y19">_xlfn.PERCENTRANK.EXC(_xlfn._xlws.FILTER($S$3:$S$23, ISNUMBER($S$3:$S$23)),S19)*100</f>
        <v>22.7</v>
      </c>
      <c r="Z19" s="4" cm="1">
        <f t="array" ref="Z19">_xlfn.PERCENTRANK.EXC(_xlfn._xlws.FILTER($K$3:$K$23, ISNUMBER($K$3:$K$23)),K19)*100</f>
        <v>36.299999999999997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22.7</v>
      </c>
      <c r="AD19" s="4">
        <f t="shared" si="5"/>
        <v>18.099999999999998</v>
      </c>
      <c r="AE19" s="4">
        <f t="shared" si="6"/>
        <v>54.500000000000007</v>
      </c>
      <c r="AF19" s="4">
        <f>'Economic Momentum'!Q20</f>
        <v>63.6</v>
      </c>
      <c r="AG19" s="4">
        <f ca="1">'Economic Momentum'!R20</f>
        <v>90.9</v>
      </c>
      <c r="AH19" s="4">
        <f t="shared" ca="1" si="7"/>
        <v>76.319999999999993</v>
      </c>
      <c r="AJ19" s="3" cm="1">
        <f t="array" aca="1" ref="AJ19" ca="1">_xlfn.PERCENTRANK.EXC(_xlfn._xlws.FILTER($AH$3:$AH$23, ISNUMBER($AH$3:$AH$23)),AH19)*100</f>
        <v>86.3</v>
      </c>
      <c r="AK19" s="1">
        <f t="shared" si="8"/>
        <v>3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340992.72</v>
      </c>
      <c r="E20" cm="1">
        <f t="array" ref="E20">_xll.FDS(C20,"FMA_COS_UP(""EPS"",""1M"",+1,NOW,,,""PORTAGG"",""MEANR"")")</f>
        <v>20</v>
      </c>
      <c r="F20" cm="1">
        <f t="array" ref="F20">_xll.FDS(C20,"FMA_COS_DOWN(""EPS"",""1M"",+1,NOW,,,""PORTAGG"",""MEANR"")")</f>
        <v>19</v>
      </c>
      <c r="G20" cm="1">
        <f t="array" ref="G20">_xll.FDS(A20,"SIZE(FG_CONSTITUENTS)")</f>
        <v>96</v>
      </c>
      <c r="H20" s="9">
        <f t="shared" si="0"/>
        <v>0.20833333333333334</v>
      </c>
      <c r="I20" s="9">
        <f t="shared" si="1"/>
        <v>0.19791666666666666</v>
      </c>
      <c r="J20" s="9">
        <f t="shared" si="2"/>
        <v>1.0416666666666685E-2</v>
      </c>
      <c r="K20" s="5" cm="1">
        <f t="array" ref="K20">_xll.FDS(A20,"FMA_PCT_ABOVE_MAVG(200,0,,,,""PORTAGG"")")/100</f>
        <v>0.25</v>
      </c>
      <c r="L20" s="41" cm="1">
        <f t="array" ref="L20">_xll.FDSB(A20,"PERCENT_CHANGE(FMA_EPS(+1,0,,,,""PORTAGG"",""MEAN""),FMA_EPS(+1,-1AM,,,,""PORTAGG"",""MEAN""))")</f>
        <v>-12.1351897452939</v>
      </c>
      <c r="M20" s="41" cm="1">
        <f t="array" ref="M20">_xll.FDSB(A20,"PERCENT_CHANGE(FMA_EPS(+1,0,,,,""PORTAGG"",""MEAN""),FMA_EPS(+1,-3AM,,,,""PORTAGG"",""MEAN""))")</f>
        <v>-24.841984883027699</v>
      </c>
      <c r="N20" s="3" cm="1">
        <f t="array" ref="N20">_xll.FDS(C20,"FG_TOTAL_RETURNC(0,-1AM)")</f>
        <v>-6.7511739999999998</v>
      </c>
      <c r="O20" s="3" cm="1">
        <f t="array" ref="O20">_xll.FDS(C20,"FG_TOTAL_RETURNC(0,-3AM)")</f>
        <v>-20.395195000000001</v>
      </c>
      <c r="P20" s="3" cm="1">
        <f t="array" ref="P20">_xll.FDS(C20,"FG_TOTAL_RETURNC(0,-6AM)")</f>
        <v>-11.726743000000001</v>
      </c>
      <c r="Q20" s="9" cm="1">
        <f t="array" ref="Q20">_xll.FDS(C20,"P_PRICE(0)/P_PRICE_HIGH_PR(0,,,,,,""PRICE"",""INTRA"",""52W"")")</f>
        <v>0.76199055000000004</v>
      </c>
      <c r="R20" s="9" cm="1">
        <f t="array" ref="R20">_xll.FDS(C20,"P_PRICE(0)/P_PRICE_low_PR(0,,,,,,""PRICE"",""INTRA"",""52W"")-1")</f>
        <v>7.2579740000000004E-2</v>
      </c>
      <c r="S20" s="3" cm="1">
        <f t="array" ref="S20">_xll.FDS(C20,"FG_TOTAL_RETURNC(0,-12AM)")</f>
        <v>-11.020332</v>
      </c>
      <c r="T20" s="4" cm="1">
        <f t="array" ref="T20">_xlfn.PERCENTRANK.EXC(_xlfn._xlws.FILTER($R$3:$R$23, ISNUMBER($R$3:$R$23)),R20)*100</f>
        <v>4.5</v>
      </c>
      <c r="U20" s="4">
        <f t="shared" si="3"/>
        <v>95.5</v>
      </c>
      <c r="V20" s="4" cm="1">
        <f t="array" ref="V20">_xlfn.PERCENTRANK.EXC(_xlfn._xlws.FILTER($Q$3:$Q$23, ISNUMBER($Q$3:$Q$23)),Q20)*100</f>
        <v>4.5</v>
      </c>
      <c r="W20" s="4" cm="1">
        <f t="array" ref="W20">_xlfn.PERCENTRANK.EXC(_xlfn._xlws.FILTER($O$3:$O$23, ISNUMBER($O$3:$O$23)),O20)*100</f>
        <v>4.5</v>
      </c>
      <c r="X20" s="4" cm="1">
        <f t="array" ref="X20">_xlfn.PERCENTRANK.EXC(_xlfn._xlws.FILTER($P$3:$P$23, ISNUMBER($P$3:$P$23)),P20)*100</f>
        <v>9</v>
      </c>
      <c r="Y20" s="200" cm="1">
        <f t="array" ref="Y20">_xlfn.PERCENTRANK.EXC(_xlfn._xlws.FILTER($S$3:$S$23, ISNUMBER($S$3:$S$23)),S20)*100</f>
        <v>4.5</v>
      </c>
      <c r="Z20" s="4" cm="1">
        <f t="array" ref="Z20">_xlfn.PERCENTRANK.EXC(_xlfn._xlws.FILTER($K$3:$K$23, ISNUMBER($K$3:$K$23)),K20)*100</f>
        <v>4.5</v>
      </c>
      <c r="AA20" s="4" cm="1">
        <f t="array" ref="AA20">_xlfn.PERCENTRANK.EXC(_xlfn._xlws.FILTER($H$3:$H$23, ISNUMBER($H$3:$H$23)),H20)*100</f>
        <v>22.7</v>
      </c>
      <c r="AB20" s="4" cm="1">
        <f t="array" ref="AB20">_xlfn.PERCENTRANK.EXC(_xlfn._xlws.FILTER($J$3:$J$23, ISNUMBER($J$3:$J$23)),J20)*100</f>
        <v>63.6</v>
      </c>
      <c r="AC20" s="4">
        <f t="shared" si="4"/>
        <v>4.5</v>
      </c>
      <c r="AD20" s="4">
        <f t="shared" si="5"/>
        <v>4.5</v>
      </c>
      <c r="AE20" s="4">
        <f t="shared" si="6"/>
        <v>36.299999999999997</v>
      </c>
      <c r="AF20" s="4">
        <f>'Economic Momentum'!Q21</f>
        <v>4.5</v>
      </c>
      <c r="AG20" s="4">
        <f ca="1">'Economic Momentum'!R21</f>
        <v>18.099999999999998</v>
      </c>
      <c r="AH20" s="4">
        <f t="shared" ca="1" si="7"/>
        <v>5.85</v>
      </c>
      <c r="AJ20" s="3" cm="1">
        <f t="array" aca="1" ref="AJ20" ca="1">_xlfn.PERCENTRANK.EXC(_xlfn._xlws.FILTER($AH$3:$AH$23, ISNUMBER($AH$3:$AH$23)),AH20)*100</f>
        <v>4.5</v>
      </c>
      <c r="AK20">
        <f t="shared" si="8"/>
        <v>0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916309.44</v>
      </c>
      <c r="E21" cm="1">
        <f t="array" ref="E21">_xll.FDS(C21,"FMA_COS_UP(""EPS"",""1M"",+1,NOW,,,""PORTAGG"",""MEANR"")")</f>
        <v>10</v>
      </c>
      <c r="F21" cm="1">
        <f t="array" ref="F21">_xll.FDS(C21,"FMA_COS_DOWN(""EPS"",""1M"",+1,NOW,,,""PORTAGG"",""MEANR"")")</f>
        <v>9</v>
      </c>
      <c r="G21" cm="1">
        <f t="array" ref="G21">_xll.FDS(A21,"SIZE(FG_CONSTITUENTS)")</f>
        <v>46</v>
      </c>
      <c r="H21" s="9">
        <f t="shared" si="0"/>
        <v>0.21739130434782608</v>
      </c>
      <c r="I21" s="9">
        <f t="shared" si="1"/>
        <v>0.19565217391304349</v>
      </c>
      <c r="J21" s="9">
        <f t="shared" si="2"/>
        <v>2.1739130434782594E-2</v>
      </c>
      <c r="K21" s="5" cm="1">
        <f t="array" ref="K21">_xll.FDS(A21,"FMA_PCT_ABOVE_MAVG(200,0,,,,""PORTAGG"")")/100</f>
        <v>0.48780487804877998</v>
      </c>
      <c r="L21" s="41" cm="1">
        <f t="array" ref="L21">_xll.FDSB(A21,"PERCENT_CHANGE(FMA_EPS(+1,0,,,,""PORTAGG"",""MEAN""),FMA_EPS(+1,-1AM,,,,""PORTAGG"",""MEAN""))")</f>
        <v>-1.02518049502123</v>
      </c>
      <c r="M21" s="41" cm="1">
        <f t="array" ref="M21">_xll.FDSB(A21,"PERCENT_CHANGE(FMA_EPS(+1,0,,,,""PORTAGG"",""MEAN""),FMA_EPS(+1,-3AM,,,,""PORTAGG"",""MEAN""))")</f>
        <v>-1.5889697134053899</v>
      </c>
      <c r="N21" s="3" cm="1">
        <f t="array" ref="N21">_xll.FDS(C21,"FG_TOTAL_RETURNC(0,-1AM)")</f>
        <v>-1.9828140999999999</v>
      </c>
      <c r="O21" s="3" cm="1">
        <f t="array" ref="O21">_xll.FDS(C21,"FG_TOTAL_RETURNC(0,-3AM)")</f>
        <v>7.7761649999999998</v>
      </c>
      <c r="P21" s="3" cm="1">
        <f t="array" ref="P21">_xll.FDS(C21,"FG_TOTAL_RETURNC(0,-6AM)")</f>
        <v>3.5183072000000002</v>
      </c>
      <c r="Q21" s="9" cm="1">
        <f t="array" ref="Q21">_xll.FDS(C21,"P_PRICE(0)/P_PRICE_HIGH_PR(0,,,,,,""PRICE"",""INTRA"",""52W"")")</f>
        <v>0.95369773999999996</v>
      </c>
      <c r="R21" s="9" cm="1">
        <f t="array" ref="R21">_xll.FDS(C21,"P_PRICE(0)/P_PRICE_low_PR(0,,,,,,""PRICE"",""INTRA"",""52W"")-1")</f>
        <v>0.11966777000000001</v>
      </c>
      <c r="S21" s="3" cm="1">
        <f t="array" ref="S21">_xll.FDS(C21,"FG_TOTAL_RETURNC(0,-12AM)")</f>
        <v>4.7572136</v>
      </c>
      <c r="T21" s="4" cm="1">
        <f t="array" ref="T21">_xlfn.PERCENTRANK.EXC(_xlfn._xlws.FILTER($R$3:$R$23, ISNUMBER($R$3:$R$23)),R21)*100</f>
        <v>22.7</v>
      </c>
      <c r="U21" s="4">
        <f t="shared" si="3"/>
        <v>77.3</v>
      </c>
      <c r="V21" s="4" cm="1">
        <f t="array" ref="V21">_xlfn.PERCENTRANK.EXC(_xlfn._xlws.FILTER($Q$3:$Q$23, ISNUMBER($Q$3:$Q$23)),Q21)*100</f>
        <v>68.100000000000009</v>
      </c>
      <c r="W21" s="4" cm="1">
        <f t="array" ref="W21">_xlfn.PERCENTRANK.EXC(_xlfn._xlws.FILTER($O$3:$O$23, ISNUMBER($O$3:$O$23)),O21)*100</f>
        <v>68.100000000000009</v>
      </c>
      <c r="X21" s="4" cm="1">
        <f t="array" ref="X21">_xlfn.PERCENTRANK.EXC(_xlfn._xlws.FILTER($P$3:$P$23, ISNUMBER($P$3:$P$23)),P21)*100</f>
        <v>50</v>
      </c>
      <c r="Y21" s="200" cm="1">
        <f t="array" ref="Y21">_xlfn.PERCENTRANK.EXC(_xlfn._xlws.FILTER($S$3:$S$23, ISNUMBER($S$3:$S$23)),S21)*100</f>
        <v>31.8</v>
      </c>
      <c r="Z21" s="4" cm="1">
        <f t="array" ref="Z21">_xlfn.PERCENTRANK.EXC(_xlfn._xlws.FILTER($K$3:$K$23, ISNUMBER($K$3:$K$23)),K21)*100</f>
        <v>50</v>
      </c>
      <c r="AA21" s="4" cm="1">
        <f t="array" ref="AA21">_xlfn.PERCENTRANK.EXC(_xlfn._xlws.FILTER($H$3:$H$23, ISNUMBER($H$3:$H$23)),H21)*100</f>
        <v>27.200000000000003</v>
      </c>
      <c r="AB21" s="4" cm="1">
        <f t="array" ref="AB21">_xlfn.PERCENTRANK.EXC(_xlfn._xlws.FILTER($J$3:$J$23, ISNUMBER($J$3:$J$23)),J21)*100</f>
        <v>68.100000000000009</v>
      </c>
      <c r="AC21" s="4">
        <f t="shared" si="4"/>
        <v>27.200000000000003</v>
      </c>
      <c r="AD21" s="4">
        <f t="shared" si="5"/>
        <v>50</v>
      </c>
      <c r="AE21" s="4">
        <f t="shared" si="6"/>
        <v>68.100000000000009</v>
      </c>
      <c r="AF21" s="4">
        <f>'Economic Momentum'!Q22</f>
        <v>45.4</v>
      </c>
      <c r="AG21" s="4">
        <f ca="1">'Economic Momentum'!R22</f>
        <v>36.299999999999997</v>
      </c>
      <c r="AH21" s="4">
        <f t="shared" ca="1" si="7"/>
        <v>62.670000000000009</v>
      </c>
      <c r="AJ21" s="3" cm="1">
        <f t="array" aca="1" ref="AJ21" ca="1">_xlfn.PERCENTRANK.EXC(_xlfn._xlws.FILTER($AH$3:$AH$23, ISNUMBER($AH$3:$AH$23)),AH21)*100</f>
        <v>59</v>
      </c>
      <c r="AK21">
        <f t="shared" si="8"/>
        <v>0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25221.94412</v>
      </c>
      <c r="E22" cm="1">
        <f t="array" ref="E22">_xll.FDS(C22,"FMA_COS_UP(""EPS"",""1M"",+1,NOW,,,""PORTAGG"",""MEANR"")")</f>
        <v>6</v>
      </c>
      <c r="F22" cm="1">
        <f t="array" ref="F22">_xll.FDS(C22,"FMA_COS_DOWN(""EPS"",""1M"",+1,NOW,,,""PORTAGG"",""MEANR"")")</f>
        <v>9</v>
      </c>
      <c r="G22" cm="1">
        <f t="array" ref="G22">_xll.FDS(A22,"SIZE(FG_CONSTITUENTS)")</f>
        <v>47</v>
      </c>
      <c r="H22" s="9">
        <f t="shared" si="0"/>
        <v>0.1276595744680851</v>
      </c>
      <c r="I22" s="9">
        <f t="shared" si="1"/>
        <v>0.19148936170212766</v>
      </c>
      <c r="J22" s="9">
        <f t="shared" si="2"/>
        <v>-6.3829787234042562E-2</v>
      </c>
      <c r="K22" s="5" cm="1">
        <f t="array" ref="K22">_xll.FDS(A22,"FMA_PCT_ABOVE_MAVG(200,0,,,,""PORTAGG"")")/100</f>
        <v>0.39130434782608703</v>
      </c>
      <c r="L22" s="41" cm="1">
        <f t="array" ref="L22">_xll.FDSB(A22,"PERCENT_CHANGE(FMA_EPS(+1,0,,,,""PORTAGG"",""MEAN""),FMA_EPS(+1,-1AM,,,,""PORTAGG"",""MEAN""))")</f>
        <v>-1.8912287122543201</v>
      </c>
      <c r="M22" s="41" cm="1">
        <f t="array" ref="M22">_xll.FDSB(A22,"PERCENT_CHANGE(FMA_EPS(+1,0,,,,""PORTAGG"",""MEAN""),FMA_EPS(+1,-3AM,,,,""PORTAGG"",""MEAN""))")</f>
        <v>4.6269120549378098</v>
      </c>
      <c r="N22" s="3" cm="1">
        <f t="array" ref="N22">_xll.FDS(C22,"FG_TOTAL_RETURNC(0,-1AM)")</f>
        <v>0.40160417999999998</v>
      </c>
      <c r="O22" s="3" cm="1">
        <f t="array" ref="O22">_xll.FDS(C22,"FG_TOTAL_RETURNC(0,-3AM)")</f>
        <v>0.16026497000000001</v>
      </c>
      <c r="P22" s="3" cm="1">
        <f t="array" ref="P22">_xll.FDS(C22,"FG_TOTAL_RETURNC(0,-6AM)")</f>
        <v>-6.1561526999999998</v>
      </c>
      <c r="Q22" s="9" cm="1">
        <f t="array" ref="Q22">_xll.FDS(C22,"P_PRICE(0)/P_PRICE_HIGH_PR(0,,,,,,""PRICE"",""INTRA"",""52W"")")</f>
        <v>0.89863409999999999</v>
      </c>
      <c r="R22" s="9" cm="1">
        <f t="array" ref="R22">_xll.FDS(C22,"P_PRICE(0)/P_PRICE_low_PR(0,,,,,,""PRICE"",""INTRA"",""52W"")-1")</f>
        <v>0.111111164</v>
      </c>
      <c r="S22" s="3" cm="1">
        <f t="array" ref="S22">_xll.FDS(C22,"FG_TOTAL_RETURNC(0,-12AM)")</f>
        <v>-2.7305603000000001</v>
      </c>
      <c r="T22" s="4" cm="1">
        <f t="array" ref="T22">_xlfn.PERCENTRANK.EXC(_xlfn._xlws.FILTER($R$3:$R$23, ISNUMBER($R$3:$R$23)),R22)*100</f>
        <v>18.099999999999998</v>
      </c>
      <c r="U22" s="4">
        <f t="shared" si="3"/>
        <v>81.900000000000006</v>
      </c>
      <c r="V22" s="4" cm="1">
        <f t="array" ref="V22">_xlfn.PERCENTRANK.EXC(_xlfn._xlws.FILTER($Q$3:$Q$23, ISNUMBER($Q$3:$Q$23)),Q22)*100</f>
        <v>27.200000000000003</v>
      </c>
      <c r="W22" s="4" cm="1">
        <f t="array" ref="W22">_xlfn.PERCENTRANK.EXC(_xlfn._xlws.FILTER($O$3:$O$23, ISNUMBER($O$3:$O$23)),O22)*100</f>
        <v>40.9</v>
      </c>
      <c r="X22" s="4" cm="1">
        <f t="array" ref="X22">_xlfn.PERCENTRANK.EXC(_xlfn._xlws.FILTER($P$3:$P$23, ISNUMBER($P$3:$P$23)),P22)*100</f>
        <v>18.099999999999998</v>
      </c>
      <c r="Y22" s="200" cm="1">
        <f t="array" ref="Y22">_xlfn.PERCENTRANK.EXC(_xlfn._xlws.FILTER($S$3:$S$23, ISNUMBER($S$3:$S$23)),S22)*100</f>
        <v>9</v>
      </c>
      <c r="Z22" s="4" cm="1">
        <f t="array" ref="Z22">_xlfn.PERCENTRANK.EXC(_xlfn._xlws.FILTER($K$3:$K$23, ISNUMBER($K$3:$K$23)),K22)*100</f>
        <v>27.200000000000003</v>
      </c>
      <c r="AA22" s="4" cm="1">
        <f t="array" ref="AA22">_xlfn.PERCENTRANK.EXC(_xlfn._xlws.FILTER($H$3:$H$23, ISNUMBER($H$3:$H$23)),H22)*100</f>
        <v>9</v>
      </c>
      <c r="AB22" s="4" cm="1">
        <f t="array" ref="AB22">_xlfn.PERCENTRANK.EXC(_xlfn._xlws.FILTER($J$3:$J$23, ISNUMBER($J$3:$J$23)),J22)*100</f>
        <v>40.9</v>
      </c>
      <c r="AC22" s="4">
        <f t="shared" si="4"/>
        <v>13.600000000000001</v>
      </c>
      <c r="AD22" s="4">
        <f t="shared" si="5"/>
        <v>72.7</v>
      </c>
      <c r="AE22" s="4">
        <f t="shared" si="6"/>
        <v>4.5</v>
      </c>
      <c r="AF22" s="4">
        <f>'Economic Momentum'!Q23</f>
        <v>13.600000000000001</v>
      </c>
      <c r="AG22" s="4">
        <f ca="1">'Economic Momentum'!R23</f>
        <v>68.100000000000009</v>
      </c>
      <c r="AH22" s="4">
        <f t="shared" ca="1" si="7"/>
        <v>28.580000000000002</v>
      </c>
      <c r="AJ22" s="3" cm="1">
        <f t="array" aca="1" ref="AJ22" ca="1">_xlfn.PERCENTRANK.EXC(_xlfn._xlws.FILTER($AH$3:$AH$23, ISNUMBER($AH$3:$AH$23)),AH22)*100</f>
        <v>18.099999999999998</v>
      </c>
      <c r="AK22">
        <f t="shared" si="8"/>
        <v>0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2697668.3</v>
      </c>
      <c r="E23" cm="1">
        <f t="array" ref="E23">_xll.FDS(C23,"FMA_COS_UP(""EPS"",""1M"",+1,NOW,,,""PORTAGG"",""MEANR"")")</f>
        <v>28</v>
      </c>
      <c r="F23" cm="1">
        <f t="array" ref="F23">_xll.FDS(C23,"FMA_COS_DOWN(""EPS"",""1M"",+1,NOW,,,""PORTAGG"",""MEANR"")")</f>
        <v>42</v>
      </c>
      <c r="G23" cm="1">
        <f t="array" ref="G23">_xll.FDS(A23,"SIZE(FG_CONSTITUENTS)")</f>
        <v>126</v>
      </c>
      <c r="H23" s="9">
        <f t="shared" si="0"/>
        <v>0.22222222222222221</v>
      </c>
      <c r="I23" s="9">
        <f t="shared" si="1"/>
        <v>0.33333333333333331</v>
      </c>
      <c r="J23" s="9">
        <f t="shared" si="2"/>
        <v>-0.1111111111111111</v>
      </c>
      <c r="K23" s="5" cm="1">
        <f t="array" ref="K23">_xll.FDS(A23,"FMA_PCT_ABOVE_MAVG(200,0,,,,""PORTAGG"")")/100</f>
        <v>0.34677419354838696</v>
      </c>
      <c r="L23" s="41" cm="1">
        <f t="array" ref="L23">_xll.FDSB(A23,"PERCENT_CHANGE(FMA_EPS(+1,0,,,,""PORTAGG"",""MEAN""),FMA_EPS(+1,-1AM,,,,""PORTAGG"",""MEAN""))")</f>
        <v>-0.79551711583913598</v>
      </c>
      <c r="M23" s="41" cm="1">
        <f t="array" ref="M23">_xll.FDSB(A23,"PERCENT_CHANGE(FMA_EPS(+1,0,,,,""PORTAGG"",""MEAN""),FMA_EPS(+1,-3AM,,,,""PORTAGG"",""MEAN""))")</f>
        <v>-2.46457894912677</v>
      </c>
      <c r="N23" s="3" cm="1">
        <f t="array" ref="N23">_xll.FDS(C23,"FG_TOTAL_RETURNC(0,-1AM)")</f>
        <v>0</v>
      </c>
      <c r="O23" s="3" cm="1">
        <f t="array" ref="O23">_xll.FDS(C23,"FG_TOTAL_RETURNC(0,-3AM)")</f>
        <v>1.6609669</v>
      </c>
      <c r="P23" s="3" cm="1">
        <f t="array" ref="P23">_xll.FDS(C23,"FG_TOTAL_RETURNC(0,-6AM)")</f>
        <v>-5.9784354999999998</v>
      </c>
      <c r="Q23" s="9" cm="1">
        <f t="array" ref="Q23">_xll.FDS(C23,"P_PRICE(0)/P_PRICE_HIGH_PR(0,,,,,,""PRICE"",""INTRA"",""52W"")")</f>
        <v>0.92294043000000003</v>
      </c>
      <c r="R23" s="9" cm="1">
        <f t="array" ref="R23">_xll.FDS(C23,"P_PRICE(0)/P_PRICE_low_PR(0,,,,,,""PRICE"",""INTRA"",""52W"")-1")</f>
        <v>0.14940619999999999</v>
      </c>
      <c r="S23" s="3" cm="1">
        <f t="array" ref="S23">_xll.FDS(C23,"FG_TOTAL_RETURNC(0,-12AM)")</f>
        <v>13.179898</v>
      </c>
      <c r="T23" s="4" cm="1">
        <f t="array" ref="T23">_xlfn.PERCENTRANK.EXC(_xlfn._xlws.FILTER($R$3:$R$23, ISNUMBER($R$3:$R$23)),R23)*100</f>
        <v>31.8</v>
      </c>
      <c r="U23" s="4">
        <f t="shared" si="3"/>
        <v>68.2</v>
      </c>
      <c r="V23" s="4" cm="1">
        <f t="array" ref="V23">_xlfn.PERCENTRANK.EXC(_xlfn._xlws.FILTER($Q$3:$Q$23, ISNUMBER($Q$3:$Q$23)),Q23)*100</f>
        <v>50</v>
      </c>
      <c r="W23" s="4" cm="1">
        <f t="array" ref="W23">_xlfn.PERCENTRANK.EXC(_xlfn._xlws.FILTER($O$3:$O$23, ISNUMBER($O$3:$O$23)),O23)*100</f>
        <v>50</v>
      </c>
      <c r="X23" s="4" cm="1">
        <f t="array" ref="X23">_xlfn.PERCENTRANK.EXC(_xlfn._xlws.FILTER($P$3:$P$23, ISNUMBER($P$3:$P$23)),P23)*100</f>
        <v>22.7</v>
      </c>
      <c r="Y23" s="200" cm="1">
        <f t="array" ref="Y23">_xlfn.PERCENTRANK.EXC(_xlfn._xlws.FILTER($S$3:$S$23, ISNUMBER($S$3:$S$23)),S23)*100</f>
        <v>50</v>
      </c>
      <c r="Z23" s="4" cm="1">
        <f t="array" ref="Z23">_xlfn.PERCENTRANK.EXC(_xlfn._xlws.FILTER($K$3:$K$23, ISNUMBER($K$3:$K$23)),K23)*100</f>
        <v>18.099999999999998</v>
      </c>
      <c r="AA23" s="4" cm="1">
        <f t="array" ref="AA23">_xlfn.PERCENTRANK.EXC(_xlfn._xlws.FILTER($H$3:$H$23, ISNUMBER($H$3:$H$23)),H23)*100</f>
        <v>31.8</v>
      </c>
      <c r="AB23" s="4" cm="1">
        <f t="array" ref="AB23">_xlfn.PERCENTRANK.EXC(_xlfn._xlws.FILTER($J$3:$J$23, ISNUMBER($J$3:$J$23)),J23)*100</f>
        <v>22.7</v>
      </c>
      <c r="AC23" s="4">
        <f t="shared" si="4"/>
        <v>31.8</v>
      </c>
      <c r="AD23" s="4">
        <f t="shared" si="5"/>
        <v>40.9</v>
      </c>
      <c r="AE23" s="4">
        <f t="shared" si="6"/>
        <v>81.8</v>
      </c>
      <c r="AF23" s="4">
        <f>'Economic Momentum'!Q24</f>
        <v>90.9</v>
      </c>
      <c r="AG23" s="4">
        <f ca="1">'Economic Momentum'!R24</f>
        <v>50</v>
      </c>
      <c r="AH23" s="4">
        <f t="shared" ca="1" si="7"/>
        <v>41.81</v>
      </c>
      <c r="AJ23" s="3" cm="1">
        <f t="array" aca="1" ref="AJ23" ca="1">_xlfn.PERCENTRANK.EXC(_xlfn._xlws.FILTER($AH$3:$AH$23, ISNUMBER($AH$3:$AH$23)),AH23)*100</f>
        <v>36.299999999999997</v>
      </c>
      <c r="AK23">
        <f t="shared" si="8"/>
        <v>0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427</v>
      </c>
      <c r="F30" cm="1">
        <f t="array" ref="F30">_xll.FDS(C30,"FMA_COS_DOWN(""EPS"",""1M"",+1,NOW,,,""PORTAGG"",""MEANR"")")</f>
        <v>601</v>
      </c>
      <c r="G30" cm="1">
        <f t="array" ref="G30">_xll.FDS(A30,"SIZE(FG_CONSTITUENTS)")</f>
        <v>1284</v>
      </c>
      <c r="H30" s="9">
        <f>E30/$G30</f>
        <v>0.3325545171339564</v>
      </c>
      <c r="I30" s="9">
        <f>F30/$G30</f>
        <v>0.4680685358255452</v>
      </c>
      <c r="J30" s="9">
        <f t="shared" ref="J30" si="9">H30-I30</f>
        <v>-0.1355140186915888</v>
      </c>
      <c r="K30" s="5" cm="1">
        <f t="array" ref="K30">_xll.FDS(A30,"FMA_PCT_ABOVE_MAVG(200,0,,,,""PORTAGG"")")/100</f>
        <v>0.63370253164557</v>
      </c>
      <c r="L30" s="41" cm="1">
        <f t="array" ref="L30">_xll.FDSB(A30,"PERCENT_CHANGE(FMA_EPS(+1,0,,,,""PORTAGG"",""MEAN""),FMA_EPS(+1,-1AM,,,,""PORTAGG"",""MEAN""))")</f>
        <v>0</v>
      </c>
      <c r="M30" s="41" cm="1">
        <f t="array" ref="M30">_xll.FDSB(A30,"PERCENT_CHANGE(FMA_EPS(+1,0,,,,""PORTAGG"",""MEAN""),FMA_EPS(+1,-3AM,,,,""PORTAGG"",""MEAN""))")</f>
        <v>-0.12778129280666001</v>
      </c>
      <c r="O30" s="3" cm="1">
        <f t="array" ref="O30">_xll.FDS(C30,"FG_TOTAL_RETURNC(0,-3AM)")</f>
        <v>1.5499711</v>
      </c>
      <c r="P30" s="3" cm="1">
        <f t="array" ref="P30">_xll.FDS(C30,"FG_TOTAL_RETURNC(0,-6AM)")</f>
        <v>6.5093636999999998</v>
      </c>
      <c r="Q30" s="9" cm="1">
        <f t="array" ref="Q30">_xll.FDS(C30,"P_PRICE(0)/P_PRICE_HIGH_PR(0,,,,,,""PRICE"",""INTRA"",""52W"")")</f>
        <v>0.96059930000000004</v>
      </c>
      <c r="R30" s="9" cm="1">
        <f t="array" ref="R30">_xll.FDS(C30,"P_PRICE(0)/P_PRICE_low_PR(0,,,,,,""PRICE"",""INTRA"",""52W"")-1")</f>
        <v>0.25753713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1023</v>
      </c>
      <c r="F31" cm="1">
        <f t="array" ref="F31">_xll.FDS(C31,"FMA_COS_DOWN(""EPS"",""1M"",+1,NOW,,,""PORTAGG"",""MEANR"")")</f>
        <v>1673</v>
      </c>
      <c r="G31" cm="1">
        <f t="array" ref="G31">_xll.FDS(A31,"SIZE(FG_CONSTITUENTS)")</f>
        <v>4847</v>
      </c>
      <c r="H31" s="9">
        <f>E31/$G31</f>
        <v>0.2110583866309057</v>
      </c>
      <c r="I31" s="9">
        <f>F31/$G31</f>
        <v>0.34516195584897874</v>
      </c>
      <c r="J31" s="9">
        <f t="shared" ref="J31" si="10">H31-I31</f>
        <v>-0.13410356921807304</v>
      </c>
      <c r="K31" s="5" cm="1">
        <f t="array" ref="K31">_xll.FDS(A31,"FMA_PCT_ABOVE_MAVG(200,0,,,,""PORTAGG"")")/100</f>
        <v>0.36883336862163901</v>
      </c>
      <c r="L31" s="41" cm="1">
        <f t="array" ref="L31">_xll.FDSB(A31,"PERCENT_CHANGE(FMA_EPS(+1,0,,,,""PORTAGG"",""MEAN""),FMA_EPS(+1,-1AM,,,,""PORTAGG"",""MEAN""))")</f>
        <v>0</v>
      </c>
      <c r="M31" s="41" cm="1">
        <f t="array" ref="M31">_xll.FDSB(A31,"PERCENT_CHANGE(FMA_EPS(+1,0,,,,""PORTAGG"",""MEAN""),FMA_EPS(+1,-3AM,,,,""PORTAGG"",""MEAN""))")</f>
        <v>0.98328313608512297</v>
      </c>
      <c r="O31" s="3" cm="1">
        <f t="array" ref="O31">_xll.FDS(C31,"FG_TOTAL_RETURNC(0,-3AM)")</f>
        <v>6.4887404000000002</v>
      </c>
      <c r="P31" s="3" cm="1">
        <f t="array" ref="P31">_xll.FDS(C31,"FG_TOTAL_RETURNC(0,-6AM)")</f>
        <v>13.854778</v>
      </c>
      <c r="Q31" s="9" cm="1">
        <f t="array" ref="Q31">_xll.FDS(C31,"P_PRICE(0)/P_PRICE_HIGH_PR(0,,,,,,""PRICE"",""INTRA"",""52W"")")</f>
        <v>0.96449470000000004</v>
      </c>
      <c r="R31" s="9" cm="1">
        <f t="array" ref="R31">_xll.FDS(C31,"P_PRICE(0)/P_PRICE_low_PR(0,,,,,,""PRICE"",""INTRA"",""52W"")-1")</f>
        <v>0.27646505999999998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461</v>
      </c>
      <c r="F32" cm="1">
        <f t="array" ref="F32">_xll.FDS(C32,"FMA_COS_DOWN(""EPS"",""1M"",+1,NOW,,,""PORTAGG"",""MEANR"")")</f>
        <v>565</v>
      </c>
      <c r="G32" cm="1">
        <f t="array" ref="G32">_xll.FDS(A32,"SIZE(FG_CONSTITUENTS)")</f>
        <v>1412</v>
      </c>
      <c r="H32" s="9">
        <f t="shared" ref="H32" si="12">E32/$G32</f>
        <v>0.32648725212464591</v>
      </c>
      <c r="I32" s="9">
        <f t="shared" ref="I32" si="13">F32/$G32</f>
        <v>0.40014164305949007</v>
      </c>
      <c r="J32" s="9">
        <f t="shared" ref="J32" si="14">H32-I32</f>
        <v>-7.3654390934844161E-2</v>
      </c>
      <c r="K32" s="5" cm="1">
        <f t="array" ref="K32">_xll.FDS(A32,"FMA_PCT_ABOVE_MAVG(200,0,,,,""PORTAGG"")")/100</f>
        <v>0.67093105899076089</v>
      </c>
      <c r="L32" s="41" cm="1">
        <f t="array" ref="L32">_xll.FDSB(A32,"PERCENT_CHANGE(FMA_EPS(+1,0,,,,""PORTAGG"",""MEAN""),FMA_EPS(+1,-1AM,,,,""PORTAGG"",""MEAN""))")</f>
        <v>-0.39978104702301698</v>
      </c>
      <c r="M32" s="41" cm="1">
        <f t="array" ref="M32">_xll.FDSB(A32,"PERCENT_CHANGE(FMA_EPS(+1,0,,,,""PORTAGG"",""MEAN""),FMA_EPS(+1,-3AM,,,,""PORTAGG"",""MEAN""))")</f>
        <v>0.56430214420676805</v>
      </c>
      <c r="O32" s="3" cm="1">
        <f t="array" ref="O32">_xll.FDS(C32,"FG_TOTAL_RETURNC(0,-3AM)")</f>
        <v>3.0390739999999998</v>
      </c>
      <c r="P32" s="3" cm="1">
        <f t="array" ref="P32">_xll.FDS(C32,"FG_TOTAL_RETURNC(0,-6AM)")</f>
        <v>11.020994</v>
      </c>
      <c r="Q32" s="9" cm="1">
        <f t="array" ref="Q32">_xll.FDS(C32,"P_PRICE(0)/P_PRICE_HIGH_PR(0,,,,,,""PRICE"",""INTRA"",""52W"")")</f>
        <v>0.99526643999999997</v>
      </c>
      <c r="R32" s="9" cm="1">
        <f t="array" ref="R32">_xll.FDS(C32,"P_PRICE(0)/P_PRICE_low_PR(0,,,,,,""PRICE"",""INTRA"",""52W"")-1")</f>
        <v>0.36564957999999997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80</v>
      </c>
      <c r="F33" cm="1">
        <f t="array" ref="F33">_xll.FDS(C33,"FMA_COS_DOWN(""EPS"",""1M"",+1,NOW,,,""PORTAGG"",""MEANR"")")</f>
        <v>80</v>
      </c>
      <c r="G33" cm="1">
        <f t="array" ref="G33">_xll.FDS(A33,"SIZE(FG_CONSTITUENTS)")</f>
        <v>199</v>
      </c>
      <c r="H33" s="9">
        <f t="shared" ref="H33:H34" si="16">E33/$G33</f>
        <v>0.4020100502512563</v>
      </c>
      <c r="I33" s="9">
        <f t="shared" ref="I33:I34" si="17">F33/$G33</f>
        <v>0.4020100502512563</v>
      </c>
      <c r="J33" s="9">
        <f t="shared" ref="J33:J34" si="18">H33-I33</f>
        <v>0</v>
      </c>
      <c r="K33" s="5" cm="1">
        <f t="array" ref="K33">_xll.FDS(A33,"FMA_PCT_ABOVE_MAVG(200,0,,,,""PORTAGG"")")/100</f>
        <v>0.542713567839196</v>
      </c>
      <c r="L33" s="41" cm="1">
        <f t="array" ref="L33">_xll.FDSB(A33,"PERCENT_CHANGE(FMA_EPS(+1,0,,,,""PORTAGG"",""MEAN""),FMA_EPS(+1,-1AM,,,,""PORTAGG"",""MEAN""))")</f>
        <v>-3.5605451622122799</v>
      </c>
      <c r="M33" s="41" cm="1">
        <f t="array" ref="M33">_xll.FDSB(A33,"PERCENT_CHANGE(FMA_EPS(+1,0,,,,""PORTAGG"",""MEAN""),FMA_EPS(+1,-3AM,,,,""PORTAGG"",""MEAN""))")</f>
        <v>8.1460404025002298</v>
      </c>
      <c r="O33" s="3" cm="1">
        <f t="array" ref="O33">_xll.FDS(C33,"FG_TOTAL_RETURNC(0,-3AM)")</f>
        <v>-0.53310394000000005</v>
      </c>
      <c r="P33" s="3" cm="1">
        <f t="array" ref="P33">_xll.FDS(C33,"FG_TOTAL_RETURNC(0,-6AM)")</f>
        <v>2.9545664999999999</v>
      </c>
      <c r="Q33" s="9" cm="1">
        <f t="array" ref="Q33">_xll.FDS(C33,"P_PRICE(0)/P_PRICE_HIGH_PR(0,,,,,,""PRICE"",""INTRA"",""52W"")")</f>
        <v>0.96805030000000003</v>
      </c>
      <c r="R33" s="9" cm="1">
        <f t="array" ref="R33">_xll.FDS(C33,"P_PRICE(0)/P_PRICE_low_PR(0,,,,,,""PRICE"",""INTRA"",""52W"")-1")</f>
        <v>0.23951053999999999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144</v>
      </c>
      <c r="F34" cm="1">
        <f t="array" ref="F34">_xll.FDS(C34,"FMA_COS_DOWN(""EPS"",""1M"",+1,NOW,,,""PORTAGG"",""MEANR"")")</f>
        <v>194</v>
      </c>
      <c r="G34" cm="1">
        <f t="array" ref="G34">_xll.FDS(A34,"SIZE(FG_CONSTITUENTS)")</f>
        <v>503</v>
      </c>
      <c r="H34" s="9">
        <f t="shared" si="16"/>
        <v>0.28628230616302186</v>
      </c>
      <c r="I34" s="9">
        <f t="shared" si="17"/>
        <v>0.38568588469184889</v>
      </c>
      <c r="J34" s="9">
        <f t="shared" si="18"/>
        <v>-9.940357852882703E-2</v>
      </c>
      <c r="K34" s="5" cm="1">
        <f t="array" ref="K34">_xll.FDS(A34,"FMA_PCT_ABOVE_MAVG(200,0,,,,""PORTAGG"")")/100</f>
        <v>0.72799999999999998</v>
      </c>
      <c r="L34" s="41" cm="1">
        <f t="array" ref="L34">_xll.FDSB(A34,"PERCENT_CHANGE(FMA_EPS(+1,0,,,,""PORTAGG"",""MEAN""),FMA_EPS(+1,-1AM,,,,""PORTAGG"",""MEAN""))")</f>
        <v>-1.18526631329981</v>
      </c>
      <c r="M34" s="41" cm="1">
        <f t="array" ref="M34">_xll.FDSB(A34,"PERCENT_CHANGE(FMA_EPS(+1,0,,,,""PORTAGG"",""MEAN""),FMA_EPS(+1,-3AM,,,,""PORTAGG"",""MEAN""))")</f>
        <v>-1.39572403423461</v>
      </c>
      <c r="O34" s="3" cm="1">
        <f t="array" ref="O34">_xll.FDS(C34,"FG_TOTAL_RETURNC(0,-3AM)")</f>
        <v>2.9537081999999999</v>
      </c>
      <c r="P34" s="3" cm="1">
        <f t="array" ref="P34">_xll.FDS(C34,"FG_TOTAL_RETURNC(0,-6AM)")</f>
        <v>12.768734</v>
      </c>
      <c r="Q34" s="9" cm="1">
        <f t="array" ref="Q34">_xll.FDS(C34,"P_PRICE(0)/P_PRICE_HIGH_PR(0,,,,,,""PRICE"",""INTRA"",""52W"")")</f>
        <v>0.99726504000000005</v>
      </c>
      <c r="R34" s="9" cm="1">
        <f t="array" ref="R34">_xll.FDS(C34,"P_PRICE(0)/P_PRICE_low_PR(0,,,,,,""PRICE"",""INTRA"",""52W"")-1")</f>
        <v>0.40790796000000001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-0.16202276000000002</v>
      </c>
      <c r="E4" s="9">
        <f>HLOOKUP(B4,'Monthly Returns'!$A$1:$AC$134, 132, FALSE)</f>
        <v>0.15151515151515152</v>
      </c>
      <c r="H4" s="9">
        <f>HLOOKUP(B4,'Yearly returns'!$B$1:$V$140, 133, FALSE)</f>
        <v>0.39772727272727271</v>
      </c>
      <c r="I4" s="9">
        <f>HLOOKUP(B4,'Yearly returns'!$B$1:$V$140, 138, FALSE)</f>
        <v>0.59499999999999997</v>
      </c>
      <c r="L4" s="47">
        <f t="shared" ref="L4:L24" si="0">(1-PERCENTRANK($E$4:$E$24,E4))*100</f>
        <v>70</v>
      </c>
      <c r="M4" s="47">
        <f t="shared" ref="M4:M24" si="1">(1-PERCENTRANK($H$4:$H$24,H4))*100</f>
        <v>9.9999999999999982</v>
      </c>
      <c r="N4" s="47">
        <f t="shared" ref="N4:N24" si="2">(1-PERCENTRANK($I$4:$I$24,I4))*100</f>
        <v>65</v>
      </c>
      <c r="P4">
        <f>L4*Assumption!$E$53 + M4*Assumption!$F$53 + N4*Assumption!$G$53</f>
        <v>52.5</v>
      </c>
      <c r="R4" cm="1">
        <f t="array" ref="R4">_xlfn.PERCENTRANK.EXC(_xlfn._xlws.FILTER(P$4:P$24, ISNUMBER(P$4:P$24)),P4)*100</f>
        <v>45.4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-0.15663033499999998</v>
      </c>
      <c r="E5" s="9">
        <f>HLOOKUP(B5,'Monthly Returns'!$A$1:$AC$134, 132, FALSE)</f>
        <v>0.21487603305785125</v>
      </c>
      <c r="H5" s="9">
        <f>HLOOKUP(B5,'Yearly returns'!$B$1:$V$140, 133, FALSE)</f>
        <v>0.39669421487603307</v>
      </c>
      <c r="I5" s="9">
        <f>HLOOKUP(B5,'Yearly returns'!$B$1:$V$140, 138, FALSE)</f>
        <v>0.68</v>
      </c>
      <c r="L5" s="47">
        <f t="shared" si="0"/>
        <v>30.000000000000004</v>
      </c>
      <c r="M5" s="47">
        <f t="shared" si="1"/>
        <v>15.000000000000002</v>
      </c>
      <c r="N5" s="47">
        <f t="shared" si="2"/>
        <v>50</v>
      </c>
      <c r="P5">
        <f>L5*Assumption!$E$53 + M5*Assumption!$F$53 + N5*Assumption!$G$53</f>
        <v>36.25</v>
      </c>
      <c r="R5" cm="1">
        <f t="array" ref="R5">_xlfn.PERCENTRANK.EXC(_xlfn._xlws.FILTER(P$4:P$24, ISNUMBER(P$4:P$24)),P5)*100</f>
        <v>27.200000000000003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-0.25520579999999998</v>
      </c>
      <c r="E6" s="9">
        <f>HLOOKUP(B6,'Monthly Returns'!$A$1:$AC$134, 132, FALSE)</f>
        <v>0.20661157024793389</v>
      </c>
      <c r="H6" s="9">
        <f>HLOOKUP(B6,'Yearly returns'!$B$1:$V$140, 133, FALSE)</f>
        <v>0.2231404958677686</v>
      </c>
      <c r="I6" s="9">
        <f>HLOOKUP(B6,'Yearly returns'!$B$1:$V$140, 138, FALSE)</f>
        <v>0.58099999999999996</v>
      </c>
      <c r="L6" s="47">
        <f t="shared" si="0"/>
        <v>35</v>
      </c>
      <c r="M6" s="47">
        <f t="shared" si="1"/>
        <v>80</v>
      </c>
      <c r="N6" s="47">
        <f t="shared" si="2"/>
        <v>75</v>
      </c>
      <c r="P6">
        <f>L6*Assumption!$E$53 + M6*Assumption!$F$53 + N6*Assumption!$G$53</f>
        <v>66.25</v>
      </c>
      <c r="R6" cm="1">
        <f t="array" ref="R6">_xlfn.PERCENTRANK.EXC(_xlfn._xlws.FILTER(P$4:P$24, ISNUMBER(P$4:P$24)),P6)*100</f>
        <v>81.8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-0.15853220000000001</v>
      </c>
      <c r="E7" s="9">
        <f>HLOOKUP(B7,'Monthly Returns'!$A$1:$AC$134, 132, FALSE)</f>
        <v>0.18181818181818182</v>
      </c>
      <c r="H7" s="9">
        <f>HLOOKUP(B7,'Yearly returns'!$B$1:$V$140, 133, FALSE)</f>
        <v>0.26446280991735538</v>
      </c>
      <c r="I7" s="9">
        <f>HLOOKUP(B7,'Yearly returns'!$B$1:$V$140, 138, FALSE)</f>
        <v>0.90900000000000003</v>
      </c>
      <c r="L7" s="47">
        <f t="shared" si="0"/>
        <v>60</v>
      </c>
      <c r="M7" s="47">
        <f t="shared" si="1"/>
        <v>60</v>
      </c>
      <c r="N7" s="47">
        <f t="shared" si="2"/>
        <v>15.000000000000002</v>
      </c>
      <c r="P7">
        <f>L7*Assumption!$E$53 + M7*Assumption!$F$53 + N7*Assumption!$G$53</f>
        <v>37.5</v>
      </c>
      <c r="R7" cm="1">
        <f t="array" ref="R7">_xlfn.PERCENTRANK.EXC(_xlfn._xlws.FILTER(P$4:P$24, ISNUMBER(P$4:P$24)),P7)*100</f>
        <v>31.8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-0.19592994999999999</v>
      </c>
      <c r="E8" s="9">
        <f>HLOOKUP(B8,'Monthly Returns'!$A$1:$AC$134, 132, FALSE)</f>
        <v>0.21487603305785125</v>
      </c>
      <c r="H8" s="9">
        <f>HLOOKUP(B8,'Yearly returns'!$B$1:$V$140, 133, FALSE)</f>
        <v>0.42975206611570249</v>
      </c>
      <c r="I8" s="9">
        <f>HLOOKUP(B8,'Yearly returns'!$B$1:$V$140, 138, FALSE)</f>
        <v>0.84399999999999997</v>
      </c>
      <c r="L8" s="47">
        <f t="shared" si="0"/>
        <v>30.000000000000004</v>
      </c>
      <c r="M8" s="47">
        <f t="shared" si="1"/>
        <v>5.0000000000000044</v>
      </c>
      <c r="N8" s="47">
        <f t="shared" si="2"/>
        <v>30.000000000000004</v>
      </c>
      <c r="P8">
        <f>L8*Assumption!$E$53 + M8*Assumption!$F$53 + N8*Assumption!$G$53</f>
        <v>23.750000000000004</v>
      </c>
      <c r="R8" cm="1">
        <f t="array" ref="R8">_xlfn.PERCENTRANK.EXC(_xlfn._xlws.FILTER(P$4:P$24, ISNUMBER(P$4:P$24)),P8)*100</f>
        <v>9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-0.2225886</v>
      </c>
      <c r="E9" s="9">
        <f>HLOOKUP(B9,'Monthly Returns'!$A$1:$AC$134, 132, FALSE)</f>
        <v>0.19008264462809918</v>
      </c>
      <c r="H9" s="9">
        <f>HLOOKUP(B9,'Yearly returns'!$B$1:$V$140, 133, FALSE)</f>
        <v>0.23966942148760331</v>
      </c>
      <c r="I9" s="9">
        <f>HLOOKUP(B9,'Yearly returns'!$B$1:$V$140, 138, FALSE)</f>
        <v>0.96699999999999997</v>
      </c>
      <c r="L9" s="47">
        <f t="shared" si="0"/>
        <v>50</v>
      </c>
      <c r="M9" s="49">
        <f t="shared" si="1"/>
        <v>75</v>
      </c>
      <c r="N9" s="47">
        <f t="shared" si="2"/>
        <v>5.0000000000000044</v>
      </c>
      <c r="P9">
        <f>L9*Assumption!$E$53 + M9*Assumption!$F$53 + N9*Assumption!$G$53</f>
        <v>33.75</v>
      </c>
      <c r="R9" cm="1">
        <f t="array" ref="R9">_xlfn.PERCENTRANK.EXC(_xlfn._xlws.FILTER(P$4:P$24, ISNUMBER(P$4:P$24)),P9)*100</f>
        <v>22.7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-0.11497325</v>
      </c>
      <c r="E10" s="9">
        <f>HLOOKUP(B10,'Monthly Returns'!$A$1:$AC$134, 132, FALSE)</f>
        <v>0.17355371900826447</v>
      </c>
      <c r="H10" s="9">
        <f>HLOOKUP(B10,'Yearly returns'!$B$1:$V$140, 133, FALSE)</f>
        <v>0.256198347107438</v>
      </c>
      <c r="I10" s="9">
        <f>HLOOKUP(B10,'Yearly returns'!$B$1:$V$140, 138, FALSE)</f>
        <v>0.99099999999999999</v>
      </c>
      <c r="L10" s="47">
        <f t="shared" si="0"/>
        <v>65</v>
      </c>
      <c r="M10" s="47">
        <f t="shared" si="1"/>
        <v>65</v>
      </c>
      <c r="N10" s="47">
        <f t="shared" si="2"/>
        <v>0</v>
      </c>
      <c r="P10">
        <f>L10*Assumption!$E$53 + M10*Assumption!$F$53 + N10*Assumption!$G$53</f>
        <v>32.5</v>
      </c>
      <c r="R10" cm="1">
        <f t="array" ref="R10">_xlfn.PERCENTRANK.EXC(_xlfn._xlws.FILTER(P$4:P$24, ISNUMBER(P$4:P$24)),P10)*100</f>
        <v>18.099999999999998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-0.13696968000000001</v>
      </c>
      <c r="E11" s="9">
        <f>HLOOKUP(B11,'Monthly Returns'!$A$1:$AC$134, 132, FALSE)</f>
        <v>0.11570247933884298</v>
      </c>
      <c r="H11" s="9">
        <f>HLOOKUP(B11,'Yearly returns'!$B$1:$V$140, 133, FALSE)</f>
        <v>0.18181818181818182</v>
      </c>
      <c r="I11" s="9">
        <f>HLOOKUP(B11,'Yearly returns'!$B$1:$V$140, 138, FALSE)</f>
        <v>0.86799999999999999</v>
      </c>
      <c r="L11" s="47">
        <f t="shared" si="0"/>
        <v>85</v>
      </c>
      <c r="M11" s="47">
        <f t="shared" si="1"/>
        <v>90</v>
      </c>
      <c r="N11" s="47">
        <f t="shared" si="2"/>
        <v>19.999999999999996</v>
      </c>
      <c r="P11">
        <f>L11*Assumption!$E$53 + M11*Assumption!$F$53 + N11*Assumption!$G$53</f>
        <v>53.75</v>
      </c>
      <c r="R11" cm="1">
        <f t="array" ref="R11">_xlfn.PERCENTRANK.EXC(_xlfn._xlws.FILTER(P$4:P$24, ISNUMBER(P$4:P$24)),P11)*100</f>
        <v>54.500000000000007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-0.25079536000000002</v>
      </c>
      <c r="E12" s="9">
        <f>HLOOKUP(B12,'Monthly Returns'!$A$1:$AC$134, 132, FALSE)</f>
        <v>0.21487603305785125</v>
      </c>
      <c r="H12" s="9">
        <f>HLOOKUP(B12,'Yearly returns'!$B$1:$V$140, 133, FALSE)</f>
        <v>0.24793388429752067</v>
      </c>
      <c r="I12" s="9">
        <f>HLOOKUP(B12,'Yearly returns'!$B$1:$V$140, 138, FALSE)</f>
        <v>0.51600000000000001</v>
      </c>
      <c r="L12" s="47">
        <f t="shared" si="0"/>
        <v>30.000000000000004</v>
      </c>
      <c r="M12" s="47">
        <f t="shared" si="1"/>
        <v>70</v>
      </c>
      <c r="N12" s="47">
        <f t="shared" si="2"/>
        <v>85</v>
      </c>
      <c r="P12">
        <f>L12*Assumption!$E$53 + M12*Assumption!$F$53 + N12*Assumption!$G$53</f>
        <v>67.5</v>
      </c>
      <c r="R12" cm="1">
        <f t="array" ref="R12">_xlfn.PERCENTRANK.EXC(_xlfn._xlws.FILTER(P$4:P$24, ISNUMBER(P$4:P$24)),P12)*100</f>
        <v>86.3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-0.12802142</v>
      </c>
      <c r="E13" s="9">
        <f>HLOOKUP(B13,'Monthly Returns'!$A$1:$AC$134, 132, FALSE)</f>
        <v>0.19008264462809918</v>
      </c>
      <c r="H13" s="9">
        <f>HLOOKUP(B13,'Yearly returns'!$B$1:$V$140, 133, FALSE)</f>
        <v>0.31404958677685951</v>
      </c>
      <c r="I13" s="9">
        <f>HLOOKUP(B13,'Yearly returns'!$B$1:$V$140, 138, FALSE)</f>
        <v>0.66300000000000003</v>
      </c>
      <c r="L13" s="47">
        <f t="shared" si="0"/>
        <v>50</v>
      </c>
      <c r="M13" s="47">
        <f t="shared" si="1"/>
        <v>40</v>
      </c>
      <c r="N13" s="47">
        <f t="shared" si="2"/>
        <v>60</v>
      </c>
      <c r="P13">
        <f>L13*Assumption!$E$53 + M13*Assumption!$F$53 + N13*Assumption!$G$53</f>
        <v>52.5</v>
      </c>
      <c r="R13" cm="1">
        <f t="array" ref="R13">_xlfn.PERCENTRANK.EXC(_xlfn._xlws.FILTER(P$4:P$24, ISNUMBER(P$4:P$24)),P13)*100</f>
        <v>45.4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-0.23679923999999999</v>
      </c>
      <c r="E14" s="9">
        <f>HLOOKUP(B14,'Monthly Returns'!$A$1:$AC$134, 132, FALSE)</f>
        <v>0.27272727272727271</v>
      </c>
      <c r="H14" s="9">
        <f>HLOOKUP(B14,'Yearly returns'!$B$1:$V$140, 133, FALSE)</f>
        <v>0.33057851239669422</v>
      </c>
      <c r="I14" s="9">
        <f>HLOOKUP(B14,'Yearly returns'!$B$1:$V$140, 138, FALSE)</f>
        <v>0.442</v>
      </c>
      <c r="L14" s="47">
        <f t="shared" si="0"/>
        <v>5.0000000000000044</v>
      </c>
      <c r="M14" s="47">
        <f t="shared" si="1"/>
        <v>30.000000000000004</v>
      </c>
      <c r="N14" s="47">
        <f t="shared" si="2"/>
        <v>95</v>
      </c>
      <c r="P14">
        <f>L14*Assumption!$E$53 + M14*Assumption!$F$53 + N14*Assumption!$G$53</f>
        <v>56.25</v>
      </c>
      <c r="R14" cm="1">
        <f t="array" ref="R14">_xlfn.PERCENTRANK.EXC(_xlfn._xlws.FILTER(P$4:P$24, ISNUMBER(P$4:P$24)),P14)*100</f>
        <v>59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-0.21169775000000002</v>
      </c>
      <c r="E15" s="9">
        <f>HLOOKUP(B15,'Monthly Returns'!$A$1:$AC$134, 132, FALSE)</f>
        <v>0.21487603305785125</v>
      </c>
      <c r="H15" s="9">
        <f>HLOOKUP(B15,'Yearly returns'!$B$1:$V$140, 133, FALSE)</f>
        <v>0.2975206611570248</v>
      </c>
      <c r="I15" s="9">
        <f>HLOOKUP(B15,'Yearly returns'!$B$1:$V$140, 138, FALSE)</f>
        <v>0.90900000000000003</v>
      </c>
      <c r="L15" s="47">
        <f t="shared" si="0"/>
        <v>30.000000000000004</v>
      </c>
      <c r="M15" s="47">
        <f t="shared" si="1"/>
        <v>44.999999999999993</v>
      </c>
      <c r="N15" s="47">
        <f t="shared" si="2"/>
        <v>15.000000000000002</v>
      </c>
      <c r="P15">
        <f>L15*Assumption!$E$53 + M15*Assumption!$F$53 + N15*Assumption!$G$53</f>
        <v>26.25</v>
      </c>
      <c r="R15" cm="1">
        <f t="array" ref="R15">_xlfn.PERCENTRANK.EXC(_xlfn._xlws.FILTER(P$4:P$24, ISNUMBER(P$4:P$24)),P15)*100</f>
        <v>13.600000000000001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-0.28275107999999999</v>
      </c>
      <c r="E16" s="9">
        <f>HLOOKUP(B16,'Monthly Returns'!$A$1:$AC$134, 132, FALSE)</f>
        <v>0.23966942148760331</v>
      </c>
      <c r="H16" s="9">
        <f>HLOOKUP(B16,'Yearly returns'!$B$1:$V$140, 133, FALSE)</f>
        <v>0.42975206611570249</v>
      </c>
      <c r="I16" s="9">
        <f>HLOOKUP(B16,'Yearly returns'!$B$1:$V$140, 138, FALSE)</f>
        <v>0.73699999999999999</v>
      </c>
      <c r="L16" s="47">
        <f t="shared" si="0"/>
        <v>9.9999999999999982</v>
      </c>
      <c r="M16" s="47">
        <f t="shared" si="1"/>
        <v>5.0000000000000044</v>
      </c>
      <c r="N16" s="47">
        <f t="shared" si="2"/>
        <v>40</v>
      </c>
      <c r="P16">
        <f>L16*Assumption!$E$53 + M16*Assumption!$F$53 + N16*Assumption!$G$53</f>
        <v>23.75</v>
      </c>
      <c r="R16" cm="1">
        <f t="array" ref="R16">_xlfn.PERCENTRANK.EXC(_xlfn._xlws.FILTER(P$4:P$24, ISNUMBER(P$4:P$24)),P16)*100</f>
        <v>4.5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-0.15011353</v>
      </c>
      <c r="E17" s="9">
        <f>HLOOKUP(B17,'Monthly Returns'!$A$1:$AC$134, 132, FALSE)</f>
        <v>0.11570247933884298</v>
      </c>
      <c r="H17" s="9">
        <f>HLOOKUP(B17,'Yearly returns'!$B$1:$V$140, 133, FALSE)</f>
        <v>0.14049586776859505</v>
      </c>
      <c r="I17" s="9">
        <f>HLOOKUP(B17,'Yearly returns'!$B$1:$V$140, 138, FALSE)</f>
        <v>0.84399999999999997</v>
      </c>
      <c r="L17" s="47">
        <f t="shared" si="0"/>
        <v>85</v>
      </c>
      <c r="M17" s="47">
        <f t="shared" si="1"/>
        <v>95</v>
      </c>
      <c r="N17" s="47">
        <f t="shared" si="2"/>
        <v>30.000000000000004</v>
      </c>
      <c r="P17">
        <f>L17*Assumption!$E$53 + M17*Assumption!$F$53 + N17*Assumption!$G$53</f>
        <v>60</v>
      </c>
      <c r="R17" cm="1">
        <f t="array" ref="R17">_xlfn.PERCENTRANK.EXC(_xlfn._xlws.FILTER(P$4:P$24, ISNUMBER(P$4:P$24)),P17)*100</f>
        <v>68.100000000000009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-0.19086610000000001</v>
      </c>
      <c r="E18" s="9">
        <f>HLOOKUP(B18,'Monthly Returns'!$A$1:$AC$134, 132, FALSE)</f>
        <v>0.19834710743801653</v>
      </c>
      <c r="H18" s="9">
        <f>HLOOKUP(B18,'Yearly returns'!$B$1:$V$140, 133, FALSE)</f>
        <v>0.31404958677685951</v>
      </c>
      <c r="I18" s="9">
        <f>HLOOKUP(B18,'Yearly returns'!$B$1:$V$140, 138, FALSE)</f>
        <v>0.72899999999999998</v>
      </c>
      <c r="L18" s="47">
        <f t="shared" si="0"/>
        <v>40</v>
      </c>
      <c r="M18" s="47">
        <f t="shared" si="1"/>
        <v>40</v>
      </c>
      <c r="N18" s="47">
        <f t="shared" si="2"/>
        <v>44.999999999999993</v>
      </c>
      <c r="P18">
        <f>L18*Assumption!$E$53 + M18*Assumption!$F$53 + N18*Assumption!$G$53</f>
        <v>42.5</v>
      </c>
      <c r="R18" cm="1">
        <f t="array" ref="R18">_xlfn.PERCENTRANK.EXC(_xlfn._xlws.FILTER(P$4:P$24, ISNUMBER(P$4:P$24)),P18)*100</f>
        <v>36.299999999999997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-0.14523399000000001</v>
      </c>
      <c r="E19" s="9">
        <f>HLOOKUP(B19,'Monthly Returns'!$A$1:$AC$134, 132, FALSE)</f>
        <v>0.12396694214876033</v>
      </c>
      <c r="H19" s="9">
        <f>HLOOKUP(B19,'Yearly returns'!$B$1:$V$140, 133, FALSE)</f>
        <v>0.27192982456140352</v>
      </c>
      <c r="I19" s="9">
        <f>HLOOKUP(B19,'Yearly returns'!$B$1:$V$140, 138, FALSE)</f>
        <v>0.75600000000000001</v>
      </c>
      <c r="L19" s="47">
        <f t="shared" si="0"/>
        <v>75</v>
      </c>
      <c r="M19" s="47">
        <f t="shared" si="1"/>
        <v>55.000000000000007</v>
      </c>
      <c r="N19" s="47">
        <f t="shared" si="2"/>
        <v>35</v>
      </c>
      <c r="P19">
        <f>L19*Assumption!$E$53 + M19*Assumption!$F$53 + N19*Assumption!$G$53</f>
        <v>50</v>
      </c>
      <c r="R19" cm="1">
        <f t="array" ref="R19">_xlfn.PERCENTRANK.EXC(_xlfn._xlws.FILTER(P$4:P$24, ISNUMBER(P$4:P$24)),P19)*100</f>
        <v>40.9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-0.17195356000000001</v>
      </c>
      <c r="E20" s="9">
        <f>HLOOKUP(B20,'Monthly Returns'!$A$1:$AC$134, 132, FALSE)</f>
        <v>5.7851239669421489E-2</v>
      </c>
      <c r="H20" s="9">
        <f>HLOOKUP(B20,'Yearly returns'!$B$1:$V$140, 133, FALSE)</f>
        <v>0.21487603305785125</v>
      </c>
      <c r="I20" s="9">
        <f>HLOOKUP(B20,'Yearly returns'!$B$1:$V$140, 138, FALSE)</f>
        <v>0.59</v>
      </c>
      <c r="L20" s="47">
        <f t="shared" si="0"/>
        <v>100</v>
      </c>
      <c r="M20" s="47">
        <f t="shared" si="1"/>
        <v>85</v>
      </c>
      <c r="N20" s="47">
        <f t="shared" si="2"/>
        <v>70</v>
      </c>
      <c r="P20">
        <f>L20*Assumption!$E$53 + M20*Assumption!$F$53 + N20*Assumption!$G$53</f>
        <v>81.25</v>
      </c>
      <c r="R20" cm="1">
        <f t="array" ref="R20">_xlfn.PERCENTRANK.EXC(_xlfn._xlws.FILTER(P$4:P$24, ISNUMBER(P$4:P$24)),P20)*100</f>
        <v>90.9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-0.26593559999999999</v>
      </c>
      <c r="E21" s="9">
        <f>HLOOKUP(B21,'Monthly Returns'!$A$1:$AC$134, 132, FALSE)</f>
        <v>0.2975206611570248</v>
      </c>
      <c r="H21" s="9">
        <f>HLOOKUP(B21,'Yearly returns'!$B$1:$V$140, 133, FALSE)</f>
        <v>0.34710743801652894</v>
      </c>
      <c r="I21" s="9">
        <f>HLOOKUP(B21,'Yearly returns'!$B$1:$V$140, 138, FALSE)</f>
        <v>0.33600000000000002</v>
      </c>
      <c r="L21" s="47">
        <f t="shared" si="0"/>
        <v>0</v>
      </c>
      <c r="M21" s="47">
        <f t="shared" si="1"/>
        <v>25</v>
      </c>
      <c r="N21" s="47">
        <f t="shared" si="2"/>
        <v>100</v>
      </c>
      <c r="P21">
        <f>L21*Assumption!$E$53 + M21*Assumption!$F$53 + N21*Assumption!$G$53</f>
        <v>56.25</v>
      </c>
      <c r="R21" cm="1">
        <f t="array" ref="R21">_xlfn.PERCENTRANK.EXC(_xlfn._xlws.FILTER(P$4:P$24, ISNUMBER(P$4:P$24)),P21)*100</f>
        <v>59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-0.16681491999999998</v>
      </c>
      <c r="E22" s="9">
        <f>HLOOKUP(B22,'Monthly Returns'!$A$1:$AC$134, 132, FALSE)</f>
        <v>0.10743801652892562</v>
      </c>
      <c r="H22" s="9">
        <f>HLOOKUP(B22,'Yearly returns'!$B$1:$V$140, 133, FALSE)</f>
        <v>0.27192982456140352</v>
      </c>
      <c r="I22" s="9">
        <f>HLOOKUP(B22,'Yearly returns'!$B$1:$V$140, 138, FALSE)</f>
        <v>0.67800000000000005</v>
      </c>
      <c r="L22" s="47">
        <f t="shared" si="0"/>
        <v>95</v>
      </c>
      <c r="M22" s="47">
        <f t="shared" si="1"/>
        <v>55.000000000000007</v>
      </c>
      <c r="N22" s="47">
        <f t="shared" si="2"/>
        <v>55.000000000000007</v>
      </c>
      <c r="P22">
        <f>L22*Assumption!$E$53 + M22*Assumption!$F$53 + N22*Assumption!$G$53</f>
        <v>65</v>
      </c>
      <c r="R22" cm="1">
        <f t="array" ref="R22">_xlfn.PERCENTRANK.EXC(_xlfn._xlws.FILTER(P$4:P$24, ISNUMBER(P$4:P$24)),P22)*100</f>
        <v>72.7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-0.17475086000000001</v>
      </c>
      <c r="E23" s="9">
        <f>HLOOKUP(B23,'Monthly Returns'!$A$1:$AC$134, 132, FALSE)</f>
        <v>0.18181818181818182</v>
      </c>
      <c r="H23" s="9">
        <f>HLOOKUP(B23,'Yearly returns'!$B$1:$V$140, 133, FALSE)</f>
        <v>0.35537190082644626</v>
      </c>
      <c r="I23" s="9">
        <f>HLOOKUP(B23,'Yearly returns'!$B$1:$V$140, 138, FALSE)</f>
        <v>0.50800000000000001</v>
      </c>
      <c r="L23" s="47">
        <f t="shared" si="0"/>
        <v>60</v>
      </c>
      <c r="M23" s="47">
        <f t="shared" si="1"/>
        <v>19.999999999999996</v>
      </c>
      <c r="N23" s="47">
        <f t="shared" si="2"/>
        <v>90</v>
      </c>
      <c r="P23">
        <f>L23*Assumption!$E$53 + M23*Assumption!$F$53 + N23*Assumption!$G$53</f>
        <v>65</v>
      </c>
      <c r="R23" cm="1">
        <f t="array" ref="R23">_xlfn.PERCENTRANK.EXC(_xlfn._xlws.FILTER(P$4:P$24, ISNUMBER(P$4:P$24)),P23)*100</f>
        <v>72.7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-0.14433348000000001</v>
      </c>
      <c r="E24" s="9">
        <f>HLOOKUP(B24,'Monthly Returns'!$A$1:$AC$134, 132, FALSE)</f>
        <v>0.1111111111111111</v>
      </c>
      <c r="H24" s="9">
        <f>HLOOKUP(B24,'Yearly returns'!$B$1:$V$140, 133, FALSE)</f>
        <v>0.1134020618556701</v>
      </c>
      <c r="I24" s="9">
        <f>HLOOKUP(B24,'Yearly returns'!$B$1:$V$140, 138, FALSE)</f>
        <v>0.57099999999999995</v>
      </c>
      <c r="L24" s="47">
        <f t="shared" si="0"/>
        <v>90</v>
      </c>
      <c r="M24" s="47">
        <f t="shared" si="1"/>
        <v>100</v>
      </c>
      <c r="N24" s="47">
        <f t="shared" si="2"/>
        <v>80</v>
      </c>
      <c r="P24">
        <f>L24*Assumption!$E$53 + M24*Assumption!$F$53 + N24*Assumption!$G$53</f>
        <v>87.5</v>
      </c>
      <c r="R24" cm="1">
        <f t="array" ref="R24">_xlfn.PERCENTRANK.EXC(_xlfn._xlws.FILTER(P$4:P$24, ISNUMBER(P$4:P$24)),P24)*100</f>
        <v>95.399999999999991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0.99</v>
      </c>
      <c r="G5" s="7" cm="1">
        <f t="array" ref="G5">_xll.FDSZ(C5,"FG_PRICE(0)")</f>
        <v>30.35</v>
      </c>
      <c r="H5" s="7" cm="1">
        <f t="array" ref="H5">_xll.FDSZ(C5,"FG_PRICE_MAVG(0,,,,30)")</f>
        <v>27.189833</v>
      </c>
      <c r="I5" s="7" cm="1">
        <f t="array" ref="I5">_xll.FDSZ(C5,"FG_PRICE_MAVG(0,,,,60)")</f>
        <v>26.1387</v>
      </c>
      <c r="J5" s="7" cm="1">
        <f t="array" ref="J5">_xll.FDSZ(C5,"FG_PRICE_MAVG(0,,,,200)")</f>
        <v>25.897462999999998</v>
      </c>
      <c r="L5">
        <f>IF($G5&gt;H5, 1, 0)</f>
        <v>1</v>
      </c>
      <c r="M5">
        <f t="shared" ref="M5:N5" si="0">IF($G5&gt;I5, 1, 0)</f>
        <v>1</v>
      </c>
      <c r="N5">
        <f t="shared" si="0"/>
        <v>1</v>
      </c>
      <c r="P5">
        <f>SUM(L5:N5)</f>
        <v>3</v>
      </c>
      <c r="R5" t="s">
        <v>864</v>
      </c>
      <c r="S5" s="7" cm="1">
        <f t="array" ref="S5">_xll.FDSZ($R5,"FG_PRICE(0)")</f>
        <v>275.29235999999997</v>
      </c>
      <c r="T5" s="7" cm="1">
        <f t="array" ref="T5">_xll.FDSZ($R5,"FG_PRICE(0)")</f>
        <v>275.29235999999997</v>
      </c>
      <c r="U5" s="7" cm="1">
        <f t="array" ref="U5">_xll.FDSZ($R5,"FG_PRICE(0)")</f>
        <v>275.29235999999997</v>
      </c>
      <c r="V5" s="7" cm="1">
        <f t="array" ref="V5">_xll.FDSZ($R5,"FG_PRICE(0)")</f>
        <v>275.29235999999997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0.85199999999999998</v>
      </c>
      <c r="G6" s="152" cm="1">
        <f t="array" ref="G6">_xll.FDSZ(C6,"FG_PRICE(0)")</f>
        <v>26.59</v>
      </c>
      <c r="H6" s="152" cm="1">
        <f t="array" ref="H6">_xll.FDSZ(C6,"FG_PRICE_MAVG(0,,,,30)")</f>
        <v>26.177</v>
      </c>
      <c r="I6" s="152" cm="1">
        <f t="array" ref="I6">_xll.FDSZ(C6,"FG_PRICE_MAVG(0,,,,60)")</f>
        <v>26.055916</v>
      </c>
      <c r="J6" s="152" cm="1">
        <f t="array" ref="J6">_xll.FDSZ(C6,"FG_PRICE_MAVG(0,,,,200)")</f>
        <v>26.498125000000002</v>
      </c>
      <c r="L6">
        <f t="shared" ref="L6:L25" si="1">IF($G6&gt;H6, 1, 0)</f>
        <v>1</v>
      </c>
      <c r="M6">
        <f t="shared" ref="M6:M25" si="2">IF($G6&gt;I6, 1, 0)</f>
        <v>1</v>
      </c>
      <c r="N6">
        <f t="shared" ref="N6:N25" si="3">IF($G6&gt;J6, 1, 0)</f>
        <v>1</v>
      </c>
      <c r="P6">
        <f t="shared" ref="P6:P25" si="4">SUM(L6:N6)</f>
        <v>3</v>
      </c>
      <c r="R6" t="s">
        <v>865</v>
      </c>
      <c r="S6" s="7" cm="1">
        <f t="array" ref="S6">_xll.FDSZ($R6,"FG_PRICE(0)")</f>
        <v>205.58913000000001</v>
      </c>
      <c r="T6" s="7" cm="1">
        <f t="array" ref="T6">_xll.FDSZ($R6,"FG_PRICE(0)")</f>
        <v>205.58913000000001</v>
      </c>
      <c r="U6" s="7" cm="1">
        <f t="array" ref="U6">_xll.FDSZ($R6,"FG_PRICE(0)")</f>
        <v>205.58913000000001</v>
      </c>
      <c r="V6" s="7" cm="1">
        <f t="array" ref="V6">_xll.FDSZ($R6,"FG_PRICE(0)")</f>
        <v>205.58913000000001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0.32700000000000001</v>
      </c>
      <c r="G7" s="152" cm="1">
        <f t="array" ref="G7">_xll.FDSZ(C7,"FG_PRICE(0)")</f>
        <v>21.65</v>
      </c>
      <c r="H7" s="152" cm="1">
        <f t="array" ref="H7">_xll.FDSZ(C7,"FG_PRICE_MAVG(0,,,,30)")</f>
        <v>22.341999999999999</v>
      </c>
      <c r="I7" s="152" cm="1">
        <f t="array" ref="I7">_xll.FDSZ(C7,"FG_PRICE_MAVG(0,,,,60)")</f>
        <v>21.539000000000001</v>
      </c>
      <c r="J7" s="152" cm="1">
        <f t="array" ref="J7">_xll.FDSZ(C7,"FG_PRICE_MAVG(0,,,,200)")</f>
        <v>21.365449999999999</v>
      </c>
      <c r="L7">
        <f t="shared" si="1"/>
        <v>0</v>
      </c>
      <c r="M7">
        <f t="shared" si="2"/>
        <v>1</v>
      </c>
      <c r="N7">
        <f t="shared" si="3"/>
        <v>1</v>
      </c>
      <c r="P7">
        <f t="shared" si="4"/>
        <v>2</v>
      </c>
      <c r="R7" t="s">
        <v>866</v>
      </c>
      <c r="S7" s="7" cm="1">
        <f t="array" ref="S7">_xll.FDSZ($R7,"FG_PRICE(0)")</f>
        <v>1153.8892000000001</v>
      </c>
      <c r="T7" s="7" cm="1">
        <f t="array" ref="T7">_xll.FDSZ($R7,"FG_PRICE(0)")</f>
        <v>1153.8892000000001</v>
      </c>
      <c r="U7" s="7" cm="1">
        <f t="array" ref="U7">_xll.FDSZ($R7,"FG_PRICE(0)")</f>
        <v>1153.8892000000001</v>
      </c>
      <c r="V7" s="7" cm="1">
        <f t="array" ref="V7">_xll.FDSZ($R7,"FG_PRICE(0)")</f>
        <v>1153.8892000000001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0.63100000000000001</v>
      </c>
      <c r="G8" s="152" cm="1">
        <f t="array" ref="G8">_xll.FDSZ(C8,"FG_PRICE(0)")</f>
        <v>28.71</v>
      </c>
      <c r="H8" s="152" cm="1">
        <f t="array" ref="H8">_xll.FDSZ(C8,"FG_PRICE_MAVG(0,,,,30)")</f>
        <v>28.716667000000001</v>
      </c>
      <c r="I8" s="152" cm="1">
        <f t="array" ref="I8">_xll.FDSZ(C8,"FG_PRICE_MAVG(0,,,,60)")</f>
        <v>27.355416999999999</v>
      </c>
      <c r="J8" s="152" cm="1">
        <f t="array" ref="J8">_xll.FDSZ(C8,"FG_PRICE_MAVG(0,,,,200)")</f>
        <v>26.425055</v>
      </c>
      <c r="L8">
        <f t="shared" si="1"/>
        <v>0</v>
      </c>
      <c r="M8">
        <f t="shared" si="2"/>
        <v>1</v>
      </c>
      <c r="N8">
        <f t="shared" si="3"/>
        <v>1</v>
      </c>
      <c r="P8">
        <f t="shared" si="4"/>
        <v>2</v>
      </c>
      <c r="R8" t="s">
        <v>867</v>
      </c>
      <c r="S8" s="7" cm="1">
        <f t="array" ref="S8">_xll.FDSZ($R8,"FG_PRICE(0)")</f>
        <v>367.92252000000002</v>
      </c>
      <c r="T8" s="7" cm="1">
        <f t="array" ref="T8">_xll.FDSZ($R8,"FG_PRICE(0)")</f>
        <v>367.92252000000002</v>
      </c>
      <c r="U8" s="7" cm="1">
        <f t="array" ref="U8">_xll.FDSZ($R8,"FG_PRICE(0)")</f>
        <v>367.92252000000002</v>
      </c>
      <c r="V8" s="7" cm="1">
        <f t="array" ref="V8">_xll.FDSZ($R8,"FG_PRICE(0)")</f>
        <v>367.92252000000002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0.47499999999999998</v>
      </c>
      <c r="G9" s="152" cm="1">
        <f t="array" ref="G9">_xll.FDSZ(C9,"FG_PRICE(0)")</f>
        <v>23.6</v>
      </c>
      <c r="H9" s="152" cm="1">
        <f t="array" ref="H9">_xll.FDSZ(C9,"FG_PRICE_MAVG(0,,,,30)")</f>
        <v>23.993334000000001</v>
      </c>
      <c r="I9" s="152" cm="1">
        <f t="array" ref="I9">_xll.FDSZ(C9,"FG_PRICE_MAVG(0,,,,60)")</f>
        <v>23.898499999999999</v>
      </c>
      <c r="J9" s="152" cm="1">
        <f t="array" ref="J9">_xll.FDSZ(C9,"FG_PRICE_MAVG(0,,,,200)")</f>
        <v>23.627725999999999</v>
      </c>
      <c r="L9">
        <f t="shared" si="1"/>
        <v>0</v>
      </c>
      <c r="M9">
        <f t="shared" si="2"/>
        <v>0</v>
      </c>
      <c r="N9">
        <f t="shared" si="3"/>
        <v>0</v>
      </c>
      <c r="P9">
        <f t="shared" si="4"/>
        <v>0</v>
      </c>
      <c r="R9" t="s">
        <v>868</v>
      </c>
      <c r="S9" s="7" cm="1">
        <f t="array" ref="S9">_xll.FDSZ($R9,"FG_PRICE(0)")</f>
        <v>202.31349</v>
      </c>
      <c r="T9" s="7" cm="1">
        <f t="array" ref="T9">_xll.FDSZ($R9,"FG_PRICE(0)")</f>
        <v>202.31349</v>
      </c>
      <c r="U9" s="7" cm="1">
        <f t="array" ref="U9">_xll.FDSZ($R9,"FG_PRICE(0)")</f>
        <v>202.31349</v>
      </c>
      <c r="V9" s="7" cm="1">
        <f t="array" ref="V9">_xll.FDSZ($R9,"FG_PRICE(0)")</f>
        <v>202.31349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0.93400000000000005</v>
      </c>
      <c r="G10" s="152" cm="1">
        <f t="array" ref="G10">_xll.FDSZ(C10,"FG_PRICE(0)")</f>
        <v>43.43</v>
      </c>
      <c r="H10" s="152" cm="1">
        <f t="array" ref="H10">_xll.FDSZ(C10,"FG_PRICE_MAVG(0,,,,30)")</f>
        <v>41.423310000000001</v>
      </c>
      <c r="I10" s="152" cm="1">
        <f t="array" ref="I10">_xll.FDSZ(C10,"FG_PRICE_MAVG(0,,,,60)")</f>
        <v>40.788547999999999</v>
      </c>
      <c r="J10" s="152" cm="1">
        <f t="array" ref="J10">_xll.FDSZ(C10,"FG_PRICE_MAVG(0,,,,200)")</f>
        <v>39.195889999999999</v>
      </c>
      <c r="L10">
        <f t="shared" si="1"/>
        <v>1</v>
      </c>
      <c r="M10">
        <f t="shared" si="2"/>
        <v>1</v>
      </c>
      <c r="N10">
        <f t="shared" si="3"/>
        <v>1</v>
      </c>
      <c r="P10">
        <f t="shared" si="4"/>
        <v>3</v>
      </c>
      <c r="R10" t="s">
        <v>869</v>
      </c>
      <c r="S10" s="7" cm="1">
        <f t="array" ref="S10">_xll.FDSZ($R10,"FG_PRICE(0)")</f>
        <v>845.13610000000006</v>
      </c>
      <c r="T10" s="7" cm="1">
        <f t="array" ref="T10">_xll.FDSZ($R10,"FG_PRICE(0)")</f>
        <v>845.13610000000006</v>
      </c>
      <c r="U10" s="7" cm="1">
        <f t="array" ref="U10">_xll.FDSZ($R10,"FG_PRICE(0)")</f>
        <v>845.13610000000006</v>
      </c>
      <c r="V10" s="7" cm="1">
        <f t="array" ref="V10">_xll.FDSZ($R10,"FG_PRICE(0)")</f>
        <v>845.13610000000006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0.63900000000000001</v>
      </c>
      <c r="G11" s="152" cm="1">
        <f t="array" ref="G11">_xll.FDSZ(C11,"FG_PRICE(0)")</f>
        <v>25.95</v>
      </c>
      <c r="H11" s="152" cm="1">
        <f t="array" ref="H11">_xll.FDSZ(C11,"FG_PRICE_MAVG(0,,,,30)")</f>
        <v>26.205334000000001</v>
      </c>
      <c r="I11" s="152" cm="1">
        <f t="array" ref="I11">_xll.FDSZ(C11,"FG_PRICE_MAVG(0,,,,60)")</f>
        <v>25.106000000000002</v>
      </c>
      <c r="J11" s="152" cm="1">
        <f t="array" ref="J11">_xll.FDSZ(C11,"FG_PRICE_MAVG(0,,,,200)")</f>
        <v>22.984349999999999</v>
      </c>
      <c r="L11">
        <f t="shared" si="1"/>
        <v>0</v>
      </c>
      <c r="M11">
        <f t="shared" si="2"/>
        <v>1</v>
      </c>
      <c r="N11">
        <f t="shared" si="3"/>
        <v>1</v>
      </c>
      <c r="P11">
        <f t="shared" si="4"/>
        <v>2</v>
      </c>
      <c r="R11" t="s">
        <v>870</v>
      </c>
      <c r="S11" s="7" cm="1">
        <f t="array" ref="S11">_xll.FDSZ($R11,"FG_PRICE(0)")</f>
        <v>274.3716</v>
      </c>
      <c r="T11" s="7" cm="1">
        <f t="array" ref="T11">_xll.FDSZ($R11,"FG_PRICE(0)")</f>
        <v>274.3716</v>
      </c>
      <c r="U11" s="7" cm="1">
        <f t="array" ref="U11">_xll.FDSZ($R11,"FG_PRICE(0)")</f>
        <v>274.3716</v>
      </c>
      <c r="V11" s="7" cm="1">
        <f t="array" ref="V11">_xll.FDSZ($R11,"FG_PRICE(0)")</f>
        <v>274.3716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0.88500000000000001</v>
      </c>
      <c r="G12" s="152" cm="1">
        <f t="array" ref="G12">_xll.FDSZ(C12,"FG_PRICE(0)")</f>
        <v>54.44</v>
      </c>
      <c r="H12" s="152" cm="1">
        <f t="array" ref="H12">_xll.FDSZ(C12,"FG_PRICE_MAVG(0,,,,30)")</f>
        <v>53.202330000000003</v>
      </c>
      <c r="I12" s="152" cm="1">
        <f t="array" ref="I12">_xll.FDSZ(C12,"FG_PRICE_MAVG(0,,,,60)")</f>
        <v>52.785499999999999</v>
      </c>
      <c r="J12" s="152" cm="1">
        <f t="array" ref="J12">_xll.FDSZ(C12,"FG_PRICE_MAVG(0,,,,200)")</f>
        <v>49.968200000000003</v>
      </c>
      <c r="L12">
        <f t="shared" si="1"/>
        <v>1</v>
      </c>
      <c r="M12">
        <f t="shared" si="2"/>
        <v>1</v>
      </c>
      <c r="N12">
        <f t="shared" si="3"/>
        <v>1</v>
      </c>
      <c r="P12">
        <f t="shared" si="4"/>
        <v>3</v>
      </c>
      <c r="R12" t="s">
        <v>871</v>
      </c>
      <c r="S12" s="7" cm="1">
        <f t="array" ref="S12">_xll.FDSZ($R12,"FG_PRICE(0)")</f>
        <v>380.01746000000003</v>
      </c>
      <c r="T12" s="7" cm="1">
        <f t="array" ref="T12">_xll.FDSZ($R12,"FG_PRICE(0)")</f>
        <v>380.01746000000003</v>
      </c>
      <c r="U12" s="7" cm="1">
        <f t="array" ref="U12">_xll.FDSZ($R12,"FG_PRICE(0)")</f>
        <v>380.01746000000003</v>
      </c>
      <c r="V12" s="7" cm="1">
        <f t="array" ref="V12">_xll.FDSZ($R12,"FG_PRICE(0)")</f>
        <v>380.01746000000003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0.85199999999999998</v>
      </c>
      <c r="G13" s="152" cm="1">
        <f t="array" ref="G13">_xll.FDSZ(C13,"FG_PRICE(0)")</f>
        <v>54.49</v>
      </c>
      <c r="H13" s="152" cm="1">
        <f t="array" ref="H13">_xll.FDSZ(C13,"FG_PRICE_MAVG(0,,,,30)")</f>
        <v>53.716667000000001</v>
      </c>
      <c r="I13" s="152" cm="1">
        <f t="array" ref="I13">_xll.FDSZ(C13,"FG_PRICE_MAVG(0,,,,60)")</f>
        <v>54.705832999999998</v>
      </c>
      <c r="J13" s="152" cm="1">
        <f t="array" ref="J13">_xll.FDSZ(C13,"FG_PRICE_MAVG(0,,,,200)")</f>
        <v>61.8367</v>
      </c>
      <c r="L13">
        <f t="shared" si="1"/>
        <v>1</v>
      </c>
      <c r="M13">
        <f t="shared" si="2"/>
        <v>0</v>
      </c>
      <c r="N13">
        <f t="shared" si="3"/>
        <v>0</v>
      </c>
      <c r="P13">
        <f t="shared" si="4"/>
        <v>1</v>
      </c>
      <c r="R13" t="s">
        <v>872</v>
      </c>
      <c r="S13" s="7" cm="1">
        <f t="array" ref="S13">_xll.FDSZ($R13,"FG_PRICE(0)")</f>
        <v>431.09796</v>
      </c>
      <c r="T13" s="7" cm="1">
        <f t="array" ref="T13">_xll.FDSZ($R13,"FG_PRICE(0)")</f>
        <v>431.09796</v>
      </c>
      <c r="U13" s="7" cm="1">
        <f t="array" ref="U13">_xll.FDSZ($R13,"FG_PRICE(0)")</f>
        <v>431.09796</v>
      </c>
      <c r="V13" s="7" cm="1">
        <f t="array" ref="V13">_xll.FDSZ($R13,"FG_PRICE(0)")</f>
        <v>431.09796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0.70399999999999996</v>
      </c>
      <c r="G14" s="152" cm="1">
        <f t="array" ref="G14">_xll.FDSZ(C14,"FG_PRICE(0)")</f>
        <v>63.31</v>
      </c>
      <c r="H14" s="152" cm="1">
        <f t="array" ref="H14">_xll.FDSZ(C14,"FG_PRICE_MAVG(0,,,,30)")</f>
        <v>63.447000000000003</v>
      </c>
      <c r="I14" s="152" cm="1">
        <f t="array" ref="I14">_xll.FDSZ(C14,"FG_PRICE_MAVG(0,,,,60)")</f>
        <v>63.9375</v>
      </c>
      <c r="J14" s="152" cm="1">
        <f t="array" ref="J14">_xll.FDSZ(C14,"FG_PRICE_MAVG(0,,,,200)")</f>
        <v>64.2029</v>
      </c>
      <c r="L14">
        <f t="shared" si="1"/>
        <v>0</v>
      </c>
      <c r="M14">
        <f t="shared" si="2"/>
        <v>0</v>
      </c>
      <c r="N14">
        <f t="shared" si="3"/>
        <v>0</v>
      </c>
      <c r="P14">
        <f t="shared" si="4"/>
        <v>0</v>
      </c>
      <c r="R14" t="s">
        <v>873</v>
      </c>
      <c r="S14" s="7" cm="1">
        <f t="array" ref="S14">_xll.FDSZ($R14,"FG_PRICE(0)")</f>
        <v>449.41107</v>
      </c>
      <c r="T14" s="7" cm="1">
        <f t="array" ref="T14">_xll.FDSZ($R14,"FG_PRICE(0)")</f>
        <v>449.41107</v>
      </c>
      <c r="U14" s="7" cm="1">
        <f t="array" ref="U14">_xll.FDSZ($R14,"FG_PRICE(0)")</f>
        <v>449.41107</v>
      </c>
      <c r="V14" s="7" cm="1">
        <f t="array" ref="V14">_xll.FDSZ($R14,"FG_PRICE(0)")</f>
        <v>449.41107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0.442</v>
      </c>
      <c r="G15" s="152" cm="1">
        <f t="array" ref="G15">_xll.FDSZ(C15,"FG_PRICE(0)")</f>
        <v>28.51</v>
      </c>
      <c r="H15" s="152" cm="1">
        <f t="array" ref="H15">_xll.FDSZ(C15,"FG_PRICE_MAVG(0,,,,30)")</f>
        <v>29.474</v>
      </c>
      <c r="I15" s="152" cm="1">
        <f t="array" ref="I15">_xll.FDSZ(C15,"FG_PRICE_MAVG(0,,,,60)")</f>
        <v>29.1755</v>
      </c>
      <c r="J15" s="152" cm="1">
        <f t="array" ref="J15">_xll.FDSZ(C15,"FG_PRICE_MAVG(0,,,,200)")</f>
        <v>30.815200000000001</v>
      </c>
      <c r="L15">
        <f t="shared" si="1"/>
        <v>0</v>
      </c>
      <c r="M15">
        <f t="shared" si="2"/>
        <v>0</v>
      </c>
      <c r="N15">
        <f t="shared" si="3"/>
        <v>0</v>
      </c>
      <c r="P15">
        <f t="shared" si="4"/>
        <v>0</v>
      </c>
      <c r="R15" t="s">
        <v>874</v>
      </c>
      <c r="S15" s="7" cm="1">
        <f t="array" ref="S15">_xll.FDSZ($R15,"FG_PRICE(0)")</f>
        <v>189.90895</v>
      </c>
      <c r="T15" s="7" cm="1">
        <f t="array" ref="T15">_xll.FDSZ($R15,"FG_PRICE(0)")</f>
        <v>189.90895</v>
      </c>
      <c r="U15" s="7" cm="1">
        <f t="array" ref="U15">_xll.FDSZ($R15,"FG_PRICE(0)")</f>
        <v>189.90895</v>
      </c>
      <c r="V15" s="7" cm="1">
        <f t="array" ref="V15">_xll.FDSZ($R15,"FG_PRICE(0)")</f>
        <v>189.90895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0.86799999999999999</v>
      </c>
      <c r="G16" s="152" cm="1">
        <f t="array" ref="G16">_xll.FDSZ(C16,"FG_PRICE(0)")</f>
        <v>49.29</v>
      </c>
      <c r="H16" s="152" cm="1">
        <f t="array" ref="H16">_xll.FDSZ(C16,"FG_PRICE_MAVG(0,,,,30)")</f>
        <v>48.161000000000001</v>
      </c>
      <c r="I16" s="152" cm="1">
        <f t="array" ref="I16">_xll.FDSZ(C16,"FG_PRICE_MAVG(0,,,,60)")</f>
        <v>46.555</v>
      </c>
      <c r="J16" s="152" cm="1">
        <f t="array" ref="J16">_xll.FDSZ(C16,"FG_PRICE_MAVG(0,,,,200)")</f>
        <v>42.218000000000004</v>
      </c>
      <c r="L16">
        <f t="shared" si="1"/>
        <v>1</v>
      </c>
      <c r="M16">
        <f t="shared" si="2"/>
        <v>1</v>
      </c>
      <c r="N16">
        <f t="shared" si="3"/>
        <v>1</v>
      </c>
      <c r="P16">
        <f t="shared" si="4"/>
        <v>3</v>
      </c>
      <c r="R16" t="s">
        <v>875</v>
      </c>
      <c r="S16" s="7" cm="1">
        <f t="array" ref="S16">_xll.FDSZ($R16,"FG_PRICE(0)")</f>
        <v>379.59973000000002</v>
      </c>
      <c r="T16" s="7" cm="1">
        <f t="array" ref="T16">_xll.FDSZ($R16,"FG_PRICE(0)")</f>
        <v>379.59973000000002</v>
      </c>
      <c r="U16" s="7" cm="1">
        <f t="array" ref="U16">_xll.FDSZ($R16,"FG_PRICE(0)")</f>
        <v>379.59973000000002</v>
      </c>
      <c r="V16" s="7" cm="1">
        <f t="array" ref="V16">_xll.FDSZ($R16,"FG_PRICE(0)")</f>
        <v>379.59973000000002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0.41799999999999998</v>
      </c>
      <c r="G17" s="152" cm="1">
        <f t="array" ref="G17">_xll.FDSZ(C17,"FG_PRICE(0)")</f>
        <v>41.092700000000001</v>
      </c>
      <c r="H17" s="152" cm="1">
        <f t="array" ref="H17">_xll.FDSZ(C17,"FG_PRICE_MAVG(0,,,,30)")</f>
        <v>42.19755</v>
      </c>
      <c r="I17" s="152" cm="1">
        <f t="array" ref="I17">_xll.FDSZ(C17,"FG_PRICE_MAVG(0,,,,60)")</f>
        <v>42.055790000000002</v>
      </c>
      <c r="J17" s="152" cm="1">
        <f t="array" ref="J17">_xll.FDSZ(C17,"FG_PRICE_MAVG(0,,,,200)")</f>
        <v>40.746796000000003</v>
      </c>
      <c r="L17">
        <f t="shared" si="1"/>
        <v>0</v>
      </c>
      <c r="M17">
        <f t="shared" si="2"/>
        <v>0</v>
      </c>
      <c r="N17">
        <f t="shared" si="3"/>
        <v>1</v>
      </c>
      <c r="P17">
        <f t="shared" si="4"/>
        <v>1</v>
      </c>
      <c r="R17" t="s">
        <v>876</v>
      </c>
      <c r="S17" s="7" cm="1">
        <f t="array" ref="S17">_xll.FDSZ($R17,"FG_PRICE(0)")</f>
        <v>9.5069274999999998</v>
      </c>
      <c r="T17" s="7" cm="1">
        <f t="array" ref="T17">_xll.FDSZ($R17,"FG_PRICE(0)")</f>
        <v>9.5069274999999998</v>
      </c>
      <c r="U17" s="7" cm="1">
        <f t="array" ref="U17">_xll.FDSZ($R17,"FG_PRICE(0)")</f>
        <v>9.5069274999999998</v>
      </c>
      <c r="V17" s="7" cm="1">
        <f t="array" ref="V17">_xll.FDSZ($R17,"FG_PRICE(0)")</f>
        <v>9.5069274999999998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0.41799999999999998</v>
      </c>
      <c r="G18" s="152" cm="1">
        <f t="array" ref="G18">_xll.FDSZ(C18,"FG_PRICE(0)")</f>
        <v>57.1</v>
      </c>
      <c r="H18" s="152" cm="1">
        <f t="array" ref="H18">_xll.FDSZ(C18,"FG_PRICE_MAVG(0,,,,30)")</f>
        <v>57.765166999999998</v>
      </c>
      <c r="I18" s="152" cm="1">
        <f t="array" ref="I18">_xll.FDSZ(C18,"FG_PRICE_MAVG(0,,,,60)")</f>
        <v>57.030250000000002</v>
      </c>
      <c r="J18" s="152" cm="1">
        <f t="array" ref="J18">_xll.FDSZ(C18,"FG_PRICE_MAVG(0,,,,200)")</f>
        <v>53.557526000000003</v>
      </c>
      <c r="L18">
        <f t="shared" si="1"/>
        <v>0</v>
      </c>
      <c r="M18">
        <f t="shared" si="2"/>
        <v>1</v>
      </c>
      <c r="N18">
        <f t="shared" si="3"/>
        <v>1</v>
      </c>
      <c r="P18">
        <f t="shared" si="4"/>
        <v>2</v>
      </c>
      <c r="R18" t="s">
        <v>877</v>
      </c>
      <c r="S18" s="7" cm="1">
        <f t="array" ref="S18">_xll.FDSZ($R18,"FG_PRICE(0)")</f>
        <v>1470.4677999999999</v>
      </c>
      <c r="T18" s="7" cm="1">
        <f t="array" ref="T18">_xll.FDSZ($R18,"FG_PRICE(0)")</f>
        <v>1470.4677999999999</v>
      </c>
      <c r="U18" s="7" cm="1">
        <f t="array" ref="U18">_xll.FDSZ($R18,"FG_PRICE(0)")</f>
        <v>1470.4677999999999</v>
      </c>
      <c r="V18" s="7" cm="1">
        <f t="array" ref="V18">_xll.FDSZ($R18,"FG_PRICE(0)")</f>
        <v>1470.4677999999999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0.99099999999999999</v>
      </c>
      <c r="G19" s="152" cm="1">
        <f t="array" ref="G19">_xll.FDSZ(C19,"FG_PRICE(0)")</f>
        <v>52.35</v>
      </c>
      <c r="H19" s="152" cm="1">
        <f t="array" ref="H19">_xll.FDSZ(C19,"FG_PRICE_MAVG(0,,,,30)")</f>
        <v>46.252167</v>
      </c>
      <c r="I19" s="152" cm="1">
        <f t="array" ref="I19">_xll.FDSZ(C19,"FG_PRICE_MAVG(0,,,,60)")</f>
        <v>43.946249999999999</v>
      </c>
      <c r="J19" s="152" cm="1">
        <f t="array" ref="J19">_xll.FDSZ(C19,"FG_PRICE_MAVG(0,,,,200)")</f>
        <v>41.912674000000003</v>
      </c>
      <c r="L19">
        <f t="shared" si="1"/>
        <v>1</v>
      </c>
      <c r="M19">
        <f t="shared" si="2"/>
        <v>1</v>
      </c>
      <c r="N19">
        <f t="shared" si="3"/>
        <v>1</v>
      </c>
      <c r="P19">
        <f t="shared" si="4"/>
        <v>3</v>
      </c>
      <c r="R19" t="s">
        <v>864</v>
      </c>
      <c r="S19" s="7" cm="1">
        <f t="array" ref="S19">_xll.FDSZ($R19,"FG_PRICE(0)")</f>
        <v>275.29235999999997</v>
      </c>
      <c r="T19" s="7" cm="1">
        <f t="array" ref="T19">_xll.FDSZ($R19,"FG_PRICE(0)")</f>
        <v>275.29235999999997</v>
      </c>
      <c r="U19" s="7" cm="1">
        <f t="array" ref="U19">_xll.FDSZ($R19,"FG_PRICE(0)")</f>
        <v>275.29235999999997</v>
      </c>
      <c r="V19" s="7" cm="1">
        <f t="array" ref="V19">_xll.FDSZ($R19,"FG_PRICE(0)")</f>
        <v>275.29235999999997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0.72099999999999997</v>
      </c>
      <c r="G20" s="152" cm="1">
        <f t="array" ref="G20">_xll.FDSZ(C20,"FG_PRICE(0)")</f>
        <v>18.260000000000002</v>
      </c>
      <c r="H20" s="152" cm="1">
        <f t="array" ref="H20">_xll.FDSZ(C20,"FG_PRICE_MAVG(0,,,,30)")</f>
        <v>18.099333000000001</v>
      </c>
      <c r="I20" s="152" cm="1">
        <f t="array" ref="I20">_xll.FDSZ(C20,"FG_PRICE_MAVG(0,,,,60)")</f>
        <v>17.709531999999999</v>
      </c>
      <c r="J20" s="152" cm="1">
        <f t="array" ref="J20">_xll.FDSZ(C20,"FG_PRICE_MAVG(0,,,,200)")</f>
        <v>17.499314999999999</v>
      </c>
      <c r="L20">
        <f t="shared" si="1"/>
        <v>1</v>
      </c>
      <c r="M20">
        <f t="shared" si="2"/>
        <v>1</v>
      </c>
      <c r="N20">
        <f t="shared" si="3"/>
        <v>1</v>
      </c>
      <c r="P20">
        <f t="shared" si="4"/>
        <v>3</v>
      </c>
      <c r="R20" t="s">
        <v>878</v>
      </c>
      <c r="S20" s="7" cm="1">
        <f t="array" ref="S20">_xll.FDSZ($R20,"FG_PRICE(0)")</f>
        <v>108.19753</v>
      </c>
      <c r="T20" s="7" cm="1">
        <f t="array" ref="T20">_xll.FDSZ($R20,"FG_PRICE(0)")</f>
        <v>108.19753</v>
      </c>
      <c r="U20" s="7" cm="1">
        <f t="array" ref="U20">_xll.FDSZ($R20,"FG_PRICE(0)")</f>
        <v>108.19753</v>
      </c>
      <c r="V20" s="7" cm="1">
        <f t="array" ref="V20">_xll.FDSZ($R20,"FG_PRICE(0)")</f>
        <v>108.19753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0.80300000000000005</v>
      </c>
      <c r="G21" s="152" cm="1">
        <f t="array" ref="G21">_xll.FDSZ(C21,"FG_PRICE(0)")</f>
        <v>1468.52</v>
      </c>
      <c r="H21" s="152" cm="1">
        <f t="array" ref="H21">_xll.FDSZ(C21,"FG_PRICE_MAVG(0,,,,30)")</f>
        <v>1432.2936999999999</v>
      </c>
      <c r="I21" s="152" cm="1">
        <f t="array" ref="I21">_xll.FDSZ(C21,"FG_PRICE_MAVG(0,,,,60)")</f>
        <v>1374.4725000000001</v>
      </c>
      <c r="J21" s="152" cm="1">
        <f t="array" ref="J21">_xll.FDSZ(C21,"FG_PRICE_MAVG(0,,,,200)")</f>
        <v>1369.8770999999999</v>
      </c>
      <c r="L21">
        <f t="shared" si="1"/>
        <v>1</v>
      </c>
      <c r="M21">
        <f t="shared" si="2"/>
        <v>1</v>
      </c>
      <c r="N21">
        <f t="shared" si="3"/>
        <v>1</v>
      </c>
      <c r="P21">
        <f t="shared" si="4"/>
        <v>3</v>
      </c>
      <c r="R21" t="s">
        <v>757</v>
      </c>
      <c r="S21" s="7" cm="1">
        <f t="array" ref="S21">_xll.FDSZ($R21,"FG_PRICE(0)")</f>
        <v>1468.52</v>
      </c>
      <c r="T21" s="7" cm="1">
        <f t="array" ref="T21">_xll.FDSZ($R21,"FG_PRICE(0)")</f>
        <v>1468.52</v>
      </c>
      <c r="U21" s="7" cm="1">
        <f t="array" ref="U21">_xll.FDSZ($R21,"FG_PRICE(0)")</f>
        <v>1468.52</v>
      </c>
      <c r="V21" s="7" cm="1">
        <f t="array" ref="V21">_xll.FDSZ($R21,"FG_PRICE(0)")</f>
        <v>1468.52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0.23699999999999999</v>
      </c>
      <c r="G22" s="152" cm="1">
        <f t="array" ref="G22">_xll.FDSZ(C22,"FG_PRICE(0)")</f>
        <v>33.840000000000003</v>
      </c>
      <c r="H22" s="152" cm="1">
        <f t="array" ref="H22">_xll.FDSZ(C22,"FG_PRICE_MAVG(0,,,,30)")</f>
        <v>36.193669999999997</v>
      </c>
      <c r="I22" s="152" cm="1">
        <f t="array" ref="I22">_xll.FDSZ(C22,"FG_PRICE_MAVG(0,,,,60)")</f>
        <v>37.959834999999998</v>
      </c>
      <c r="J22" s="152" cm="1">
        <f t="array" ref="J22">_xll.FDSZ(C22,"FG_PRICE_MAVG(0,,,,200)")</f>
        <v>38.272823000000002</v>
      </c>
      <c r="L22">
        <f t="shared" si="1"/>
        <v>0</v>
      </c>
      <c r="M22">
        <f t="shared" si="2"/>
        <v>0</v>
      </c>
      <c r="N22">
        <f t="shared" si="3"/>
        <v>0</v>
      </c>
      <c r="P22">
        <f t="shared" si="4"/>
        <v>0</v>
      </c>
      <c r="R22" t="s">
        <v>879</v>
      </c>
      <c r="S22" s="7" cm="1">
        <f t="array" ref="S22">_xll.FDSZ($R22,"FG_PRICE(0)")</f>
        <v>209.42869999999999</v>
      </c>
      <c r="T22" s="7" cm="1">
        <f t="array" ref="T22">_xll.FDSZ($R22,"FG_PRICE(0)")</f>
        <v>209.42869999999999</v>
      </c>
      <c r="U22" s="7" cm="1">
        <f t="array" ref="U22">_xll.FDSZ($R22,"FG_PRICE(0)")</f>
        <v>209.42869999999999</v>
      </c>
      <c r="V22" s="7" cm="1">
        <f t="array" ref="V22">_xll.FDSZ($R22,"FG_PRICE(0)")</f>
        <v>209.42869999999999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0.32700000000000001</v>
      </c>
      <c r="G23" s="152" cm="1">
        <f t="array" ref="G23">_xll.FDSZ(C23,"FG_PRICE(0)")</f>
        <v>14.83</v>
      </c>
      <c r="H23" s="152" cm="1">
        <f t="array" ref="H23">_xll.FDSZ(C23,"FG_PRICE_MAVG(0,,,,30)")</f>
        <v>15.082666</v>
      </c>
      <c r="I23" s="152" cm="1">
        <f t="array" ref="I23">_xll.FDSZ(C23,"FG_PRICE_MAVG(0,,,,60)")</f>
        <v>14.803627000000001</v>
      </c>
      <c r="J23" s="152" cm="1">
        <f t="array" ref="J23">_xll.FDSZ(C23,"FG_PRICE_MAVG(0,,,,200)")</f>
        <v>14.558074</v>
      </c>
      <c r="L23">
        <f t="shared" si="1"/>
        <v>0</v>
      </c>
      <c r="M23">
        <f t="shared" si="2"/>
        <v>1</v>
      </c>
      <c r="N23">
        <f t="shared" si="3"/>
        <v>1</v>
      </c>
      <c r="P23">
        <f t="shared" si="4"/>
        <v>2</v>
      </c>
      <c r="R23" t="s">
        <v>880</v>
      </c>
      <c r="S23" s="7" cm="1">
        <f t="array" ref="S23">_xll.FDSZ($R23,"FG_PRICE(0)")</f>
        <v>146.89354</v>
      </c>
      <c r="T23" s="7" cm="1">
        <f t="array" ref="T23">_xll.FDSZ($R23,"FG_PRICE(0)")</f>
        <v>146.89354</v>
      </c>
      <c r="U23" s="7" cm="1">
        <f t="array" ref="U23">_xll.FDSZ($R23,"FG_PRICE(0)")</f>
        <v>146.89354</v>
      </c>
      <c r="V23" s="7" cm="1">
        <f t="array" ref="V23">_xll.FDSZ($R23,"FG_PRICE(0)")</f>
        <v>146.89354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0.54900000000000004</v>
      </c>
      <c r="G24" s="152" cm="1">
        <f t="array" ref="G24">_xll.FDSZ(C24,"FG_PRICE(0)")</f>
        <v>12.5</v>
      </c>
      <c r="H24" s="152" cm="1">
        <f t="array" ref="H24">_xll.FDSZ(C24,"FG_PRICE_MAVG(0,,,,30)")</f>
        <v>12.547667000000001</v>
      </c>
      <c r="I24" s="152" cm="1">
        <f t="array" ref="I24">_xll.FDSZ(C24,"FG_PRICE_MAVG(0,,,,60)")</f>
        <v>12.30025</v>
      </c>
      <c r="J24" s="152" cm="1">
        <f t="array" ref="J24">_xll.FDSZ(C24,"FG_PRICE_MAVG(0,,,,200)")</f>
        <v>12.711375</v>
      </c>
      <c r="L24">
        <f t="shared" si="1"/>
        <v>0</v>
      </c>
      <c r="M24">
        <f t="shared" si="2"/>
        <v>1</v>
      </c>
      <c r="N24">
        <f t="shared" si="3"/>
        <v>0</v>
      </c>
      <c r="P24">
        <f t="shared" si="4"/>
        <v>1</v>
      </c>
      <c r="R24" t="s">
        <v>881</v>
      </c>
      <c r="S24" s="7" cm="1">
        <f t="array" ref="S24">_xll.FDSZ($R24,"FG_PRICE(0)")</f>
        <v>364.34904303000002</v>
      </c>
      <c r="T24" s="7" cm="1">
        <f t="array" ref="T24">_xll.FDSZ($R24,"FG_PRICE(0)")</f>
        <v>364.34904303000002</v>
      </c>
      <c r="U24" s="7" cm="1">
        <f t="array" ref="U24">_xll.FDSZ($R24,"FG_PRICE(0)")</f>
        <v>364.34904303000002</v>
      </c>
      <c r="V24" s="7" cm="1">
        <f t="array" ref="V24">_xll.FDSZ($R24,"FG_PRICE(0)")</f>
        <v>364.34904303000002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0.38500000000000001</v>
      </c>
      <c r="G25" s="152" cm="1">
        <f t="array" ref="G25">_xll.FDSZ(C25,"FG_PRICE(0)")</f>
        <v>41.62</v>
      </c>
      <c r="H25" s="152" cm="1">
        <f t="array" ref="H25">_xll.FDSZ(C25,"FG_PRICE_MAVG(0,,,,30)")</f>
        <v>42.001334999999997</v>
      </c>
      <c r="I25" s="152" cm="1">
        <f t="array" ref="I25">_xll.FDSZ(C25,"FG_PRICE_MAVG(0,,,,60)")</f>
        <v>41.794834000000002</v>
      </c>
      <c r="J25" s="152" cm="1">
        <f t="array" ref="J25">_xll.FDSZ(C25,"FG_PRICE_MAVG(0,,,,200)")</f>
        <v>42.472299999999997</v>
      </c>
      <c r="L25">
        <f t="shared" si="1"/>
        <v>0</v>
      </c>
      <c r="M25">
        <f t="shared" si="2"/>
        <v>0</v>
      </c>
      <c r="N25">
        <f t="shared" si="3"/>
        <v>0</v>
      </c>
      <c r="P25">
        <f t="shared" si="4"/>
        <v>0</v>
      </c>
      <c r="R25" t="s">
        <v>882</v>
      </c>
      <c r="S25" s="7" cm="1">
        <f t="array" ref="S25">_xll.FDSZ($R25,"FG_PRICE(0)")</f>
        <v>47.6629</v>
      </c>
      <c r="T25" s="7" cm="1">
        <f t="array" ref="T25">_xll.FDSZ($R25,"FG_PRICE(0)")</f>
        <v>47.6629</v>
      </c>
      <c r="U25" s="7" cm="1">
        <f t="array" ref="U25">_xll.FDSZ($R25,"FG_PRICE(0)")</f>
        <v>47.6629</v>
      </c>
      <c r="V25" s="7" cm="1">
        <f t="array" ref="V25">_xll.FDSZ($R25,"FG_PRICE(0)")</f>
        <v>47.6629</v>
      </c>
    </row>
    <row r="27" spans="1:22" x14ac:dyDescent="0.35">
      <c r="K27" s="119" t="s">
        <v>908</v>
      </c>
      <c r="L27" s="119">
        <f>SUM(L5:L25)</f>
        <v>9</v>
      </c>
      <c r="M27" s="119">
        <f>SUM(M5:M25)</f>
        <v>14</v>
      </c>
      <c r="N27" s="119">
        <f>SUM(N5:N25)</f>
        <v>14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0.42857142857142855</v>
      </c>
      <c r="M30" s="178">
        <f t="shared" ref="M30:N30" si="5">M27/M28</f>
        <v>0.66666666666666663</v>
      </c>
      <c r="N30" s="178">
        <f t="shared" si="5"/>
        <v>0.66666666666666663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105.81</v>
      </c>
      <c r="D3" cm="1">
        <f t="array" ref="D3">_xll.FDS($A3,"FG_PRICE_MAVG(0,,,,30)")</f>
        <v>97.170670000000001</v>
      </c>
      <c r="E3" s="47" cm="1">
        <f t="array" ref="E3">_xll.FDS($A3,"FG_PRICE_CHANGE(0,-1AM)")</f>
        <v>15.918054338299701</v>
      </c>
      <c r="F3" s="47" cm="1">
        <f t="array" ref="F3">_xll.FDS($A3,"FG_PRICE_CHANGE(0,-3AM)")</f>
        <v>-2.6945006437373502</v>
      </c>
      <c r="G3" s="47" cm="1">
        <f t="array" ref="G3">_xll.FDS($A3,"FG_PRICE_CHANGE(0,-6AM)")</f>
        <v>1.7208229186694799</v>
      </c>
      <c r="H3" s="47" cm="1">
        <f t="array" ref="H3">_xll.FDS($A3,"FG_PRICE_CHANGE(0,-1AY)")</f>
        <v>-9.8722316865417401</v>
      </c>
      <c r="I3" s="47" cm="1">
        <f t="array" ref="I3">_xll.FDS($A3,"FG_PRICE(0)/MAX(FG_PRICE(0,-1AY))")</f>
        <v>0.73397613762486102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1</v>
      </c>
      <c r="T3">
        <f>S3</f>
        <v>1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4.3849999999999998</v>
      </c>
      <c r="D4" cm="1">
        <f t="array" ref="D4">_xll.FDS($A4,"FG_PRICE_MAVG(0,,,,30)")</f>
        <v>4.2925167000000002</v>
      </c>
      <c r="E4" s="47" cm="1">
        <f t="array" ref="E4">_xll.FDS($A4,"FG_PRICE_CHANGE(0,-1AM)")</f>
        <v>8.5261725034030391</v>
      </c>
      <c r="F4" s="47" cm="1">
        <f t="array" ref="F4">_xll.FDS($A4,"FG_PRICE_CHANGE(0,-3AM)")</f>
        <v>-4.8290830168204</v>
      </c>
      <c r="G4" s="47" cm="1">
        <f t="array" ref="G4">_xll.FDS($A4,"FG_PRICE_CHANGE(0,-6AM)")</f>
        <v>2.4054180289584202</v>
      </c>
      <c r="H4" s="47" cm="1">
        <f t="array" ref="H4">_xll.FDS($A4,"FG_PRICE_CHANGE(0,-1AY)")</f>
        <v>20.732378854625502</v>
      </c>
      <c r="I4" s="47" cm="1">
        <f t="array" ref="I4">_xll.FDS($A4,"FG_PRICE(0)/MAX(FG_PRICE(0,-1AY))")</f>
        <v>0.85661261965227598</v>
      </c>
      <c r="J4" cm="1">
        <f t="array" ref="J4">_xll.FDS($A4,"MAX(FG_PRICE(0,-5AY))")</f>
        <v>5.1189999999999998</v>
      </c>
      <c r="P4" t="s">
        <v>27</v>
      </c>
      <c r="Q4" t="s">
        <v>436</v>
      </c>
      <c r="R4" t="s">
        <v>27</v>
      </c>
      <c r="S4">
        <f>IF(E4&lt;$C$19, -1, IF(E4&gt;$C$20,1,0))</f>
        <v>0</v>
      </c>
      <c r="T4">
        <f t="shared" ref="T4:T5" si="0">S4</f>
        <v>0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-7.65756076575608</v>
      </c>
      <c r="I5" s="47" cm="1">
        <f t="array" ref="I5">_xll.FDS($A5,"FG_PRICE(0)/MAX(FG_PRICE(0,-1AY))")</f>
        <v>0.88744186046511597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0</v>
      </c>
      <c r="T5">
        <f t="shared" si="0"/>
        <v>0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6.0374999999999996</v>
      </c>
      <c r="D6" cm="1">
        <f t="array" ref="D6">_xll.FDS($A6,"FG_PRICE_MAVG(0,,,,30)")</f>
        <v>5.7536670000000001</v>
      </c>
      <c r="E6" s="47" cm="1">
        <f t="array" ref="E6">_xll.FDS($A6,"FG_PRICE_CHANGE(0,-1AM)")</f>
        <v>8.0536912751677701</v>
      </c>
      <c r="F6" s="47" cm="1">
        <f t="array" ref="F6">_xll.FDS($A6,"FG_PRICE_CHANGE(0,-3AM)")</f>
        <v>11.085556577736901</v>
      </c>
      <c r="G6" s="47" cm="1">
        <f t="array" ref="G6">_xll.FDS($A6,"FG_PRICE_CHANGE(0,-6AM)")</f>
        <v>8.1020590868397395</v>
      </c>
      <c r="H6" s="47" cm="1">
        <f t="array" ref="H6">_xll.FDS($A6,"FG_PRICE_CHANGE(0,-1AY)")</f>
        <v>8.1020590868397395</v>
      </c>
      <c r="I6" s="47" cm="1">
        <f t="array" ref="I6">_xll.FDS($A6,"FG_PRICE(0)/MAX(FG_PRICE(0,-1AY))")</f>
        <v>0.86219207425919298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4350</v>
      </c>
      <c r="D7" cm="1">
        <f t="array" ref="D7">_xll.FDS($A7,"FG_PRICE_MAVG(0,,,,30)")</f>
        <v>4101.1000000000004</v>
      </c>
      <c r="E7" s="47" cm="1">
        <f t="array" ref="E7">_xll.FDS($A7,"FG_PRICE_CHANGE(0,-1AM)")</f>
        <v>9.2690278824415895</v>
      </c>
      <c r="F7" s="47" cm="1">
        <f t="array" ref="F7">_xll.FDS($A7,"FG_PRICE_CHANGE(0,-3AM)")</f>
        <v>8.8044022011005492</v>
      </c>
      <c r="G7" s="47" cm="1">
        <f t="array" ref="G7">_xll.FDS($A7,"FG_PRICE_CHANGE(0,-6AM)")</f>
        <v>-3.6971441222050001</v>
      </c>
      <c r="H7" s="47" cm="1">
        <f t="array" ref="H7">_xll.FDS($A7,"FG_PRICE_CHANGE(0,-1AY)")</f>
        <v>22.846653487715301</v>
      </c>
      <c r="I7" s="47" cm="1">
        <f t="array" ref="I7">_xll.FDS($A7,"FG_PRICE(0)/MAX(FG_PRICE(0,-1AY))")</f>
        <v>0.94998908058528098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960</v>
      </c>
      <c r="D8" cm="1">
        <f t="array" ref="D8">_xll.FDS($A8,"FG_PRICE_MAVG(0,,,,30)")</f>
        <v>972.4</v>
      </c>
      <c r="E8" s="47" cm="1">
        <f t="array" ref="E8">_xll.FDS($A8,"FG_PRICE_CHANGE(0,-1AM)")</f>
        <v>0.73452256033577101</v>
      </c>
      <c r="F8" s="47" cm="1">
        <f t="array" ref="F8">_xll.FDS($A8,"FG_PRICE_CHANGE(0,-3AM)")</f>
        <v>-4.09590409590409</v>
      </c>
      <c r="G8" s="47" cm="1">
        <f t="array" ref="G8">_xll.FDS($A8,"FG_PRICE_CHANGE(0,-6AM)")</f>
        <v>-1.4373716632443601</v>
      </c>
      <c r="H8" s="47" cm="1">
        <f t="array" ref="H8">_xll.FDS($A8,"FG_PRICE_CHANGE(0,-1AY)")</f>
        <v>7.5027995520716697</v>
      </c>
      <c r="I8" s="47" cm="1">
        <f t="array" ref="I8">_xll.FDS($A8,"FG_PRICE(0)/MAX(FG_PRICE(0,-1AY))")</f>
        <v>0.89803554724041201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17150</v>
      </c>
      <c r="D9" cm="1">
        <f t="array" ref="D9">_xll.FDS($A9,"FG_PRICE_MAVG(0,,,,30)")</f>
        <v>16529.166000000001</v>
      </c>
      <c r="E9" s="47" cm="1">
        <f t="array" ref="E9">_xll.FDS($A9,"FG_PRICE_CHANGE(0,-1AM)")</f>
        <v>9.8654708520179408</v>
      </c>
      <c r="F9" s="47" cm="1">
        <f t="array" ref="F9">_xll.FDS($A9,"FG_PRICE_CHANGE(0,-3AM)")</f>
        <v>2.3880597014925402</v>
      </c>
      <c r="G9" s="47" cm="1">
        <f t="array" ref="G9">_xll.FDS($A9,"FG_PRICE_CHANGE(0,-6AM)")</f>
        <v>-7.7212806026365399</v>
      </c>
      <c r="H9" s="47" cm="1">
        <f t="array" ref="H9">_xll.FDS($A9,"FG_PRICE_CHANGE(0,-1AY)")</f>
        <v>-6.0788608981380099</v>
      </c>
      <c r="I9" s="47" cm="1">
        <f t="array" ref="I9">_xll.FDS($A9,"FG_PRICE(0)/MAX(FG_PRICE(0,-1AY))")</f>
        <v>0.806110458284371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0</v>
      </c>
      <c r="T9">
        <f t="shared" ref="T9" si="1">S9</f>
        <v>0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1069</v>
      </c>
      <c r="D10" cm="1">
        <f t="array" ref="D10">_xll.FDS($A10,"FG_PRICE_MAVG(0,,,,30)")</f>
        <v>1026.0999999999999</v>
      </c>
      <c r="E10" s="47" cm="1">
        <f t="array" ref="E10">_xll.FDS($A10,"FG_PRICE_CHANGE(0,-1AM)")</f>
        <v>10.2061855670103</v>
      </c>
      <c r="F10" s="47" cm="1">
        <f t="array" ref="F10">_xll.FDS($A10,"FG_PRICE_CHANGE(0,-3AM)")</f>
        <v>6.1569016881827299</v>
      </c>
      <c r="G10" s="47" cm="1">
        <f t="array" ref="G10">_xll.FDS($A10,"FG_PRICE_CHANGE(0,-6AM)")</f>
        <v>0.18744142455482399</v>
      </c>
      <c r="H10" s="47" cm="1">
        <f t="array" ref="H10">_xll.FDS($A10,"FG_PRICE_CHANGE(0,-1AY)")</f>
        <v>-6.2280701754385897</v>
      </c>
      <c r="I10" s="47" cm="1">
        <f t="array" ref="I10">_xll.FDS($A10,"FG_PRICE(0)/MAX(FG_PRICE(0,-1AY))")</f>
        <v>0.84841269841269795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566.70000000000005</v>
      </c>
      <c r="D11" cm="1">
        <f t="array" ref="D11">_xll.FDS($A11,"FG_PRICE_MAVG(0,,,,30)")</f>
        <v>560.11</v>
      </c>
      <c r="E11" s="47" cm="1">
        <f t="array" ref="E11">_xll.FDS($A11,"FG_PRICE_CHANGE(0,-1AM)")</f>
        <v>9.2749710759737702</v>
      </c>
      <c r="F11" s="47" cm="1">
        <f t="array" ref="F11">_xll.FDS($A11,"FG_PRICE_CHANGE(0,-3AM)")</f>
        <v>1.5955539619935599</v>
      </c>
      <c r="G11" s="47" cm="1">
        <f t="array" ref="G11">_xll.FDS($A11,"FG_PRICE_CHANGE(0,-6AM)")</f>
        <v>-10.403162055336001</v>
      </c>
      <c r="H11" s="47" cm="1">
        <f t="array" ref="H11">_xll.FDS($A11,"FG_PRICE_CHANGE(0,-1AY)")</f>
        <v>-21.258857857440599</v>
      </c>
      <c r="I11" s="47" cm="1">
        <f t="array" ref="I11">_xll.FDS($A11,"FG_PRICE(0)/MAX(FG_PRICE(0,-1AY))")</f>
        <v>0.74233691380665501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0.87525414999999995</v>
      </c>
      <c r="D12" cm="1">
        <f t="array" ref="D12">_xll.FDS($A12,"FG_PRICE_MAVG(0,,,,30)")</f>
        <v>0.88243269999999996</v>
      </c>
      <c r="E12" s="47" cm="1">
        <f t="array" ref="E12">_xll.FDS($A12,"FG_PRICE_CHANGE(0,-1AM)")</f>
        <v>-1.11606975156329</v>
      </c>
      <c r="F12" s="47" cm="1">
        <f t="array" ref="F12">_xll.FDS($A12,"FG_PRICE_CHANGE(0,-3AM)")</f>
        <v>-5.6060467492936601</v>
      </c>
      <c r="G12" s="47" cm="1">
        <f t="array" ref="G12">_xll.FDS($A12,"FG_PRICE_CHANGE(0,-6AM)")</f>
        <v>-9.9257911416179105</v>
      </c>
      <c r="H12" s="47" cm="1">
        <f t="array" ref="H12">_xll.FDS($A12,"FG_PRICE_CHANGE(0,-1AY)")</f>
        <v>-12.3521936031474</v>
      </c>
      <c r="I12" s="47" cm="1">
        <f t="array" ref="I12">_xll.FDS($A12,"FG_PRICE(0)/MAX(FG_PRICE(0,-1AY))")</f>
        <v>0.84159052884615404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1</v>
      </c>
      <c r="T13">
        <f t="shared" ref="T13:T23" si="2">S13</f>
        <v>1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41922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15.854198352148501</v>
      </c>
      <c r="D2" s="3" cm="1">
        <f t="array" ref="D2:D122">_xll.FDS(D1,"FMA_PE(LTMA,-10AY,0,AM,""PORTAGG"",""MEANR"")")</f>
        <v>15.4827939502074</v>
      </c>
      <c r="E2" s="3" cm="1">
        <f t="array" ref="E2:E122">_xll.FDS(E1,"FMA_PE(LTMA,-10AY,0,AM,""PORTAGG"",""MEANR"")")</f>
        <v>19.461388658091501</v>
      </c>
      <c r="F2" s="3" cm="1">
        <f t="array" ref="F2:F122">_xll.FDS(F1,"FMA_PE(LTMA,-10AY,0,AM,""PORTAGG"",""MEANR"")")</f>
        <v>14.4117173155388</v>
      </c>
      <c r="G2" s="3" cm="1">
        <f t="array" ref="G2:G122">_xll.FDS(G1,"FMA_PE(LTMA,-10AY,0,AM,""PORTAGG"",""MEANR"")")</f>
        <v>14.3355182026822</v>
      </c>
      <c r="H2" s="3" cm="1">
        <f t="array" ref="H2:H122">_xll.FDS(H1,"FMA_PE(LTMA,-10AY,0,AM,""PORTAGG"",""MEANR"")")</f>
        <v>16.458458178119098</v>
      </c>
      <c r="I2" s="3" cm="1">
        <f t="array" ref="I2:I122">_xll.FDS(I1,"FMA_PE(LTMA,-10AY,0,AM,""PORTAGG"",""MEANR"")")</f>
        <v>14.2768104778553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11.039959377322299</v>
      </c>
      <c r="L2" s="3" cm="1">
        <f t="array" ref="L2:L122">_xll.FDS(L1,"FMA_PE(LTMA,-10AY,0,AM,""PORTAGG"",""MEANR"")")</f>
        <v>12.510787511375</v>
      </c>
      <c r="M2" s="3" cm="1">
        <f t="array" ref="M2:M122">_xll.FDS(M1,"FMA_PE(LTMA,-10AY,0,AM,""PORTAGG"",""MEANR"")")</f>
        <v>15.7345548524174</v>
      </c>
      <c r="N2" s="3" cm="1">
        <f t="array" ref="N2:N122">_xll.FDS(N1,"FMA_PE(LTMA,-10AY,0,AM,""PORTAGG"",""MEANR"")")</f>
        <v>17.555194179566499</v>
      </c>
      <c r="O2" s="3" cm="1">
        <f t="array" ref="O2:O122">_xll.FDS(O1,"FMA_PE(LTMA,-10AY,0,AM,""PORTAGG"",""MEANR"")")</f>
        <v>17.8707559475633</v>
      </c>
      <c r="P2" s="3" cm="1">
        <f t="array" ref="P2:P122">_xll.FDS(P1,"FMA_PE(LTMA,-10AY,0,AM,""PORTAGG"",""MEANR"")")</f>
        <v>9.2625784646873406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18.942210266331902</v>
      </c>
      <c r="S2" s="3" cm="1">
        <f t="array" ref="S2:S122">_xll.FDS(S1,"FMA_PE(LTMA,-10AY,0,AM,""PORTAGG"",""MEANR"")")</f>
        <v>10.158327214550001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13.2996127718321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41953</v>
      </c>
      <c r="B3" s="3" t="e">
        <v>#N/A</v>
      </c>
      <c r="C3" s="3">
        <v>15.7802457439082</v>
      </c>
      <c r="D3" s="3">
        <v>15.486680292605101</v>
      </c>
      <c r="E3" s="3">
        <v>19.7887019786005</v>
      </c>
      <c r="F3" s="3">
        <v>14.5942779718977</v>
      </c>
      <c r="G3" s="3">
        <v>13.9534276764495</v>
      </c>
      <c r="H3" s="3">
        <v>16.466197523250699</v>
      </c>
      <c r="I3" s="3">
        <v>14.175337524317801</v>
      </c>
      <c r="J3" s="3" t="e">
        <v>#N/A</v>
      </c>
      <c r="K3" s="3">
        <v>11.6725318657552</v>
      </c>
      <c r="L3" s="3">
        <v>12.3798952983327</v>
      </c>
      <c r="M3" s="3">
        <v>16.753649454652699</v>
      </c>
      <c r="N3" s="3">
        <v>17.3240461457316</v>
      </c>
      <c r="O3" s="3">
        <v>18.872919773659198</v>
      </c>
      <c r="P3" s="3">
        <v>9.5010041267719103</v>
      </c>
      <c r="Q3" s="3" t="e">
        <v>#N/A</v>
      </c>
      <c r="R3" s="3">
        <v>19.523648918987501</v>
      </c>
      <c r="S3" s="3">
        <v>10.731917267456501</v>
      </c>
      <c r="T3" s="3" t="e">
        <v>#N/A</v>
      </c>
      <c r="U3" s="3">
        <v>13.351557653688101</v>
      </c>
      <c r="V3" s="3" t="e">
        <v>#N/A</v>
      </c>
    </row>
    <row r="4" spans="1:22" x14ac:dyDescent="0.35">
      <c r="A4" s="2">
        <v>41983</v>
      </c>
      <c r="B4" s="3" t="e">
        <v>#N/A</v>
      </c>
      <c r="C4" s="3">
        <v>16.5898527331269</v>
      </c>
      <c r="D4" s="3">
        <v>16.522798271962198</v>
      </c>
      <c r="E4" s="3">
        <v>19.8491949625305</v>
      </c>
      <c r="F4" s="3">
        <v>14.6773496689623</v>
      </c>
      <c r="G4" s="3">
        <v>14.4439389726675</v>
      </c>
      <c r="H4" s="3">
        <v>16.367413068270501</v>
      </c>
      <c r="I4" s="3">
        <v>13.759079069396201</v>
      </c>
      <c r="J4" s="3" t="e">
        <v>#N/A</v>
      </c>
      <c r="K4" s="3">
        <v>11.6213872434128</v>
      </c>
      <c r="L4" s="3">
        <v>11.976660776163801</v>
      </c>
      <c r="M4" s="3">
        <v>16.137648537317101</v>
      </c>
      <c r="N4" s="3">
        <v>18.405254977164201</v>
      </c>
      <c r="O4" s="3">
        <v>19.258471004168101</v>
      </c>
      <c r="P4" s="3">
        <v>9.8230523061394805</v>
      </c>
      <c r="Q4" s="3" t="e">
        <v>#N/A</v>
      </c>
      <c r="R4" s="3">
        <v>19.848746411712</v>
      </c>
      <c r="S4" s="3">
        <v>11.6163947507948</v>
      </c>
      <c r="T4" s="3" t="e">
        <v>#N/A</v>
      </c>
      <c r="U4" s="3">
        <v>13.0088941648517</v>
      </c>
      <c r="V4" s="3" t="e">
        <v>#N/A</v>
      </c>
    </row>
    <row r="5" spans="1:22" x14ac:dyDescent="0.35">
      <c r="A5" s="2">
        <v>42013</v>
      </c>
      <c r="B5" s="3" t="e">
        <v>#N/A</v>
      </c>
      <c r="C5" s="3">
        <v>16.418380206512101</v>
      </c>
      <c r="D5" s="3">
        <v>16.853264813550499</v>
      </c>
      <c r="E5" s="3">
        <v>20.372434519141599</v>
      </c>
      <c r="F5" s="3">
        <v>14.536023280073</v>
      </c>
      <c r="G5" s="3">
        <v>13.976166704770099</v>
      </c>
      <c r="H5" s="3">
        <v>16.0597226136654</v>
      </c>
      <c r="I5" s="3">
        <v>13.776923082038</v>
      </c>
      <c r="J5" s="3" t="e">
        <v>#N/A</v>
      </c>
      <c r="K5" s="3">
        <v>11.391994874811401</v>
      </c>
      <c r="L5" s="3">
        <v>12.220659688606201</v>
      </c>
      <c r="M5" s="3">
        <v>17.044795813972701</v>
      </c>
      <c r="N5" s="3">
        <v>12.559750348135699</v>
      </c>
      <c r="O5" s="3">
        <v>19.280674952592499</v>
      </c>
      <c r="P5" s="3">
        <v>10.4884769599511</v>
      </c>
      <c r="Q5" s="3">
        <v>15.176718135102201</v>
      </c>
      <c r="R5" s="3">
        <v>19.695809817586898</v>
      </c>
      <c r="S5" s="3">
        <v>12.132050963339401</v>
      </c>
      <c r="T5" s="3">
        <v>11.267030071743401</v>
      </c>
      <c r="U5" s="3">
        <v>12.4234587064885</v>
      </c>
      <c r="V5" s="3" t="e">
        <v>#N/A</v>
      </c>
    </row>
    <row r="6" spans="1:22" x14ac:dyDescent="0.35">
      <c r="A6" s="2">
        <v>42045</v>
      </c>
      <c r="B6" s="3" t="e">
        <v>#N/A</v>
      </c>
      <c r="C6" s="3">
        <v>16.376714235121199</v>
      </c>
      <c r="D6" s="3">
        <v>17.417063532454101</v>
      </c>
      <c r="E6" s="3">
        <v>20.935048790379401</v>
      </c>
      <c r="F6" s="3">
        <v>18.406280550373801</v>
      </c>
      <c r="G6" s="3">
        <v>15.632010677988101</v>
      </c>
      <c r="H6" s="3">
        <v>16.5687680444995</v>
      </c>
      <c r="I6" s="3">
        <v>14.004147022646601</v>
      </c>
      <c r="J6" s="3" t="e">
        <v>#N/A</v>
      </c>
      <c r="K6" s="3">
        <v>12.2021738873289</v>
      </c>
      <c r="L6" s="3">
        <v>12.133056113883001</v>
      </c>
      <c r="M6" s="3">
        <v>18.250361104569802</v>
      </c>
      <c r="N6" s="3">
        <v>13.238776988906301</v>
      </c>
      <c r="O6" s="3">
        <v>20.274511443189802</v>
      </c>
      <c r="P6" s="3">
        <v>10.5022470297212</v>
      </c>
      <c r="Q6" s="3">
        <v>15.2666927499893</v>
      </c>
      <c r="R6" s="3">
        <v>22.504533433821202</v>
      </c>
      <c r="S6" s="3">
        <v>11.7695896374324</v>
      </c>
      <c r="T6" s="3">
        <v>12.7137895981138</v>
      </c>
      <c r="U6" s="3">
        <v>12.4023954824371</v>
      </c>
      <c r="V6" s="3" t="e">
        <v>#N/A</v>
      </c>
    </row>
    <row r="7" spans="1:22" x14ac:dyDescent="0.35">
      <c r="A7" s="2">
        <v>42073</v>
      </c>
      <c r="B7" s="3" t="e">
        <v>#N/A</v>
      </c>
      <c r="C7" s="3">
        <v>16.532100077122099</v>
      </c>
      <c r="D7" s="3">
        <v>17.963061480956799</v>
      </c>
      <c r="E7" s="3">
        <v>21.027188860846898</v>
      </c>
      <c r="F7" s="3">
        <v>20.1644234255652</v>
      </c>
      <c r="G7" s="3">
        <v>16.124267313045301</v>
      </c>
      <c r="H7" s="3">
        <v>17.018382908328199</v>
      </c>
      <c r="I7" s="3">
        <v>14.260702560664599</v>
      </c>
      <c r="J7" s="3" t="e">
        <v>#N/A</v>
      </c>
      <c r="K7" s="3">
        <v>12.201632321478</v>
      </c>
      <c r="L7" s="3">
        <v>12.7779660211754</v>
      </c>
      <c r="M7" s="3">
        <v>18.364680385978801</v>
      </c>
      <c r="N7" s="3">
        <v>17.729892917905101</v>
      </c>
      <c r="O7" s="3">
        <v>20.935355913032701</v>
      </c>
      <c r="P7" s="3">
        <v>10.7696988258815</v>
      </c>
      <c r="Q7" s="3">
        <v>15.0184615438815</v>
      </c>
      <c r="R7" s="3">
        <v>23.353439868235402</v>
      </c>
      <c r="S7" s="3">
        <v>11.737291970642399</v>
      </c>
      <c r="T7" s="3">
        <v>13.0678052625933</v>
      </c>
      <c r="U7" s="3">
        <v>16.834271942762498</v>
      </c>
      <c r="V7" s="3" t="e">
        <v>#N/A</v>
      </c>
    </row>
    <row r="8" spans="1:22" x14ac:dyDescent="0.35">
      <c r="A8" s="2">
        <v>42104</v>
      </c>
      <c r="B8" s="3" t="e">
        <v>#N/A</v>
      </c>
      <c r="C8" s="3">
        <v>16.434260363133198</v>
      </c>
      <c r="D8" s="3">
        <v>17.895508809699798</v>
      </c>
      <c r="E8" s="3">
        <v>20.986881501637999</v>
      </c>
      <c r="F8" s="3">
        <v>19.791371848723401</v>
      </c>
      <c r="G8" s="3">
        <v>16.0079392360641</v>
      </c>
      <c r="H8" s="3">
        <v>17.0447720628433</v>
      </c>
      <c r="I8" s="3">
        <v>14.124111731117599</v>
      </c>
      <c r="J8" s="3" t="e">
        <v>#N/A</v>
      </c>
      <c r="K8" s="3">
        <v>12.0625405818021</v>
      </c>
      <c r="L8" s="3">
        <v>13.3498036386476</v>
      </c>
      <c r="M8" s="3">
        <v>18.585928897325999</v>
      </c>
      <c r="N8" s="3">
        <v>16.582107029657099</v>
      </c>
      <c r="O8" s="3">
        <v>20.827065649124599</v>
      </c>
      <c r="P8" s="3">
        <v>11.3076767506313</v>
      </c>
      <c r="Q8" s="3">
        <v>14.821574281719</v>
      </c>
      <c r="R8" s="3">
        <v>22.639729629637799</v>
      </c>
      <c r="S8" s="3">
        <v>11.709341292874701</v>
      </c>
      <c r="T8" s="3">
        <v>13.1561068720303</v>
      </c>
      <c r="U8" s="3">
        <v>16.622732392206501</v>
      </c>
      <c r="V8" s="3" t="e">
        <v>#N/A</v>
      </c>
    </row>
    <row r="9" spans="1:22" x14ac:dyDescent="0.35">
      <c r="A9" s="2">
        <v>42132</v>
      </c>
      <c r="B9" s="3" t="e">
        <v>#N/A</v>
      </c>
      <c r="C9" s="3">
        <v>16.460395245795201</v>
      </c>
      <c r="D9" s="3">
        <v>17.486934436423098</v>
      </c>
      <c r="E9" s="3">
        <v>20.585102683149799</v>
      </c>
      <c r="F9" s="3">
        <v>19.4079223030054</v>
      </c>
      <c r="G9" s="3">
        <v>15.6542476031454</v>
      </c>
      <c r="H9" s="3">
        <v>16.892372458809501</v>
      </c>
      <c r="I9" s="3">
        <v>14.074750740911499</v>
      </c>
      <c r="J9" s="3" t="e">
        <v>#N/A</v>
      </c>
      <c r="K9" s="3">
        <v>11.821984104879499</v>
      </c>
      <c r="L9" s="3">
        <v>13.9624581965895</v>
      </c>
      <c r="M9" s="3">
        <v>18.409731444926202</v>
      </c>
      <c r="N9" s="3">
        <v>15.5683180712668</v>
      </c>
      <c r="O9" s="3">
        <v>20.2811611196908</v>
      </c>
      <c r="P9" s="3">
        <v>11.4429578702306</v>
      </c>
      <c r="Q9" s="3">
        <v>14.891671307752</v>
      </c>
      <c r="R9" s="3">
        <v>22.2545689516515</v>
      </c>
      <c r="S9" s="3">
        <v>11.7432705925267</v>
      </c>
      <c r="T9" s="3">
        <v>13.6514133678031</v>
      </c>
      <c r="U9" s="3">
        <v>16.7545316189997</v>
      </c>
      <c r="V9" s="3" t="e">
        <v>#N/A</v>
      </c>
    </row>
    <row r="10" spans="1:22" x14ac:dyDescent="0.35">
      <c r="A10" s="2">
        <v>42165</v>
      </c>
      <c r="B10" s="3" t="e">
        <v>#N/A</v>
      </c>
      <c r="C10" s="3">
        <v>16.141184508670001</v>
      </c>
      <c r="D10" s="3">
        <v>17.012124664444698</v>
      </c>
      <c r="E10" s="3">
        <v>20.002062924036199</v>
      </c>
      <c r="F10" s="3">
        <v>18.295081407493399</v>
      </c>
      <c r="G10" s="3">
        <v>16.2511751046179</v>
      </c>
      <c r="H10" s="3">
        <v>16.705670925156799</v>
      </c>
      <c r="I10" s="3">
        <v>13.848136865408099</v>
      </c>
      <c r="J10" s="3" t="e">
        <v>#N/A</v>
      </c>
      <c r="K10" s="3">
        <v>11.419746417672</v>
      </c>
      <c r="L10" s="3">
        <v>13.946631957881801</v>
      </c>
      <c r="M10" s="3">
        <v>17.985677169023599</v>
      </c>
      <c r="N10" s="3">
        <v>14.496297021839901</v>
      </c>
      <c r="O10" s="3">
        <v>20.154295997904999</v>
      </c>
      <c r="P10" s="3">
        <v>11.318391962259399</v>
      </c>
      <c r="Q10" s="3">
        <v>14.5200915678505</v>
      </c>
      <c r="R10" s="3">
        <v>21.434374687447502</v>
      </c>
      <c r="S10" s="3">
        <v>11.4080551485818</v>
      </c>
      <c r="T10" s="3">
        <v>13.582686980582301</v>
      </c>
      <c r="U10" s="3">
        <v>16.6019308390308</v>
      </c>
      <c r="V10" s="3" t="e">
        <v>#N/A</v>
      </c>
    </row>
    <row r="11" spans="1:22" x14ac:dyDescent="0.35">
      <c r="A11" s="2">
        <v>42195</v>
      </c>
      <c r="B11" s="3" t="e">
        <v>#N/A</v>
      </c>
      <c r="C11" s="3">
        <v>15.559726775348199</v>
      </c>
      <c r="D11" s="3">
        <v>16.833909455974101</v>
      </c>
      <c r="E11" s="3">
        <v>19.8781934418469</v>
      </c>
      <c r="F11" s="3">
        <v>17.277403684683701</v>
      </c>
      <c r="G11" s="3">
        <v>15.7955743508538</v>
      </c>
      <c r="H11" s="3">
        <v>16.543934384002501</v>
      </c>
      <c r="I11" s="3">
        <v>13.440807003953299</v>
      </c>
      <c r="J11" s="3" t="e">
        <v>#N/A</v>
      </c>
      <c r="K11" s="3">
        <v>11.1466064928882</v>
      </c>
      <c r="L11" s="3">
        <v>13.690299177692401</v>
      </c>
      <c r="M11" s="3">
        <v>17.889022184404599</v>
      </c>
      <c r="N11" s="3">
        <v>13.370845951182201</v>
      </c>
      <c r="O11" s="3">
        <v>20.658674282277001</v>
      </c>
      <c r="P11" s="3">
        <v>10.708351032477299</v>
      </c>
      <c r="Q11" s="3">
        <v>14.462463273515</v>
      </c>
      <c r="R11" s="3">
        <v>20.866930305509801</v>
      </c>
      <c r="S11" s="3">
        <v>11.540126094386601</v>
      </c>
      <c r="T11" s="3">
        <v>13.4591470400128</v>
      </c>
      <c r="U11" s="3">
        <v>17.271132335248499</v>
      </c>
      <c r="V11" s="3" t="e">
        <v>#N/A</v>
      </c>
    </row>
    <row r="12" spans="1:22" x14ac:dyDescent="0.35">
      <c r="A12" s="2">
        <v>42226</v>
      </c>
      <c r="B12" s="3" t="e">
        <v>#N/A</v>
      </c>
      <c r="C12" s="3">
        <v>15.235890136334801</v>
      </c>
      <c r="D12" s="3">
        <v>16.807238603355898</v>
      </c>
      <c r="E12" s="3">
        <v>20.104720375804501</v>
      </c>
      <c r="F12" s="3">
        <v>16.158425605015399</v>
      </c>
      <c r="G12" s="3">
        <v>15.7889261386517</v>
      </c>
      <c r="H12" s="3">
        <v>16.171622662842299</v>
      </c>
      <c r="I12" s="3">
        <v>13.138727689401</v>
      </c>
      <c r="J12" s="3" t="e">
        <v>#N/A</v>
      </c>
      <c r="K12" s="3">
        <v>11.044694274327099</v>
      </c>
      <c r="L12" s="3">
        <v>13.1140145366496</v>
      </c>
      <c r="M12" s="3">
        <v>17.730246310950101</v>
      </c>
      <c r="N12" s="3">
        <v>12.253785440284</v>
      </c>
      <c r="O12" s="3">
        <v>21.1316325229811</v>
      </c>
      <c r="P12" s="3">
        <v>10.517750822160799</v>
      </c>
      <c r="Q12" s="3">
        <v>14.397018268293101</v>
      </c>
      <c r="R12" s="3">
        <v>19.879405665126399</v>
      </c>
      <c r="S12" s="3">
        <v>11.0040431820627</v>
      </c>
      <c r="T12" s="3">
        <v>13.5111039893936</v>
      </c>
      <c r="U12" s="3">
        <v>17.0611275314339</v>
      </c>
      <c r="V12" s="3" t="e">
        <v>#N/A</v>
      </c>
    </row>
    <row r="13" spans="1:22" x14ac:dyDescent="0.35">
      <c r="A13" s="2">
        <v>42257</v>
      </c>
      <c r="B13" s="3" t="e">
        <v>#N/A</v>
      </c>
      <c r="C13" s="3">
        <v>15.241216362071199</v>
      </c>
      <c r="D13" s="3">
        <v>15.7787554788839</v>
      </c>
      <c r="E13" s="3">
        <v>18.7430666481124</v>
      </c>
      <c r="F13" s="3">
        <v>15.1778935566216</v>
      </c>
      <c r="G13" s="3">
        <v>14.528152598294101</v>
      </c>
      <c r="H13" s="3">
        <v>15.988870904374201</v>
      </c>
      <c r="I13" s="3">
        <v>12.767253373607501</v>
      </c>
      <c r="J13" s="3" t="e">
        <v>#N/A</v>
      </c>
      <c r="K13" s="3">
        <v>10.814236445185999</v>
      </c>
      <c r="L13" s="3">
        <v>12.6860419698027</v>
      </c>
      <c r="M13" s="3">
        <v>16.9024577808961</v>
      </c>
      <c r="N13" s="3">
        <v>10.8235487615305</v>
      </c>
      <c r="O13" s="3">
        <v>20.190650757976002</v>
      </c>
      <c r="P13" s="3">
        <v>9.8599895718459596</v>
      </c>
      <c r="Q13" s="3">
        <v>14.412944581746601</v>
      </c>
      <c r="R13" s="3">
        <v>19.173607336948699</v>
      </c>
      <c r="S13" s="3">
        <v>10.3205300181647</v>
      </c>
      <c r="T13" s="3">
        <v>13.430299270742101</v>
      </c>
      <c r="U13" s="3">
        <v>17.656853866022502</v>
      </c>
      <c r="V13" s="3" t="e">
        <v>#N/A</v>
      </c>
    </row>
    <row r="14" spans="1:22" x14ac:dyDescent="0.35">
      <c r="A14" s="2">
        <v>42286</v>
      </c>
      <c r="B14" s="3" t="e">
        <v>#N/A</v>
      </c>
      <c r="C14" s="3">
        <v>15.430282982710301</v>
      </c>
      <c r="D14" s="3">
        <v>16.5441921809857</v>
      </c>
      <c r="E14" s="3">
        <v>19.204971109360201</v>
      </c>
      <c r="F14" s="3">
        <v>14.354069194950799</v>
      </c>
      <c r="G14" s="3">
        <v>15.398173871745</v>
      </c>
      <c r="H14" s="3">
        <v>16.734722786587898</v>
      </c>
      <c r="I14" s="3">
        <v>12.799364125174</v>
      </c>
      <c r="J14" s="3" t="e">
        <v>#N/A</v>
      </c>
      <c r="K14" s="3">
        <v>11.069827035528499</v>
      </c>
      <c r="L14" s="3">
        <v>12.877328028625101</v>
      </c>
      <c r="M14" s="3">
        <v>17.763101524358198</v>
      </c>
      <c r="N14" s="3">
        <v>11.7428323538399</v>
      </c>
      <c r="O14" s="3">
        <v>20.797949458256902</v>
      </c>
      <c r="P14" s="3">
        <v>10.1626587512878</v>
      </c>
      <c r="Q14" s="3">
        <v>14.085834049733</v>
      </c>
      <c r="R14" s="3">
        <v>18.8479668249893</v>
      </c>
      <c r="S14" s="3">
        <v>11.029053658071801</v>
      </c>
      <c r="T14" s="3">
        <v>13.681464095286101</v>
      </c>
      <c r="U14" s="3">
        <v>19.325441348173499</v>
      </c>
      <c r="V14" s="3" t="e">
        <v>#N/A</v>
      </c>
    </row>
    <row r="15" spans="1:22" x14ac:dyDescent="0.35">
      <c r="A15" s="2">
        <v>42318</v>
      </c>
      <c r="B15" s="3" t="e">
        <v>#N/A</v>
      </c>
      <c r="C15" s="3">
        <v>15.9050515560193</v>
      </c>
      <c r="D15" s="3">
        <v>15.9573242921609</v>
      </c>
      <c r="E15" s="3">
        <v>18.763118772786999</v>
      </c>
      <c r="F15" s="3">
        <v>13.0080336282318</v>
      </c>
      <c r="G15" s="3">
        <v>11.5668275022543</v>
      </c>
      <c r="H15" s="3">
        <v>16.632484813164101</v>
      </c>
      <c r="I15" s="3">
        <v>12.856387871343101</v>
      </c>
      <c r="J15" s="3" t="e">
        <v>#N/A</v>
      </c>
      <c r="K15" s="3">
        <v>11.324439964935101</v>
      </c>
      <c r="L15" s="3">
        <v>12.210065026125999</v>
      </c>
      <c r="M15" s="3">
        <v>17.567678951207601</v>
      </c>
      <c r="N15" s="3">
        <v>12.1108715174368</v>
      </c>
      <c r="O15" s="3">
        <v>20.0968485849511</v>
      </c>
      <c r="P15" s="3">
        <v>10.1604368288528</v>
      </c>
      <c r="Q15" s="3">
        <v>13.154516945464399</v>
      </c>
      <c r="R15" s="3">
        <v>16.527089309040001</v>
      </c>
      <c r="S15" s="3">
        <v>11.369156700822</v>
      </c>
      <c r="T15" s="3">
        <v>12.4870212965007</v>
      </c>
      <c r="U15" s="3">
        <v>20.8355877380775</v>
      </c>
      <c r="V15" s="3" t="e">
        <v>#N/A</v>
      </c>
    </row>
    <row r="16" spans="1:22" x14ac:dyDescent="0.35">
      <c r="A16" s="2">
        <v>42348</v>
      </c>
      <c r="B16" s="3" t="e">
        <v>#N/A</v>
      </c>
      <c r="C16" s="3">
        <v>15.782291169611099</v>
      </c>
      <c r="D16" s="3">
        <v>15.8874761500704</v>
      </c>
      <c r="E16" s="3">
        <v>18.136214834518299</v>
      </c>
      <c r="F16" s="3">
        <v>11.159718300429599</v>
      </c>
      <c r="G16" s="3">
        <v>10.872065270973399</v>
      </c>
      <c r="H16" s="3">
        <v>16.508831603303001</v>
      </c>
      <c r="I16" s="3">
        <v>12.311787263387499</v>
      </c>
      <c r="J16" s="3" t="e">
        <v>#N/A</v>
      </c>
      <c r="K16" s="3">
        <v>10.4855655388589</v>
      </c>
      <c r="L16" s="3">
        <v>12.5841183777294</v>
      </c>
      <c r="M16" s="3">
        <v>15.8456129086307</v>
      </c>
      <c r="N16" s="3">
        <v>-2.3247295291765302</v>
      </c>
      <c r="O16" s="3">
        <v>19.830911513959201</v>
      </c>
      <c r="P16" s="3">
        <v>9.7254112679833504</v>
      </c>
      <c r="Q16" s="3">
        <v>11.9725119518372</v>
      </c>
      <c r="R16" s="3">
        <v>14.8521838937941</v>
      </c>
      <c r="S16" s="3">
        <v>10.057860745191</v>
      </c>
      <c r="T16" s="3">
        <v>11.0655386444089</v>
      </c>
      <c r="U16" s="3">
        <v>23.1172436754002</v>
      </c>
      <c r="V16" s="3" t="e">
        <v>#N/A</v>
      </c>
    </row>
    <row r="17" spans="1:22" x14ac:dyDescent="0.35">
      <c r="A17" s="2">
        <v>42377</v>
      </c>
      <c r="B17" s="3" t="e">
        <v>#N/A</v>
      </c>
      <c r="C17" s="3">
        <v>15.4436065325434</v>
      </c>
      <c r="D17" s="3">
        <v>16.018715216913201</v>
      </c>
      <c r="E17" s="3">
        <v>17.1706266757676</v>
      </c>
      <c r="F17" s="3">
        <v>10.5737329960506</v>
      </c>
      <c r="G17" s="3">
        <v>14.6355230740494</v>
      </c>
      <c r="H17" s="3">
        <v>16.465011194110399</v>
      </c>
      <c r="I17" s="3">
        <v>11.3464343442893</v>
      </c>
      <c r="J17" s="3">
        <v>22.210207382220599</v>
      </c>
      <c r="K17" s="3">
        <v>9.7851634842725002</v>
      </c>
      <c r="L17" s="3">
        <v>11.388057852458701</v>
      </c>
      <c r="M17" s="3">
        <v>15.4541872113801</v>
      </c>
      <c r="N17" s="3">
        <v>-1.8522593088635899</v>
      </c>
      <c r="O17" s="3">
        <v>19.7550897802289</v>
      </c>
      <c r="P17" s="3">
        <v>10.0421306166895</v>
      </c>
      <c r="Q17" s="3">
        <v>11.5713196066494</v>
      </c>
      <c r="R17" s="3">
        <v>12.774753619349299</v>
      </c>
      <c r="S17" s="3">
        <v>9.5520251784559491</v>
      </c>
      <c r="T17" s="3">
        <v>12.8245747838818</v>
      </c>
      <c r="U17" s="3">
        <v>33.155498142528003</v>
      </c>
      <c r="V17" s="3">
        <v>12.337574136954499</v>
      </c>
    </row>
    <row r="18" spans="1:22" x14ac:dyDescent="0.35">
      <c r="A18" s="2">
        <v>42410</v>
      </c>
      <c r="B18" s="3" t="e">
        <v>#N/A</v>
      </c>
      <c r="C18" s="3">
        <v>15.4890156909773</v>
      </c>
      <c r="D18" s="3">
        <v>16.703231764350299</v>
      </c>
      <c r="E18" s="3">
        <v>17.2076545109141</v>
      </c>
      <c r="F18" s="3">
        <v>11.7170236623452</v>
      </c>
      <c r="G18" s="3">
        <v>16.9460121390842</v>
      </c>
      <c r="H18" s="3">
        <v>16.3531280559985</v>
      </c>
      <c r="I18" s="3">
        <v>11.8519403552159</v>
      </c>
      <c r="J18" s="3">
        <v>23.115080442872902</v>
      </c>
      <c r="K18" s="3">
        <v>10.4762671546181</v>
      </c>
      <c r="L18" s="3">
        <v>11.3853233156096</v>
      </c>
      <c r="M18" s="3">
        <v>15.500430862846899</v>
      </c>
      <c r="N18" s="3">
        <v>-0.45908809834456199</v>
      </c>
      <c r="O18" s="3">
        <v>19.1364732783519</v>
      </c>
      <c r="P18" s="3">
        <v>9.3649554375802708</v>
      </c>
      <c r="Q18" s="3">
        <v>11.9104933559183</v>
      </c>
      <c r="R18" s="3">
        <v>16.0782760365773</v>
      </c>
      <c r="S18" s="3">
        <v>9.6059182224826891</v>
      </c>
      <c r="T18" s="3">
        <v>12.110921440583001</v>
      </c>
      <c r="U18" s="3">
        <v>19.0565573632534</v>
      </c>
      <c r="V18" s="3">
        <v>10.9029653360132</v>
      </c>
    </row>
    <row r="19" spans="1:22" x14ac:dyDescent="0.35">
      <c r="A19" s="2">
        <v>42439</v>
      </c>
      <c r="B19" s="3" t="e">
        <v>#N/A</v>
      </c>
      <c r="C19" s="3">
        <v>15.525826305727399</v>
      </c>
      <c r="D19" s="3">
        <v>16.805222646375601</v>
      </c>
      <c r="E19" s="3">
        <v>16.7250836644318</v>
      </c>
      <c r="F19" s="3">
        <v>12.2895178394011</v>
      </c>
      <c r="G19" s="3">
        <v>22.4902250367515</v>
      </c>
      <c r="H19" s="3">
        <v>16.634513301796499</v>
      </c>
      <c r="I19" s="3">
        <v>12.437612588742599</v>
      </c>
      <c r="J19" s="3">
        <v>24.766828418246799</v>
      </c>
      <c r="K19" s="3">
        <v>10.6183948338973</v>
      </c>
      <c r="L19" s="3">
        <v>12.9235909549827</v>
      </c>
      <c r="M19" s="3">
        <v>15.912816671156801</v>
      </c>
      <c r="N19" s="3">
        <v>0.27328438335779498</v>
      </c>
      <c r="O19" s="3">
        <v>18.946658582332901</v>
      </c>
      <c r="P19" s="3">
        <v>9.3316937822270898</v>
      </c>
      <c r="Q19" s="3">
        <v>12.1123826981864</v>
      </c>
      <c r="R19" s="3">
        <v>16.643093375565599</v>
      </c>
      <c r="S19" s="3">
        <v>9.7818955960987495</v>
      </c>
      <c r="T19" s="3">
        <v>13.0913242374055</v>
      </c>
      <c r="U19" s="3">
        <v>-5.08009518695797</v>
      </c>
      <c r="V19" s="3">
        <v>11.776518084246399</v>
      </c>
    </row>
    <row r="20" spans="1:22" x14ac:dyDescent="0.35">
      <c r="A20" s="2">
        <v>42468</v>
      </c>
      <c r="B20" s="3" t="e">
        <v>#N/A</v>
      </c>
      <c r="C20" s="3">
        <v>15.3854635766741</v>
      </c>
      <c r="D20" s="3">
        <v>16.702141388776699</v>
      </c>
      <c r="E20" s="3">
        <v>16.965492854321401</v>
      </c>
      <c r="F20" s="3">
        <v>12.376623172587999</v>
      </c>
      <c r="G20" s="3">
        <v>21.8000777178794</v>
      </c>
      <c r="H20" s="3">
        <v>16.681610437183501</v>
      </c>
      <c r="I20" s="3">
        <v>12.482929361084</v>
      </c>
      <c r="J20" s="3">
        <v>24.664404572668499</v>
      </c>
      <c r="K20" s="3">
        <v>10.608253568615501</v>
      </c>
      <c r="L20" s="3">
        <v>13.203396218986301</v>
      </c>
      <c r="M20" s="3">
        <v>15.945712118190499</v>
      </c>
      <c r="N20" s="3">
        <v>1.15890110070207</v>
      </c>
      <c r="O20" s="3">
        <v>18.822656705247201</v>
      </c>
      <c r="P20" s="3">
        <v>9.5497181165714409</v>
      </c>
      <c r="Q20" s="3">
        <v>12.097829029010899</v>
      </c>
      <c r="R20" s="3">
        <v>16.418394933914801</v>
      </c>
      <c r="S20" s="3">
        <v>9.7911448757205193</v>
      </c>
      <c r="T20" s="3">
        <v>13.0252980725559</v>
      </c>
      <c r="U20" s="3">
        <v>-3.82928689930894</v>
      </c>
      <c r="V20" s="3">
        <v>11.849063737549301</v>
      </c>
    </row>
    <row r="21" spans="1:22" x14ac:dyDescent="0.35">
      <c r="A21" s="2">
        <v>42500</v>
      </c>
      <c r="B21" s="3" t="e">
        <v>#N/A</v>
      </c>
      <c r="C21" s="3">
        <v>15.3370938775904</v>
      </c>
      <c r="D21" s="3">
        <v>16.396835559765702</v>
      </c>
      <c r="E21" s="3">
        <v>16.746858230472501</v>
      </c>
      <c r="F21" s="3">
        <v>12.180584376770801</v>
      </c>
      <c r="G21" s="3">
        <v>21.403046686019501</v>
      </c>
      <c r="H21" s="3">
        <v>16.409346627554299</v>
      </c>
      <c r="I21" s="3">
        <v>12.364490894558999</v>
      </c>
      <c r="J21" s="3">
        <v>24.477416883322601</v>
      </c>
      <c r="K21" s="3">
        <v>10.5213069040032</v>
      </c>
      <c r="L21" s="3">
        <v>13.155474464797001</v>
      </c>
      <c r="M21" s="3">
        <v>15.734597917723301</v>
      </c>
      <c r="N21" s="3">
        <v>3.1976091547091601</v>
      </c>
      <c r="O21" s="3">
        <v>18.9669748689359</v>
      </c>
      <c r="P21" s="3">
        <v>9.5731423915079308</v>
      </c>
      <c r="Q21" s="3">
        <v>12.167421001514199</v>
      </c>
      <c r="R21" s="3">
        <v>16.299206533518301</v>
      </c>
      <c r="S21" s="3">
        <v>9.6415641379107893</v>
      </c>
      <c r="T21" s="3">
        <v>13.1953818336375</v>
      </c>
      <c r="U21" s="3">
        <v>-1.84249470337237</v>
      </c>
      <c r="V21" s="3">
        <v>12.2967219505777</v>
      </c>
    </row>
    <row r="22" spans="1:22" x14ac:dyDescent="0.35">
      <c r="A22" s="2">
        <v>42531</v>
      </c>
      <c r="B22" s="3" t="e">
        <v>#N/A</v>
      </c>
      <c r="C22" s="3">
        <v>15.0659871488982</v>
      </c>
      <c r="D22" s="3">
        <v>16.520019683560399</v>
      </c>
      <c r="E22" s="3">
        <v>17.266379712492899</v>
      </c>
      <c r="F22" s="3">
        <v>12.030809909741899</v>
      </c>
      <c r="G22" s="3">
        <v>20.466512557767899</v>
      </c>
      <c r="H22" s="3">
        <v>16.610979068382999</v>
      </c>
      <c r="I22" s="3">
        <v>12.964336577348</v>
      </c>
      <c r="J22" s="3">
        <v>23.358203095263701</v>
      </c>
      <c r="K22" s="3">
        <v>10.5659713111807</v>
      </c>
      <c r="L22" s="3">
        <v>12.9188903883663</v>
      </c>
      <c r="M22" s="3">
        <v>15.9263323039028</v>
      </c>
      <c r="N22" s="3">
        <v>4.1174681557847004</v>
      </c>
      <c r="O22" s="3">
        <v>19.069310821706601</v>
      </c>
      <c r="P22" s="3">
        <v>10.2614695916338</v>
      </c>
      <c r="Q22" s="3">
        <v>12.2539148515918</v>
      </c>
      <c r="R22" s="3">
        <v>16.366765770420901</v>
      </c>
      <c r="S22" s="3">
        <v>9.5023273753429507</v>
      </c>
      <c r="T22" s="3">
        <v>13.213662332035099</v>
      </c>
      <c r="U22" s="3">
        <v>0.30047371069727602</v>
      </c>
      <c r="V22" s="3">
        <v>12.761066819641099</v>
      </c>
    </row>
    <row r="23" spans="1:22" x14ac:dyDescent="0.35">
      <c r="A23" s="2">
        <v>42559</v>
      </c>
      <c r="B23" s="3" t="e">
        <v>#N/A</v>
      </c>
      <c r="C23" s="3">
        <v>15.3671968992524</v>
      </c>
      <c r="D23" s="3">
        <v>16.835954662751401</v>
      </c>
      <c r="E23" s="3">
        <v>17.651025905446598</v>
      </c>
      <c r="F23" s="3">
        <v>11.610232104809199</v>
      </c>
      <c r="G23" s="3">
        <v>20.159776213485902</v>
      </c>
      <c r="H23" s="3">
        <v>16.671793998841199</v>
      </c>
      <c r="I23" s="3">
        <v>13.046802973745701</v>
      </c>
      <c r="J23" s="3">
        <v>22.9089632950386</v>
      </c>
      <c r="K23" s="3">
        <v>10.411044872900399</v>
      </c>
      <c r="L23" s="3">
        <v>13.562442676365301</v>
      </c>
      <c r="M23" s="3">
        <v>15.784510346052899</v>
      </c>
      <c r="N23" s="3">
        <v>4.5469957090397903</v>
      </c>
      <c r="O23" s="3">
        <v>19.244776329807301</v>
      </c>
      <c r="P23" s="3">
        <v>10.4606462707671</v>
      </c>
      <c r="Q23" s="3">
        <v>12.2877449966344</v>
      </c>
      <c r="R23" s="3">
        <v>16.457426375833698</v>
      </c>
      <c r="S23" s="3">
        <v>9.4874186415822308</v>
      </c>
      <c r="T23" s="3">
        <v>13.4531025385278</v>
      </c>
      <c r="U23" s="3">
        <v>1.7668766276775001</v>
      </c>
      <c r="V23" s="3">
        <v>12.7644215936281</v>
      </c>
    </row>
    <row r="24" spans="1:22" x14ac:dyDescent="0.35">
      <c r="A24" s="2">
        <v>42592</v>
      </c>
      <c r="B24" s="3" t="e">
        <v>#N/A</v>
      </c>
      <c r="C24" s="3">
        <v>16.013570679704902</v>
      </c>
      <c r="D24" s="3">
        <v>18.058345288554801</v>
      </c>
      <c r="E24" s="3">
        <v>18.585214091599699</v>
      </c>
      <c r="F24" s="3">
        <v>12.349982223070199</v>
      </c>
      <c r="G24" s="3">
        <v>19.226983550470401</v>
      </c>
      <c r="H24" s="3">
        <v>16.8935949801017</v>
      </c>
      <c r="I24" s="3">
        <v>13.7917550765335</v>
      </c>
      <c r="J24" s="3">
        <v>23.077900284093701</v>
      </c>
      <c r="K24" s="3">
        <v>10.5603801771548</v>
      </c>
      <c r="L24" s="3">
        <v>14.064499245455499</v>
      </c>
      <c r="M24" s="3">
        <v>16.6874593569243</v>
      </c>
      <c r="N24" s="3">
        <v>6.3122822721085203</v>
      </c>
      <c r="O24" s="3">
        <v>19.649771073984599</v>
      </c>
      <c r="P24" s="3">
        <v>11.3744400467664</v>
      </c>
      <c r="Q24" s="3">
        <v>13.1867434651965</v>
      </c>
      <c r="R24" s="3">
        <v>16.765457701010899</v>
      </c>
      <c r="S24" s="3">
        <v>9.41752073789314</v>
      </c>
      <c r="T24" s="3">
        <v>13.4801295102928</v>
      </c>
      <c r="U24" s="3">
        <v>3.5774166416321602</v>
      </c>
      <c r="V24" s="3">
        <v>12.936257568829999</v>
      </c>
    </row>
    <row r="25" spans="1:22" x14ac:dyDescent="0.35">
      <c r="A25" s="2">
        <v>42622</v>
      </c>
      <c r="B25" s="3" t="e">
        <v>#N/A</v>
      </c>
      <c r="C25" s="3">
        <v>16.042182208018801</v>
      </c>
      <c r="D25" s="3">
        <v>17.5972505244895</v>
      </c>
      <c r="E25" s="3">
        <v>18.2486062915975</v>
      </c>
      <c r="F25" s="3">
        <v>12.0736055686712</v>
      </c>
      <c r="G25" s="3">
        <v>18.139517968971099</v>
      </c>
      <c r="H25" s="3">
        <v>17.2663756669211</v>
      </c>
      <c r="I25" s="3">
        <v>13.9282668231945</v>
      </c>
      <c r="J25" s="3">
        <v>22.071359003480602</v>
      </c>
      <c r="K25" s="3">
        <v>10.6993800668399</v>
      </c>
      <c r="L25" s="3">
        <v>14.571629159338601</v>
      </c>
      <c r="M25" s="3">
        <v>16.7200311737585</v>
      </c>
      <c r="N25" s="3">
        <v>7.9773242901158596</v>
      </c>
      <c r="O25" s="3">
        <v>19.913721093136601</v>
      </c>
      <c r="P25" s="3">
        <v>12.4817465302323</v>
      </c>
      <c r="Q25" s="3">
        <v>13.0636349670536</v>
      </c>
      <c r="R25" s="3">
        <v>15.9058403480251</v>
      </c>
      <c r="S25" s="3">
        <v>9.4807960973661594</v>
      </c>
      <c r="T25" s="3">
        <v>13.233023448653499</v>
      </c>
      <c r="U25" s="3">
        <v>5.3584891513339299</v>
      </c>
      <c r="V25" s="3">
        <v>12.8779620940361</v>
      </c>
    </row>
    <row r="26" spans="1:22" x14ac:dyDescent="0.35">
      <c r="A26" s="2">
        <v>42653</v>
      </c>
      <c r="B26" s="3" t="e">
        <v>#N/A</v>
      </c>
      <c r="C26" s="3">
        <v>16.375835524134299</v>
      </c>
      <c r="D26" s="3">
        <v>18.0492280030731</v>
      </c>
      <c r="E26" s="3">
        <v>17.726377617158601</v>
      </c>
      <c r="F26" s="3">
        <v>12.399066960842299</v>
      </c>
      <c r="G26" s="3">
        <v>16.739720497531799</v>
      </c>
      <c r="H26" s="3">
        <v>17.3066491771541</v>
      </c>
      <c r="I26" s="3">
        <v>14.3795968392508</v>
      </c>
      <c r="J26" s="3">
        <v>22.341080654047399</v>
      </c>
      <c r="K26" s="3">
        <v>10.703903379525901</v>
      </c>
      <c r="L26" s="3">
        <v>14.9745059048794</v>
      </c>
      <c r="M26" s="3">
        <v>16.702511577443801</v>
      </c>
      <c r="N26" s="3">
        <v>10.449511318686801</v>
      </c>
      <c r="O26" s="3">
        <v>19.8858900311802</v>
      </c>
      <c r="P26" s="3">
        <v>12.9804122898298</v>
      </c>
      <c r="Q26" s="3">
        <v>13.3095934120675</v>
      </c>
      <c r="R26" s="3">
        <v>15.790134918750001</v>
      </c>
      <c r="S26" s="3">
        <v>9.4398346958125607</v>
      </c>
      <c r="T26" s="3">
        <v>13.9381452732277</v>
      </c>
      <c r="U26" s="3">
        <v>10.1158769985974</v>
      </c>
      <c r="V26" s="3">
        <v>12.347459334262901</v>
      </c>
    </row>
    <row r="27" spans="1:22" x14ac:dyDescent="0.35">
      <c r="A27" s="2">
        <v>42684</v>
      </c>
      <c r="B27" s="3" t="e">
        <v>#N/A</v>
      </c>
      <c r="C27" s="3">
        <v>16.6211867572475</v>
      </c>
      <c r="D27" s="3">
        <v>18.1095572444084</v>
      </c>
      <c r="E27" s="3">
        <v>17.088095868171301</v>
      </c>
      <c r="F27" s="3">
        <v>12.737606336185801</v>
      </c>
      <c r="G27" s="3">
        <v>16.445494384580201</v>
      </c>
      <c r="H27" s="3">
        <v>17.219794415696601</v>
      </c>
      <c r="I27" s="3">
        <v>14.1071216749967</v>
      </c>
      <c r="J27" s="3">
        <v>21.085840718131902</v>
      </c>
      <c r="K27" s="3">
        <v>10.8128366560325</v>
      </c>
      <c r="L27" s="3">
        <v>14.616697300862</v>
      </c>
      <c r="M27" s="3">
        <v>16.4773086166336</v>
      </c>
      <c r="N27" s="3">
        <v>11.571832217598599</v>
      </c>
      <c r="O27" s="3">
        <v>19.382824181274199</v>
      </c>
      <c r="P27" s="3">
        <v>12.859142828171301</v>
      </c>
      <c r="Q27" s="3">
        <v>13.1369973772448</v>
      </c>
      <c r="R27" s="3">
        <v>16.174480674359</v>
      </c>
      <c r="S27" s="3">
        <v>9.0974949640248592</v>
      </c>
      <c r="T27" s="3">
        <v>12.6966478513484</v>
      </c>
      <c r="U27" s="3">
        <v>11.3771347276674</v>
      </c>
      <c r="V27" s="3">
        <v>13.9435473116356</v>
      </c>
    </row>
    <row r="28" spans="1:22" x14ac:dyDescent="0.35">
      <c r="A28" s="2">
        <v>42713</v>
      </c>
      <c r="B28" s="3" t="e">
        <v>#N/A</v>
      </c>
      <c r="C28" s="3">
        <v>16.848638129423598</v>
      </c>
      <c r="D28" s="3">
        <v>17.720063028847498</v>
      </c>
      <c r="E28" s="3">
        <v>17.162790674005201</v>
      </c>
      <c r="F28" s="3">
        <v>13.2512452575683</v>
      </c>
      <c r="G28" s="3">
        <v>15.689246821697999</v>
      </c>
      <c r="H28" s="3">
        <v>17.092767351505699</v>
      </c>
      <c r="I28" s="3">
        <v>14.4680354251726</v>
      </c>
      <c r="J28" s="3">
        <v>21.224111395240001</v>
      </c>
      <c r="K28" s="3">
        <v>11.0979095190745</v>
      </c>
      <c r="L28" s="3">
        <v>14.760808823502799</v>
      </c>
      <c r="M28" s="3">
        <v>16.636806879088301</v>
      </c>
      <c r="N28" s="3">
        <v>14.870410618164</v>
      </c>
      <c r="O28" s="3">
        <v>19.1124075657569</v>
      </c>
      <c r="P28" s="3">
        <v>13.264002262849599</v>
      </c>
      <c r="Q28" s="3">
        <v>13.524854271741701</v>
      </c>
      <c r="R28" s="3">
        <v>16.177802069043398</v>
      </c>
      <c r="S28" s="3">
        <v>8.8388606754802499</v>
      </c>
      <c r="T28" s="3">
        <v>12.9581948771025</v>
      </c>
      <c r="U28" s="3">
        <v>12.8855429861965</v>
      </c>
      <c r="V28" s="3">
        <v>14.8138907815599</v>
      </c>
    </row>
    <row r="29" spans="1:22" x14ac:dyDescent="0.35">
      <c r="A29" s="2">
        <v>42745</v>
      </c>
      <c r="B29" s="3">
        <v>15.0737997678699</v>
      </c>
      <c r="C29" s="3">
        <v>15.547026040344701</v>
      </c>
      <c r="D29" s="3">
        <v>17.95298544413</v>
      </c>
      <c r="E29" s="3">
        <v>18.296785818380801</v>
      </c>
      <c r="F29" s="3">
        <v>14.2839935236067</v>
      </c>
      <c r="G29" s="3">
        <v>15.6404460370157</v>
      </c>
      <c r="H29" s="3">
        <v>17.263073582350099</v>
      </c>
      <c r="I29" s="3">
        <v>14.414383409381401</v>
      </c>
      <c r="J29" s="3">
        <v>20.318672111477898</v>
      </c>
      <c r="K29" s="3">
        <v>11.148106364478201</v>
      </c>
      <c r="L29" s="3">
        <v>15.0530520220456</v>
      </c>
      <c r="M29" s="3">
        <v>17.2917502918101</v>
      </c>
      <c r="N29" s="3">
        <v>14.983147846124099</v>
      </c>
      <c r="O29" s="3">
        <v>19.239123949775301</v>
      </c>
      <c r="P29" s="3">
        <v>13.589471551883999</v>
      </c>
      <c r="Q29" s="3">
        <v>14.794930207515</v>
      </c>
      <c r="R29" s="3">
        <v>16.5471995876314</v>
      </c>
      <c r="S29" s="3">
        <v>8.7883222432219199</v>
      </c>
      <c r="T29" s="3">
        <v>13.530756939303799</v>
      </c>
      <c r="U29" s="3">
        <v>14.9311758551269</v>
      </c>
      <c r="V29" s="3">
        <v>14.919370691823801</v>
      </c>
    </row>
    <row r="30" spans="1:22" x14ac:dyDescent="0.35">
      <c r="A30" s="2">
        <v>42776</v>
      </c>
      <c r="B30" s="3">
        <v>15.0822114490405</v>
      </c>
      <c r="C30" s="3">
        <v>16.61496771401</v>
      </c>
      <c r="D30" s="3">
        <v>17.596528565159801</v>
      </c>
      <c r="E30" s="3">
        <v>18.0196968149294</v>
      </c>
      <c r="F30" s="3">
        <v>15.1957574762093</v>
      </c>
      <c r="G30" s="3">
        <v>17.512112629652702</v>
      </c>
      <c r="H30" s="3">
        <v>17.227534050209002</v>
      </c>
      <c r="I30" s="3">
        <v>14.519537223402001</v>
      </c>
      <c r="J30" s="3">
        <v>21.764209484276702</v>
      </c>
      <c r="K30" s="3">
        <v>11.6553899255292</v>
      </c>
      <c r="L30" s="3">
        <v>16.226119559035599</v>
      </c>
      <c r="M30" s="3">
        <v>17.970241933828401</v>
      </c>
      <c r="N30" s="3">
        <v>13.681762661114799</v>
      </c>
      <c r="O30" s="3">
        <v>20.107049271900198</v>
      </c>
      <c r="P30" s="3">
        <v>14.0425366637057</v>
      </c>
      <c r="Q30" s="3">
        <v>14.5857171295782</v>
      </c>
      <c r="R30" s="3">
        <v>16.6844746724319</v>
      </c>
      <c r="S30" s="3">
        <v>9.8386533735586692</v>
      </c>
      <c r="T30" s="3">
        <v>13.5362650383298</v>
      </c>
      <c r="U30" s="3">
        <v>15.3417454380471</v>
      </c>
      <c r="V30" s="3">
        <v>15.0063560129</v>
      </c>
    </row>
    <row r="31" spans="1:22" x14ac:dyDescent="0.35">
      <c r="A31" s="2">
        <v>42804</v>
      </c>
      <c r="B31" s="3">
        <v>15.1735201518739</v>
      </c>
      <c r="C31" s="3">
        <v>16.804279157361901</v>
      </c>
      <c r="D31" s="3">
        <v>17.459468408454999</v>
      </c>
      <c r="E31" s="3">
        <v>17.823681972980101</v>
      </c>
      <c r="F31" s="3">
        <v>15.6849867816447</v>
      </c>
      <c r="G31" s="3">
        <v>16.171278601600498</v>
      </c>
      <c r="H31" s="3">
        <v>17.063983721146901</v>
      </c>
      <c r="I31" s="3">
        <v>14.460343265483401</v>
      </c>
      <c r="J31" s="3">
        <v>21.3942477576777</v>
      </c>
      <c r="K31" s="3">
        <v>11.605134670918201</v>
      </c>
      <c r="L31" s="3">
        <v>16.686690679663698</v>
      </c>
      <c r="M31" s="3">
        <v>18.416540985376301</v>
      </c>
      <c r="N31" s="3">
        <v>14.2543154278051</v>
      </c>
      <c r="O31" s="3">
        <v>20.4639897103187</v>
      </c>
      <c r="P31" s="3">
        <v>14.015034322301499</v>
      </c>
      <c r="Q31" s="3">
        <v>14.801615335677701</v>
      </c>
      <c r="R31" s="3">
        <v>16.280950649923199</v>
      </c>
      <c r="S31" s="3">
        <v>9.8555616022716102</v>
      </c>
      <c r="T31" s="3">
        <v>13.3406048980856</v>
      </c>
      <c r="U31" s="3">
        <v>15.536791518233001</v>
      </c>
      <c r="V31" s="3">
        <v>15.3129363764617</v>
      </c>
    </row>
    <row r="32" spans="1:22" x14ac:dyDescent="0.35">
      <c r="A32" s="2">
        <v>42835</v>
      </c>
      <c r="B32" s="3">
        <v>15.135528256230099</v>
      </c>
      <c r="C32" s="3">
        <v>17.145120574892601</v>
      </c>
      <c r="D32" s="3">
        <v>17.428048838016299</v>
      </c>
      <c r="E32" s="3">
        <v>18.012983788036799</v>
      </c>
      <c r="F32" s="3">
        <v>15.364488419559899</v>
      </c>
      <c r="G32" s="3">
        <v>15.694997892438799</v>
      </c>
      <c r="H32" s="3">
        <v>17.125403053454299</v>
      </c>
      <c r="I32" s="3">
        <v>14.393963725003699</v>
      </c>
      <c r="J32" s="3">
        <v>21.168820073865898</v>
      </c>
      <c r="K32" s="3">
        <v>11.3273541921318</v>
      </c>
      <c r="L32" s="3">
        <v>16.2517808069464</v>
      </c>
      <c r="M32" s="3">
        <v>18.212225697853199</v>
      </c>
      <c r="N32" s="3">
        <v>14.3475452635836</v>
      </c>
      <c r="O32" s="3">
        <v>20.400978840121802</v>
      </c>
      <c r="P32" s="3">
        <v>13.8776067391642</v>
      </c>
      <c r="Q32" s="3">
        <v>14.6462264756958</v>
      </c>
      <c r="R32" s="3">
        <v>16.280252039849199</v>
      </c>
      <c r="S32" s="3">
        <v>9.7659374075456</v>
      </c>
      <c r="T32" s="3">
        <v>13.356264706609799</v>
      </c>
      <c r="U32" s="3">
        <v>15.706031658745699</v>
      </c>
      <c r="V32" s="3">
        <v>15.2713744998559</v>
      </c>
    </row>
    <row r="33" spans="1:22" x14ac:dyDescent="0.35">
      <c r="A33" s="2">
        <v>42865</v>
      </c>
      <c r="B33" s="3">
        <v>14.8477563953864</v>
      </c>
      <c r="C33" s="3">
        <v>17.247589453134601</v>
      </c>
      <c r="D33" s="3">
        <v>17.4050548382111</v>
      </c>
      <c r="E33" s="3">
        <v>18.121903794971399</v>
      </c>
      <c r="F33" s="3">
        <v>15.2148771240768</v>
      </c>
      <c r="G33" s="3">
        <v>14.9791830415117</v>
      </c>
      <c r="H33" s="3">
        <v>17.2602824646786</v>
      </c>
      <c r="I33" s="3">
        <v>14.3609433111342</v>
      </c>
      <c r="J33" s="3">
        <v>20.7284222709077</v>
      </c>
      <c r="K33" s="3">
        <v>11.1843810673705</v>
      </c>
      <c r="L33" s="3">
        <v>16.096110557492501</v>
      </c>
      <c r="M33" s="3">
        <v>18.3331027655234</v>
      </c>
      <c r="N33" s="3">
        <v>15.144712264485401</v>
      </c>
      <c r="O33" s="3">
        <v>20.438391207953799</v>
      </c>
      <c r="P33" s="3">
        <v>13.9870408602343</v>
      </c>
      <c r="Q33" s="3">
        <v>14.523644275889</v>
      </c>
      <c r="R33" s="3">
        <v>16.100731725634901</v>
      </c>
      <c r="S33" s="3">
        <v>9.7957565604458008</v>
      </c>
      <c r="T33" s="3">
        <v>13.2198555401962</v>
      </c>
      <c r="U33" s="3">
        <v>15.9727978904117</v>
      </c>
      <c r="V33" s="3">
        <v>15.00286395685</v>
      </c>
    </row>
    <row r="34" spans="1:22" x14ac:dyDescent="0.35">
      <c r="A34" s="2">
        <v>42895</v>
      </c>
      <c r="B34" s="3">
        <v>15.202412810894399</v>
      </c>
      <c r="C34" s="3">
        <v>17.151679036747499</v>
      </c>
      <c r="D34" s="3">
        <v>17.1927515232499</v>
      </c>
      <c r="E34" s="3">
        <v>18.343676356879499</v>
      </c>
      <c r="F34" s="3">
        <v>14.8673438606963</v>
      </c>
      <c r="G34" s="3">
        <v>15.081352944841001</v>
      </c>
      <c r="H34" s="3">
        <v>17.273236059079998</v>
      </c>
      <c r="I34" s="3">
        <v>14.425360621046</v>
      </c>
      <c r="J34" s="3">
        <v>20.230419415811799</v>
      </c>
      <c r="K34" s="3">
        <v>11.1084300200251</v>
      </c>
      <c r="L34" s="3">
        <v>15.276831482199199</v>
      </c>
      <c r="M34" s="3">
        <v>17.7664399445468</v>
      </c>
      <c r="N34" s="3">
        <v>15.2761568546349</v>
      </c>
      <c r="O34" s="3">
        <v>20.424417037640101</v>
      </c>
      <c r="P34" s="3">
        <v>14.144899489404199</v>
      </c>
      <c r="Q34" s="3">
        <v>14.167105338333799</v>
      </c>
      <c r="R34" s="3">
        <v>16.037848271691502</v>
      </c>
      <c r="S34" s="3">
        <v>9.7208159120631308</v>
      </c>
      <c r="T34" s="3">
        <v>12.906750444838099</v>
      </c>
      <c r="U34" s="3">
        <v>15.7534481511605</v>
      </c>
      <c r="V34" s="3">
        <v>15.049932015786</v>
      </c>
    </row>
    <row r="35" spans="1:22" x14ac:dyDescent="0.35">
      <c r="A35" s="2">
        <v>42926</v>
      </c>
      <c r="B35" s="3">
        <v>15.277650164334901</v>
      </c>
      <c r="C35" s="3">
        <v>17.644802153050499</v>
      </c>
      <c r="D35" s="3">
        <v>17.256570237553898</v>
      </c>
      <c r="E35" s="3">
        <v>17.840775725465399</v>
      </c>
      <c r="F35" s="3">
        <v>14.4742465551425</v>
      </c>
      <c r="G35" s="3">
        <v>14.7273172612091</v>
      </c>
      <c r="H35" s="3">
        <v>17.181608986169199</v>
      </c>
      <c r="I35" s="3">
        <v>14.533883162934901</v>
      </c>
      <c r="J35" s="3">
        <v>19.875904450892001</v>
      </c>
      <c r="K35" s="3">
        <v>10.865286587224601</v>
      </c>
      <c r="L35" s="3">
        <v>14.926850912334899</v>
      </c>
      <c r="M35" s="3">
        <v>17.527497191342601</v>
      </c>
      <c r="N35" s="3">
        <v>15.339269261720901</v>
      </c>
      <c r="O35" s="3">
        <v>20.495419656240301</v>
      </c>
      <c r="P35" s="3">
        <v>13.985114961575199</v>
      </c>
      <c r="Q35" s="3">
        <v>13.8268847858239</v>
      </c>
      <c r="R35" s="3">
        <v>15.944814494227201</v>
      </c>
      <c r="S35" s="3">
        <v>9.6234247958176304</v>
      </c>
      <c r="T35" s="3">
        <v>12.7887685927577</v>
      </c>
      <c r="U35" s="3">
        <v>16.624172208064799</v>
      </c>
      <c r="V35" s="3">
        <v>15.317272525264499</v>
      </c>
    </row>
    <row r="36" spans="1:22" x14ac:dyDescent="0.35">
      <c r="A36" s="2">
        <v>42957</v>
      </c>
      <c r="B36" s="3">
        <v>15.2073182647561</v>
      </c>
      <c r="C36" s="3">
        <v>18.060498797756502</v>
      </c>
      <c r="D36" s="3">
        <v>17.304648547511899</v>
      </c>
      <c r="E36" s="3">
        <v>17.733182314915499</v>
      </c>
      <c r="F36" s="3">
        <v>14.391531795028699</v>
      </c>
      <c r="G36" s="3">
        <v>14.975201833464199</v>
      </c>
      <c r="H36" s="3">
        <v>17.290990473240399</v>
      </c>
      <c r="I36" s="3">
        <v>14.633989659706801</v>
      </c>
      <c r="J36" s="3">
        <v>19.582398453702499</v>
      </c>
      <c r="K36" s="3">
        <v>10.553802204361499</v>
      </c>
      <c r="L36" s="3">
        <v>15.1830164276591</v>
      </c>
      <c r="M36" s="3">
        <v>18.105116598557601</v>
      </c>
      <c r="N36" s="3">
        <v>15.3405800018283</v>
      </c>
      <c r="O36" s="3">
        <v>20.622209047400599</v>
      </c>
      <c r="P36" s="3">
        <v>14.5460114457741</v>
      </c>
      <c r="Q36" s="3">
        <v>14.1086228564069</v>
      </c>
      <c r="R36" s="3">
        <v>15.977936667205499</v>
      </c>
      <c r="S36" s="3">
        <v>9.6224926896406</v>
      </c>
      <c r="T36" s="3">
        <v>13.1759762646782</v>
      </c>
      <c r="U36" s="3">
        <v>17.411558671800002</v>
      </c>
      <c r="V36" s="3">
        <v>15.2364370957457</v>
      </c>
    </row>
    <row r="37" spans="1:22" x14ac:dyDescent="0.35">
      <c r="A37" s="2">
        <v>42986</v>
      </c>
      <c r="B37" s="3">
        <v>15.6342857470793</v>
      </c>
      <c r="C37" s="3">
        <v>19.369706715941899</v>
      </c>
      <c r="D37" s="3">
        <v>17.217330563478701</v>
      </c>
      <c r="E37" s="3">
        <v>18.3603530763964</v>
      </c>
      <c r="F37" s="3">
        <v>13.881038557077099</v>
      </c>
      <c r="G37" s="3">
        <v>14.8633099284064</v>
      </c>
      <c r="H37" s="3">
        <v>17.571207870468701</v>
      </c>
      <c r="I37" s="3">
        <v>14.648146170764999</v>
      </c>
      <c r="J37" s="3">
        <v>19.297279896973201</v>
      </c>
      <c r="K37" s="3">
        <v>10.3253335970394</v>
      </c>
      <c r="L37" s="3">
        <v>15.4580810790901</v>
      </c>
      <c r="M37" s="3">
        <v>17.760203659887999</v>
      </c>
      <c r="N37" s="3">
        <v>14.770982452356201</v>
      </c>
      <c r="O37" s="3">
        <v>20.956937259682402</v>
      </c>
      <c r="P37" s="3">
        <v>14.344256785179301</v>
      </c>
      <c r="Q37" s="3">
        <v>13.2263327019452</v>
      </c>
      <c r="R37" s="3">
        <v>16.286230015330599</v>
      </c>
      <c r="S37" s="3">
        <v>9.4684726903486407</v>
      </c>
      <c r="T37" s="3">
        <v>12.584918978762101</v>
      </c>
      <c r="U37" s="3">
        <v>17.742282024523501</v>
      </c>
      <c r="V37" s="3">
        <v>15.1982963183546</v>
      </c>
    </row>
    <row r="38" spans="1:22" x14ac:dyDescent="0.35">
      <c r="A38" s="2">
        <v>43018</v>
      </c>
      <c r="B38" s="3">
        <v>15.814761214054601</v>
      </c>
      <c r="C38" s="3">
        <v>17.937444808840802</v>
      </c>
      <c r="D38" s="3">
        <v>17.3303385191427</v>
      </c>
      <c r="E38" s="3">
        <v>19.277883885896799</v>
      </c>
      <c r="F38" s="3">
        <v>13.589313358086001</v>
      </c>
      <c r="G38" s="3">
        <v>16.398067633373</v>
      </c>
      <c r="H38" s="3">
        <v>17.450945505837801</v>
      </c>
      <c r="I38" s="3">
        <v>14.477792557646501</v>
      </c>
      <c r="J38" s="3">
        <v>18.752382977376101</v>
      </c>
      <c r="K38" s="3">
        <v>10.496030293317901</v>
      </c>
      <c r="L38" s="3">
        <v>15.799748401734099</v>
      </c>
      <c r="M38" s="3">
        <v>18.0691062953079</v>
      </c>
      <c r="N38" s="3">
        <v>15.9636161862571</v>
      </c>
      <c r="O38" s="3">
        <v>21.1295927737273</v>
      </c>
      <c r="P38" s="3">
        <v>15.157845055066099</v>
      </c>
      <c r="Q38" s="3">
        <v>12.629059615102401</v>
      </c>
      <c r="R38" s="3">
        <v>16.796665869120901</v>
      </c>
      <c r="S38" s="3">
        <v>8.9684338722103298</v>
      </c>
      <c r="T38" s="3">
        <v>12.2441965876829</v>
      </c>
      <c r="U38" s="3">
        <v>18.042914207331901</v>
      </c>
      <c r="V38" s="3">
        <v>14.5991674578237</v>
      </c>
    </row>
    <row r="39" spans="1:22" x14ac:dyDescent="0.35">
      <c r="A39" s="2">
        <v>43049</v>
      </c>
      <c r="B39" s="3">
        <v>16.4812105031748</v>
      </c>
      <c r="C39" s="3">
        <v>18.256408543067501</v>
      </c>
      <c r="D39" s="3">
        <v>17.231180782408199</v>
      </c>
      <c r="E39" s="3">
        <v>19.726164572427798</v>
      </c>
      <c r="F39" s="3">
        <v>12.868120694480099</v>
      </c>
      <c r="G39" s="3">
        <v>16.589445818509802</v>
      </c>
      <c r="H39" s="3">
        <v>17.342174686830202</v>
      </c>
      <c r="I39" s="3">
        <v>14.8390515094245</v>
      </c>
      <c r="J39" s="3">
        <v>17.0790916013013</v>
      </c>
      <c r="K39" s="3">
        <v>10.456238631766601</v>
      </c>
      <c r="L39" s="3">
        <v>14.4257105121635</v>
      </c>
      <c r="M39" s="3">
        <v>18.411200560191102</v>
      </c>
      <c r="N39" s="3">
        <v>16.855351313507299</v>
      </c>
      <c r="O39" s="3">
        <v>21.764217780443701</v>
      </c>
      <c r="P39" s="3">
        <v>15.5044643185864</v>
      </c>
      <c r="Q39" s="3">
        <v>12.481466089464201</v>
      </c>
      <c r="R39" s="3">
        <v>16.9409114513691</v>
      </c>
      <c r="S39" s="3">
        <v>9.0776356502895492</v>
      </c>
      <c r="T39" s="3">
        <v>11.934344274739001</v>
      </c>
      <c r="U39" s="3">
        <v>18.8628638558591</v>
      </c>
      <c r="V39" s="3">
        <v>14.395162032846001</v>
      </c>
    </row>
    <row r="40" spans="1:22" x14ac:dyDescent="0.35">
      <c r="A40" s="2">
        <v>43077</v>
      </c>
      <c r="B40" s="3">
        <v>15.740237448334399</v>
      </c>
      <c r="C40" s="3">
        <v>15.950047666151001</v>
      </c>
      <c r="D40" s="3">
        <v>17.077811055545901</v>
      </c>
      <c r="E40" s="3">
        <v>19.136163099083699</v>
      </c>
      <c r="F40" s="3">
        <v>12.4648132185519</v>
      </c>
      <c r="G40" s="3">
        <v>16.402721871806602</v>
      </c>
      <c r="H40" s="3">
        <v>17.533642342762501</v>
      </c>
      <c r="I40" s="3">
        <v>14.396146829278999</v>
      </c>
      <c r="J40" s="3">
        <v>16.947111855360099</v>
      </c>
      <c r="K40" s="3">
        <v>10.1577553788598</v>
      </c>
      <c r="L40" s="3">
        <v>14.492908657193</v>
      </c>
      <c r="M40" s="3">
        <v>17.670209188592299</v>
      </c>
      <c r="N40" s="3">
        <v>18.0761503758952</v>
      </c>
      <c r="O40" s="3">
        <v>21.910008983183001</v>
      </c>
      <c r="P40" s="3">
        <v>15.0233402682502</v>
      </c>
      <c r="Q40" s="3">
        <v>12.3860717792664</v>
      </c>
      <c r="R40" s="3">
        <v>17.243181931467401</v>
      </c>
      <c r="S40" s="3">
        <v>8.8159409786929803</v>
      </c>
      <c r="T40" s="3">
        <v>11.3898775197161</v>
      </c>
      <c r="U40" s="3">
        <v>20.941608583978802</v>
      </c>
      <c r="V40" s="3">
        <v>14.4177963337359</v>
      </c>
    </row>
    <row r="41" spans="1:22" x14ac:dyDescent="0.35">
      <c r="A41" s="2">
        <v>43110</v>
      </c>
      <c r="B41" s="3">
        <v>16.5440032842459</v>
      </c>
      <c r="C41" s="3">
        <v>18.267596672648398</v>
      </c>
      <c r="D41" s="3">
        <v>18.1015866705633</v>
      </c>
      <c r="E41" s="3">
        <v>20.568462330095802</v>
      </c>
      <c r="F41" s="3">
        <v>12.498910225700101</v>
      </c>
      <c r="G41" s="3">
        <v>17.573883063952401</v>
      </c>
      <c r="H41" s="3">
        <v>18.626542040007301</v>
      </c>
      <c r="I41" s="3">
        <v>14.7193429083308</v>
      </c>
      <c r="J41" s="3">
        <v>16.9838275557922</v>
      </c>
      <c r="K41" s="3">
        <v>10.340248357362</v>
      </c>
      <c r="L41" s="3">
        <v>15.0954877359608</v>
      </c>
      <c r="M41" s="3">
        <v>18.484038027092499</v>
      </c>
      <c r="N41" s="3">
        <v>21.490033868695701</v>
      </c>
      <c r="O41" s="3">
        <v>22.916486627820699</v>
      </c>
      <c r="P41" s="3">
        <v>16.228870538598301</v>
      </c>
      <c r="Q41" s="3">
        <v>13.542628132446101</v>
      </c>
      <c r="R41" s="3">
        <v>18.229479514197401</v>
      </c>
      <c r="S41" s="3">
        <v>8.8798535959553995</v>
      </c>
      <c r="T41" s="3">
        <v>12.3024009354962</v>
      </c>
      <c r="U41" s="3">
        <v>24.294078066323902</v>
      </c>
      <c r="V41" s="3">
        <v>14.6350435454011</v>
      </c>
    </row>
    <row r="42" spans="1:22" x14ac:dyDescent="0.35">
      <c r="A42" s="2">
        <v>43140</v>
      </c>
      <c r="B42" s="3">
        <v>14.715094906938701</v>
      </c>
      <c r="C42" s="3">
        <v>17.495189944088899</v>
      </c>
      <c r="D42" s="3">
        <v>17.628562054456999</v>
      </c>
      <c r="E42" s="3">
        <v>19.274275258255699</v>
      </c>
      <c r="F42" s="3">
        <v>12.0439370403688</v>
      </c>
      <c r="G42" s="3">
        <v>17.512002167177201</v>
      </c>
      <c r="H42" s="3">
        <v>18.318412407980201</v>
      </c>
      <c r="I42" s="3">
        <v>13.9895982450596</v>
      </c>
      <c r="J42" s="3">
        <v>16.9183249516527</v>
      </c>
      <c r="K42" s="3">
        <v>10.1610798740774</v>
      </c>
      <c r="L42" s="3">
        <v>15.617909184312699</v>
      </c>
      <c r="M42" s="3">
        <v>17.244709889186801</v>
      </c>
      <c r="N42" s="3">
        <v>22.774474794117999</v>
      </c>
      <c r="O42" s="3">
        <v>21.834013840649501</v>
      </c>
      <c r="P42" s="3">
        <v>14.5435298676946</v>
      </c>
      <c r="Q42" s="3">
        <v>13.255094660465099</v>
      </c>
      <c r="R42" s="3">
        <v>17.900979403427101</v>
      </c>
      <c r="S42" s="3">
        <v>8.7275206425347296</v>
      </c>
      <c r="T42" s="3">
        <v>12.024264151658</v>
      </c>
      <c r="U42" s="3">
        <v>23.262881804797502</v>
      </c>
      <c r="V42" s="3">
        <v>14.7917182647336</v>
      </c>
    </row>
    <row r="43" spans="1:22" x14ac:dyDescent="0.35">
      <c r="A43" s="2">
        <v>43168</v>
      </c>
      <c r="B43" s="3">
        <v>15.320093082250899</v>
      </c>
      <c r="C43" s="3">
        <v>17.5259416523953</v>
      </c>
      <c r="D43" s="3">
        <v>17.553432210364502</v>
      </c>
      <c r="E43" s="3">
        <v>19.305922755177001</v>
      </c>
      <c r="F43" s="3">
        <v>11.766719610087501</v>
      </c>
      <c r="G43" s="3">
        <v>19.737405110352899</v>
      </c>
      <c r="H43" s="3">
        <v>18.493188891710901</v>
      </c>
      <c r="I43" s="3">
        <v>14.468069994745001</v>
      </c>
      <c r="J43" s="3">
        <v>17.9724243795287</v>
      </c>
      <c r="K43" s="3">
        <v>10.538221023317201</v>
      </c>
      <c r="L43" s="3">
        <v>16.506740547621401</v>
      </c>
      <c r="M43" s="3">
        <v>18.100509908561602</v>
      </c>
      <c r="N43" s="3">
        <v>23.640870468103302</v>
      </c>
      <c r="O43" s="3">
        <v>21.592307182884898</v>
      </c>
      <c r="P43" s="3">
        <v>15.3420588758237</v>
      </c>
      <c r="Q43" s="3">
        <v>12.677472710046899</v>
      </c>
      <c r="R43" s="3">
        <v>17.649400949486999</v>
      </c>
      <c r="S43" s="3">
        <v>9.1729489470673204</v>
      </c>
      <c r="T43" s="3">
        <v>12.422388611613799</v>
      </c>
      <c r="U43" s="3">
        <v>24.5614445993209</v>
      </c>
      <c r="V43" s="3">
        <v>15.056343230517401</v>
      </c>
    </row>
    <row r="44" spans="1:22" x14ac:dyDescent="0.35">
      <c r="A44" s="2">
        <v>43200</v>
      </c>
      <c r="B44" s="3">
        <v>15.008963298451301</v>
      </c>
      <c r="C44" s="3">
        <v>17.1076408754544</v>
      </c>
      <c r="D44" s="3">
        <v>17.341016577222</v>
      </c>
      <c r="E44" s="3">
        <v>18.849535648496001</v>
      </c>
      <c r="F44" s="3">
        <v>11.734084546132401</v>
      </c>
      <c r="G44" s="3">
        <v>19.1774886921954</v>
      </c>
      <c r="H44" s="3">
        <v>18.3598862480337</v>
      </c>
      <c r="I44" s="3">
        <v>14.3849163009744</v>
      </c>
      <c r="J44" s="3">
        <v>17.7823755685245</v>
      </c>
      <c r="K44" s="3">
        <v>10.3659824353015</v>
      </c>
      <c r="L44" s="3">
        <v>16.073873705789001</v>
      </c>
      <c r="M44" s="3">
        <v>17.886729301113999</v>
      </c>
      <c r="N44" s="3">
        <v>22.8264687433321</v>
      </c>
      <c r="O44" s="3">
        <v>21.395098115867199</v>
      </c>
      <c r="P44" s="3">
        <v>15.029408340816101</v>
      </c>
      <c r="Q44" s="3">
        <v>12.7721056778636</v>
      </c>
      <c r="R44" s="3">
        <v>17.360589924021902</v>
      </c>
      <c r="S44" s="3">
        <v>8.9253952846925397</v>
      </c>
      <c r="T44" s="3">
        <v>12.432323963633401</v>
      </c>
      <c r="U44" s="3">
        <v>24.619006958378002</v>
      </c>
      <c r="V44" s="3">
        <v>15.246981277368</v>
      </c>
    </row>
    <row r="45" spans="1:22" x14ac:dyDescent="0.35">
      <c r="A45" s="2">
        <v>43230</v>
      </c>
      <c r="B45" s="3">
        <v>14.5475903908973</v>
      </c>
      <c r="C45" s="3">
        <v>16.7352821531789</v>
      </c>
      <c r="D45" s="3">
        <v>16.686611323873201</v>
      </c>
      <c r="E45" s="3">
        <v>18.5458099343114</v>
      </c>
      <c r="F45" s="3">
        <v>11.791903065856999</v>
      </c>
      <c r="G45" s="3">
        <v>18.634980981040599</v>
      </c>
      <c r="H45" s="3">
        <v>18.1182289586149</v>
      </c>
      <c r="I45" s="3">
        <v>14.289360623715901</v>
      </c>
      <c r="J45" s="3">
        <v>17.397852346537999</v>
      </c>
      <c r="K45" s="3">
        <v>10.226445038946901</v>
      </c>
      <c r="L45" s="3">
        <v>15.73891384126</v>
      </c>
      <c r="M45" s="3">
        <v>17.676676654768901</v>
      </c>
      <c r="N45" s="3">
        <v>22.343276466854199</v>
      </c>
      <c r="O45" s="3">
        <v>21.318651554478599</v>
      </c>
      <c r="P45" s="3">
        <v>14.8658639282796</v>
      </c>
      <c r="Q45" s="3">
        <v>12.5073787783878</v>
      </c>
      <c r="R45" s="3">
        <v>17.072992938130898</v>
      </c>
      <c r="S45" s="3">
        <v>8.5902159733398999</v>
      </c>
      <c r="T45" s="3">
        <v>12.0136213635015</v>
      </c>
      <c r="U45" s="3">
        <v>23.922498575020501</v>
      </c>
      <c r="V45" s="3">
        <v>15.1643868421307</v>
      </c>
    </row>
    <row r="46" spans="1:22" x14ac:dyDescent="0.35">
      <c r="A46" s="2">
        <v>43259</v>
      </c>
      <c r="B46" s="3">
        <v>14.2373883460125</v>
      </c>
      <c r="C46" s="3">
        <v>15.994003277034</v>
      </c>
      <c r="D46" s="3">
        <v>16.327165041138599</v>
      </c>
      <c r="E46" s="3">
        <v>18.559783392689599</v>
      </c>
      <c r="F46" s="3">
        <v>11.646319246057001</v>
      </c>
      <c r="G46" s="3">
        <v>17.9383550813718</v>
      </c>
      <c r="H46" s="3">
        <v>18.007525022975202</v>
      </c>
      <c r="I46" s="3">
        <v>14.3920030970882</v>
      </c>
      <c r="J46" s="3">
        <v>17.062571837713499</v>
      </c>
      <c r="K46" s="3">
        <v>10.119954821674799</v>
      </c>
      <c r="L46" s="3">
        <v>14.6432936297279</v>
      </c>
      <c r="M46" s="3">
        <v>17.220098094736802</v>
      </c>
      <c r="N46" s="3">
        <v>21.689884640526</v>
      </c>
      <c r="O46" s="3">
        <v>21.347125025978599</v>
      </c>
      <c r="P46" s="3">
        <v>14.7599761343534</v>
      </c>
      <c r="Q46" s="3">
        <v>12.678455861631999</v>
      </c>
      <c r="R46" s="3">
        <v>16.998866017517901</v>
      </c>
      <c r="S46" s="3">
        <v>8.1994412010709095</v>
      </c>
      <c r="T46" s="3">
        <v>12.1245484900473</v>
      </c>
      <c r="U46" s="3">
        <v>23.983544659872599</v>
      </c>
      <c r="V46" s="3">
        <v>15.540452351023699</v>
      </c>
    </row>
    <row r="47" spans="1:22" x14ac:dyDescent="0.35">
      <c r="A47" s="2">
        <v>43291</v>
      </c>
      <c r="B47" s="3">
        <v>13.4338983570478</v>
      </c>
      <c r="C47" s="3">
        <v>15.3336481480196</v>
      </c>
      <c r="D47" s="3">
        <v>15.764101138435599</v>
      </c>
      <c r="E47" s="3">
        <v>17.626853794335901</v>
      </c>
      <c r="F47" s="3">
        <v>11.3381338049187</v>
      </c>
      <c r="G47" s="3">
        <v>17.632584940569899</v>
      </c>
      <c r="H47" s="3">
        <v>17.402513643686699</v>
      </c>
      <c r="I47" s="3">
        <v>14.0833297826393</v>
      </c>
      <c r="J47" s="3">
        <v>17.584967744943199</v>
      </c>
      <c r="K47" s="3">
        <v>9.6996885360620393</v>
      </c>
      <c r="L47" s="3">
        <v>14.2137158301272</v>
      </c>
      <c r="M47" s="3">
        <v>16.933655861741698</v>
      </c>
      <c r="N47" s="3">
        <v>21.409496270842599</v>
      </c>
      <c r="O47" s="3">
        <v>21.286046670421001</v>
      </c>
      <c r="P47" s="3">
        <v>14.1507543763431</v>
      </c>
      <c r="Q47" s="3">
        <v>12.5942466177941</v>
      </c>
      <c r="R47" s="3">
        <v>16.4150945482872</v>
      </c>
      <c r="S47" s="3">
        <v>8.0021036837950703</v>
      </c>
      <c r="T47" s="3">
        <v>12.1039393521325</v>
      </c>
      <c r="U47" s="3">
        <v>21.471488349762701</v>
      </c>
      <c r="V47" s="3">
        <v>15.5751632631478</v>
      </c>
    </row>
    <row r="48" spans="1:22" x14ac:dyDescent="0.35">
      <c r="A48" s="2">
        <v>43322</v>
      </c>
      <c r="B48" s="3">
        <v>12.8573934789719</v>
      </c>
      <c r="C48" s="3">
        <v>15.1808838796315</v>
      </c>
      <c r="D48" s="3">
        <v>16.197483635542198</v>
      </c>
      <c r="E48" s="3">
        <v>18.0855972030202</v>
      </c>
      <c r="F48" s="3">
        <v>11.554266503245501</v>
      </c>
      <c r="G48" s="3">
        <v>17.7733884463001</v>
      </c>
      <c r="H48" s="3">
        <v>17.938379172179999</v>
      </c>
      <c r="I48" s="3">
        <v>14.1893496534279</v>
      </c>
      <c r="J48" s="3">
        <v>17.124789054512199</v>
      </c>
      <c r="K48" s="3">
        <v>9.4690399125210405</v>
      </c>
      <c r="L48" s="3">
        <v>13.8312563846945</v>
      </c>
      <c r="M48" s="3">
        <v>16.449837886388099</v>
      </c>
      <c r="N48" s="3">
        <v>21.571454257415301</v>
      </c>
      <c r="O48" s="3">
        <v>22.011647377619099</v>
      </c>
      <c r="P48" s="3">
        <v>13.8936318327587</v>
      </c>
      <c r="Q48" s="3">
        <v>13.189187738798299</v>
      </c>
      <c r="R48" s="3">
        <v>16.556518376765101</v>
      </c>
      <c r="S48" s="3">
        <v>7.6572920676672096</v>
      </c>
      <c r="T48" s="3">
        <v>12.203289810417701</v>
      </c>
      <c r="U48" s="3">
        <v>21.945447651423901</v>
      </c>
      <c r="V48" s="3">
        <v>15.1907366986642</v>
      </c>
    </row>
    <row r="49" spans="1:22" x14ac:dyDescent="0.35">
      <c r="A49" s="2">
        <v>43353</v>
      </c>
      <c r="B49" s="3">
        <v>12.3528460155639</v>
      </c>
      <c r="C49" s="3">
        <v>14.956373897335</v>
      </c>
      <c r="D49" s="3">
        <v>15.4472927129653</v>
      </c>
      <c r="E49" s="3">
        <v>17.072407368311499</v>
      </c>
      <c r="F49" s="3">
        <v>11.4991750199818</v>
      </c>
      <c r="G49" s="3">
        <v>16.112240241963299</v>
      </c>
      <c r="H49" s="3">
        <v>17.791929747567998</v>
      </c>
      <c r="I49" s="3">
        <v>13.7431177242768</v>
      </c>
      <c r="J49" s="3">
        <v>17.118003419459701</v>
      </c>
      <c r="K49" s="3">
        <v>9.32911350777532</v>
      </c>
      <c r="L49" s="3">
        <v>13.327640340177</v>
      </c>
      <c r="M49" s="3">
        <v>15.897531922672099</v>
      </c>
      <c r="N49" s="3">
        <v>21.611041886163999</v>
      </c>
      <c r="O49" s="3">
        <v>22.2548010615767</v>
      </c>
      <c r="P49" s="3">
        <v>13.009540160719199</v>
      </c>
      <c r="Q49" s="3">
        <v>13.235302843768</v>
      </c>
      <c r="R49" s="3">
        <v>16.144185988982102</v>
      </c>
      <c r="S49" s="3">
        <v>7.2551473947674996</v>
      </c>
      <c r="T49" s="3">
        <v>13.116223402757001</v>
      </c>
      <c r="U49" s="3">
        <v>21.849478393990601</v>
      </c>
      <c r="V49" s="3">
        <v>14.6634212759962</v>
      </c>
    </row>
    <row r="50" spans="1:22" x14ac:dyDescent="0.35">
      <c r="A50" s="2">
        <v>43383</v>
      </c>
      <c r="B50" s="3">
        <v>12.148322428328999</v>
      </c>
      <c r="C50" s="3">
        <v>17.2522136526118</v>
      </c>
      <c r="D50" s="3">
        <v>15.322123522984599</v>
      </c>
      <c r="E50" s="3">
        <v>15.8401475169092</v>
      </c>
      <c r="F50" s="3">
        <v>11.4000292586664</v>
      </c>
      <c r="G50" s="3">
        <v>16.3055925087825</v>
      </c>
      <c r="H50" s="3">
        <v>17.080666794951199</v>
      </c>
      <c r="I50" s="3">
        <v>13.3251444991417</v>
      </c>
      <c r="J50" s="3">
        <v>16.7430914892104</v>
      </c>
      <c r="K50" s="3">
        <v>9.0754912823865794</v>
      </c>
      <c r="L50" s="3">
        <v>13.6180541140873</v>
      </c>
      <c r="M50" s="3">
        <v>14.717741949191501</v>
      </c>
      <c r="N50" s="3">
        <v>19.357055831724701</v>
      </c>
      <c r="O50" s="3">
        <v>20.612995173025102</v>
      </c>
      <c r="P50" s="3">
        <v>12.382736598205801</v>
      </c>
      <c r="Q50" s="3">
        <v>13.323263434057999</v>
      </c>
      <c r="R50" s="3">
        <v>16.131256665587099</v>
      </c>
      <c r="S50" s="3">
        <v>7.38826624371639</v>
      </c>
      <c r="T50" s="3">
        <v>12.777459003537601</v>
      </c>
      <c r="U50" s="3">
        <v>20.788209053822101</v>
      </c>
      <c r="V50" s="3">
        <v>14.871270455110499</v>
      </c>
    </row>
    <row r="51" spans="1:22" x14ac:dyDescent="0.35">
      <c r="A51" s="2">
        <v>43413</v>
      </c>
      <c r="B51" s="3">
        <v>11.5849600189015</v>
      </c>
      <c r="C51" s="3">
        <v>17.115033234381201</v>
      </c>
      <c r="D51" s="3">
        <v>15.2717421842018</v>
      </c>
      <c r="E51" s="3">
        <v>15.616479179591501</v>
      </c>
      <c r="F51" s="3">
        <v>11.381516320452199</v>
      </c>
      <c r="G51" s="3">
        <v>16.656202358492401</v>
      </c>
      <c r="H51" s="3">
        <v>16.6915086597194</v>
      </c>
      <c r="I51" s="3">
        <v>12.5612106377245</v>
      </c>
      <c r="J51" s="3">
        <v>15.557318355529301</v>
      </c>
      <c r="K51" s="3">
        <v>8.5788131813635609</v>
      </c>
      <c r="L51" s="3">
        <v>13.740315695241399</v>
      </c>
      <c r="M51" s="3">
        <v>14.827956720663799</v>
      </c>
      <c r="N51" s="3">
        <v>18.814942500569099</v>
      </c>
      <c r="O51" s="3">
        <v>21.257748957873901</v>
      </c>
      <c r="P51" s="3">
        <v>12.121937382058</v>
      </c>
      <c r="Q51" s="3">
        <v>13.735609739817001</v>
      </c>
      <c r="R51" s="3">
        <v>15.595350719318001</v>
      </c>
      <c r="S51" s="3">
        <v>6.9696153674051304</v>
      </c>
      <c r="T51" s="3">
        <v>13.046805802708599</v>
      </c>
      <c r="U51" s="3">
        <v>19.644458453765001</v>
      </c>
      <c r="V51" s="3">
        <v>14.786492589489599</v>
      </c>
    </row>
    <row r="52" spans="1:22" x14ac:dyDescent="0.35">
      <c r="A52" s="2">
        <v>43444</v>
      </c>
      <c r="B52" s="3">
        <v>11.3051056395682</v>
      </c>
      <c r="C52" s="3">
        <v>16.520902282308501</v>
      </c>
      <c r="D52" s="3">
        <v>15.5530297702068</v>
      </c>
      <c r="E52" s="3">
        <v>16.223180377496298</v>
      </c>
      <c r="F52" s="3">
        <v>11.3968127970917</v>
      </c>
      <c r="G52" s="3">
        <v>17.086821001627399</v>
      </c>
      <c r="H52" s="3">
        <v>16.5913219245476</v>
      </c>
      <c r="I52" s="3">
        <v>12.4042161603124</v>
      </c>
      <c r="J52" s="3">
        <v>14.556388372361599</v>
      </c>
      <c r="K52" s="3">
        <v>8.26440875991584</v>
      </c>
      <c r="L52" s="3">
        <v>13.691168307357</v>
      </c>
      <c r="M52" s="3">
        <v>14.362016878222001</v>
      </c>
      <c r="N52" s="3">
        <v>20.121366218629099</v>
      </c>
      <c r="O52" s="3">
        <v>20.8904364484615</v>
      </c>
      <c r="P52" s="3">
        <v>11.990316038223201</v>
      </c>
      <c r="Q52" s="3">
        <v>14.167628241369099</v>
      </c>
      <c r="R52" s="3">
        <v>15.2278067936286</v>
      </c>
      <c r="S52" s="3">
        <v>6.7773211729636103</v>
      </c>
      <c r="T52" s="3">
        <v>11.7919973383695</v>
      </c>
      <c r="U52" s="3">
        <v>19.569885571257501</v>
      </c>
      <c r="V52" s="3">
        <v>15.3653025952348</v>
      </c>
    </row>
    <row r="53" spans="1:22" x14ac:dyDescent="0.35">
      <c r="A53" s="2">
        <v>43475</v>
      </c>
      <c r="B53" s="3">
        <v>10.8103426465716</v>
      </c>
      <c r="C53" s="3">
        <v>12.390115608054201</v>
      </c>
      <c r="D53" s="3">
        <v>16.0896771367062</v>
      </c>
      <c r="E53" s="3">
        <v>17.688726766901802</v>
      </c>
      <c r="F53" s="3">
        <v>11.720657492286</v>
      </c>
      <c r="G53" s="3">
        <v>17.4520546455275</v>
      </c>
      <c r="H53" s="3">
        <v>16.7933305365123</v>
      </c>
      <c r="I53" s="3">
        <v>12.6461392730362</v>
      </c>
      <c r="J53" s="3">
        <v>15.323471466253901</v>
      </c>
      <c r="K53" s="3">
        <v>8.4199149585593709</v>
      </c>
      <c r="L53" s="3">
        <v>14.6273574850937</v>
      </c>
      <c r="M53" s="3">
        <v>15.144525871352499</v>
      </c>
      <c r="N53" s="3">
        <v>15.2182329767066</v>
      </c>
      <c r="O53" s="3">
        <v>21.316083733243499</v>
      </c>
      <c r="P53" s="3">
        <v>11.7607068573293</v>
      </c>
      <c r="Q53" s="3">
        <v>14.501493445765799</v>
      </c>
      <c r="R53" s="3">
        <v>14.5622246094084</v>
      </c>
      <c r="S53" s="3">
        <v>6.6354592992257402</v>
      </c>
      <c r="T53" s="3">
        <v>12.0195760371115</v>
      </c>
      <c r="U53" s="3">
        <v>17.929017185042401</v>
      </c>
      <c r="V53" s="3">
        <v>16.296097287907202</v>
      </c>
    </row>
    <row r="54" spans="1:22" x14ac:dyDescent="0.35">
      <c r="A54" s="2">
        <v>43504</v>
      </c>
      <c r="B54" s="3">
        <v>11.4474751813165</v>
      </c>
      <c r="C54" s="3">
        <v>12.503636759562401</v>
      </c>
      <c r="D54" s="3">
        <v>16.364331051420201</v>
      </c>
      <c r="E54" s="3">
        <v>17.648220983529999</v>
      </c>
      <c r="F54" s="3">
        <v>11.5798986859787</v>
      </c>
      <c r="G54" s="3">
        <v>19.003269142142901</v>
      </c>
      <c r="H54" s="3">
        <v>16.9289892620587</v>
      </c>
      <c r="I54" s="3">
        <v>13.2704102345858</v>
      </c>
      <c r="J54" s="3">
        <v>15.1862232602112</v>
      </c>
      <c r="K54" s="3">
        <v>9.5999039923467606</v>
      </c>
      <c r="L54" s="3">
        <v>14.9639321369262</v>
      </c>
      <c r="M54" s="3">
        <v>14.999238105509701</v>
      </c>
      <c r="N54" s="3">
        <v>17.513115784000899</v>
      </c>
      <c r="O54" s="3">
        <v>21.9521548892738</v>
      </c>
      <c r="P54" s="3">
        <v>12.498442851597501</v>
      </c>
      <c r="Q54" s="3">
        <v>14.188033518848</v>
      </c>
      <c r="R54" s="3">
        <v>15.615949079570299</v>
      </c>
      <c r="S54" s="3">
        <v>7.4193893463779403</v>
      </c>
      <c r="T54" s="3">
        <v>12.068999653369801</v>
      </c>
      <c r="U54" s="3">
        <v>18.014262026268501</v>
      </c>
      <c r="V54" s="3">
        <v>17.503536574506601</v>
      </c>
    </row>
    <row r="55" spans="1:22" x14ac:dyDescent="0.35">
      <c r="A55" s="2">
        <v>43532</v>
      </c>
      <c r="B55" s="3">
        <v>12.6588723728344</v>
      </c>
      <c r="C55" s="3">
        <v>11.230610397573299</v>
      </c>
      <c r="D55" s="3">
        <v>15.860835182017</v>
      </c>
      <c r="E55" s="3">
        <v>16.805530801673399</v>
      </c>
      <c r="F55" s="3">
        <v>11.4639423285457</v>
      </c>
      <c r="G55" s="3">
        <v>20.057098799964301</v>
      </c>
      <c r="H55" s="3">
        <v>17.060664676104398</v>
      </c>
      <c r="I55" s="3">
        <v>14.054302754442</v>
      </c>
      <c r="J55" s="3">
        <v>15.4188064409523</v>
      </c>
      <c r="K55" s="3">
        <v>9.9681764983636594</v>
      </c>
      <c r="L55" s="3">
        <v>14.708912621958101</v>
      </c>
      <c r="M55" s="3">
        <v>15.3245389814721</v>
      </c>
      <c r="N55" s="3">
        <v>18.652653852569799</v>
      </c>
      <c r="O55" s="3">
        <v>21.691497979741399</v>
      </c>
      <c r="P55" s="3">
        <v>12.797323554827701</v>
      </c>
      <c r="Q55" s="3">
        <v>13.530993494507801</v>
      </c>
      <c r="R55" s="3">
        <v>16.1934028198677</v>
      </c>
      <c r="S55" s="3">
        <v>7.4426850698297304</v>
      </c>
      <c r="T55" s="3">
        <v>12.7232714865908</v>
      </c>
      <c r="U55" s="3">
        <v>19.669625269546898</v>
      </c>
      <c r="V55" s="3">
        <v>17.205258814014702</v>
      </c>
    </row>
    <row r="56" spans="1:22" x14ac:dyDescent="0.35">
      <c r="A56" s="2">
        <v>43565</v>
      </c>
      <c r="B56" s="3">
        <v>12.859673277033499</v>
      </c>
      <c r="C56" s="3">
        <v>10.9581013508379</v>
      </c>
      <c r="D56" s="3">
        <v>15.756492596796001</v>
      </c>
      <c r="E56" s="3">
        <v>16.772915715497899</v>
      </c>
      <c r="F56" s="3">
        <v>11.6710244156514</v>
      </c>
      <c r="G56" s="3">
        <v>19.700731897347499</v>
      </c>
      <c r="H56" s="3">
        <v>16.944301267601901</v>
      </c>
      <c r="I56" s="3">
        <v>14.3875363096935</v>
      </c>
      <c r="J56" s="3">
        <v>15.464610850690301</v>
      </c>
      <c r="K56" s="3">
        <v>10.3903643720896</v>
      </c>
      <c r="L56" s="3">
        <v>14.3523977584363</v>
      </c>
      <c r="M56" s="3">
        <v>15.357656656403901</v>
      </c>
      <c r="N56" s="3">
        <v>18.494966427265101</v>
      </c>
      <c r="O56" s="3">
        <v>21.598119313651601</v>
      </c>
      <c r="P56" s="3">
        <v>12.973287889159</v>
      </c>
      <c r="Q56" s="3">
        <v>13.603634273605399</v>
      </c>
      <c r="R56" s="3">
        <v>16.151849913165499</v>
      </c>
      <c r="S56" s="3">
        <v>7.2477721210271699</v>
      </c>
      <c r="T56" s="3">
        <v>12.724778884812499</v>
      </c>
      <c r="U56" s="3">
        <v>19.753635693405101</v>
      </c>
      <c r="V56" s="3">
        <v>17.4564801935127</v>
      </c>
    </row>
    <row r="57" spans="1:22" x14ac:dyDescent="0.35">
      <c r="A57" s="2">
        <v>43595</v>
      </c>
      <c r="B57" s="3">
        <v>12.4728239225888</v>
      </c>
      <c r="C57" s="3">
        <v>11.032140519540301</v>
      </c>
      <c r="D57" s="3">
        <v>15.3394758398587</v>
      </c>
      <c r="E57" s="3">
        <v>16.5432027165877</v>
      </c>
      <c r="F57" s="3">
        <v>11.3671110182196</v>
      </c>
      <c r="G57" s="3">
        <v>18.555167654813001</v>
      </c>
      <c r="H57" s="3">
        <v>16.775654959939999</v>
      </c>
      <c r="I57" s="3">
        <v>14.516243193033</v>
      </c>
      <c r="J57" s="3">
        <v>15.1545411666467</v>
      </c>
      <c r="K57" s="3">
        <v>10.4461813390757</v>
      </c>
      <c r="L57" s="3">
        <v>14.0614135245361</v>
      </c>
      <c r="M57" s="3">
        <v>15.1689184922687</v>
      </c>
      <c r="N57" s="3">
        <v>17.887355081777802</v>
      </c>
      <c r="O57" s="3">
        <v>21.247786848012701</v>
      </c>
      <c r="P57" s="3">
        <v>12.697233184330599</v>
      </c>
      <c r="Q57" s="3">
        <v>13.499713506262699</v>
      </c>
      <c r="R57" s="3">
        <v>16.065453901239898</v>
      </c>
      <c r="S57" s="3">
        <v>7.0148232563316801</v>
      </c>
      <c r="T57" s="3">
        <v>12.553362006270699</v>
      </c>
      <c r="U57" s="3">
        <v>19.503949771912801</v>
      </c>
      <c r="V57" s="3">
        <v>17.305681617654599</v>
      </c>
    </row>
    <row r="58" spans="1:22" x14ac:dyDescent="0.35">
      <c r="A58" s="2">
        <v>43626</v>
      </c>
      <c r="B58" s="3">
        <v>12.4353790979092</v>
      </c>
      <c r="C58" s="3">
        <v>10.5973193326355</v>
      </c>
      <c r="D58" s="3">
        <v>15.481625349055699</v>
      </c>
      <c r="E58" s="3">
        <v>16.7414547941992</v>
      </c>
      <c r="F58" s="3">
        <v>11.448984348517101</v>
      </c>
      <c r="G58" s="3">
        <v>17.939316829708002</v>
      </c>
      <c r="H58" s="3">
        <v>17.1232042046048</v>
      </c>
      <c r="I58" s="3">
        <v>14.562412107958799</v>
      </c>
      <c r="J58" s="3">
        <v>15.048206310202501</v>
      </c>
      <c r="K58" s="3">
        <v>10.7520045755195</v>
      </c>
      <c r="L58" s="3">
        <v>14.1360409392226</v>
      </c>
      <c r="M58" s="3">
        <v>15.0576221903248</v>
      </c>
      <c r="N58" s="3">
        <v>18.0896447485839</v>
      </c>
      <c r="O58" s="3">
        <v>21.620772939253499</v>
      </c>
      <c r="P58" s="3">
        <v>12.491079403720001</v>
      </c>
      <c r="Q58" s="3">
        <v>13.727985919702499</v>
      </c>
      <c r="R58" s="3">
        <v>16.167579886438801</v>
      </c>
      <c r="S58" s="3">
        <v>7.2235737332611896</v>
      </c>
      <c r="T58" s="3">
        <v>12.846204256014101</v>
      </c>
      <c r="U58" s="3">
        <v>19.3555165841179</v>
      </c>
      <c r="V58" s="3">
        <v>17.3728706635439</v>
      </c>
    </row>
    <row r="59" spans="1:22" x14ac:dyDescent="0.35">
      <c r="A59" s="2">
        <v>43656</v>
      </c>
      <c r="B59" s="3">
        <v>12.609278639548799</v>
      </c>
      <c r="C59" s="3">
        <v>11.1104802163076</v>
      </c>
      <c r="D59" s="3">
        <v>15.672450068927301</v>
      </c>
      <c r="E59" s="3">
        <v>16.7049200179334</v>
      </c>
      <c r="F59" s="3">
        <v>11.5834150647834</v>
      </c>
      <c r="G59" s="3">
        <v>17.660793173514101</v>
      </c>
      <c r="H59" s="3">
        <v>17.2354278908909</v>
      </c>
      <c r="I59" s="3">
        <v>14.9804219202013</v>
      </c>
      <c r="J59" s="3">
        <v>14.789311804455901</v>
      </c>
      <c r="K59" s="3">
        <v>11.084811933598001</v>
      </c>
      <c r="L59" s="3">
        <v>14.4627678441671</v>
      </c>
      <c r="M59" s="3">
        <v>14.8496505441002</v>
      </c>
      <c r="N59" s="3">
        <v>18.298004090984701</v>
      </c>
      <c r="O59" s="3">
        <v>21.119496960230599</v>
      </c>
      <c r="P59" s="3">
        <v>12.5740356727215</v>
      </c>
      <c r="Q59" s="3">
        <v>13.7876519262852</v>
      </c>
      <c r="R59" s="3">
        <v>16.5680674245448</v>
      </c>
      <c r="S59" s="3">
        <v>7.4299491880239001</v>
      </c>
      <c r="T59" s="3">
        <v>13.3463948107704</v>
      </c>
      <c r="U59" s="3">
        <v>19.143261550146899</v>
      </c>
      <c r="V59" s="3">
        <v>17.306152301350501</v>
      </c>
    </row>
    <row r="60" spans="1:22" x14ac:dyDescent="0.35">
      <c r="A60" s="2">
        <v>43686</v>
      </c>
      <c r="B60" s="3">
        <v>12.2475845027517</v>
      </c>
      <c r="C60" s="3">
        <v>11.169417022343399</v>
      </c>
      <c r="D60" s="3">
        <v>15.8708865971577</v>
      </c>
      <c r="E60" s="3">
        <v>16.351772536706999</v>
      </c>
      <c r="F60" s="3">
        <v>10.996749761494099</v>
      </c>
      <c r="G60" s="3">
        <v>18.053974880669902</v>
      </c>
      <c r="H60" s="3">
        <v>16.901038549614999</v>
      </c>
      <c r="I60" s="3">
        <v>14.8716612759911</v>
      </c>
      <c r="J60" s="3">
        <v>14.4618437195384</v>
      </c>
      <c r="K60" s="3">
        <v>11.0760636495528</v>
      </c>
      <c r="L60" s="3">
        <v>14.5240820506397</v>
      </c>
      <c r="M60" s="3">
        <v>14.248321563557701</v>
      </c>
      <c r="N60" s="3">
        <v>17.3828202148147</v>
      </c>
      <c r="O60" s="3">
        <v>21.070664845232599</v>
      </c>
      <c r="P60" s="3">
        <v>12.203167149042301</v>
      </c>
      <c r="Q60" s="3">
        <v>13.3550946592377</v>
      </c>
      <c r="R60" s="3">
        <v>16.176844850388299</v>
      </c>
      <c r="S60" s="3">
        <v>7.5590880774673099</v>
      </c>
      <c r="T60" s="3">
        <v>13.6097947607434</v>
      </c>
      <c r="U60" s="3">
        <v>18.436135167598501</v>
      </c>
      <c r="V60" s="3">
        <v>17.599259648695099</v>
      </c>
    </row>
    <row r="61" spans="1:22" x14ac:dyDescent="0.35">
      <c r="A61" s="2">
        <v>43718</v>
      </c>
      <c r="B61" s="3">
        <v>13.0168600672224</v>
      </c>
      <c r="C61" s="3">
        <v>11.761132916483399</v>
      </c>
      <c r="D61" s="3">
        <v>16.058353546319399</v>
      </c>
      <c r="E61" s="3">
        <v>15.5012416526012</v>
      </c>
      <c r="F61" s="3">
        <v>11.057334957952399</v>
      </c>
      <c r="G61" s="3">
        <v>17.2467319126531</v>
      </c>
      <c r="H61" s="3">
        <v>16.859621055337399</v>
      </c>
      <c r="I61" s="3">
        <v>15.3375683771041</v>
      </c>
      <c r="J61" s="3">
        <v>14.916097097969001</v>
      </c>
      <c r="K61" s="3">
        <v>11.727398462757799</v>
      </c>
      <c r="L61" s="3">
        <v>14.264879782184201</v>
      </c>
      <c r="M61" s="3">
        <v>14.0716070533415</v>
      </c>
      <c r="N61" s="3">
        <v>19.130384278327</v>
      </c>
      <c r="O61" s="3">
        <v>21.142227240493799</v>
      </c>
      <c r="P61" s="3">
        <v>12.568278589637201</v>
      </c>
      <c r="Q61" s="3">
        <v>13.8659795267638</v>
      </c>
      <c r="R61" s="3">
        <v>16.644189583341699</v>
      </c>
      <c r="S61" s="3">
        <v>7.6632131504259497</v>
      </c>
      <c r="T61" s="3">
        <v>14.4095124304762</v>
      </c>
      <c r="U61" s="3">
        <v>17.373311576349</v>
      </c>
      <c r="V61" s="3">
        <v>17.993745033938399</v>
      </c>
    </row>
    <row r="62" spans="1:22" x14ac:dyDescent="0.35">
      <c r="A62" s="2">
        <v>43748</v>
      </c>
      <c r="B62" s="3">
        <v>12.8197719768597</v>
      </c>
      <c r="C62" s="3">
        <v>12.192085895003</v>
      </c>
      <c r="D62" s="3">
        <v>15.410996845343499</v>
      </c>
      <c r="E62" s="3">
        <v>15.0386538094463</v>
      </c>
      <c r="F62" s="3">
        <v>10.7289450424449</v>
      </c>
      <c r="G62" s="3">
        <v>16.840582956454099</v>
      </c>
      <c r="H62" s="3">
        <v>16.4829430102759</v>
      </c>
      <c r="I62" s="3">
        <v>15.6991387906473</v>
      </c>
      <c r="J62" s="3">
        <v>14.968150738339</v>
      </c>
      <c r="K62" s="3">
        <v>12.0237670347398</v>
      </c>
      <c r="L62" s="3">
        <v>14.3273318566425</v>
      </c>
      <c r="M62" s="3">
        <v>13.562830476232</v>
      </c>
      <c r="N62" s="3">
        <v>17.695909020959501</v>
      </c>
      <c r="O62" s="3">
        <v>21.153594005022399</v>
      </c>
      <c r="P62" s="3">
        <v>12.245360904075399</v>
      </c>
      <c r="Q62" s="3">
        <v>14.0034787972661</v>
      </c>
      <c r="R62" s="3">
        <v>16.457243120419601</v>
      </c>
      <c r="S62" s="3">
        <v>7.5876988706916801</v>
      </c>
      <c r="T62" s="3">
        <v>13.801577390992501</v>
      </c>
      <c r="U62" s="3">
        <v>17.302119187121502</v>
      </c>
      <c r="V62" s="3">
        <v>17.7542360626483</v>
      </c>
    </row>
    <row r="63" spans="1:22" x14ac:dyDescent="0.35">
      <c r="A63" s="2">
        <v>43777</v>
      </c>
      <c r="B63" s="3">
        <v>13.110795816960501</v>
      </c>
      <c r="C63" s="3">
        <v>11.2049615083919</v>
      </c>
      <c r="D63" s="3">
        <v>16.0620408007096</v>
      </c>
      <c r="E63" s="3">
        <v>15.2998836637924</v>
      </c>
      <c r="F63" s="3">
        <v>11.182076317869299</v>
      </c>
      <c r="G63" s="3">
        <v>17.142159938720201</v>
      </c>
      <c r="H63" s="3">
        <v>16.913858891001201</v>
      </c>
      <c r="I63" s="3">
        <v>16.696446026506699</v>
      </c>
      <c r="J63" s="3">
        <v>15.3509215260421</v>
      </c>
      <c r="K63" s="3">
        <v>13.3664215400155</v>
      </c>
      <c r="L63" s="3">
        <v>15.566697004498099</v>
      </c>
      <c r="M63" s="3">
        <v>13.7061710877209</v>
      </c>
      <c r="N63" s="3">
        <v>15.3510337835447</v>
      </c>
      <c r="O63" s="3">
        <v>22.812674836687499</v>
      </c>
      <c r="P63" s="3">
        <v>12.7181791779251</v>
      </c>
      <c r="Q63" s="3">
        <v>14.138557034288601</v>
      </c>
      <c r="R63" s="3">
        <v>17.236219122775399</v>
      </c>
      <c r="S63" s="3">
        <v>8.0836316802473505</v>
      </c>
      <c r="T63" s="3">
        <v>14.361749221819201</v>
      </c>
      <c r="U63" s="3">
        <v>17.4688406079819</v>
      </c>
      <c r="V63" s="3">
        <v>18.282324844939701</v>
      </c>
    </row>
    <row r="64" spans="1:22" x14ac:dyDescent="0.35">
      <c r="A64" s="2">
        <v>43809</v>
      </c>
      <c r="B64" s="3">
        <v>13.916762910022999</v>
      </c>
      <c r="C64" s="3">
        <v>12.066014450250799</v>
      </c>
      <c r="D64" s="3">
        <v>16.337788989109701</v>
      </c>
      <c r="E64" s="3">
        <v>14.9182500405088</v>
      </c>
      <c r="F64" s="3">
        <v>10.4918819092542</v>
      </c>
      <c r="G64" s="3">
        <v>16.125937018400499</v>
      </c>
      <c r="H64" s="3">
        <v>16.6848622716177</v>
      </c>
      <c r="I64" s="3">
        <v>16.721997735219599</v>
      </c>
      <c r="J64" s="3">
        <v>15.047874391687699</v>
      </c>
      <c r="K64" s="3">
        <v>13.6471083246722</v>
      </c>
      <c r="L64" s="3">
        <v>15.982933324640699</v>
      </c>
      <c r="M64" s="3">
        <v>13.762385991093099</v>
      </c>
      <c r="N64" s="3">
        <v>16.5349430820186</v>
      </c>
      <c r="O64" s="3">
        <v>22.707527720654198</v>
      </c>
      <c r="P64" s="3">
        <v>12.9142879570026</v>
      </c>
      <c r="Q64" s="3">
        <v>14.2865501597503</v>
      </c>
      <c r="R64" s="3">
        <v>16.710858939141598</v>
      </c>
      <c r="S64" s="3">
        <v>8.5059247925518608</v>
      </c>
      <c r="T64" s="3">
        <v>14.3378905723999</v>
      </c>
      <c r="U64" s="3">
        <v>17.535421298787099</v>
      </c>
      <c r="V64" s="3">
        <v>18.874372233118901</v>
      </c>
    </row>
    <row r="65" spans="1:22" x14ac:dyDescent="0.35">
      <c r="A65" s="2">
        <v>43840</v>
      </c>
      <c r="B65" s="3">
        <v>14.9101859436454</v>
      </c>
      <c r="C65" s="3">
        <v>12.8843468136168</v>
      </c>
      <c r="D65" s="3">
        <v>17.186625732122899</v>
      </c>
      <c r="E65" s="3">
        <v>14.8344334563063</v>
      </c>
      <c r="F65" s="3">
        <v>11.0840647694599</v>
      </c>
      <c r="G65" s="3">
        <v>16.811575623001001</v>
      </c>
      <c r="H65" s="3">
        <v>17.0043008019823</v>
      </c>
      <c r="I65" s="3">
        <v>17.532587341549402</v>
      </c>
      <c r="J65" s="3">
        <v>15.718491404483</v>
      </c>
      <c r="K65" s="3">
        <v>14.6940502794748</v>
      </c>
      <c r="L65" s="3">
        <v>17.242120008199599</v>
      </c>
      <c r="M65" s="3">
        <v>14.5107502215556</v>
      </c>
      <c r="N65" s="3">
        <v>20.030409034908399</v>
      </c>
      <c r="O65" s="3">
        <v>23.490820983338502</v>
      </c>
      <c r="P65" s="3">
        <v>14.070101518091599</v>
      </c>
      <c r="Q65" s="3">
        <v>14.7031939224957</v>
      </c>
      <c r="R65" s="3">
        <v>17.017165491425601</v>
      </c>
      <c r="S65" s="3">
        <v>9.4014407126613406</v>
      </c>
      <c r="T65" s="3">
        <v>15.8013363362197</v>
      </c>
      <c r="U65" s="3">
        <v>16.5328098375576</v>
      </c>
      <c r="V65" s="3">
        <v>19.945310115742</v>
      </c>
    </row>
    <row r="66" spans="1:22" x14ac:dyDescent="0.35">
      <c r="A66" s="2">
        <v>43871</v>
      </c>
      <c r="B66" s="3">
        <v>14.190324835842301</v>
      </c>
      <c r="C66" s="3">
        <v>11.5759454862909</v>
      </c>
      <c r="D66" s="3">
        <v>16.745254016082001</v>
      </c>
      <c r="E66" s="3">
        <v>14.1717078815841</v>
      </c>
      <c r="F66" s="3">
        <v>11.1393184267791</v>
      </c>
      <c r="G66" s="3">
        <v>16.805336295012001</v>
      </c>
      <c r="H66" s="3">
        <v>16.419995407962901</v>
      </c>
      <c r="I66" s="3">
        <v>16.946320288121399</v>
      </c>
      <c r="J66" s="3">
        <v>15.507347232615</v>
      </c>
      <c r="K66" s="3">
        <v>15.710338122244</v>
      </c>
      <c r="L66" s="3">
        <v>16.761152351548599</v>
      </c>
      <c r="M66" s="3">
        <v>14.059569239838</v>
      </c>
      <c r="N66" s="3">
        <v>15.799487434743799</v>
      </c>
      <c r="O66" s="3">
        <v>23.2263748916554</v>
      </c>
      <c r="P66" s="3">
        <v>13.523324714911601</v>
      </c>
      <c r="Q66" s="3">
        <v>14.442319131528199</v>
      </c>
      <c r="R66" s="3">
        <v>16.578663754930599</v>
      </c>
      <c r="S66" s="3">
        <v>9.0469478169495208</v>
      </c>
      <c r="T66" s="3">
        <v>15.310882944969199</v>
      </c>
      <c r="U66" s="3">
        <v>15.191600843637</v>
      </c>
      <c r="V66" s="3">
        <v>18.621426893326198</v>
      </c>
    </row>
    <row r="67" spans="1:22" x14ac:dyDescent="0.35">
      <c r="A67" s="2">
        <v>43900</v>
      </c>
      <c r="B67" s="3">
        <v>14.329673848172099</v>
      </c>
      <c r="C67" s="3">
        <v>11.5083439793735</v>
      </c>
      <c r="D67" s="3">
        <v>14.8954376210161</v>
      </c>
      <c r="E67" s="3">
        <v>12.7895124323503</v>
      </c>
      <c r="F67" s="3">
        <v>9.5251903045826598</v>
      </c>
      <c r="G67" s="3">
        <v>16.4923266785012</v>
      </c>
      <c r="H67" s="3">
        <v>16.310985506038801</v>
      </c>
      <c r="I67" s="3">
        <v>16.2587295504667</v>
      </c>
      <c r="J67" s="3">
        <v>14.8074032116151</v>
      </c>
      <c r="K67" s="3">
        <v>14.974748114004299</v>
      </c>
      <c r="L67" s="3">
        <v>16.718147561790801</v>
      </c>
      <c r="M67" s="3">
        <v>12.471902036653599</v>
      </c>
      <c r="N67" s="3">
        <v>12.159388753519901</v>
      </c>
      <c r="O67" s="3">
        <v>20.952759792998702</v>
      </c>
      <c r="P67" s="3">
        <v>13.0135977699994</v>
      </c>
      <c r="Q67" s="3">
        <v>13.6052869487512</v>
      </c>
      <c r="R67" s="3">
        <v>14.791352107090701</v>
      </c>
      <c r="S67" s="3">
        <v>7.9800008546176704</v>
      </c>
      <c r="T67" s="3">
        <v>14.3497484859829</v>
      </c>
      <c r="U67" s="3">
        <v>14.9763690746836</v>
      </c>
      <c r="V67" s="3">
        <v>17.280236193770499</v>
      </c>
    </row>
    <row r="68" spans="1:22" x14ac:dyDescent="0.35">
      <c r="A68" s="2">
        <v>43930</v>
      </c>
      <c r="B68" s="3">
        <v>14.0753317819724</v>
      </c>
      <c r="C68" s="3">
        <v>11.239457828000701</v>
      </c>
      <c r="D68" s="3">
        <v>14.307130559931799</v>
      </c>
      <c r="E68" s="3">
        <v>12.488480816172</v>
      </c>
      <c r="F68" s="3">
        <v>9.8976291819921904</v>
      </c>
      <c r="G68" s="3">
        <v>15.503921107617099</v>
      </c>
      <c r="H68" s="3">
        <v>16.287397053201101</v>
      </c>
      <c r="I68" s="3">
        <v>16.109398525564199</v>
      </c>
      <c r="J68" s="3">
        <v>14.2317714957295</v>
      </c>
      <c r="K68" s="3">
        <v>14.6570490002761</v>
      </c>
      <c r="L68" s="3">
        <v>16.3550486010265</v>
      </c>
      <c r="M68" s="3">
        <v>12.1086925949731</v>
      </c>
      <c r="N68" s="3">
        <v>11.841335391788901</v>
      </c>
      <c r="O68" s="3">
        <v>20.376483363516002</v>
      </c>
      <c r="P68" s="3">
        <v>13.036816447546499</v>
      </c>
      <c r="Q68" s="3">
        <v>13.7204125232888</v>
      </c>
      <c r="R68" s="3">
        <v>15.0484583239502</v>
      </c>
      <c r="S68" s="3">
        <v>7.7799546115478</v>
      </c>
      <c r="T68" s="3">
        <v>14.156818753372599</v>
      </c>
      <c r="U68" s="3">
        <v>15.023639779440799</v>
      </c>
      <c r="V68" s="3">
        <v>17.524616295288801</v>
      </c>
    </row>
    <row r="69" spans="1:22" x14ac:dyDescent="0.35">
      <c r="A69" s="2">
        <v>43959</v>
      </c>
      <c r="B69" s="3">
        <v>14.3836357718542</v>
      </c>
      <c r="C69" s="3">
        <v>72.884602120729994</v>
      </c>
      <c r="D69" s="3">
        <v>14.3841162467721</v>
      </c>
      <c r="E69" s="3">
        <v>13.048529627701701</v>
      </c>
      <c r="F69" s="3">
        <v>10.857589086404399</v>
      </c>
      <c r="G69" s="3">
        <v>16.870251650952699</v>
      </c>
      <c r="H69" s="3">
        <v>16.6193390525745</v>
      </c>
      <c r="I69" s="3">
        <v>16.474094140239998</v>
      </c>
      <c r="J69" s="3">
        <v>16.015560218938202</v>
      </c>
      <c r="K69" s="3">
        <v>14.945666862541101</v>
      </c>
      <c r="L69" s="3">
        <v>17.292847730109202</v>
      </c>
      <c r="M69" s="3">
        <v>12.4992959416186</v>
      </c>
      <c r="N69" s="3">
        <v>12.125435675520899</v>
      </c>
      <c r="O69" s="3">
        <v>20.991681865446001</v>
      </c>
      <c r="P69" s="3">
        <v>13.264556300992799</v>
      </c>
      <c r="Q69" s="3">
        <v>14.0752263873509</v>
      </c>
      <c r="R69" s="3">
        <v>15.9211995316581</v>
      </c>
      <c r="S69" s="3">
        <v>7.9914816571335399</v>
      </c>
      <c r="T69" s="3">
        <v>16.191100846705101</v>
      </c>
      <c r="U69" s="3">
        <v>15.6638600939224</v>
      </c>
      <c r="V69" s="3">
        <v>17.992211698217599</v>
      </c>
    </row>
    <row r="70" spans="1:22" x14ac:dyDescent="0.35">
      <c r="A70" s="2">
        <v>43992</v>
      </c>
      <c r="B70" s="3">
        <v>14.6616100020003</v>
      </c>
      <c r="C70" s="3">
        <v>14.086878792250699</v>
      </c>
      <c r="D70" s="3">
        <v>16.0884094419654</v>
      </c>
      <c r="E70" s="3">
        <v>15.238538305423599</v>
      </c>
      <c r="F70" s="3">
        <v>12.1791858275629</v>
      </c>
      <c r="G70" s="3">
        <v>19.538485305885398</v>
      </c>
      <c r="H70" s="3">
        <v>18.807585319092698</v>
      </c>
      <c r="I70" s="3">
        <v>17.174134890858799</v>
      </c>
      <c r="J70" s="3">
        <v>17.2435525168985</v>
      </c>
      <c r="K70" s="3">
        <v>15.586149678567301</v>
      </c>
      <c r="L70" s="3">
        <v>19.725373588923102</v>
      </c>
      <c r="M70" s="3">
        <v>12.8321097218664</v>
      </c>
      <c r="N70" s="3">
        <v>13.2617249474257</v>
      </c>
      <c r="O70" s="3">
        <v>22.5641904522485</v>
      </c>
      <c r="P70" s="3">
        <v>13.9890733656006</v>
      </c>
      <c r="Q70" s="3">
        <v>14.688962420891199</v>
      </c>
      <c r="R70" s="3">
        <v>18.132655110172799</v>
      </c>
      <c r="S70" s="3">
        <v>8.9893764534434197</v>
      </c>
      <c r="T70" s="3">
        <v>15.919383069721601</v>
      </c>
      <c r="U70" s="3">
        <v>16.556337815980399</v>
      </c>
      <c r="V70" s="3">
        <v>19.3993749678292</v>
      </c>
    </row>
    <row r="71" spans="1:22" x14ac:dyDescent="0.35">
      <c r="A71" s="2">
        <v>44022</v>
      </c>
      <c r="B71" s="3">
        <v>16.163615621464398</v>
      </c>
      <c r="C71" s="3">
        <v>15.324619306274201</v>
      </c>
      <c r="D71" s="3">
        <v>17.092186044199401</v>
      </c>
      <c r="E71" s="3">
        <v>15.771690445877701</v>
      </c>
      <c r="F71" s="3">
        <v>11.8597090628339</v>
      </c>
      <c r="G71" s="3">
        <v>22.402811345719901</v>
      </c>
      <c r="H71" s="3">
        <v>19.505093672807401</v>
      </c>
      <c r="I71" s="3">
        <v>17.635944454315901</v>
      </c>
      <c r="J71" s="3">
        <v>17.730880097951999</v>
      </c>
      <c r="K71" s="3">
        <v>15.455195212230301</v>
      </c>
      <c r="L71" s="3">
        <v>30.440022318706301</v>
      </c>
      <c r="M71" s="3">
        <v>13.293135761764299</v>
      </c>
      <c r="N71" s="3">
        <v>15.289431303648501</v>
      </c>
      <c r="O71" s="3">
        <v>24.1850628729165</v>
      </c>
      <c r="P71" s="3">
        <v>15.231032752823101</v>
      </c>
      <c r="Q71" s="3">
        <v>15.1968739376002</v>
      </c>
      <c r="R71" s="3">
        <v>18.751141344758501</v>
      </c>
      <c r="S71" s="3">
        <v>9.5306504072541696</v>
      </c>
      <c r="T71" s="3">
        <v>17.946917826312401</v>
      </c>
      <c r="U71" s="3">
        <v>16.307968340229301</v>
      </c>
      <c r="V71" s="3">
        <v>19.618404033484499</v>
      </c>
    </row>
    <row r="72" spans="1:22" x14ac:dyDescent="0.35">
      <c r="A72" s="2">
        <v>44053</v>
      </c>
      <c r="B72" s="3">
        <v>16.382503482682601</v>
      </c>
      <c r="C72" s="3">
        <v>17.3810332614221</v>
      </c>
      <c r="D72" s="3">
        <v>17.888750705099799</v>
      </c>
      <c r="E72" s="3">
        <v>16.5844883890502</v>
      </c>
      <c r="F72" s="3">
        <v>12.0563650108327</v>
      </c>
      <c r="G72" s="3">
        <v>26.368566790447399</v>
      </c>
      <c r="H72" s="3">
        <v>19.607268657951899</v>
      </c>
      <c r="I72" s="3">
        <v>17.9917063044518</v>
      </c>
      <c r="J72" s="3">
        <v>19.918139123957602</v>
      </c>
      <c r="K72" s="3">
        <v>16.3234525717026</v>
      </c>
      <c r="L72" s="3">
        <v>34.384489582729202</v>
      </c>
      <c r="M72" s="3">
        <v>13.386721466131</v>
      </c>
      <c r="N72" s="3">
        <v>14.6773718074516</v>
      </c>
      <c r="O72" s="3">
        <v>25.4313062592961</v>
      </c>
      <c r="P72" s="3">
        <v>15.127877929209401</v>
      </c>
      <c r="Q72" s="3">
        <v>15.718517875194401</v>
      </c>
      <c r="R72" s="3">
        <v>19.708694656553</v>
      </c>
      <c r="S72" s="3">
        <v>9.3871054479438705</v>
      </c>
      <c r="T72" s="3">
        <v>15.2913115169658</v>
      </c>
      <c r="U72" s="3">
        <v>16.694740265611902</v>
      </c>
      <c r="V72" s="3">
        <v>20.3213840491598</v>
      </c>
    </row>
    <row r="73" spans="1:22" x14ac:dyDescent="0.35">
      <c r="A73" s="2">
        <v>44084</v>
      </c>
      <c r="B73" s="3">
        <v>16.620334131198799</v>
      </c>
      <c r="C73" s="3">
        <v>17.832311677293301</v>
      </c>
      <c r="D73" s="3">
        <v>17.907318455220398</v>
      </c>
      <c r="E73" s="3">
        <v>18.3457743618759</v>
      </c>
      <c r="F73" s="3">
        <v>12.821583207282099</v>
      </c>
      <c r="G73" s="3">
        <v>32.424110595960499</v>
      </c>
      <c r="H73" s="3">
        <v>19.892879278316901</v>
      </c>
      <c r="I73" s="3">
        <v>17.146399993357399</v>
      </c>
      <c r="J73" s="3">
        <v>19.356338228233501</v>
      </c>
      <c r="K73" s="3">
        <v>16.259329815497001</v>
      </c>
      <c r="L73" s="3">
        <v>34.807945443499698</v>
      </c>
      <c r="M73" s="3">
        <v>13.670053130539999</v>
      </c>
      <c r="N73" s="3">
        <v>15.703342276205699</v>
      </c>
      <c r="O73" s="3">
        <v>25.737566974931301</v>
      </c>
      <c r="P73" s="3">
        <v>15.497322020705001</v>
      </c>
      <c r="Q73" s="3">
        <v>15.7956413909665</v>
      </c>
      <c r="R73" s="3">
        <v>20.7199863019197</v>
      </c>
      <c r="S73" s="3">
        <v>9.9952429188191196</v>
      </c>
      <c r="T73" s="3">
        <v>16.2876836196649</v>
      </c>
      <c r="U73" s="3">
        <v>18.070194758122899</v>
      </c>
      <c r="V73" s="3">
        <v>23.711429396345501</v>
      </c>
    </row>
    <row r="74" spans="1:22" x14ac:dyDescent="0.35">
      <c r="A74" s="2">
        <v>44113</v>
      </c>
      <c r="B74" s="3">
        <v>17.235485456795299</v>
      </c>
      <c r="C74" s="3">
        <v>18.548971935130499</v>
      </c>
      <c r="D74" s="3">
        <v>19.030261498101201</v>
      </c>
      <c r="E74" s="3">
        <v>19.618040874175399</v>
      </c>
      <c r="F74" s="3">
        <v>14.3078999659333</v>
      </c>
      <c r="G74" s="3">
        <v>39.3843769989343</v>
      </c>
      <c r="H74" s="3">
        <v>20.5803280015515</v>
      </c>
      <c r="I74" s="3">
        <v>17.321941517211801</v>
      </c>
      <c r="J74" s="3">
        <v>20.642346189106501</v>
      </c>
      <c r="K74" s="3">
        <v>16.1493177080227</v>
      </c>
      <c r="L74" s="3">
        <v>30.9519514212848</v>
      </c>
      <c r="M74" s="3">
        <v>13.265048147916801</v>
      </c>
      <c r="N74" s="3">
        <v>15.7756517966262</v>
      </c>
      <c r="O74" s="3">
        <v>26.909479492673999</v>
      </c>
      <c r="P74" s="3">
        <v>16.3616857646415</v>
      </c>
      <c r="Q74" s="3">
        <v>16.507527894247598</v>
      </c>
      <c r="R74" s="3">
        <v>21.818346824882799</v>
      </c>
      <c r="S74" s="3">
        <v>10.7306355286174</v>
      </c>
      <c r="T74" s="3">
        <v>15.9476239564527</v>
      </c>
      <c r="U74" s="3">
        <v>18.5622744334914</v>
      </c>
      <c r="V74" s="3">
        <v>25.4749737428684</v>
      </c>
    </row>
    <row r="75" spans="1:22" x14ac:dyDescent="0.35">
      <c r="A75" s="2">
        <v>44145</v>
      </c>
      <c r="B75" s="3">
        <v>18.160009787625</v>
      </c>
      <c r="C75" s="3">
        <v>21.3005646263214</v>
      </c>
      <c r="D75" s="3">
        <v>21.797710430091399</v>
      </c>
      <c r="E75" s="3">
        <v>23.846016533472199</v>
      </c>
      <c r="F75" s="3">
        <v>18.423802534950401</v>
      </c>
      <c r="G75" s="3">
        <v>42.364029821690103</v>
      </c>
      <c r="H75" s="3">
        <v>20.782207267391001</v>
      </c>
      <c r="I75" s="3">
        <v>17.035472895446802</v>
      </c>
      <c r="J75" s="3">
        <v>22.768245273906999</v>
      </c>
      <c r="K75" s="3">
        <v>16.3744911109785</v>
      </c>
      <c r="L75" s="3">
        <v>30.687055106843498</v>
      </c>
      <c r="M75" s="3">
        <v>13.918976129288099</v>
      </c>
      <c r="N75" s="3">
        <v>15.211344449867999</v>
      </c>
      <c r="O75" s="3">
        <v>27.0561795069145</v>
      </c>
      <c r="P75" s="3">
        <v>17.117855224033999</v>
      </c>
      <c r="Q75" s="3">
        <v>17.175512033256901</v>
      </c>
      <c r="R75" s="3">
        <v>22.1951912898849</v>
      </c>
      <c r="S75" s="3">
        <v>12.4747915208956</v>
      </c>
      <c r="T75" s="3">
        <v>22.917485275819299</v>
      </c>
      <c r="U75" s="3">
        <v>18.980070176748399</v>
      </c>
      <c r="V75" s="3">
        <v>27.127555386382099</v>
      </c>
    </row>
    <row r="76" spans="1:22" x14ac:dyDescent="0.35">
      <c r="A76" s="2">
        <v>44175</v>
      </c>
      <c r="B76" s="3">
        <v>18.8334720508728</v>
      </c>
      <c r="C76" s="3">
        <v>23.407800997002798</v>
      </c>
      <c r="D76" s="3">
        <v>24.6262285977269</v>
      </c>
      <c r="E76" s="3">
        <v>24.665928548214101</v>
      </c>
      <c r="F76" s="3">
        <v>22.0319624147984</v>
      </c>
      <c r="G76" s="3">
        <v>51.663832150112199</v>
      </c>
      <c r="H76" s="3">
        <v>21.535183913313499</v>
      </c>
      <c r="I76" s="3">
        <v>17.684666192680702</v>
      </c>
      <c r="J76" s="3">
        <v>27.003923144529601</v>
      </c>
      <c r="K76" s="3">
        <v>18.6174412600521</v>
      </c>
      <c r="L76" s="3">
        <v>34.390533687634303</v>
      </c>
      <c r="M76" s="3">
        <v>13.580807956272899</v>
      </c>
      <c r="N76" s="3">
        <v>19.538273249428201</v>
      </c>
      <c r="O76" s="3">
        <v>32.120513835330101</v>
      </c>
      <c r="P76" s="3">
        <v>17.661497062844798</v>
      </c>
      <c r="Q76" s="3">
        <v>17.639994804272</v>
      </c>
      <c r="R76" s="3">
        <v>25.6958371012391</v>
      </c>
      <c r="S76" s="3">
        <v>12.2624562885042</v>
      </c>
      <c r="T76" s="3">
        <v>24.418019146591401</v>
      </c>
      <c r="U76" s="3">
        <v>20.716985745162201</v>
      </c>
      <c r="V76" s="3">
        <v>27.899690470797001</v>
      </c>
    </row>
    <row r="77" spans="1:22" x14ac:dyDescent="0.35">
      <c r="A77" s="2">
        <v>44204</v>
      </c>
      <c r="B77" s="3">
        <v>21.367769079938199</v>
      </c>
      <c r="C77" s="3">
        <v>24.9315203522419</v>
      </c>
      <c r="D77" s="3">
        <v>25.642076569053799</v>
      </c>
      <c r="E77" s="3">
        <v>25.859824313679901</v>
      </c>
      <c r="F77" s="3">
        <v>23.795209131620101</v>
      </c>
      <c r="G77" s="3">
        <v>50.015819480295598</v>
      </c>
      <c r="H77" s="3">
        <v>21.122424717413899</v>
      </c>
      <c r="I77" s="3">
        <v>19.2629263143141</v>
      </c>
      <c r="J77" s="3">
        <v>33.234126280402599</v>
      </c>
      <c r="K77" s="3">
        <v>21.9326265883258</v>
      </c>
      <c r="L77" s="3">
        <v>36.9153271012012</v>
      </c>
      <c r="M77" s="3">
        <v>14.082533794722099</v>
      </c>
      <c r="N77" s="3">
        <v>18.717024794969799</v>
      </c>
      <c r="O77" s="3">
        <v>34.519210554572801</v>
      </c>
      <c r="P77" s="3">
        <v>19.2232262563878</v>
      </c>
      <c r="Q77" s="3">
        <v>17.7188531278398</v>
      </c>
      <c r="R77" s="3">
        <v>28.963788003904799</v>
      </c>
      <c r="S77" s="3">
        <v>13.947031138541099</v>
      </c>
      <c r="T77" s="3">
        <v>25.025806952429001</v>
      </c>
      <c r="U77" s="3">
        <v>24.208256040296</v>
      </c>
      <c r="V77" s="3">
        <v>28.935785539509698</v>
      </c>
    </row>
    <row r="78" spans="1:22" x14ac:dyDescent="0.35">
      <c r="A78" s="2">
        <v>44237</v>
      </c>
      <c r="B78" s="3">
        <v>22.2930265944517</v>
      </c>
      <c r="C78" s="3">
        <v>26.491673043119501</v>
      </c>
      <c r="D78" s="3">
        <v>24.504089914510701</v>
      </c>
      <c r="E78" s="3">
        <v>24.952228982368801</v>
      </c>
      <c r="F78" s="3">
        <v>15.442217326279501</v>
      </c>
      <c r="G78" s="3">
        <v>46.424223204295799</v>
      </c>
      <c r="H78" s="3">
        <v>19.711434598657299</v>
      </c>
      <c r="I78" s="3">
        <v>18.778301448023601</v>
      </c>
      <c r="J78" s="3">
        <v>29.362442928585601</v>
      </c>
      <c r="K78" s="3">
        <v>21.434534086206298</v>
      </c>
      <c r="L78" s="3">
        <v>28.669090203305</v>
      </c>
      <c r="M78" s="3">
        <v>14.503529274266899</v>
      </c>
      <c r="N78" s="3">
        <v>16.871811162442501</v>
      </c>
      <c r="O78" s="3">
        <v>32.905770326933599</v>
      </c>
      <c r="P78" s="3">
        <v>21.866126223512801</v>
      </c>
      <c r="Q78" s="3">
        <v>17.311860043647101</v>
      </c>
      <c r="R78" s="3">
        <v>27.411191013495898</v>
      </c>
      <c r="S78" s="3">
        <v>12.7228755583899</v>
      </c>
      <c r="T78" s="3">
        <v>22.405234132666401</v>
      </c>
      <c r="U78" s="3">
        <v>23.9927750487625</v>
      </c>
      <c r="V78" s="3">
        <v>26.338326016057898</v>
      </c>
    </row>
    <row r="79" spans="1:22" x14ac:dyDescent="0.35">
      <c r="A79" s="2">
        <v>44265</v>
      </c>
      <c r="B79" s="3">
        <v>19.855590472787199</v>
      </c>
      <c r="C79" s="3">
        <v>32.042461444914601</v>
      </c>
      <c r="D79" s="3">
        <v>23.875470958196601</v>
      </c>
      <c r="E79" s="3">
        <v>22.7680478918153</v>
      </c>
      <c r="F79" s="3">
        <v>17.056788446158901</v>
      </c>
      <c r="G79" s="3">
        <v>66.118363655806803</v>
      </c>
      <c r="H79" s="3">
        <v>19.696667351009399</v>
      </c>
      <c r="I79" s="3">
        <v>18.488769174926801</v>
      </c>
      <c r="J79" s="3">
        <v>26.814023771626399</v>
      </c>
      <c r="K79" s="3">
        <v>20.198901417207601</v>
      </c>
      <c r="L79" s="3">
        <v>20.423964026141402</v>
      </c>
      <c r="M79" s="3">
        <v>13.5996402927295</v>
      </c>
      <c r="N79" s="3">
        <v>17.709755761699999</v>
      </c>
      <c r="O79" s="3">
        <v>31.052419406338501</v>
      </c>
      <c r="P79" s="3">
        <v>19.6196396709034</v>
      </c>
      <c r="Q79" s="3">
        <v>16.831936624500099</v>
      </c>
      <c r="R79" s="3">
        <v>27.588704306432</v>
      </c>
      <c r="S79" s="3">
        <v>11.4613439037108</v>
      </c>
      <c r="T79" s="3">
        <v>27.073633925357601</v>
      </c>
      <c r="U79" s="3">
        <v>24.248239427720002</v>
      </c>
      <c r="V79" s="3">
        <v>26.4700597979683</v>
      </c>
    </row>
    <row r="80" spans="1:22" x14ac:dyDescent="0.35">
      <c r="A80" s="2">
        <v>44295</v>
      </c>
      <c r="B80" s="3">
        <v>19.5582589391075</v>
      </c>
      <c r="C80" s="3">
        <v>30.081969353996801</v>
      </c>
      <c r="D80" s="3">
        <v>23.0956354700029</v>
      </c>
      <c r="E80" s="3">
        <v>21.996679328524898</v>
      </c>
      <c r="F80" s="3">
        <v>16.6214236208355</v>
      </c>
      <c r="G80" s="3">
        <v>60.301188525589303</v>
      </c>
      <c r="H80" s="3">
        <v>19.109295888869699</v>
      </c>
      <c r="I80" s="3">
        <v>18.192461262655101</v>
      </c>
      <c r="J80" s="3">
        <v>25.648018378631001</v>
      </c>
      <c r="K80" s="3">
        <v>19.5613646006294</v>
      </c>
      <c r="L80" s="3">
        <v>19.129942134676199</v>
      </c>
      <c r="M80" s="3">
        <v>13.1681171557839</v>
      </c>
      <c r="N80" s="3">
        <v>17.352607962095099</v>
      </c>
      <c r="O80" s="3">
        <v>30.2395328511207</v>
      </c>
      <c r="P80" s="3">
        <v>19.276482956047399</v>
      </c>
      <c r="Q80" s="3">
        <v>16.667329058966502</v>
      </c>
      <c r="R80" s="3">
        <v>26.746137676505199</v>
      </c>
      <c r="S80" s="3">
        <v>10.841069113696699</v>
      </c>
      <c r="T80" s="3">
        <v>25.779345071540799</v>
      </c>
      <c r="U80" s="3">
        <v>23.5646544623634</v>
      </c>
      <c r="V80" s="3">
        <v>25.915626985849201</v>
      </c>
    </row>
    <row r="81" spans="1:22" x14ac:dyDescent="0.35">
      <c r="A81" s="2">
        <v>44326</v>
      </c>
      <c r="B81" s="3">
        <v>19.149011918445701</v>
      </c>
      <c r="C81" s="3">
        <v>27.717944630303901</v>
      </c>
      <c r="D81" s="3">
        <v>22.325018184195699</v>
      </c>
      <c r="E81" s="3">
        <v>21.303483453920201</v>
      </c>
      <c r="F81" s="3">
        <v>16.485878085545</v>
      </c>
      <c r="G81" s="3">
        <v>54.6083501751325</v>
      </c>
      <c r="H81" s="3">
        <v>18.409295522000601</v>
      </c>
      <c r="I81" s="3">
        <v>17.530251923903101</v>
      </c>
      <c r="J81" s="3">
        <v>24.5258022640527</v>
      </c>
      <c r="K81" s="3">
        <v>18.167682775778101</v>
      </c>
      <c r="L81" s="3">
        <v>17.897096475854799</v>
      </c>
      <c r="M81" s="3">
        <v>12.736093799810501</v>
      </c>
      <c r="N81" s="3">
        <v>14.9674943635028</v>
      </c>
      <c r="O81" s="3">
        <v>29.518941624529099</v>
      </c>
      <c r="P81" s="3">
        <v>18.689259505969499</v>
      </c>
      <c r="Q81" s="3">
        <v>16.475981081597698</v>
      </c>
      <c r="R81" s="3">
        <v>25.88156898538</v>
      </c>
      <c r="S81" s="3">
        <v>10.411114078659701</v>
      </c>
      <c r="T81" s="3">
        <v>24.4506394617915</v>
      </c>
      <c r="U81" s="3">
        <v>22.928482388266701</v>
      </c>
      <c r="V81" s="3">
        <v>25.180242824433101</v>
      </c>
    </row>
    <row r="82" spans="1:22" x14ac:dyDescent="0.35">
      <c r="A82" s="2">
        <v>44357</v>
      </c>
      <c r="B82" s="3">
        <v>19.3910811867052</v>
      </c>
      <c r="C82" s="3">
        <v>25.121968051304801</v>
      </c>
      <c r="D82" s="3">
        <v>21.838794337214399</v>
      </c>
      <c r="E82" s="3">
        <v>21.721705469365698</v>
      </c>
      <c r="F82" s="3">
        <v>15.9391798003698</v>
      </c>
      <c r="G82" s="3">
        <v>48.012612364976398</v>
      </c>
      <c r="H82" s="3">
        <v>17.829792106949</v>
      </c>
      <c r="I82" s="3">
        <v>16.833444558576801</v>
      </c>
      <c r="J82" s="3">
        <v>23.4930780098612</v>
      </c>
      <c r="K82" s="3">
        <v>17.160467710926699</v>
      </c>
      <c r="L82" s="3">
        <v>16.964513979645101</v>
      </c>
      <c r="M82" s="3">
        <v>12.4633896050851</v>
      </c>
      <c r="N82" s="3">
        <v>17.5248562144338</v>
      </c>
      <c r="O82" s="3">
        <v>29.410636515594199</v>
      </c>
      <c r="P82" s="3">
        <v>18.831747394949499</v>
      </c>
      <c r="Q82" s="3">
        <v>16.051196425233101</v>
      </c>
      <c r="R82" s="3">
        <v>24.691775361413601</v>
      </c>
      <c r="S82" s="3">
        <v>9.8826871760360504</v>
      </c>
      <c r="T82" s="3">
        <v>23.876308367295302</v>
      </c>
      <c r="U82" s="3">
        <v>22.868007359742901</v>
      </c>
      <c r="V82" s="3">
        <v>24.643523296268501</v>
      </c>
    </row>
    <row r="83" spans="1:22" x14ac:dyDescent="0.35">
      <c r="A83" s="2">
        <v>44386</v>
      </c>
      <c r="B83" s="3">
        <v>18.8322254471504</v>
      </c>
      <c r="C83" s="3">
        <v>22.883587780476098</v>
      </c>
      <c r="D83" s="3">
        <v>20.540883428645799</v>
      </c>
      <c r="E83" s="3">
        <v>21.0638199337338</v>
      </c>
      <c r="F83" s="3">
        <v>15.2536284068208</v>
      </c>
      <c r="G83" s="3">
        <v>42.180587851445999</v>
      </c>
      <c r="H83" s="3">
        <v>16.976613574555302</v>
      </c>
      <c r="I83" s="3">
        <v>16.353164569971401</v>
      </c>
      <c r="J83" s="3">
        <v>22.131877268800402</v>
      </c>
      <c r="K83" s="3">
        <v>16.180032460081701</v>
      </c>
      <c r="L83" s="3">
        <v>15.436218636755401</v>
      </c>
      <c r="M83" s="3">
        <v>11.888711186408701</v>
      </c>
      <c r="N83" s="3">
        <v>16.470129159674801</v>
      </c>
      <c r="O83" s="3">
        <v>28.764683072936499</v>
      </c>
      <c r="P83" s="3">
        <v>18.121221053810601</v>
      </c>
      <c r="Q83" s="3">
        <v>15.8037189673579</v>
      </c>
      <c r="R83" s="3">
        <v>23.337428115043299</v>
      </c>
      <c r="S83" s="3">
        <v>9.2050178021248108</v>
      </c>
      <c r="T83" s="3">
        <v>22.5446615229977</v>
      </c>
      <c r="U83" s="3">
        <v>21.996387510792399</v>
      </c>
      <c r="V83" s="3">
        <v>23.891021940522901</v>
      </c>
    </row>
    <row r="84" spans="1:22" x14ac:dyDescent="0.35">
      <c r="A84" s="2">
        <v>44418</v>
      </c>
      <c r="B84" s="3">
        <v>18.385352923704101</v>
      </c>
      <c r="C84" s="3">
        <v>20.314596982057299</v>
      </c>
      <c r="D84" s="3">
        <v>19.888472341322299</v>
      </c>
      <c r="E84" s="3">
        <v>20.199219893519299</v>
      </c>
      <c r="F84" s="3">
        <v>14.524041763642201</v>
      </c>
      <c r="G84" s="3">
        <v>35.565288011293298</v>
      </c>
      <c r="H84" s="3">
        <v>16.236585948464199</v>
      </c>
      <c r="I84" s="3">
        <v>15.4201372894949</v>
      </c>
      <c r="J84" s="3">
        <v>20.6226621837829</v>
      </c>
      <c r="K84" s="3">
        <v>14.995309526325499</v>
      </c>
      <c r="L84" s="3">
        <v>13.799180707289601</v>
      </c>
      <c r="M84" s="3">
        <v>11.619000919409601</v>
      </c>
      <c r="N84" s="3">
        <v>15.8957332151688</v>
      </c>
      <c r="O84" s="3">
        <v>28.828940390086601</v>
      </c>
      <c r="P84" s="3">
        <v>17.362637674630101</v>
      </c>
      <c r="Q84" s="3">
        <v>15.464467083093</v>
      </c>
      <c r="R84" s="3">
        <v>22.199843386820501</v>
      </c>
      <c r="S84" s="3">
        <v>8.6579286149331001</v>
      </c>
      <c r="T84" s="3">
        <v>21.4456757858724</v>
      </c>
      <c r="U84" s="3">
        <v>21.445924111290498</v>
      </c>
      <c r="V84" s="3">
        <v>23.354541641208002</v>
      </c>
    </row>
    <row r="85" spans="1:22" x14ac:dyDescent="0.35">
      <c r="A85" s="2">
        <v>44449</v>
      </c>
      <c r="B85" s="3">
        <v>18.378807980862199</v>
      </c>
      <c r="C85" s="3">
        <v>18.232902240740799</v>
      </c>
      <c r="D85" s="3">
        <v>19.543956995149401</v>
      </c>
      <c r="E85" s="3">
        <v>20.6656552613121</v>
      </c>
      <c r="F85" s="3">
        <v>13.988433743794999</v>
      </c>
      <c r="G85" s="3">
        <v>30.7461912635255</v>
      </c>
      <c r="H85" s="3">
        <v>16.009867802828801</v>
      </c>
      <c r="I85" s="3">
        <v>14.8777803676874</v>
      </c>
      <c r="J85" s="3">
        <v>19.3315143075184</v>
      </c>
      <c r="K85" s="3">
        <v>13.753424788018201</v>
      </c>
      <c r="L85" s="3">
        <v>12.010587541088301</v>
      </c>
      <c r="M85" s="3">
        <v>10.795863406940301</v>
      </c>
      <c r="N85" s="3">
        <v>14.5198366894255</v>
      </c>
      <c r="O85" s="3">
        <v>29.503699983738802</v>
      </c>
      <c r="P85" s="3">
        <v>16.953219087883301</v>
      </c>
      <c r="Q85" s="3">
        <v>15.329839836503499</v>
      </c>
      <c r="R85" s="3">
        <v>22.172606297634101</v>
      </c>
      <c r="S85" s="3">
        <v>7.9337751754242403</v>
      </c>
      <c r="T85" s="3">
        <v>20.4754922054593</v>
      </c>
      <c r="U85" s="3">
        <v>20.543399667703699</v>
      </c>
      <c r="V85" s="3">
        <v>22.884140917394198</v>
      </c>
    </row>
    <row r="86" spans="1:22" x14ac:dyDescent="0.35">
      <c r="A86" s="2">
        <v>44477</v>
      </c>
      <c r="B86" s="3">
        <v>17.854931398050098</v>
      </c>
      <c r="C86" s="3">
        <v>15.821877900007101</v>
      </c>
      <c r="D86" s="3">
        <v>19.375493651555601</v>
      </c>
      <c r="E86" s="3">
        <v>20.428080939578798</v>
      </c>
      <c r="F86" s="3">
        <v>14.0855967732201</v>
      </c>
      <c r="G86" s="3">
        <v>26.1667515707258</v>
      </c>
      <c r="H86" s="3">
        <v>15.581299552731901</v>
      </c>
      <c r="I86" s="3">
        <v>13.8722824358509</v>
      </c>
      <c r="J86" s="3">
        <v>17.793456167417698</v>
      </c>
      <c r="K86" s="3">
        <v>12.401347077352799</v>
      </c>
      <c r="L86" s="3">
        <v>10.749060645506701</v>
      </c>
      <c r="M86" s="3">
        <v>10.8992847053728</v>
      </c>
      <c r="N86" s="3">
        <v>13.669651025674201</v>
      </c>
      <c r="O86" s="3">
        <v>29.462712322553202</v>
      </c>
      <c r="P86" s="3">
        <v>16.1122080326301</v>
      </c>
      <c r="Q86" s="3">
        <v>15.4893832853082</v>
      </c>
      <c r="R86" s="3">
        <v>21.2981855528854</v>
      </c>
      <c r="S86" s="3">
        <v>7.2728304122565701</v>
      </c>
      <c r="T86" s="3">
        <v>19.3078697502288</v>
      </c>
      <c r="U86" s="3">
        <v>20.1349634328168</v>
      </c>
      <c r="V86" s="3">
        <v>22.147426611278799</v>
      </c>
    </row>
    <row r="87" spans="1:22" x14ac:dyDescent="0.35">
      <c r="A87" s="2">
        <v>44510</v>
      </c>
      <c r="B87" s="3">
        <v>17.731017586038998</v>
      </c>
      <c r="C87" s="3">
        <v>13.593860453562399</v>
      </c>
      <c r="D87" s="3">
        <v>18.349029010219699</v>
      </c>
      <c r="E87" s="3">
        <v>20.943845404550899</v>
      </c>
      <c r="F87" s="3">
        <v>13.1110863242909</v>
      </c>
      <c r="G87" s="3">
        <v>20.155270104544499</v>
      </c>
      <c r="H87" s="3">
        <v>14.7347973456296</v>
      </c>
      <c r="I87" s="3">
        <v>13.620485795859899</v>
      </c>
      <c r="J87" s="3">
        <v>16.631893360784801</v>
      </c>
      <c r="K87" s="3">
        <v>11.167850679394601</v>
      </c>
      <c r="L87" s="3">
        <v>8.8747592023235793</v>
      </c>
      <c r="M87" s="3">
        <v>10.672391905865499</v>
      </c>
      <c r="N87" s="3">
        <v>15.8985183296813</v>
      </c>
      <c r="O87" s="3">
        <v>29.407508610209199</v>
      </c>
      <c r="P87" s="3">
        <v>15.555650880484899</v>
      </c>
      <c r="Q87" s="3">
        <v>15.746908592466299</v>
      </c>
      <c r="R87" s="3">
        <v>20.349376716506701</v>
      </c>
      <c r="S87" s="3">
        <v>7.1087890616387099</v>
      </c>
      <c r="T87" s="3">
        <v>18.763126962457601</v>
      </c>
      <c r="U87" s="3">
        <v>20.071079184287498</v>
      </c>
      <c r="V87" s="3">
        <v>21.645688461826001</v>
      </c>
    </row>
    <row r="88" spans="1:22" x14ac:dyDescent="0.35">
      <c r="A88" s="2">
        <v>44540</v>
      </c>
      <c r="B88" s="3">
        <v>18.7381999797744</v>
      </c>
      <c r="C88" s="3">
        <v>10.7851561326897</v>
      </c>
      <c r="D88" s="3">
        <v>17.419872074518899</v>
      </c>
      <c r="E88" s="3">
        <v>19.964115393471001</v>
      </c>
      <c r="F88" s="3">
        <v>10.9186088906704</v>
      </c>
      <c r="G88" s="3">
        <v>14.755821144412</v>
      </c>
      <c r="H88" s="3">
        <v>15.0946403871973</v>
      </c>
      <c r="I88" s="3">
        <v>13.0608541436015</v>
      </c>
      <c r="J88" s="3">
        <v>15.251289721427</v>
      </c>
      <c r="K88" s="3">
        <v>10.330122588642499</v>
      </c>
      <c r="L88" s="3">
        <v>7.5643120970102196</v>
      </c>
      <c r="M88" s="3">
        <v>10.3291661251373</v>
      </c>
      <c r="N88" s="3">
        <v>12.8505959263299</v>
      </c>
      <c r="O88" s="3">
        <v>28.958007933996601</v>
      </c>
      <c r="P88" s="3">
        <v>14.9023968052198</v>
      </c>
      <c r="Q88" s="3">
        <v>15.0531062700869</v>
      </c>
      <c r="R88" s="3">
        <v>19.125241562459401</v>
      </c>
      <c r="S88" s="3">
        <v>7.7302174277078404</v>
      </c>
      <c r="T88" s="3">
        <v>18.090348486021</v>
      </c>
      <c r="U88" s="3">
        <v>19.4065807005205</v>
      </c>
      <c r="V88" s="3">
        <v>19.301834198444499</v>
      </c>
    </row>
    <row r="89" spans="1:22" x14ac:dyDescent="0.35">
      <c r="A89" s="2">
        <v>44571</v>
      </c>
      <c r="B89" s="3">
        <v>17.661376476462301</v>
      </c>
      <c r="C89" s="3">
        <v>9.8517532927251708</v>
      </c>
      <c r="D89" s="3">
        <v>16.873340703824802</v>
      </c>
      <c r="E89" s="3">
        <v>19.338720561867301</v>
      </c>
      <c r="F89" s="3">
        <v>10.9252679259129</v>
      </c>
      <c r="G89" s="3">
        <v>11.919238902254399</v>
      </c>
      <c r="H89" s="3">
        <v>15.3639718988775</v>
      </c>
      <c r="I89" s="3">
        <v>12.9369318317699</v>
      </c>
      <c r="J89" s="3">
        <v>14.985859838696699</v>
      </c>
      <c r="K89" s="3">
        <v>9.4216048361288909</v>
      </c>
      <c r="L89" s="3">
        <v>6.3655439916425198</v>
      </c>
      <c r="M89" s="3">
        <v>10.4867274737163</v>
      </c>
      <c r="N89" s="3">
        <v>12.8241040264673</v>
      </c>
      <c r="O89" s="3">
        <v>29.327811610646101</v>
      </c>
      <c r="P89" s="3">
        <v>14.0119070271606</v>
      </c>
      <c r="Q89" s="3">
        <v>14.9725652611277</v>
      </c>
      <c r="R89" s="3">
        <v>19.1013652658282</v>
      </c>
      <c r="S89" s="3">
        <v>7.2256326489758003</v>
      </c>
      <c r="T89" s="3">
        <v>16.422813449565002</v>
      </c>
      <c r="U89" s="3">
        <v>18.127888714377701</v>
      </c>
      <c r="V89" s="3">
        <v>20.1460703714197</v>
      </c>
    </row>
    <row r="90" spans="1:22" x14ac:dyDescent="0.35">
      <c r="A90" s="2">
        <v>44602</v>
      </c>
      <c r="B90" s="3">
        <v>16.7417725027322</v>
      </c>
      <c r="C90" s="3">
        <v>9.7935968524973305</v>
      </c>
      <c r="D90" s="3">
        <v>17.263612034781701</v>
      </c>
      <c r="E90" s="3">
        <v>19.681420909801101</v>
      </c>
      <c r="F90" s="3">
        <v>10.888702012154299</v>
      </c>
      <c r="G90" s="3">
        <v>11.929592788774</v>
      </c>
      <c r="H90" s="3">
        <v>15.5824532671641</v>
      </c>
      <c r="I90" s="3">
        <v>12.894477525646399</v>
      </c>
      <c r="J90" s="3">
        <v>14.816278671283699</v>
      </c>
      <c r="K90" s="3">
        <v>9.4234174957881898</v>
      </c>
      <c r="L90" s="3">
        <v>7.1574676927950298</v>
      </c>
      <c r="M90" s="3">
        <v>11.066705931359801</v>
      </c>
      <c r="N90" s="3">
        <v>-145.267550162616</v>
      </c>
      <c r="O90" s="3">
        <v>27.9946411351638</v>
      </c>
      <c r="P90" s="3">
        <v>14.2659673064261</v>
      </c>
      <c r="Q90" s="3">
        <v>16.3256608696332</v>
      </c>
      <c r="R90" s="3">
        <v>19.292196442185102</v>
      </c>
      <c r="S90" s="3">
        <v>6.24599868569286</v>
      </c>
      <c r="T90" s="3">
        <v>17.177421141551001</v>
      </c>
      <c r="U90" s="3">
        <v>17.078362179673</v>
      </c>
      <c r="V90" s="3">
        <v>20.8855952818002</v>
      </c>
    </row>
    <row r="91" spans="1:22" x14ac:dyDescent="0.35">
      <c r="A91" s="2">
        <v>44630</v>
      </c>
      <c r="B91" s="3">
        <v>16.417001249214898</v>
      </c>
      <c r="C91" s="3">
        <v>9.8223533218499597</v>
      </c>
      <c r="D91" s="3">
        <v>17.374555722070799</v>
      </c>
      <c r="E91" s="3">
        <v>19.154950648661</v>
      </c>
      <c r="F91" s="3">
        <v>9.7518761142953103</v>
      </c>
      <c r="G91" s="3">
        <v>13.585354409066699</v>
      </c>
      <c r="H91" s="3">
        <v>15.8949772172609</v>
      </c>
      <c r="I91" s="3">
        <v>12.3299821605892</v>
      </c>
      <c r="J91" s="3">
        <v>14.833131935504699</v>
      </c>
      <c r="K91" s="3">
        <v>9.2902259204586297</v>
      </c>
      <c r="L91" s="3">
        <v>7.02933184252994</v>
      </c>
      <c r="M91" s="3">
        <v>11.163926292961699</v>
      </c>
      <c r="N91" s="3">
        <v>-93.285971266950298</v>
      </c>
      <c r="O91" s="3">
        <v>26.2838633609434</v>
      </c>
      <c r="P91" s="3">
        <v>12.7944454446453</v>
      </c>
      <c r="Q91" s="3">
        <v>16.311390820052601</v>
      </c>
      <c r="R91" s="3">
        <v>18.773979516238601</v>
      </c>
      <c r="S91" s="3">
        <v>5.7406310120634103</v>
      </c>
      <c r="T91" s="3">
        <v>17.317309658397299</v>
      </c>
      <c r="U91" s="3">
        <v>16.391611884668301</v>
      </c>
      <c r="V91" s="3">
        <v>21.444784528940598</v>
      </c>
    </row>
    <row r="92" spans="1:22" x14ac:dyDescent="0.35">
      <c r="A92" s="2">
        <v>44659</v>
      </c>
      <c r="B92" s="3">
        <v>16.111586850207001</v>
      </c>
      <c r="C92" s="3">
        <v>9.8162440294035598</v>
      </c>
      <c r="D92" s="3">
        <v>17.173574704711299</v>
      </c>
      <c r="E92" s="3">
        <v>18.733402213275799</v>
      </c>
      <c r="F92" s="3">
        <v>9.6237974908811506</v>
      </c>
      <c r="G92" s="3">
        <v>13.020590040126599</v>
      </c>
      <c r="H92" s="3">
        <v>15.913095636570199</v>
      </c>
      <c r="I92" s="3">
        <v>12.2542944561997</v>
      </c>
      <c r="J92" s="3">
        <v>14.8359734686751</v>
      </c>
      <c r="K92" s="3">
        <v>9.3105752788031104</v>
      </c>
      <c r="L92" s="3">
        <v>7.00194279546559</v>
      </c>
      <c r="M92" s="3">
        <v>11.0069645872991</v>
      </c>
      <c r="N92" s="3">
        <v>-82.799178526752797</v>
      </c>
      <c r="O92" s="3">
        <v>26.285662616795101</v>
      </c>
      <c r="P92" s="3">
        <v>12.7435601156117</v>
      </c>
      <c r="Q92" s="3">
        <v>16.1267273870344</v>
      </c>
      <c r="R92" s="3">
        <v>18.6614517541982</v>
      </c>
      <c r="S92" s="3">
        <v>5.7792491013893503</v>
      </c>
      <c r="T92" s="3">
        <v>17.4663269419367</v>
      </c>
      <c r="U92" s="3">
        <v>16.254268013868501</v>
      </c>
      <c r="V92" s="3">
        <v>21.261335383819102</v>
      </c>
    </row>
    <row r="93" spans="1:22" x14ac:dyDescent="0.35">
      <c r="A93" s="2">
        <v>44691</v>
      </c>
      <c r="B93" s="3">
        <v>15.6378951364948</v>
      </c>
      <c r="C93" s="3">
        <v>9.3368506009092993</v>
      </c>
      <c r="D93" s="3">
        <v>16.4345756398586</v>
      </c>
      <c r="E93" s="3">
        <v>18.0582560354819</v>
      </c>
      <c r="F93" s="3">
        <v>8.7483254359886899</v>
      </c>
      <c r="G93" s="3">
        <v>11.8508745082675</v>
      </c>
      <c r="H93" s="3">
        <v>15.686358442846601</v>
      </c>
      <c r="I93" s="3">
        <v>11.897521835328799</v>
      </c>
      <c r="J93" s="3">
        <v>14.214320025985399</v>
      </c>
      <c r="K93" s="3">
        <v>9.1134553844469792</v>
      </c>
      <c r="L93" s="3">
        <v>6.5765462324766197</v>
      </c>
      <c r="M93" s="3">
        <v>10.48742206455</v>
      </c>
      <c r="N93" s="3">
        <v>-71.943801878674606</v>
      </c>
      <c r="O93" s="3">
        <v>25.2018304637383</v>
      </c>
      <c r="P93" s="3">
        <v>12.3395668717144</v>
      </c>
      <c r="Q93" s="3">
        <v>15.7618989558783</v>
      </c>
      <c r="R93" s="3">
        <v>18.245586082315299</v>
      </c>
      <c r="S93" s="3">
        <v>5.5370222835781204</v>
      </c>
      <c r="T93" s="3">
        <v>17.089920732950201</v>
      </c>
      <c r="U93" s="3">
        <v>15.5296096405095</v>
      </c>
      <c r="V93" s="3">
        <v>21.017789908597901</v>
      </c>
    </row>
    <row r="94" spans="1:22" x14ac:dyDescent="0.35">
      <c r="A94" s="2">
        <v>44722</v>
      </c>
      <c r="B94" s="3">
        <v>15.782145907845701</v>
      </c>
      <c r="C94" s="3">
        <v>8.4851294964284207</v>
      </c>
      <c r="D94" s="3">
        <v>15.864151776371999</v>
      </c>
      <c r="E94" s="3">
        <v>17.481102362129398</v>
      </c>
      <c r="F94" s="3">
        <v>8.3476625522318102</v>
      </c>
      <c r="G94" s="3">
        <v>11.5261753593721</v>
      </c>
      <c r="H94" s="3">
        <v>15.388700368582599</v>
      </c>
      <c r="I94" s="3">
        <v>11.9549075932724</v>
      </c>
      <c r="J94" s="3">
        <v>13.8811625235089</v>
      </c>
      <c r="K94" s="3">
        <v>9.1863891521077008</v>
      </c>
      <c r="L94" s="3">
        <v>6.4937533384616</v>
      </c>
      <c r="M94" s="3">
        <v>10.244457760003799</v>
      </c>
      <c r="N94" s="3">
        <v>-61.174574151196502</v>
      </c>
      <c r="O94" s="3">
        <v>24.879371709867399</v>
      </c>
      <c r="P94" s="3">
        <v>12.9844380718054</v>
      </c>
      <c r="Q94" s="3">
        <v>15.150446377882901</v>
      </c>
      <c r="R94" s="3">
        <v>17.951572952267298</v>
      </c>
      <c r="S94" s="3">
        <v>5.5120257639986203</v>
      </c>
      <c r="T94" s="3">
        <v>16.323563976980601</v>
      </c>
      <c r="U94" s="3">
        <v>15.3047447781887</v>
      </c>
      <c r="V94" s="3">
        <v>19.999712482475399</v>
      </c>
    </row>
    <row r="95" spans="1:22" x14ac:dyDescent="0.35">
      <c r="A95" s="2">
        <v>44750</v>
      </c>
      <c r="B95" s="3">
        <v>15.8910181352922</v>
      </c>
      <c r="C95" s="3">
        <v>7.8546013184044901</v>
      </c>
      <c r="D95" s="3">
        <v>15.0771967690472</v>
      </c>
      <c r="E95" s="3">
        <v>16.763404362436699</v>
      </c>
      <c r="F95" s="3">
        <v>8.2506907053338292</v>
      </c>
      <c r="G95" s="3">
        <v>10.4736707363192</v>
      </c>
      <c r="H95" s="3">
        <v>14.974973465678801</v>
      </c>
      <c r="I95" s="3">
        <v>11.120926419302799</v>
      </c>
      <c r="J95" s="3">
        <v>13.515980660261601</v>
      </c>
      <c r="K95" s="3">
        <v>8.9233317635040006</v>
      </c>
      <c r="L95" s="3">
        <v>6.2764694417132203</v>
      </c>
      <c r="M95" s="3">
        <v>10.3571800763846</v>
      </c>
      <c r="N95" s="3">
        <v>-52.135384822042496</v>
      </c>
      <c r="O95" s="3">
        <v>24.5543279740975</v>
      </c>
      <c r="P95" s="3">
        <v>13.0937708020948</v>
      </c>
      <c r="Q95" s="3">
        <v>14.6358749845703</v>
      </c>
      <c r="R95" s="3">
        <v>17.444010741045702</v>
      </c>
      <c r="S95" s="3">
        <v>5.16152324696289</v>
      </c>
      <c r="T95" s="3">
        <v>15.417922711368499</v>
      </c>
      <c r="U95" s="3">
        <v>14.035589323598099</v>
      </c>
      <c r="V95" s="3">
        <v>19.008954462521999</v>
      </c>
    </row>
    <row r="96" spans="1:22" x14ac:dyDescent="0.35">
      <c r="A96" s="2">
        <v>44783</v>
      </c>
      <c r="B96" s="3">
        <v>15.176401595190899</v>
      </c>
      <c r="C96" s="3">
        <v>7.52909001461712</v>
      </c>
      <c r="D96" s="3">
        <v>14.990822239293999</v>
      </c>
      <c r="E96" s="3">
        <v>16.314700680288698</v>
      </c>
      <c r="F96" s="3">
        <v>7.13289266327532</v>
      </c>
      <c r="G96" s="3">
        <v>10.179664787172101</v>
      </c>
      <c r="H96" s="3">
        <v>15.268070331978601</v>
      </c>
      <c r="I96" s="3">
        <v>11.1449692501866</v>
      </c>
      <c r="J96" s="3">
        <v>13.4031810196691</v>
      </c>
      <c r="K96" s="3">
        <v>9.0391714820400093</v>
      </c>
      <c r="L96" s="3">
        <v>6.35171555001949</v>
      </c>
      <c r="M96" s="3">
        <v>10.347539792468099</v>
      </c>
      <c r="N96" s="3">
        <v>-40.494203958859003</v>
      </c>
      <c r="O96" s="3">
        <v>25.7381334560467</v>
      </c>
      <c r="P96" s="3">
        <v>12.2380650185876</v>
      </c>
      <c r="Q96" s="3">
        <v>15.4120608968383</v>
      </c>
      <c r="R96" s="3">
        <v>17.3043415614476</v>
      </c>
      <c r="S96" s="3">
        <v>5.04759229837431</v>
      </c>
      <c r="T96" s="3">
        <v>15.6385707478775</v>
      </c>
      <c r="U96" s="3">
        <v>13.899317324626701</v>
      </c>
      <c r="V96" s="3">
        <v>19.1029367651063</v>
      </c>
    </row>
    <row r="97" spans="1:22" x14ac:dyDescent="0.35">
      <c r="A97" s="2">
        <v>44813</v>
      </c>
      <c r="B97" s="3">
        <v>15.097875462945501</v>
      </c>
      <c r="C97" s="3">
        <v>7.2171317630191902</v>
      </c>
      <c r="D97" s="3">
        <v>14.7215359817747</v>
      </c>
      <c r="E97" s="3">
        <v>15.9456976861036</v>
      </c>
      <c r="F97" s="3">
        <v>6.7961668468974699</v>
      </c>
      <c r="G97" s="3">
        <v>9.8739570131690595</v>
      </c>
      <c r="H97" s="3">
        <v>15.2458822123881</v>
      </c>
      <c r="I97" s="3">
        <v>10.9473544683662</v>
      </c>
      <c r="J97" s="3">
        <v>12.928675516148401</v>
      </c>
      <c r="K97" s="3">
        <v>8.7366186754207593</v>
      </c>
      <c r="L97" s="3">
        <v>6.2044650288174701</v>
      </c>
      <c r="M97" s="3">
        <v>10.0105823239891</v>
      </c>
      <c r="N97" s="3">
        <v>-31.518955222262601</v>
      </c>
      <c r="O97" s="3">
        <v>25.898290150473301</v>
      </c>
      <c r="P97" s="3">
        <v>12.4027429948563</v>
      </c>
      <c r="Q97" s="3">
        <v>14.5464334698366</v>
      </c>
      <c r="R97" s="3">
        <v>17.083160627635198</v>
      </c>
      <c r="S97" s="3">
        <v>5.06824036787732</v>
      </c>
      <c r="T97" s="3">
        <v>14.853059707274801</v>
      </c>
      <c r="U97" s="3">
        <v>13.636064538418999</v>
      </c>
      <c r="V97" s="3">
        <v>18.136033841199399</v>
      </c>
    </row>
    <row r="98" spans="1:22" x14ac:dyDescent="0.35">
      <c r="A98" s="2">
        <v>44844</v>
      </c>
      <c r="B98" s="3">
        <v>13.861119800029501</v>
      </c>
      <c r="C98" s="3">
        <v>7.2241893439810196</v>
      </c>
      <c r="D98" s="3">
        <v>13.865143874668799</v>
      </c>
      <c r="E98" s="3">
        <v>13.9758867738676</v>
      </c>
      <c r="F98" s="3">
        <v>6.11255678017503</v>
      </c>
      <c r="G98" s="3">
        <v>9.266404345522</v>
      </c>
      <c r="H98" s="3">
        <v>14.4917324117867</v>
      </c>
      <c r="I98" s="3">
        <v>10.369869059119599</v>
      </c>
      <c r="J98" s="3">
        <v>12.6111507556116</v>
      </c>
      <c r="K98" s="3">
        <v>8.5471267047337598</v>
      </c>
      <c r="L98" s="3">
        <v>6.2564777020218498</v>
      </c>
      <c r="M98" s="3">
        <v>9.5207355399204303</v>
      </c>
      <c r="N98" s="3">
        <v>-21.220594236762199</v>
      </c>
      <c r="O98" s="3">
        <v>25.1190039084155</v>
      </c>
      <c r="P98" s="3">
        <v>11.226751794543199</v>
      </c>
      <c r="Q98" s="3">
        <v>14.4489293088292</v>
      </c>
      <c r="R98" s="3">
        <v>16.198134027646802</v>
      </c>
      <c r="S98" s="3">
        <v>4.8032664375247904</v>
      </c>
      <c r="T98" s="3">
        <v>14.363771329516901</v>
      </c>
      <c r="U98" s="3">
        <v>12.654985455273099</v>
      </c>
      <c r="V98" s="3">
        <v>17.3898071143233</v>
      </c>
    </row>
    <row r="99" spans="1:22" x14ac:dyDescent="0.35">
      <c r="A99" s="2">
        <v>44875</v>
      </c>
      <c r="B99" s="3">
        <v>13.9132057688501</v>
      </c>
      <c r="C99" s="3">
        <v>7.3897630021833098</v>
      </c>
      <c r="D99" s="3">
        <v>13.4507756531093</v>
      </c>
      <c r="E99" s="3">
        <v>13.782301022084701</v>
      </c>
      <c r="F99" s="3">
        <v>6.5854373855364097</v>
      </c>
      <c r="G99" s="3">
        <v>10.119518003788301</v>
      </c>
      <c r="H99" s="3">
        <v>14.709354396536799</v>
      </c>
      <c r="I99" s="3">
        <v>10.2188388678858</v>
      </c>
      <c r="J99" s="3">
        <v>13.646187518841399</v>
      </c>
      <c r="K99" s="3">
        <v>9.6922275388804398</v>
      </c>
      <c r="L99" s="3">
        <v>5.9809377323751702</v>
      </c>
      <c r="M99" s="3">
        <v>10.1568059613267</v>
      </c>
      <c r="N99" s="3">
        <v>-10.9221715250541</v>
      </c>
      <c r="O99" s="3">
        <v>25.995111349241</v>
      </c>
      <c r="P99" s="3">
        <v>10.741614216918499</v>
      </c>
      <c r="Q99" s="3">
        <v>14.0305501524671</v>
      </c>
      <c r="R99" s="3">
        <v>16.6901645994547</v>
      </c>
      <c r="S99" s="3">
        <v>5.02120305508386</v>
      </c>
      <c r="T99" s="3">
        <v>14.2580257958074</v>
      </c>
      <c r="U99" s="3">
        <v>11.2012095312319</v>
      </c>
      <c r="V99" s="3">
        <v>16.849288335211799</v>
      </c>
    </row>
    <row r="100" spans="1:22" x14ac:dyDescent="0.35">
      <c r="A100" s="2">
        <v>44904</v>
      </c>
      <c r="B100" s="3">
        <v>14.744556046048301</v>
      </c>
      <c r="C100" s="3">
        <v>5.6613936721552198</v>
      </c>
      <c r="D100" s="3">
        <v>12.630658526737101</v>
      </c>
      <c r="E100" s="3">
        <v>14.141285919270199</v>
      </c>
      <c r="F100" s="3">
        <v>5.9417215052204799</v>
      </c>
      <c r="G100" s="3">
        <v>9.9148619759461294</v>
      </c>
      <c r="H100" s="3">
        <v>14.8516651048244</v>
      </c>
      <c r="I100" s="3">
        <v>11.1443975503121</v>
      </c>
      <c r="J100" s="3">
        <v>13.247865161311701</v>
      </c>
      <c r="K100" s="3">
        <v>9.8003219720886001</v>
      </c>
      <c r="L100" s="3">
        <v>5.6634944794071398</v>
      </c>
      <c r="M100" s="3">
        <v>10.2939592257986</v>
      </c>
      <c r="N100" s="3">
        <v>-1.2552688102532701</v>
      </c>
      <c r="O100" s="3">
        <v>26.707008328619398</v>
      </c>
      <c r="P100" s="3">
        <v>12.5468488564334</v>
      </c>
      <c r="Q100" s="3">
        <v>12.9289373213745</v>
      </c>
      <c r="R100" s="3">
        <v>16.607153991191201</v>
      </c>
      <c r="S100" s="3">
        <v>4.8543123943342303</v>
      </c>
      <c r="T100" s="3">
        <v>12.9674945230652</v>
      </c>
      <c r="U100" s="3">
        <v>13.2626176529622</v>
      </c>
      <c r="V100" s="3">
        <v>15.401469449658199</v>
      </c>
    </row>
    <row r="101" spans="1:22" x14ac:dyDescent="0.35">
      <c r="A101" s="2">
        <v>44936</v>
      </c>
      <c r="B101" s="3">
        <v>14.529887544230601</v>
      </c>
      <c r="C101" s="3">
        <v>5.45069675280702</v>
      </c>
      <c r="D101" s="3">
        <v>11.867743064395199</v>
      </c>
      <c r="E101" s="3">
        <v>14.1550769649948</v>
      </c>
      <c r="F101" s="3">
        <v>6.3481819416940901</v>
      </c>
      <c r="G101" s="3">
        <v>10.452682796945201</v>
      </c>
      <c r="H101" s="3">
        <v>14.900938162231901</v>
      </c>
      <c r="I101" s="3">
        <v>11.340890398055899</v>
      </c>
      <c r="J101" s="3">
        <v>13.638873296631701</v>
      </c>
      <c r="K101" s="3">
        <v>10.0072209840611</v>
      </c>
      <c r="L101" s="3">
        <v>5.7465949276320698</v>
      </c>
      <c r="M101" s="3">
        <v>10.7733472990236</v>
      </c>
      <c r="N101" s="3">
        <v>6.1324981718339497</v>
      </c>
      <c r="O101" s="3">
        <v>25.740368540042098</v>
      </c>
      <c r="P101" s="3">
        <v>13.467310586998099</v>
      </c>
      <c r="Q101" s="3">
        <v>12.846528422017199</v>
      </c>
      <c r="R101" s="3">
        <v>17.200786286827402</v>
      </c>
      <c r="S101" s="3">
        <v>4.8629050553510904</v>
      </c>
      <c r="T101" s="3">
        <v>12.4686169049656</v>
      </c>
      <c r="U101" s="3">
        <v>11.870646078215</v>
      </c>
      <c r="V101" s="3">
        <v>15.803124286319701</v>
      </c>
    </row>
    <row r="102" spans="1:22" x14ac:dyDescent="0.35">
      <c r="A102" s="2">
        <v>44967</v>
      </c>
      <c r="B102" s="3">
        <v>14.794713103649901</v>
      </c>
      <c r="C102" s="3">
        <v>6.0107261888788397</v>
      </c>
      <c r="D102" s="3">
        <v>12.4620333617972</v>
      </c>
      <c r="E102" s="3">
        <v>14.182577678889</v>
      </c>
      <c r="F102" s="3">
        <v>5.4008879884288303</v>
      </c>
      <c r="G102" s="3">
        <v>9.7882095803427696</v>
      </c>
      <c r="H102" s="3">
        <v>14.690994938066501</v>
      </c>
      <c r="I102" s="3">
        <v>12.2660521311688</v>
      </c>
      <c r="J102" s="3">
        <v>13.565808422131401</v>
      </c>
      <c r="K102" s="3">
        <v>10.827745788145499</v>
      </c>
      <c r="L102" s="3">
        <v>5.8287038378583098</v>
      </c>
      <c r="M102" s="3">
        <v>10.5410467354174</v>
      </c>
      <c r="N102" s="3">
        <v>7.6654416932905702</v>
      </c>
      <c r="O102" s="3">
        <v>25.324629192710599</v>
      </c>
      <c r="P102" s="3">
        <v>13.143252077222201</v>
      </c>
      <c r="Q102" s="3">
        <v>11.8217367905554</v>
      </c>
      <c r="R102" s="3">
        <v>17.390132773816099</v>
      </c>
      <c r="S102" s="3">
        <v>4.1861249377872101</v>
      </c>
      <c r="T102" s="3">
        <v>12.7588590960451</v>
      </c>
      <c r="U102" s="3">
        <v>12.1299313096816</v>
      </c>
      <c r="V102" s="3">
        <v>15.2726142482743</v>
      </c>
    </row>
    <row r="103" spans="1:22" x14ac:dyDescent="0.35">
      <c r="A103" s="2">
        <v>44995</v>
      </c>
      <c r="B103" s="3">
        <v>14.4932743018027</v>
      </c>
      <c r="C103" s="3">
        <v>5.9012579861302896</v>
      </c>
      <c r="D103" s="3">
        <v>12.007000216736399</v>
      </c>
      <c r="E103" s="3">
        <v>13.2097107849801</v>
      </c>
      <c r="F103" s="3">
        <v>5.9986043287909299</v>
      </c>
      <c r="G103" s="3">
        <v>9.3866932069022404</v>
      </c>
      <c r="H103" s="3">
        <v>14.797075112864199</v>
      </c>
      <c r="I103" s="3">
        <v>12.5426793960424</v>
      </c>
      <c r="J103" s="3">
        <v>14.5464271156347</v>
      </c>
      <c r="K103" s="3">
        <v>11.079723958051501</v>
      </c>
      <c r="L103" s="3">
        <v>5.5520878022506901</v>
      </c>
      <c r="M103" s="3">
        <v>10.245820025869399</v>
      </c>
      <c r="N103" s="3">
        <v>7.7244984070907803</v>
      </c>
      <c r="O103" s="3">
        <v>24.062478421892401</v>
      </c>
      <c r="P103" s="3">
        <v>12.2796504216718</v>
      </c>
      <c r="Q103" s="3">
        <v>11.8337162798931</v>
      </c>
      <c r="R103" s="3">
        <v>17.3871520638132</v>
      </c>
      <c r="S103" s="3">
        <v>4.74670521932575</v>
      </c>
      <c r="T103" s="3">
        <v>12.2287694764289</v>
      </c>
      <c r="U103" s="3">
        <v>12.417293922373499</v>
      </c>
      <c r="V103" s="3">
        <v>15.3472936567091</v>
      </c>
    </row>
    <row r="104" spans="1:22" x14ac:dyDescent="0.35">
      <c r="A104" s="2">
        <v>45026</v>
      </c>
      <c r="B104" s="3">
        <v>14.4366823542037</v>
      </c>
      <c r="C104" s="3">
        <v>5.9206814681859701</v>
      </c>
      <c r="D104" s="3">
        <v>12.0959561837007</v>
      </c>
      <c r="E104" s="3">
        <v>13.090486147390299</v>
      </c>
      <c r="F104" s="3">
        <v>5.9468304828416398</v>
      </c>
      <c r="G104" s="3">
        <v>9.5229383043077398</v>
      </c>
      <c r="H104" s="3">
        <v>14.664653167302699</v>
      </c>
      <c r="I104" s="3">
        <v>13.050730655264299</v>
      </c>
      <c r="J104" s="3">
        <v>14.4044636914627</v>
      </c>
      <c r="K104" s="3">
        <v>11.843392866274501</v>
      </c>
      <c r="L104" s="3">
        <v>5.6380317539493001</v>
      </c>
      <c r="M104" s="3">
        <v>10.2099386129461</v>
      </c>
      <c r="N104" s="3">
        <v>7.6273190103767101</v>
      </c>
      <c r="O104" s="3">
        <v>23.776770315956099</v>
      </c>
      <c r="P104" s="3">
        <v>12.3060956919636</v>
      </c>
      <c r="Q104" s="3">
        <v>11.7354979394387</v>
      </c>
      <c r="R104" s="3">
        <v>17.314656119511898</v>
      </c>
      <c r="S104" s="3">
        <v>4.7166148231065996</v>
      </c>
      <c r="T104" s="3">
        <v>12.0402320344005</v>
      </c>
      <c r="U104" s="3">
        <v>12.8357220201183</v>
      </c>
      <c r="V104" s="3">
        <v>15.574367062684001</v>
      </c>
    </row>
    <row r="105" spans="1:22" x14ac:dyDescent="0.35">
      <c r="A105" s="2">
        <v>45056</v>
      </c>
      <c r="B105" s="3">
        <v>14.244022055116501</v>
      </c>
      <c r="C105" s="3">
        <v>6.5230654468936002</v>
      </c>
      <c r="D105" s="3">
        <v>12.155504090605101</v>
      </c>
      <c r="E105" s="3">
        <v>12.9081897900881</v>
      </c>
      <c r="F105" s="3">
        <v>6.1580955385916596</v>
      </c>
      <c r="G105" s="3">
        <v>9.6380084532285899</v>
      </c>
      <c r="H105" s="3">
        <v>14.543106516188599</v>
      </c>
      <c r="I105" s="3">
        <v>13.5066448834671</v>
      </c>
      <c r="J105" s="3">
        <v>14.2369415452242</v>
      </c>
      <c r="K105" s="3">
        <v>12.159209091080401</v>
      </c>
      <c r="L105" s="3">
        <v>5.8873124805752299</v>
      </c>
      <c r="M105" s="3">
        <v>10.1521968391159</v>
      </c>
      <c r="N105" s="3">
        <v>7.6032518032472902</v>
      </c>
      <c r="O105" s="3">
        <v>23.9199273908126</v>
      </c>
      <c r="P105" s="3">
        <v>12.035590900254</v>
      </c>
      <c r="Q105" s="3">
        <v>11.8567747338143</v>
      </c>
      <c r="R105" s="3">
        <v>17.210296684879101</v>
      </c>
      <c r="S105" s="3">
        <v>4.5157728360228697</v>
      </c>
      <c r="T105" s="3">
        <v>12.027188095833001</v>
      </c>
      <c r="U105" s="3">
        <v>13.017863627499899</v>
      </c>
      <c r="V105" s="3">
        <v>16.010737331270501</v>
      </c>
    </row>
    <row r="106" spans="1:22" x14ac:dyDescent="0.35">
      <c r="A106" s="2">
        <v>45086</v>
      </c>
      <c r="B106" s="3">
        <v>13.9816966855731</v>
      </c>
      <c r="C106" s="3">
        <v>6.6853544864220797</v>
      </c>
      <c r="D106" s="3">
        <v>13.0208537260427</v>
      </c>
      <c r="E106" s="3">
        <v>12.2265243452701</v>
      </c>
      <c r="F106" s="3">
        <v>6.5045430641397903</v>
      </c>
      <c r="G106" s="3">
        <v>9.8814328217138208</v>
      </c>
      <c r="H106" s="3">
        <v>14.503468335979401</v>
      </c>
      <c r="I106" s="3">
        <v>14.590429671807801</v>
      </c>
      <c r="J106" s="3">
        <v>13.7838642002367</v>
      </c>
      <c r="K106" s="3">
        <v>12.6221958875096</v>
      </c>
      <c r="L106" s="3">
        <v>6.47298194567722</v>
      </c>
      <c r="M106" s="3">
        <v>10.1221680005208</v>
      </c>
      <c r="N106" s="3">
        <v>7.8075949760794199</v>
      </c>
      <c r="O106" s="3">
        <v>23.961311360073999</v>
      </c>
      <c r="P106" s="3">
        <v>11.9224145296853</v>
      </c>
      <c r="Q106" s="3">
        <v>11.7879987017826</v>
      </c>
      <c r="R106" s="3">
        <v>17.255250522963902</v>
      </c>
      <c r="S106" s="3">
        <v>4.9127405894059102</v>
      </c>
      <c r="T106" s="3">
        <v>11.7592854685267</v>
      </c>
      <c r="U106" s="3">
        <v>13.478457564377599</v>
      </c>
      <c r="V106" s="3">
        <v>16.514358339782401</v>
      </c>
    </row>
    <row r="107" spans="1:22" x14ac:dyDescent="0.35">
      <c r="A107" s="2">
        <v>45117</v>
      </c>
      <c r="B107" s="3">
        <v>13.834910874830999</v>
      </c>
      <c r="C107" s="3">
        <v>7.3463167176289801</v>
      </c>
      <c r="D107" s="3">
        <v>13.0266473918395</v>
      </c>
      <c r="E107" s="3">
        <v>11.8812785999895</v>
      </c>
      <c r="F107" s="3">
        <v>6.9646838431406302</v>
      </c>
      <c r="G107" s="3">
        <v>10.2273666785952</v>
      </c>
      <c r="H107" s="3">
        <v>14.441832291110201</v>
      </c>
      <c r="I107" s="3">
        <v>15.0485087262224</v>
      </c>
      <c r="J107" s="3">
        <v>13.4930765101671</v>
      </c>
      <c r="K107" s="3">
        <v>12.502945934798101</v>
      </c>
      <c r="L107" s="3">
        <v>6.8418968327411198</v>
      </c>
      <c r="M107" s="3">
        <v>10.217588285961099</v>
      </c>
      <c r="N107" s="3">
        <v>7.8840787236208403</v>
      </c>
      <c r="O107" s="3">
        <v>24.3233519433029</v>
      </c>
      <c r="P107" s="3">
        <v>11.715419990822401</v>
      </c>
      <c r="Q107" s="3">
        <v>11.7264271822221</v>
      </c>
      <c r="R107" s="3">
        <v>17.072899272600001</v>
      </c>
      <c r="S107" s="3">
        <v>5.2526588074607199</v>
      </c>
      <c r="T107" s="3">
        <v>11.729937853186</v>
      </c>
      <c r="U107" s="3">
        <v>13.5351301005627</v>
      </c>
      <c r="V107" s="3">
        <v>17.0569648756282</v>
      </c>
    </row>
    <row r="108" spans="1:22" x14ac:dyDescent="0.35">
      <c r="A108" s="2">
        <v>45148</v>
      </c>
      <c r="B108" s="3">
        <v>14.0146246071245</v>
      </c>
      <c r="C108" s="3">
        <v>7.9122295934587799</v>
      </c>
      <c r="D108" s="3">
        <v>13.466883559912199</v>
      </c>
      <c r="E108" s="3">
        <v>11.586740008032001</v>
      </c>
      <c r="F108" s="3">
        <v>6.8978809331241004</v>
      </c>
      <c r="G108" s="3">
        <v>11.0919899964106</v>
      </c>
      <c r="H108" s="3">
        <v>14.8054949609466</v>
      </c>
      <c r="I108" s="3">
        <v>15.9210732322724</v>
      </c>
      <c r="J108" s="3">
        <v>13.314344573497999</v>
      </c>
      <c r="K108" s="3">
        <v>13.0920828257866</v>
      </c>
      <c r="L108" s="3">
        <v>7.0846784883413001</v>
      </c>
      <c r="M108" s="3">
        <v>10.700581111797201</v>
      </c>
      <c r="N108" s="3">
        <v>7.8264386236463404</v>
      </c>
      <c r="O108" s="3">
        <v>23.776106588095001</v>
      </c>
      <c r="P108" s="3">
        <v>12.0303242574607</v>
      </c>
      <c r="Q108" s="3">
        <v>12.178171636458</v>
      </c>
      <c r="R108" s="3">
        <v>17.3583405216012</v>
      </c>
      <c r="S108" s="3">
        <v>5.9321529857140103</v>
      </c>
      <c r="T108" s="3">
        <v>11.710383767721099</v>
      </c>
      <c r="U108" s="3">
        <v>14.379789503207901</v>
      </c>
      <c r="V108" s="3">
        <v>17.540074790012401</v>
      </c>
    </row>
    <row r="109" spans="1:22" x14ac:dyDescent="0.35">
      <c r="A109" s="2">
        <v>45177</v>
      </c>
      <c r="B109" s="3">
        <v>13.849285283720899</v>
      </c>
      <c r="C109" s="3">
        <v>7.7252795348915004</v>
      </c>
      <c r="D109" s="3">
        <v>13.5286868671179</v>
      </c>
      <c r="E109" s="3">
        <v>11.289994651168399</v>
      </c>
      <c r="F109" s="3">
        <v>6.7964996826299702</v>
      </c>
      <c r="G109" s="3">
        <v>10.8054969192602</v>
      </c>
      <c r="H109" s="3">
        <v>14.939259032891</v>
      </c>
      <c r="I109" s="3">
        <v>16.055390281726801</v>
      </c>
      <c r="J109" s="3">
        <v>12.9759949012506</v>
      </c>
      <c r="K109" s="3">
        <v>13.455768858242701</v>
      </c>
      <c r="L109" s="3">
        <v>7.1014716087673104</v>
      </c>
      <c r="M109" s="3">
        <v>10.6369428884862</v>
      </c>
      <c r="N109" s="3">
        <v>7.2430646605447802</v>
      </c>
      <c r="O109" s="3">
        <v>23.756506588894499</v>
      </c>
      <c r="P109" s="3">
        <v>11.7870762952096</v>
      </c>
      <c r="Q109" s="3">
        <v>11.660474862807099</v>
      </c>
      <c r="R109" s="3">
        <v>17.558217708907701</v>
      </c>
      <c r="S109" s="3">
        <v>6.5182776843040902</v>
      </c>
      <c r="T109" s="3">
        <v>11.0839388614811</v>
      </c>
      <c r="U109" s="3">
        <v>15.5623218594442</v>
      </c>
      <c r="V109" s="3">
        <v>17.6044319920139</v>
      </c>
    </row>
    <row r="110" spans="1:22" x14ac:dyDescent="0.35">
      <c r="A110" s="2">
        <v>45209</v>
      </c>
      <c r="B110" s="3">
        <v>13.536512364838901</v>
      </c>
      <c r="C110" s="3">
        <v>7.9295806521282799</v>
      </c>
      <c r="D110" s="3">
        <v>13.3875692378341</v>
      </c>
      <c r="E110" s="3">
        <v>11.1850653244444</v>
      </c>
      <c r="F110" s="3">
        <v>7.0076616284975204</v>
      </c>
      <c r="G110" s="3">
        <v>10.6747511433234</v>
      </c>
      <c r="H110" s="3">
        <v>14.816472488542299</v>
      </c>
      <c r="I110" s="3">
        <v>16.542812944691502</v>
      </c>
      <c r="J110" s="3">
        <v>12.3865765267215</v>
      </c>
      <c r="K110" s="3">
        <v>13.3136893289899</v>
      </c>
      <c r="L110" s="3">
        <v>7.3556359536622402</v>
      </c>
      <c r="M110" s="3">
        <v>10.7086592905106</v>
      </c>
      <c r="N110" s="3">
        <v>6.6747604974714703</v>
      </c>
      <c r="O110" s="3">
        <v>23.550132669741899</v>
      </c>
      <c r="P110" s="3">
        <v>11.4379189932922</v>
      </c>
      <c r="Q110" s="3">
        <v>11.2552472935116</v>
      </c>
      <c r="R110" s="3">
        <v>16.673134721757201</v>
      </c>
      <c r="S110" s="3">
        <v>6.5751704358172596</v>
      </c>
      <c r="T110" s="3">
        <v>10.905076713663</v>
      </c>
      <c r="U110" s="3">
        <v>15.510618465673</v>
      </c>
      <c r="V110" s="3">
        <v>17.307180674998399</v>
      </c>
    </row>
    <row r="111" spans="1:22" x14ac:dyDescent="0.35">
      <c r="A111" s="2">
        <v>45240</v>
      </c>
      <c r="B111" s="3">
        <v>13.6582888419792</v>
      </c>
      <c r="C111" s="3">
        <v>7.8118804914588198</v>
      </c>
      <c r="D111" s="3">
        <v>13.1149431256698</v>
      </c>
      <c r="E111" s="3">
        <v>10.6653256100038</v>
      </c>
      <c r="F111" s="3">
        <v>7.4795061167006702</v>
      </c>
      <c r="G111" s="3">
        <v>11.187155232966701</v>
      </c>
      <c r="H111" s="3">
        <v>14.8692672472241</v>
      </c>
      <c r="I111" s="3">
        <v>16.935649595237201</v>
      </c>
      <c r="J111" s="3">
        <v>12.6742624217919</v>
      </c>
      <c r="K111" s="3">
        <v>13.7723486835624</v>
      </c>
      <c r="L111" s="3">
        <v>7.6801455235929499</v>
      </c>
      <c r="M111" s="3">
        <v>10.666601692136499</v>
      </c>
      <c r="N111" s="3">
        <v>6.5848144281944601</v>
      </c>
      <c r="O111" s="3">
        <v>23.169058528830199</v>
      </c>
      <c r="P111" s="3">
        <v>11.2269299313469</v>
      </c>
      <c r="Q111" s="3">
        <v>11.506025715450599</v>
      </c>
      <c r="R111" s="3">
        <v>16.148522682906599</v>
      </c>
      <c r="S111" s="3">
        <v>5.6732697319275198</v>
      </c>
      <c r="T111" s="3">
        <v>10.427661868311199</v>
      </c>
      <c r="U111" s="3">
        <v>15.5336369277563</v>
      </c>
      <c r="V111" s="3">
        <v>18.0023531568932</v>
      </c>
    </row>
    <row r="112" spans="1:22" x14ac:dyDescent="0.35">
      <c r="A112" s="2">
        <v>45268</v>
      </c>
      <c r="B112" s="3">
        <v>13.282099711327801</v>
      </c>
      <c r="C112" s="3">
        <v>8.9020593208705296</v>
      </c>
      <c r="D112" s="3">
        <v>13.441841779473499</v>
      </c>
      <c r="E112" s="3">
        <v>9.7983817000065905</v>
      </c>
      <c r="F112" s="3">
        <v>8.7946134289769606</v>
      </c>
      <c r="G112" s="3">
        <v>12.7495644975063</v>
      </c>
      <c r="H112" s="3">
        <v>14.985996574308</v>
      </c>
      <c r="I112" s="3">
        <v>17.874082071881599</v>
      </c>
      <c r="J112" s="3">
        <v>13.401910477954001</v>
      </c>
      <c r="K112" s="3">
        <v>14.527582471124299</v>
      </c>
      <c r="L112" s="3">
        <v>8.16918177656847</v>
      </c>
      <c r="M112" s="3">
        <v>11.022857771219901</v>
      </c>
      <c r="N112" s="3">
        <v>6.3448382650612896</v>
      </c>
      <c r="O112" s="3">
        <v>24.8160058915335</v>
      </c>
      <c r="P112" s="3">
        <v>10.5945691228642</v>
      </c>
      <c r="Q112" s="3">
        <v>11.2664559365661</v>
      </c>
      <c r="R112" s="3">
        <v>15.9964549038325</v>
      </c>
      <c r="S112" s="3">
        <v>5.6691727761776702</v>
      </c>
      <c r="T112" s="3">
        <v>9.9389146166771098</v>
      </c>
      <c r="U112" s="3">
        <v>16.429699342366</v>
      </c>
      <c r="V112" s="3">
        <v>19.1361580348484</v>
      </c>
    </row>
    <row r="113" spans="1:37" x14ac:dyDescent="0.35">
      <c r="A113" s="2">
        <v>45301</v>
      </c>
      <c r="B113" s="3">
        <v>12.7041851772585</v>
      </c>
      <c r="C113" s="3">
        <v>9.5509909360508605</v>
      </c>
      <c r="D113" s="3">
        <v>14.006627101815001</v>
      </c>
      <c r="E113" s="3">
        <v>10.025377245408301</v>
      </c>
      <c r="F113" s="3">
        <v>8.6896038815181402</v>
      </c>
      <c r="G113" s="3">
        <v>14.952277507150001</v>
      </c>
      <c r="H113" s="3">
        <v>15.3143335079907</v>
      </c>
      <c r="I113" s="3">
        <v>18.571095963055701</v>
      </c>
      <c r="J113" s="3">
        <v>13.530656372851499</v>
      </c>
      <c r="K113" s="3">
        <v>14.8733840197145</v>
      </c>
      <c r="L113" s="3">
        <v>8.46160811096785</v>
      </c>
      <c r="M113" s="3">
        <v>11.029594135729299</v>
      </c>
      <c r="N113" s="3">
        <v>6.4203637758651597</v>
      </c>
      <c r="O113" s="3">
        <v>25.698354430969101</v>
      </c>
      <c r="P113" s="3">
        <v>10.350647518542401</v>
      </c>
      <c r="Q113" s="3">
        <v>11.776246086289399</v>
      </c>
      <c r="R113" s="3">
        <v>15.8836518737006</v>
      </c>
      <c r="S113" s="3">
        <v>5.6688075184355498</v>
      </c>
      <c r="T113" s="3">
        <v>10.3532806304557</v>
      </c>
      <c r="U113" s="3">
        <v>16.869876326809699</v>
      </c>
      <c r="V113" s="3">
        <v>21.378631293301801</v>
      </c>
    </row>
    <row r="114" spans="1:37" x14ac:dyDescent="0.35">
      <c r="A114" s="2">
        <v>45331</v>
      </c>
      <c r="B114" s="3">
        <v>13.011349130205501</v>
      </c>
      <c r="C114" s="3">
        <v>9.9551639772446894</v>
      </c>
      <c r="D114" s="3">
        <v>14.164162588503499</v>
      </c>
      <c r="E114" s="3">
        <v>10.4383703348932</v>
      </c>
      <c r="F114" s="3">
        <v>8.6075556873279897</v>
      </c>
      <c r="G114" s="3">
        <v>14.612395557405501</v>
      </c>
      <c r="H114" s="3">
        <v>15.3218468721011</v>
      </c>
      <c r="I114" s="3">
        <v>19.112639183127101</v>
      </c>
      <c r="J114" s="3">
        <v>14.7195278722462</v>
      </c>
      <c r="K114" s="3">
        <v>16.403517038835901</v>
      </c>
      <c r="L114" s="3">
        <v>8.2662418647556493</v>
      </c>
      <c r="M114" s="3">
        <v>10.9208791567936</v>
      </c>
      <c r="N114" s="3">
        <v>6.76279885194106</v>
      </c>
      <c r="O114" s="3">
        <v>26.166756855437399</v>
      </c>
      <c r="P114" s="3">
        <v>10.0610373482894</v>
      </c>
      <c r="Q114" s="3">
        <v>11.0566656332319</v>
      </c>
      <c r="R114" s="3">
        <v>16.219027083432699</v>
      </c>
      <c r="S114" s="3">
        <v>6.3319797568164802</v>
      </c>
      <c r="T114" s="3">
        <v>9.3238312898987292</v>
      </c>
      <c r="U114" s="3">
        <v>16.840923663470399</v>
      </c>
      <c r="V114" s="3">
        <v>21.378778980551001</v>
      </c>
    </row>
    <row r="115" spans="1:37" x14ac:dyDescent="0.35">
      <c r="A115" s="2">
        <v>45359</v>
      </c>
      <c r="B115" s="3">
        <v>13.5770451803504</v>
      </c>
      <c r="C115" s="3">
        <v>10.945286279844099</v>
      </c>
      <c r="D115" s="3">
        <v>14.2329781326074</v>
      </c>
      <c r="E115" s="3">
        <v>10.649290227674999</v>
      </c>
      <c r="F115" s="3">
        <v>8.9217086118276399</v>
      </c>
      <c r="G115" s="3">
        <v>15.2102033296628</v>
      </c>
      <c r="H115" s="3">
        <v>15.804057274575699</v>
      </c>
      <c r="I115" s="3">
        <v>19.901062771361801</v>
      </c>
      <c r="J115" s="3">
        <v>15.7826274240484</v>
      </c>
      <c r="K115" s="3">
        <v>16.213009645275001</v>
      </c>
      <c r="L115" s="3">
        <v>8.4306041901140407</v>
      </c>
      <c r="M115" s="3">
        <v>10.712480953177399</v>
      </c>
      <c r="N115" s="3">
        <v>6.7937806472684201</v>
      </c>
      <c r="O115" s="3">
        <v>26.164556469980699</v>
      </c>
      <c r="P115" s="3">
        <v>10.432331601309</v>
      </c>
      <c r="Q115" s="3">
        <v>11.4812753579244</v>
      </c>
      <c r="R115" s="3">
        <v>16.662470392306801</v>
      </c>
      <c r="S115" s="3">
        <v>6.5951600026689698</v>
      </c>
      <c r="T115" s="3">
        <v>9.4121207384224803</v>
      </c>
      <c r="U115" s="3">
        <v>18.7610295958569</v>
      </c>
      <c r="V115" s="3">
        <v>21.738623445611399</v>
      </c>
    </row>
    <row r="116" spans="1:37" x14ac:dyDescent="0.35">
      <c r="A116" s="2">
        <v>45392</v>
      </c>
      <c r="B116" s="3">
        <v>13.553253653160001</v>
      </c>
      <c r="C116" s="3">
        <v>10.906045678222</v>
      </c>
      <c r="D116" s="3">
        <v>14.0013159325514</v>
      </c>
      <c r="E116" s="3">
        <v>10.4474030491396</v>
      </c>
      <c r="F116" s="3">
        <v>8.8189876032324594</v>
      </c>
      <c r="G116" s="3">
        <v>15.2057836769748</v>
      </c>
      <c r="H116" s="3">
        <v>15.662556268918101</v>
      </c>
      <c r="I116" s="3">
        <v>19.855018927068901</v>
      </c>
      <c r="J116" s="3">
        <v>15.5427691940932</v>
      </c>
      <c r="K116" s="3">
        <v>15.632668367885</v>
      </c>
      <c r="L116" s="3">
        <v>8.3519449815235394</v>
      </c>
      <c r="M116" s="3">
        <v>10.672363839867399</v>
      </c>
      <c r="N116" s="3">
        <v>6.7730821495985802</v>
      </c>
      <c r="O116" s="3">
        <v>25.9683313359088</v>
      </c>
      <c r="P116" s="3">
        <v>10.470688643777001</v>
      </c>
      <c r="Q116" s="3">
        <v>11.292453451731401</v>
      </c>
      <c r="R116" s="3">
        <v>16.537126032450399</v>
      </c>
      <c r="S116" s="3">
        <v>6.6239030518981297</v>
      </c>
      <c r="T116" s="3">
        <v>9.4018367541803904</v>
      </c>
      <c r="U116" s="3">
        <v>18.447121137184901</v>
      </c>
      <c r="V116" s="3">
        <v>21.488866606717501</v>
      </c>
    </row>
    <row r="117" spans="1:37" x14ac:dyDescent="0.35">
      <c r="A117" s="2">
        <v>45422</v>
      </c>
      <c r="B117" s="3">
        <v>13.819754052648699</v>
      </c>
      <c r="C117" s="3">
        <v>10.947307716770499</v>
      </c>
      <c r="D117" s="3">
        <v>13.583308014442901</v>
      </c>
      <c r="E117" s="3">
        <v>10.270378724754</v>
      </c>
      <c r="F117" s="3">
        <v>8.9769022457770795</v>
      </c>
      <c r="G117" s="3">
        <v>15.3608639169538</v>
      </c>
      <c r="H117" s="3">
        <v>15.664570164879301</v>
      </c>
      <c r="I117" s="3">
        <v>19.7185724795239</v>
      </c>
      <c r="J117" s="3">
        <v>15.3299388128508</v>
      </c>
      <c r="K117" s="3">
        <v>14.981720054841301</v>
      </c>
      <c r="L117" s="3">
        <v>8.25694006109814</v>
      </c>
      <c r="M117" s="3">
        <v>10.712661256899599</v>
      </c>
      <c r="N117" s="3">
        <v>6.8578297727273601</v>
      </c>
      <c r="O117" s="3">
        <v>25.522545168794199</v>
      </c>
      <c r="P117" s="3">
        <v>10.794446508254801</v>
      </c>
      <c r="Q117" s="3">
        <v>11.0914711266583</v>
      </c>
      <c r="R117" s="3">
        <v>16.276132867502</v>
      </c>
      <c r="S117" s="3">
        <v>6.6394042588017896</v>
      </c>
      <c r="T117" s="3">
        <v>9.2423155398178594</v>
      </c>
      <c r="U117" s="3">
        <v>18.085251189219001</v>
      </c>
      <c r="V117" s="3">
        <v>20.895617527547699</v>
      </c>
    </row>
    <row r="118" spans="1:37" x14ac:dyDescent="0.35">
      <c r="A118" s="2">
        <v>45453</v>
      </c>
      <c r="B118" s="3">
        <v>13.6168899718968</v>
      </c>
      <c r="C118" s="3">
        <v>10.894578498377401</v>
      </c>
      <c r="D118" s="3">
        <v>13.5974325576444</v>
      </c>
      <c r="E118" s="3">
        <v>10.0701730135454</v>
      </c>
      <c r="F118" s="3">
        <v>8.9283727408475393</v>
      </c>
      <c r="G118" s="3">
        <v>14.421510510893199</v>
      </c>
      <c r="H118" s="3">
        <v>15.5031907516804</v>
      </c>
      <c r="I118" s="3">
        <v>19.625220127679299</v>
      </c>
      <c r="J118" s="3">
        <v>14.558004585620701</v>
      </c>
      <c r="K118" s="3">
        <v>14.343457686926801</v>
      </c>
      <c r="L118" s="3">
        <v>7.9675057313448701</v>
      </c>
      <c r="M118" s="3">
        <v>10.440614194498201</v>
      </c>
      <c r="N118" s="3">
        <v>6.8811464075567503</v>
      </c>
      <c r="O118" s="3">
        <v>25.8229396463786</v>
      </c>
      <c r="P118" s="3">
        <v>10.6120633139574</v>
      </c>
      <c r="Q118" s="3">
        <v>10.891894767141499</v>
      </c>
      <c r="R118" s="3">
        <v>15.849761034828299</v>
      </c>
      <c r="S118" s="3">
        <v>6.6185329621399704</v>
      </c>
      <c r="T118" s="3">
        <v>8.9863113531717502</v>
      </c>
      <c r="U118" s="3">
        <v>18.024401513456901</v>
      </c>
      <c r="V118" s="3">
        <v>20.492377903043899</v>
      </c>
    </row>
    <row r="119" spans="1:37" x14ac:dyDescent="0.35">
      <c r="A119" s="2">
        <v>45483</v>
      </c>
      <c r="B119" s="3">
        <v>13.280881293611101</v>
      </c>
      <c r="C119" s="3">
        <v>11.026183497650401</v>
      </c>
      <c r="D119" s="3">
        <v>13.5994778201039</v>
      </c>
      <c r="E119" s="3">
        <v>10.123698024627201</v>
      </c>
      <c r="F119" s="3">
        <v>9.1819707425165191</v>
      </c>
      <c r="G119" s="3">
        <v>14.297757278498</v>
      </c>
      <c r="H119" s="3">
        <v>15.460953777426401</v>
      </c>
      <c r="I119" s="3">
        <v>20.374938662734699</v>
      </c>
      <c r="J119" s="3">
        <v>14.370863163448799</v>
      </c>
      <c r="K119" s="3">
        <v>14.0051901103428</v>
      </c>
      <c r="L119" s="3">
        <v>8.0258713775760597</v>
      </c>
      <c r="M119" s="3">
        <v>10.8272159335114</v>
      </c>
      <c r="N119" s="3">
        <v>6.7306294265001103</v>
      </c>
      <c r="O119" s="3">
        <v>26.2944292332209</v>
      </c>
      <c r="P119" s="3">
        <v>10.3643068159246</v>
      </c>
      <c r="Q119" s="3">
        <v>11.079758487318299</v>
      </c>
      <c r="R119" s="3">
        <v>15.693931519135001</v>
      </c>
      <c r="S119" s="3">
        <v>6.98170026366315</v>
      </c>
      <c r="T119" s="3">
        <v>9.0785486781854292</v>
      </c>
      <c r="U119" s="3">
        <v>17.220643545080002</v>
      </c>
      <c r="V119" s="3">
        <v>20.1151829824183</v>
      </c>
    </row>
    <row r="120" spans="1:37" x14ac:dyDescent="0.35">
      <c r="A120" s="2">
        <v>45513</v>
      </c>
      <c r="B120" s="3">
        <v>12.919640053677</v>
      </c>
      <c r="C120" s="3">
        <v>10.7899194751863</v>
      </c>
      <c r="D120" s="3">
        <v>13.591540968885299</v>
      </c>
      <c r="E120" s="3">
        <v>10.154119674459301</v>
      </c>
      <c r="F120" s="3">
        <v>8.6748583890520408</v>
      </c>
      <c r="G120" s="3">
        <v>13.225321385108</v>
      </c>
      <c r="H120" s="3">
        <v>15.217124508935299</v>
      </c>
      <c r="I120" s="3">
        <v>18.584855163734101</v>
      </c>
      <c r="J120" s="3">
        <v>13.7174546249336</v>
      </c>
      <c r="K120" s="3">
        <v>12.719475043111</v>
      </c>
      <c r="L120" s="3">
        <v>8.0667929993700405</v>
      </c>
      <c r="M120" s="3">
        <v>10.949828290521801</v>
      </c>
      <c r="N120" s="3">
        <v>6.5204745548969303</v>
      </c>
      <c r="O120" s="3">
        <v>26.225921610645798</v>
      </c>
      <c r="P120" s="3">
        <v>10.087627756195101</v>
      </c>
      <c r="Q120" s="3">
        <v>11.020118424027499</v>
      </c>
      <c r="R120" s="3">
        <v>15.545598887022001</v>
      </c>
      <c r="S120" s="3">
        <v>6.7668615385756503</v>
      </c>
      <c r="T120" s="3">
        <v>9.1471224083313203</v>
      </c>
      <c r="U120" s="3">
        <v>16.409567658765098</v>
      </c>
      <c r="V120" s="3">
        <v>19.6424880726818</v>
      </c>
    </row>
    <row r="121" spans="1:37" x14ac:dyDescent="0.35">
      <c r="A121" s="2">
        <v>45545</v>
      </c>
      <c r="B121" s="3">
        <v>12.7262962154911</v>
      </c>
      <c r="C121" s="3">
        <v>11.019491820373799</v>
      </c>
      <c r="D121" s="3">
        <v>14.3447086990268</v>
      </c>
      <c r="E121" s="3">
        <v>10.557974790015001</v>
      </c>
      <c r="F121" s="3">
        <v>8.7894139878502102</v>
      </c>
      <c r="G121" s="3">
        <v>12.911046321808501</v>
      </c>
      <c r="H121" s="3">
        <v>15.663313426527401</v>
      </c>
      <c r="I121" s="3">
        <v>17.515198476368401</v>
      </c>
      <c r="J121" s="3">
        <v>13.052402629835701</v>
      </c>
      <c r="K121" s="3">
        <v>11.7907145703045</v>
      </c>
      <c r="L121" s="3">
        <v>9.0827620569130492</v>
      </c>
      <c r="M121" s="3">
        <v>11.3600953283912</v>
      </c>
      <c r="N121" s="3">
        <v>6.5830774962756697</v>
      </c>
      <c r="O121" s="3">
        <v>27.165165852919301</v>
      </c>
      <c r="P121" s="3">
        <v>9.7373775053567808</v>
      </c>
      <c r="Q121" s="3">
        <v>11.235410773096399</v>
      </c>
      <c r="R121" s="3">
        <v>16.401412839753998</v>
      </c>
      <c r="S121" s="3">
        <v>7.0101334984181198</v>
      </c>
      <c r="T121" s="3">
        <v>9.6543406439966493</v>
      </c>
      <c r="U121" s="3">
        <v>15.9171565300525</v>
      </c>
      <c r="V121" s="3">
        <v>19.805261304352801</v>
      </c>
    </row>
    <row r="122" spans="1:37" x14ac:dyDescent="0.35">
      <c r="A122" s="2">
        <v>45573</v>
      </c>
      <c r="B122" s="3">
        <v>15.0619555551486</v>
      </c>
      <c r="C122" s="3">
        <v>11.3011781846951</v>
      </c>
      <c r="D122" s="3">
        <v>14.221659397965499</v>
      </c>
      <c r="E122" s="3">
        <v>10.9966490549411</v>
      </c>
      <c r="F122" s="3">
        <v>8.9176838817189594</v>
      </c>
      <c r="G122" s="3">
        <v>13.5074482002727</v>
      </c>
      <c r="H122" s="3">
        <v>15.488954361760999</v>
      </c>
      <c r="I122" s="3">
        <v>17.950187639632102</v>
      </c>
      <c r="J122" s="3">
        <v>13.023830585784999</v>
      </c>
      <c r="K122" s="3">
        <v>11.4760559414723</v>
      </c>
      <c r="L122" s="3">
        <v>9.0631159816896307</v>
      </c>
      <c r="M122" s="3">
        <v>12.040026778390301</v>
      </c>
      <c r="N122" s="3">
        <v>6.4752091454442899</v>
      </c>
      <c r="O122" s="3">
        <v>26.8514475229745</v>
      </c>
      <c r="P122" s="3">
        <v>11.6085732924432</v>
      </c>
      <c r="Q122" s="3">
        <v>11.5193640035373</v>
      </c>
      <c r="R122" s="3">
        <v>16.803031535988399</v>
      </c>
      <c r="S122" s="3">
        <v>7.3841276239626197</v>
      </c>
      <c r="T122" s="3">
        <v>9.6289991268041</v>
      </c>
      <c r="U122" s="3">
        <v>15.781261970792</v>
      </c>
      <c r="V122" s="3">
        <v>19.516567904358499</v>
      </c>
    </row>
    <row r="124" spans="1:37" x14ac:dyDescent="0.35">
      <c r="A124" s="2" t="s">
        <v>91</v>
      </c>
      <c r="B124" s="3" cm="1">
        <f t="array" ref="B124">MIN(_xlfn._xlws.FILTER(B1:B122, ISNUMBER(B1:B122)))</f>
        <v>10.8103426465716</v>
      </c>
      <c r="C124" s="3" cm="1">
        <f t="array" ref="C124">MIN(_xlfn._xlws.FILTER(C1:C122, ISNUMBER(C1:C122)))</f>
        <v>5.45069675280702</v>
      </c>
      <c r="D124" s="3" cm="1">
        <f t="array" ref="D124">MIN(_xlfn._xlws.FILTER(D1:D122, ISNUMBER(D1:D122)))</f>
        <v>11.867743064395199</v>
      </c>
      <c r="E124" s="3" cm="1">
        <f t="array" ref="E124">MIN(_xlfn._xlws.FILTER(E1:E122, ISNUMBER(E1:E122)))</f>
        <v>9.7983817000065905</v>
      </c>
      <c r="F124" s="3" cm="1">
        <f t="array" ref="F124">MIN(_xlfn._xlws.FILTER(F1:F122, ISNUMBER(F1:F122)))</f>
        <v>5.4008879884288303</v>
      </c>
      <c r="G124" s="3" cm="1">
        <f t="array" ref="G124">MIN(_xlfn._xlws.FILTER(G1:G122, ISNUMBER(G1:G122)))</f>
        <v>9.266404345522</v>
      </c>
      <c r="H124" s="3" cm="1">
        <f t="array" ref="H124">MIN(_xlfn._xlws.FILTER(H1:H122, ISNUMBER(H1:H122)))</f>
        <v>14.441832291110201</v>
      </c>
      <c r="I124" s="3" cm="1">
        <f t="array" ref="I124">MIN(_xlfn._xlws.FILTER(I1:I122, ISNUMBER(I1:I122)))</f>
        <v>10.2188388678858</v>
      </c>
      <c r="J124" s="3" cm="1">
        <f t="array" ref="J124">MIN(_xlfn._xlws.FILTER(J1:J122, ISNUMBER(J1:J122)))</f>
        <v>12.3865765267215</v>
      </c>
      <c r="K124" s="3" cm="1">
        <f t="array" ref="K124">MIN(_xlfn._xlws.FILTER(K1:K122, ISNUMBER(K1:K122)))</f>
        <v>8.26440875991584</v>
      </c>
      <c r="L124" s="3" cm="1">
        <f t="array" ref="L124">MIN(_xlfn._xlws.FILTER(L1:L122, ISNUMBER(L1:L122)))</f>
        <v>5.5520878022506901</v>
      </c>
      <c r="M124" s="3" cm="1">
        <f t="array" ref="M124">MIN(_xlfn._xlws.FILTER(M1:M122, ISNUMBER(M1:M122)))</f>
        <v>9.5207355399204303</v>
      </c>
      <c r="N124" s="3" cm="1">
        <f t="array" ref="N124">MIN(_xlfn._xlws.FILTER(N1:N122, ISNUMBER(N1:N122)))</f>
        <v>-145.267550162616</v>
      </c>
      <c r="O124" s="3" cm="1">
        <f t="array" ref="O124">MIN(_xlfn._xlws.FILTER(O1:O122, ISNUMBER(O1:O122)))</f>
        <v>17.8707559475633</v>
      </c>
      <c r="P124" s="3" cm="1">
        <f t="array" ref="P124">MIN(_xlfn._xlws.FILTER(P1:P122, ISNUMBER(P1:P122)))</f>
        <v>9.2625784646873406</v>
      </c>
      <c r="Q124" s="3" cm="1">
        <f t="array" ref="Q124">MIN(_xlfn._xlws.FILTER(Q1:Q122, ISNUMBER(Q1:Q122)))</f>
        <v>10.891894767141499</v>
      </c>
      <c r="R124" s="3" cm="1">
        <f t="array" ref="R124">MIN(_xlfn._xlws.FILTER(R1:R122, ISNUMBER(R1:R122)))</f>
        <v>12.774753619349299</v>
      </c>
      <c r="S124" s="3" cm="1">
        <f t="array" ref="S124">MIN(_xlfn._xlws.FILTER(S1:S122, ISNUMBER(S1:S122)))</f>
        <v>4.1861249377872101</v>
      </c>
      <c r="T124" s="3" cm="1">
        <f t="array" ref="T124">MIN(_xlfn._xlws.FILTER(T1:T122, ISNUMBER(T1:T122)))</f>
        <v>8.9863113531717502</v>
      </c>
      <c r="U124" s="3" cm="1">
        <f t="array" ref="U124">MIN(_xlfn._xlws.FILTER(U1:U122, ISNUMBER(U1:U122)))</f>
        <v>-5.08009518695797</v>
      </c>
      <c r="V124" s="3" cm="1">
        <f t="array" ref="V124">MIN(_xlfn._xlws.FILTER(V1:V122, ISNUMBER(V1:V122)))</f>
        <v>10.9029653360132</v>
      </c>
    </row>
    <row r="125" spans="1:37" x14ac:dyDescent="0.35">
      <c r="A125" s="2" t="s">
        <v>92</v>
      </c>
      <c r="B125" s="3" cm="1">
        <f t="array" ref="B125">MAX(_xlfn._xlws.FILTER(B1:B122, ISNUMBER(B1:B122)))</f>
        <v>22.2930265944517</v>
      </c>
      <c r="C125" s="3" cm="1">
        <f t="array" ref="C125">MAX(_xlfn._xlws.FILTER(C1:C122, ISNUMBER(C1:C122)))</f>
        <v>72.884602120729994</v>
      </c>
      <c r="D125" s="3" cm="1">
        <f t="array" ref="D125">MAX(_xlfn._xlws.FILTER(D1:D122, ISNUMBER(D1:D122)))</f>
        <v>25.642076569053799</v>
      </c>
      <c r="E125" s="3" cm="1">
        <f t="array" ref="E125">MAX(_xlfn._xlws.FILTER(E1:E122, ISNUMBER(E1:E122)))</f>
        <v>25.859824313679901</v>
      </c>
      <c r="F125" s="3" cm="1">
        <f t="array" ref="F125">MAX(_xlfn._xlws.FILTER(F1:F122, ISNUMBER(F1:F122)))</f>
        <v>23.795209131620101</v>
      </c>
      <c r="G125" s="3" cm="1">
        <f t="array" ref="G125">MAX(_xlfn._xlws.FILTER(G1:G122, ISNUMBER(G1:G122)))</f>
        <v>66.118363655806803</v>
      </c>
      <c r="H125" s="3" cm="1">
        <f t="array" ref="H125">MAX(_xlfn._xlws.FILTER(H1:H122, ISNUMBER(H1:H122)))</f>
        <v>21.535183913313499</v>
      </c>
      <c r="I125" s="3" cm="1">
        <f t="array" ref="I125">MAX(_xlfn._xlws.FILTER(I1:I122, ISNUMBER(I1:I122)))</f>
        <v>20.374938662734699</v>
      </c>
      <c r="J125" s="3" cm="1">
        <f t="array" ref="J125">MAX(_xlfn._xlws.FILTER(J1:J122, ISNUMBER(J1:J122)))</f>
        <v>33.234126280402599</v>
      </c>
      <c r="K125" s="3" cm="1">
        <f t="array" ref="K125">MAX(_xlfn._xlws.FILTER(K1:K122, ISNUMBER(K1:K122)))</f>
        <v>21.9326265883258</v>
      </c>
      <c r="L125" s="3" cm="1">
        <f t="array" ref="L125">MAX(_xlfn._xlws.FILTER(L1:L122, ISNUMBER(L1:L122)))</f>
        <v>36.9153271012012</v>
      </c>
      <c r="M125" s="3" cm="1">
        <f t="array" ref="M125">MAX(_xlfn._xlws.FILTER(M1:M122, ISNUMBER(M1:M122)))</f>
        <v>18.585928897325999</v>
      </c>
      <c r="N125" s="3" cm="1">
        <f t="array" ref="N125">MAX(_xlfn._xlws.FILTER(N1:N122, ISNUMBER(N1:N122)))</f>
        <v>23.640870468103302</v>
      </c>
      <c r="O125" s="3" cm="1">
        <f t="array" ref="O125">MAX(_xlfn._xlws.FILTER(O1:O122, ISNUMBER(O1:O122)))</f>
        <v>34.519210554572801</v>
      </c>
      <c r="P125" s="3" cm="1">
        <f t="array" ref="P125">MAX(_xlfn._xlws.FILTER(P1:P122, ISNUMBER(P1:P122)))</f>
        <v>21.866126223512801</v>
      </c>
      <c r="Q125" s="3" cm="1">
        <f t="array" ref="Q125">MAX(_xlfn._xlws.FILTER(Q1:Q122, ISNUMBER(Q1:Q122)))</f>
        <v>17.7188531278398</v>
      </c>
      <c r="R125" s="3" cm="1">
        <f t="array" ref="R125">MAX(_xlfn._xlws.FILTER(R1:R122, ISNUMBER(R1:R122)))</f>
        <v>28.963788003904799</v>
      </c>
      <c r="S125" s="3" cm="1">
        <f t="array" ref="S125">MAX(_xlfn._xlws.FILTER(S1:S122, ISNUMBER(S1:S122)))</f>
        <v>13.947031138541099</v>
      </c>
      <c r="T125" s="3" cm="1">
        <f t="array" ref="T125">MAX(_xlfn._xlws.FILTER(T1:T122, ISNUMBER(T1:T122)))</f>
        <v>27.073633925357601</v>
      </c>
      <c r="U125" s="3" cm="1">
        <f t="array" ref="U125">MAX(_xlfn._xlws.FILTER(U1:U122, ISNUMBER(U1:U122)))</f>
        <v>33.155498142528003</v>
      </c>
      <c r="V125" s="3" cm="1">
        <f t="array" ref="V125">MAX(_xlfn._xlws.FILTER(V1:V122, ISNUMBER(V1:V122)))</f>
        <v>28.935785539509698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0.13600000000000001</v>
      </c>
      <c r="C127" s="9" cm="1">
        <f t="array" ref="C127">_xlfn.PERCENTRANK.EXC(_xlfn._xlws.FILTER(C1:C122, ISNUMBER(C1:C122)),C121)</f>
        <v>0.28599999999999998</v>
      </c>
      <c r="D127" s="9" cm="1">
        <f t="array" ref="D127">_xlfn.PERCENTRANK.EXC(_xlfn._xlws.FILTER(D1:D122, ISNUMBER(D1:D122)),D121)</f>
        <v>0.21299999999999999</v>
      </c>
      <c r="E127" s="9" cm="1">
        <f t="array" ref="E127">_xlfn.PERCENTRANK.EXC(_xlfn._xlws.FILTER(E1:E122, ISNUMBER(E1:E122)),E121)</f>
        <v>7.2999999999999995E-2</v>
      </c>
      <c r="F127" s="9" cm="1">
        <f t="array" ref="F127">_xlfn.PERCENTRANK.EXC(_xlfn._xlws.FILTER(F1:F122, ISNUMBER(F1:F122)),F121)</f>
        <v>0.188</v>
      </c>
      <c r="G127" s="9" cm="1">
        <f t="array" ref="G127">_xlfn.PERCENTRANK.EXC(_xlfn._xlws.FILTER(G1:G122, ISNUMBER(G1:G122)),G121)</f>
        <v>0.20399999999999999</v>
      </c>
      <c r="H127" s="9" cm="1">
        <f t="array" ref="H127">_xlfn.PERCENTRANK.EXC(_xlfn._xlws.FILTER(H1:H122, ISNUMBER(H1:H122)),H121)</f>
        <v>0.26200000000000001</v>
      </c>
      <c r="I127" s="9" cm="1">
        <f t="array" ref="I127">_xlfn.PERCENTRANK.EXC(_xlfn._xlws.FILTER(I1:I122, ISNUMBER(I1:I122)),I121)</f>
        <v>0.83599999999999997</v>
      </c>
      <c r="J127" s="9" cm="1">
        <f t="array" ref="J127">_xlfn.PERCENTRANK.EXC(_xlfn._xlws.FILTER(J1:J122, ISNUMBER(J1:J122)),J121)</f>
        <v>6.5000000000000002E-2</v>
      </c>
      <c r="K127" s="9" cm="1">
        <f t="array" ref="K127">_xlfn.PERCENTRANK.EXC(_xlfn._xlws.FILTER(K1:K122, ISNUMBER(K1:K122)),K121)</f>
        <v>0.61399999999999999</v>
      </c>
      <c r="L127" s="9" cm="1">
        <f t="array" ref="L127">_xlfn.PERCENTRANK.EXC(_xlfn._xlws.FILTER(L1:L122, ISNUMBER(L1:L122)),L121)</f>
        <v>0.29499999999999998</v>
      </c>
      <c r="M127" s="9" cm="1">
        <f t="array" ref="M127">_xlfn.PERCENTRANK.EXC(_xlfn._xlws.FILTER(M1:M122, ISNUMBER(M1:M122)),M121)</f>
        <v>0.30299999999999999</v>
      </c>
      <c r="N127" s="9" cm="1">
        <f t="array" ref="N127">_xlfn.PERCENTRANK.EXC(_xlfn._xlws.FILTER(N1:N122, ISNUMBER(N1:N122)),N121)</f>
        <v>0.21299999999999999</v>
      </c>
      <c r="O127" s="9" cm="1">
        <f t="array" ref="O127">_xlfn.PERCENTRANK.EXC(_xlfn._xlws.FILTER(O1:O122, ISNUMBER(O1:O122)),O121)</f>
        <v>0.86799999999999999</v>
      </c>
      <c r="P127" s="9" cm="1">
        <f t="array" ref="P127">_xlfn.PERCENTRANK.EXC(_xlfn._xlws.FILTER(P1:P122, ISNUMBER(P1:P122)),P121)</f>
        <v>6.5000000000000002E-2</v>
      </c>
      <c r="Q127" s="9" cm="1">
        <f t="array" ref="Q127">_xlfn.PERCENTRANK.EXC(_xlfn._xlws.FILTER(Q1:Q122, ISNUMBER(Q1:Q122)),Q121)</f>
        <v>0.05</v>
      </c>
      <c r="R127" s="9" cm="1">
        <f t="array" ref="R127">_xlfn.PERCENTRANK.EXC(_xlfn._xlws.FILTER(R1:R122, ISNUMBER(R1:R122)),R121)</f>
        <v>0.32700000000000001</v>
      </c>
      <c r="S127" s="9" cm="1">
        <f t="array" ref="S127">_xlfn.PERCENTRANK.EXC(_xlfn._xlws.FILTER(S1:S122, ISNUMBER(S1:S122)),S121)</f>
        <v>0.28599999999999998</v>
      </c>
      <c r="T127" s="9" cm="1">
        <f t="array" ref="T127">_xlfn.PERCENTRANK.EXC(_xlfn._xlws.FILTER(T1:T122, ISNUMBER(T1:T122)),T121)</f>
        <v>7.4999999999999997E-2</v>
      </c>
      <c r="U127" s="9" cm="1">
        <f t="array" ref="U127">_xlfn.PERCENTRANK.EXC(_xlfn._xlws.FILTER(U1:U122, ISNUMBER(U1:U122)),U121)</f>
        <v>0.36799999999999999</v>
      </c>
      <c r="V127" s="9" cm="1">
        <f t="array" ref="V127">_xlfn.PERCENTRANK.EXC(_xlfn._xlws.FILTER(V1:V122, ISNUMBER(V1:V122)),V121)</f>
        <v>0.71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41922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13.695403164939201</v>
      </c>
      <c r="D2" s="3" cm="1">
        <f t="array" ref="D2:D122">_xll.FDS(D1,"FMA_PE(NTMA,-10AY,0,AM,""PORTAGG"",""MEANR"")")</f>
        <v>13.997687183308599</v>
      </c>
      <c r="E2" s="3" cm="1">
        <f t="array" ref="E2:E122">_xll.FDS(E1,"FMA_PE(NTMA,-10AY,0,AM,""PORTAGG"",""MEANR"")")</f>
        <v>17.353574496242199</v>
      </c>
      <c r="F2" s="3" cm="1">
        <f t="array" ref="F2:F122">_xll.FDS(F1,"FMA_PE(NTMA,-10AY,0,AM,""PORTAGG"",""MEANR"")")</f>
        <v>13.1725567313288</v>
      </c>
      <c r="G2" s="3" cm="1">
        <f t="array" ref="G2:G122">_xll.FDS(G1,"FMA_PE(NTMA,-10AY,0,AM,""PORTAGG"",""MEANR"")")</f>
        <v>11.9983990029049</v>
      </c>
      <c r="H2" s="3" cm="1">
        <f t="array" ref="H2:H122">_xll.FDS(H1,"FMA_PE(NTMA,-10AY,0,AM,""PORTAGG"",""MEANR"")")</f>
        <v>15.3235222599883</v>
      </c>
      <c r="I2" s="3" cm="1">
        <f t="array" ref="I2:I122">_xll.FDS(I1,"FMA_PE(NTMA,-10AY,0,AM,""PORTAGG"",""MEANR"")")</f>
        <v>13.0549382596566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9.4150390152007297</v>
      </c>
      <c r="L2" s="3" cm="1">
        <f t="array" ref="L2:L122">_xll.FDS(L1,"FMA_PE(NTMA,-10AY,0,AM,""PORTAGG"",""MEANR"")")</f>
        <v>11.564338889389401</v>
      </c>
      <c r="M2" s="3" cm="1">
        <f t="array" ref="M2:M122">_xll.FDS(M1,"FMA_PE(NTMA,-10AY,0,AM,""PORTAGG"",""MEANR"")")</f>
        <v>13.991931652263901</v>
      </c>
      <c r="N2" s="3" cm="1">
        <f t="array" ref="N2:N122">_xll.FDS(N1,"FMA_PE(NTMA,-10AY,0,AM,""PORTAGG"",""MEANR"")")</f>
        <v>6.6081092386401004</v>
      </c>
      <c r="O2" s="3" cm="1">
        <f t="array" ref="O2:O122">_xll.FDS(O1,"FMA_PE(NTMA,-10AY,0,AM,""PORTAGG"",""MEANR"")")</f>
        <v>16.357947117528301</v>
      </c>
      <c r="P2" s="3" cm="1">
        <f t="array" ref="P2:P122">_xll.FDS(P1,"FMA_PE(NTMA,-10AY,0,AM,""PORTAGG"",""MEANR"")")</f>
        <v>8.5120880917990895</v>
      </c>
      <c r="Q2" s="3" cm="1">
        <f t="array" ref="Q2:Q122">_xll.FDS(Q1,"FMA_PE(NTMA,-10AY,0,AM,""PORTAGG"",""MEANR"")")</f>
        <v>15.5310202312606</v>
      </c>
      <c r="R2" s="3" cm="1">
        <f t="array" ref="R2:R122">_xll.FDS(R1,"FMA_PE(NTMA,-10AY,0,AM,""PORTAGG"",""MEANR"")")</f>
        <v>15.3911044261688</v>
      </c>
      <c r="S2" s="3" cm="1">
        <f t="array" ref="S2:S122">_xll.FDS(S1,"FMA_PE(NTMA,-10AY,0,AM,""PORTAGG"",""MEANR"")")</f>
        <v>9.2577292040825103</v>
      </c>
      <c r="T2" s="3" cm="1">
        <f t="array" ref="T2:T122">_xll.FDS(T1,"FMA_PE(NTMA,-10AY,0,AM,""PORTAGG"",""MEANR"")")</f>
        <v>14.636912680199099</v>
      </c>
      <c r="U2" s="3" cm="1">
        <f t="array" ref="U2:U122">_xll.FDS(U1,"FMA_PE(NTMA,-10AY,0,AM,""PORTAGG"",""MEANR"")")</f>
        <v>12.1747152967076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41953</v>
      </c>
      <c r="B3" s="3" t="e">
        <v>#N/A</v>
      </c>
      <c r="C3" s="3">
        <v>13.931040935169801</v>
      </c>
      <c r="D3" s="3">
        <v>14.020412838049699</v>
      </c>
      <c r="E3" s="3">
        <v>17.486709088627599</v>
      </c>
      <c r="F3" s="3">
        <v>13.2697515339049</v>
      </c>
      <c r="G3" s="3">
        <v>12.1468765020524</v>
      </c>
      <c r="H3" s="3">
        <v>15.3405229764209</v>
      </c>
      <c r="I3" s="3">
        <v>13.142540842011799</v>
      </c>
      <c r="J3" s="3" t="e">
        <v>#N/A</v>
      </c>
      <c r="K3" s="3">
        <v>9.8263803084943699</v>
      </c>
      <c r="L3" s="3">
        <v>11.3926287037643</v>
      </c>
      <c r="M3" s="3">
        <v>15.039190691964301</v>
      </c>
      <c r="N3" s="3">
        <v>6.4835313664879699</v>
      </c>
      <c r="O3" s="3">
        <v>17.113147939605302</v>
      </c>
      <c r="P3" s="3">
        <v>8.7947217170637302</v>
      </c>
      <c r="Q3" s="3">
        <v>15.1738951595653</v>
      </c>
      <c r="R3" s="3">
        <v>15.5423189319995</v>
      </c>
      <c r="S3" s="3">
        <v>9.7105904573722608</v>
      </c>
      <c r="T3" s="3">
        <v>14.251569707001799</v>
      </c>
      <c r="U3" s="3">
        <v>12.1231237818893</v>
      </c>
      <c r="V3" s="3" t="e">
        <v>#N/A</v>
      </c>
    </row>
    <row r="4" spans="1:22" x14ac:dyDescent="0.35">
      <c r="A4" s="2">
        <v>41983</v>
      </c>
      <c r="B4" s="3" t="e">
        <v>#N/A</v>
      </c>
      <c r="C4" s="3">
        <v>13.7259866027131</v>
      </c>
      <c r="D4" s="3">
        <v>15.0000834239234</v>
      </c>
      <c r="E4" s="3">
        <v>17.149829595284501</v>
      </c>
      <c r="F4" s="3">
        <v>13.6436693240873</v>
      </c>
      <c r="G4" s="3">
        <v>12.510211580366899</v>
      </c>
      <c r="H4" s="3">
        <v>15.1600875045037</v>
      </c>
      <c r="I4" s="3">
        <v>12.873514220234901</v>
      </c>
      <c r="J4" s="3" t="e">
        <v>#N/A</v>
      </c>
      <c r="K4" s="3">
        <v>9.7424863624546507</v>
      </c>
      <c r="L4" s="3">
        <v>10.6655614901973</v>
      </c>
      <c r="M4" s="3">
        <v>14.8890080851306</v>
      </c>
      <c r="N4" s="3">
        <v>5.87181388917692</v>
      </c>
      <c r="O4" s="3">
        <v>17.072156645045101</v>
      </c>
      <c r="P4" s="3">
        <v>9.1621584089133297</v>
      </c>
      <c r="Q4" s="3">
        <v>13.4014350752462</v>
      </c>
      <c r="R4" s="3">
        <v>15.3323113983379</v>
      </c>
      <c r="S4" s="3">
        <v>10.3632203615197</v>
      </c>
      <c r="T4" s="3">
        <v>12.5351286835929</v>
      </c>
      <c r="U4" s="3">
        <v>12.144089745350501</v>
      </c>
      <c r="V4" s="3" t="e">
        <v>#N/A</v>
      </c>
    </row>
    <row r="5" spans="1:22" x14ac:dyDescent="0.35">
      <c r="A5" s="2">
        <v>42013</v>
      </c>
      <c r="B5" s="3" t="e">
        <v>#N/A</v>
      </c>
      <c r="C5" s="3">
        <v>13.2316103650282</v>
      </c>
      <c r="D5" s="3">
        <v>14.984575094228999</v>
      </c>
      <c r="E5" s="3">
        <v>17.5864872290839</v>
      </c>
      <c r="F5" s="3">
        <v>13.5842028419166</v>
      </c>
      <c r="G5" s="3">
        <v>12.1995038820312</v>
      </c>
      <c r="H5" s="3">
        <v>14.898751200094599</v>
      </c>
      <c r="I5" s="3">
        <v>12.880226157620999</v>
      </c>
      <c r="J5" s="3" t="e">
        <v>#N/A</v>
      </c>
      <c r="K5" s="3">
        <v>9.4886558541620207</v>
      </c>
      <c r="L5" s="3">
        <v>10.964519104560701</v>
      </c>
      <c r="M5" s="3">
        <v>15.766600836033399</v>
      </c>
      <c r="N5" s="3">
        <v>4.2072331548676596</v>
      </c>
      <c r="O5" s="3">
        <v>16.840273774247201</v>
      </c>
      <c r="P5" s="3">
        <v>9.7564554995978003</v>
      </c>
      <c r="Q5" s="3">
        <v>13.4264940705225</v>
      </c>
      <c r="R5" s="3">
        <v>15.086798904397501</v>
      </c>
      <c r="S5" s="3">
        <v>10.7346640027314</v>
      </c>
      <c r="T5" s="3">
        <v>11.602649736734699</v>
      </c>
      <c r="U5" s="3">
        <v>12.0814293136982</v>
      </c>
      <c r="V5" s="3" t="e">
        <v>#N/A</v>
      </c>
    </row>
    <row r="6" spans="1:22" x14ac:dyDescent="0.35">
      <c r="A6" s="2">
        <v>42045</v>
      </c>
      <c r="B6" s="3" t="e">
        <v>#N/A</v>
      </c>
      <c r="C6" s="3">
        <v>13.1405969154122</v>
      </c>
      <c r="D6" s="3">
        <v>15.6272120045489</v>
      </c>
      <c r="E6" s="3">
        <v>18.052883753472202</v>
      </c>
      <c r="F6" s="3">
        <v>13.369074112399799</v>
      </c>
      <c r="G6" s="3">
        <v>13.156744453841799</v>
      </c>
      <c r="H6" s="3">
        <v>15.452906052705501</v>
      </c>
      <c r="I6" s="3">
        <v>12.5582435629545</v>
      </c>
      <c r="J6" s="3" t="e">
        <v>#N/A</v>
      </c>
      <c r="K6" s="3">
        <v>9.7236837424574301</v>
      </c>
      <c r="L6" s="3">
        <v>11.363346521640199</v>
      </c>
      <c r="M6" s="3">
        <v>16.901546040000099</v>
      </c>
      <c r="N6" s="3">
        <v>4.5249838152403603</v>
      </c>
      <c r="O6" s="3">
        <v>17.7667472327742</v>
      </c>
      <c r="P6" s="3">
        <v>9.9861877136254602</v>
      </c>
      <c r="Q6" s="3">
        <v>14.1027703078594</v>
      </c>
      <c r="R6" s="3">
        <v>16.194519685853599</v>
      </c>
      <c r="S6" s="3">
        <v>10.1479090012522</v>
      </c>
      <c r="T6" s="3">
        <v>12.703721346584</v>
      </c>
      <c r="U6" s="3">
        <v>12.588514872741399</v>
      </c>
      <c r="V6" s="3" t="e">
        <v>#N/A</v>
      </c>
    </row>
    <row r="7" spans="1:22" x14ac:dyDescent="0.35">
      <c r="A7" s="2">
        <v>42073</v>
      </c>
      <c r="B7" s="3" t="e">
        <v>#N/A</v>
      </c>
      <c r="C7" s="3">
        <v>13.1179981799106</v>
      </c>
      <c r="D7" s="3">
        <v>16.054797641758199</v>
      </c>
      <c r="E7" s="3">
        <v>18.3567211678909</v>
      </c>
      <c r="F7" s="3">
        <v>13.4135412231341</v>
      </c>
      <c r="G7" s="3">
        <v>12.253032423813501</v>
      </c>
      <c r="H7" s="3">
        <v>15.5821296016089</v>
      </c>
      <c r="I7" s="3">
        <v>12.6314275676287</v>
      </c>
      <c r="J7" s="3" t="e">
        <v>#N/A</v>
      </c>
      <c r="K7" s="3">
        <v>9.7942955171341506</v>
      </c>
      <c r="L7" s="3">
        <v>11.6695928051754</v>
      </c>
      <c r="M7" s="3">
        <v>16.508118960454201</v>
      </c>
      <c r="N7" s="3">
        <v>4.8814327029909403</v>
      </c>
      <c r="O7" s="3">
        <v>18.158466762203801</v>
      </c>
      <c r="P7" s="3">
        <v>9.9177985037875693</v>
      </c>
      <c r="Q7" s="3">
        <v>13.721518822286599</v>
      </c>
      <c r="R7" s="3">
        <v>15.164183736907001</v>
      </c>
      <c r="S7" s="3">
        <v>9.5552199886936204</v>
      </c>
      <c r="T7" s="3">
        <v>12.56377394047</v>
      </c>
      <c r="U7" s="3">
        <v>12.197475877104999</v>
      </c>
      <c r="V7" s="3" t="e">
        <v>#N/A</v>
      </c>
    </row>
    <row r="8" spans="1:22" x14ac:dyDescent="0.35">
      <c r="A8" s="2">
        <v>42104</v>
      </c>
      <c r="B8" s="3" t="e">
        <v>#N/A</v>
      </c>
      <c r="C8" s="3">
        <v>13.797031341529401</v>
      </c>
      <c r="D8" s="3">
        <v>16.162874026752799</v>
      </c>
      <c r="E8" s="3">
        <v>18.787055617224901</v>
      </c>
      <c r="F8" s="3">
        <v>14.4663452555519</v>
      </c>
      <c r="G8" s="3">
        <v>12.889923755457</v>
      </c>
      <c r="H8" s="3">
        <v>16.059732461727801</v>
      </c>
      <c r="I8" s="3">
        <v>12.631279671210001</v>
      </c>
      <c r="J8" s="3" t="e">
        <v>#N/A</v>
      </c>
      <c r="K8" s="3">
        <v>10.0978816592371</v>
      </c>
      <c r="L8" s="3">
        <v>13.623999190512899</v>
      </c>
      <c r="M8" s="3">
        <v>17.645850693186201</v>
      </c>
      <c r="N8" s="3">
        <v>5.19763675639732</v>
      </c>
      <c r="O8" s="3">
        <v>18.324601154380701</v>
      </c>
      <c r="P8" s="3">
        <v>11.962097317655401</v>
      </c>
      <c r="Q8" s="3">
        <v>13.3203988467145</v>
      </c>
      <c r="R8" s="3">
        <v>15.2990998843432</v>
      </c>
      <c r="S8" s="3">
        <v>10.0369986262866</v>
      </c>
      <c r="T8" s="3">
        <v>12.691366647372</v>
      </c>
      <c r="U8" s="3">
        <v>12.802761154214901</v>
      </c>
      <c r="V8" s="3" t="e">
        <v>#N/A</v>
      </c>
    </row>
    <row r="9" spans="1:22" x14ac:dyDescent="0.35">
      <c r="A9" s="2">
        <v>42132</v>
      </c>
      <c r="B9" s="3" t="e">
        <v>#N/A</v>
      </c>
      <c r="C9" s="3">
        <v>14.317682503287299</v>
      </c>
      <c r="D9" s="3">
        <v>15.1490638111494</v>
      </c>
      <c r="E9" s="3">
        <v>18.019627290725801</v>
      </c>
      <c r="F9" s="3">
        <v>14.8838531159601</v>
      </c>
      <c r="G9" s="3">
        <v>13.2861435703147</v>
      </c>
      <c r="H9" s="3">
        <v>15.743405845743</v>
      </c>
      <c r="I9" s="3">
        <v>12.802651659689401</v>
      </c>
      <c r="J9" s="3" t="e">
        <v>#N/A</v>
      </c>
      <c r="K9" s="3">
        <v>9.9408106650886001</v>
      </c>
      <c r="L9" s="3">
        <v>14.603637223807899</v>
      </c>
      <c r="M9" s="3">
        <v>17.0757160627312</v>
      </c>
      <c r="N9" s="3">
        <v>5.3507787430558897</v>
      </c>
      <c r="O9" s="3">
        <v>17.103911169770999</v>
      </c>
      <c r="P9" s="3">
        <v>11.9097038511685</v>
      </c>
      <c r="Q9" s="3">
        <v>13.816841510142799</v>
      </c>
      <c r="R9" s="3">
        <v>15.650974277737999</v>
      </c>
      <c r="S9" s="3">
        <v>10.308174895330501</v>
      </c>
      <c r="T9" s="3">
        <v>13.820235258314201</v>
      </c>
      <c r="U9" s="3">
        <v>13.6452781018222</v>
      </c>
      <c r="V9" s="3" t="e">
        <v>#N/A</v>
      </c>
    </row>
    <row r="10" spans="1:22" x14ac:dyDescent="0.35">
      <c r="A10" s="2">
        <v>42165</v>
      </c>
      <c r="B10" s="3" t="e">
        <v>#N/A</v>
      </c>
      <c r="C10" s="3">
        <v>13.745309457538699</v>
      </c>
      <c r="D10" s="3">
        <v>14.3863938858195</v>
      </c>
      <c r="E10" s="3">
        <v>17.0217122278037</v>
      </c>
      <c r="F10" s="3">
        <v>13.7047400306189</v>
      </c>
      <c r="G10" s="3">
        <v>13.908813501516599</v>
      </c>
      <c r="H10" s="3">
        <v>15.425858196488599</v>
      </c>
      <c r="I10" s="3">
        <v>12.502136304371099</v>
      </c>
      <c r="J10" s="3" t="e">
        <v>#N/A</v>
      </c>
      <c r="K10" s="3">
        <v>9.5122218229022302</v>
      </c>
      <c r="L10" s="3">
        <v>13.569773146710499</v>
      </c>
      <c r="M10" s="3">
        <v>16.0698614416204</v>
      </c>
      <c r="N10" s="3">
        <v>5.4869996158437404</v>
      </c>
      <c r="O10" s="3">
        <v>17.1362342681008</v>
      </c>
      <c r="P10" s="3">
        <v>11.2240187534581</v>
      </c>
      <c r="Q10" s="3">
        <v>13.0765344573308</v>
      </c>
      <c r="R10" s="3">
        <v>15.277416270551299</v>
      </c>
      <c r="S10" s="3">
        <v>9.6995623048848802</v>
      </c>
      <c r="T10" s="3">
        <v>13.220140864898401</v>
      </c>
      <c r="U10" s="3">
        <v>13.737772942625099</v>
      </c>
      <c r="V10" s="3" t="e">
        <v>#N/A</v>
      </c>
    </row>
    <row r="11" spans="1:22" x14ac:dyDescent="0.35">
      <c r="A11" s="2">
        <v>42195</v>
      </c>
      <c r="B11" s="3" t="e">
        <v>#N/A</v>
      </c>
      <c r="C11" s="3">
        <v>12.9447764430776</v>
      </c>
      <c r="D11" s="3">
        <v>14.320575910074901</v>
      </c>
      <c r="E11" s="3">
        <v>17.1181963503115</v>
      </c>
      <c r="F11" s="3">
        <v>13.0129550738602</v>
      </c>
      <c r="G11" s="3">
        <v>12.8993003405316</v>
      </c>
      <c r="H11" s="3">
        <v>15.196309421572</v>
      </c>
      <c r="I11" s="3">
        <v>11.957168327559099</v>
      </c>
      <c r="J11" s="3" t="e">
        <v>#N/A</v>
      </c>
      <c r="K11" s="3">
        <v>9.4138432603762094</v>
      </c>
      <c r="L11" s="3">
        <v>12.777943561121401</v>
      </c>
      <c r="M11" s="3">
        <v>16.094740435875298</v>
      </c>
      <c r="N11" s="3">
        <v>4.9265027504610197</v>
      </c>
      <c r="O11" s="3">
        <v>18.140850752603001</v>
      </c>
      <c r="P11" s="3">
        <v>9.9016066635427293</v>
      </c>
      <c r="Q11" s="3">
        <v>13.136301635214201</v>
      </c>
      <c r="R11" s="3">
        <v>15.179391005589901</v>
      </c>
      <c r="S11" s="3">
        <v>10.0412616213313</v>
      </c>
      <c r="T11" s="3">
        <v>12.6386191957512</v>
      </c>
      <c r="U11" s="3">
        <v>14.862569318447299</v>
      </c>
      <c r="V11" s="3" t="e">
        <v>#N/A</v>
      </c>
    </row>
    <row r="12" spans="1:22" x14ac:dyDescent="0.35">
      <c r="A12" s="2">
        <v>42226</v>
      </c>
      <c r="B12" s="3" t="e">
        <v>#N/A</v>
      </c>
      <c r="C12" s="3">
        <v>12.5475671084626</v>
      </c>
      <c r="D12" s="3">
        <v>14.3845891517574</v>
      </c>
      <c r="E12" s="3">
        <v>17.7087275397894</v>
      </c>
      <c r="F12" s="3">
        <v>12.791909619999601</v>
      </c>
      <c r="G12" s="3">
        <v>12.641212665660101</v>
      </c>
      <c r="H12" s="3">
        <v>14.6189144309964</v>
      </c>
      <c r="I12" s="3">
        <v>11.759927355449801</v>
      </c>
      <c r="J12" s="3" t="e">
        <v>#N/A</v>
      </c>
      <c r="K12" s="3">
        <v>9.5282114281963608</v>
      </c>
      <c r="L12" s="3">
        <v>11.7958376112663</v>
      </c>
      <c r="M12" s="3">
        <v>15.8774968630663</v>
      </c>
      <c r="N12" s="3">
        <v>4.5965600677888103</v>
      </c>
      <c r="O12" s="3">
        <v>18.755813206904801</v>
      </c>
      <c r="P12" s="3">
        <v>9.5989430800070004</v>
      </c>
      <c r="Q12" s="3">
        <v>13.0334437393992</v>
      </c>
      <c r="R12" s="3">
        <v>14.4660475724192</v>
      </c>
      <c r="S12" s="3">
        <v>9.2812007358929094</v>
      </c>
      <c r="T12" s="3">
        <v>12.621923730372901</v>
      </c>
      <c r="U12" s="3">
        <v>14.1903946196674</v>
      </c>
      <c r="V12" s="3" t="e">
        <v>#N/A</v>
      </c>
    </row>
    <row r="13" spans="1:22" x14ac:dyDescent="0.35">
      <c r="A13" s="2">
        <v>42257</v>
      </c>
      <c r="B13" s="3" t="e">
        <v>#N/A</v>
      </c>
      <c r="C13" s="3">
        <v>12.6103151707027</v>
      </c>
      <c r="D13" s="3">
        <v>13.220452151999099</v>
      </c>
      <c r="E13" s="3">
        <v>16.032726836769399</v>
      </c>
      <c r="F13" s="3">
        <v>12.576366405287899</v>
      </c>
      <c r="G13" s="3">
        <v>11.208461485074499</v>
      </c>
      <c r="H13" s="3">
        <v>14.552907242015401</v>
      </c>
      <c r="I13" s="3">
        <v>11.6181441701089</v>
      </c>
      <c r="J13" s="3" t="e">
        <v>#N/A</v>
      </c>
      <c r="K13" s="3">
        <v>9.5223921717900399</v>
      </c>
      <c r="L13" s="3">
        <v>11.0803447365001</v>
      </c>
      <c r="M13" s="3">
        <v>14.960026308554299</v>
      </c>
      <c r="N13" s="3">
        <v>3.8286305220993202</v>
      </c>
      <c r="O13" s="3">
        <v>17.363721144819401</v>
      </c>
      <c r="P13" s="3">
        <v>8.8415767879759493</v>
      </c>
      <c r="Q13" s="3">
        <v>13.2060789905884</v>
      </c>
      <c r="R13" s="3">
        <v>14.319144871113</v>
      </c>
      <c r="S13" s="3">
        <v>8.4942290352166605</v>
      </c>
      <c r="T13" s="3">
        <v>11.8920717537709</v>
      </c>
      <c r="U13" s="3">
        <v>13.608507570857</v>
      </c>
      <c r="V13" s="3" t="e">
        <v>#N/A</v>
      </c>
    </row>
    <row r="14" spans="1:22" x14ac:dyDescent="0.35">
      <c r="A14" s="2">
        <v>42286</v>
      </c>
      <c r="B14" s="3" t="e">
        <v>#N/A</v>
      </c>
      <c r="C14" s="3">
        <v>12.825784910487799</v>
      </c>
      <c r="D14" s="3">
        <v>14.376782180730499</v>
      </c>
      <c r="E14" s="3">
        <v>16.7856266708772</v>
      </c>
      <c r="F14" s="3">
        <v>12.418998202288099</v>
      </c>
      <c r="G14" s="3">
        <v>12.223906545043</v>
      </c>
      <c r="H14" s="3">
        <v>15.509161865621101</v>
      </c>
      <c r="I14" s="3">
        <v>11.9920590101648</v>
      </c>
      <c r="J14" s="3" t="e">
        <v>#N/A</v>
      </c>
      <c r="K14" s="3">
        <v>10.037444502069601</v>
      </c>
      <c r="L14" s="3">
        <v>11.706264175667901</v>
      </c>
      <c r="M14" s="3">
        <v>16.1709369639381</v>
      </c>
      <c r="N14" s="3">
        <v>4.3253708715856201</v>
      </c>
      <c r="O14" s="3">
        <v>17.961230448849999</v>
      </c>
      <c r="P14" s="3">
        <v>9.3676467820409197</v>
      </c>
      <c r="Q14" s="3">
        <v>12.807820076520899</v>
      </c>
      <c r="R14" s="3">
        <v>14.409191065637099</v>
      </c>
      <c r="S14" s="3">
        <v>9.3419982688611096</v>
      </c>
      <c r="T14" s="3">
        <v>12.275477505113001</v>
      </c>
      <c r="U14" s="3">
        <v>14.0999281647033</v>
      </c>
      <c r="V14" s="3">
        <v>12.659895555620301</v>
      </c>
    </row>
    <row r="15" spans="1:22" x14ac:dyDescent="0.35">
      <c r="A15" s="2">
        <v>42318</v>
      </c>
      <c r="B15" s="3" t="e">
        <v>#N/A</v>
      </c>
      <c r="C15" s="3">
        <v>13.3940930004024</v>
      </c>
      <c r="D15" s="3">
        <v>13.857644351266501</v>
      </c>
      <c r="E15" s="3">
        <v>16.3988864076555</v>
      </c>
      <c r="F15" s="3">
        <v>11.967562754585201</v>
      </c>
      <c r="G15" s="3">
        <v>7.8473336321305496</v>
      </c>
      <c r="H15" s="3">
        <v>15.3127369054409</v>
      </c>
      <c r="I15" s="3">
        <v>12.146837437406001</v>
      </c>
      <c r="J15" s="3" t="e">
        <v>#N/A</v>
      </c>
      <c r="K15" s="3">
        <v>10.2222105971187</v>
      </c>
      <c r="L15" s="3">
        <v>10.8599698332188</v>
      </c>
      <c r="M15" s="3">
        <v>15.4618573512927</v>
      </c>
      <c r="N15" s="3">
        <v>4.2291795534637</v>
      </c>
      <c r="O15" s="3">
        <v>17.138082643588501</v>
      </c>
      <c r="P15" s="3">
        <v>9.4927017567679002</v>
      </c>
      <c r="Q15" s="3">
        <v>12.011982102959999</v>
      </c>
      <c r="R15" s="3">
        <v>13.799138745331</v>
      </c>
      <c r="S15" s="3">
        <v>9.5266282087430501</v>
      </c>
      <c r="T15" s="3">
        <v>10.7592143447282</v>
      </c>
      <c r="U15" s="3">
        <v>14.2092421687338</v>
      </c>
      <c r="V15" s="3">
        <v>12.041295123557401</v>
      </c>
    </row>
    <row r="16" spans="1:22" x14ac:dyDescent="0.35">
      <c r="A16" s="2">
        <v>42348</v>
      </c>
      <c r="B16" s="3" t="e">
        <v>#N/A</v>
      </c>
      <c r="C16" s="3">
        <v>12.446945929038501</v>
      </c>
      <c r="D16" s="3">
        <v>14.1034749418325</v>
      </c>
      <c r="E16" s="3">
        <v>16.062816046083601</v>
      </c>
      <c r="F16" s="3">
        <v>11.227511231829199</v>
      </c>
      <c r="G16" s="3">
        <v>7.4431646214371296</v>
      </c>
      <c r="H16" s="3">
        <v>15.219629293049699</v>
      </c>
      <c r="I16" s="3">
        <v>11.659133685894099</v>
      </c>
      <c r="J16" s="3" t="e">
        <v>#N/A</v>
      </c>
      <c r="K16" s="3">
        <v>9.9120107788729293</v>
      </c>
      <c r="L16" s="3">
        <v>10.993954705479201</v>
      </c>
      <c r="M16" s="3">
        <v>13.844417928438199</v>
      </c>
      <c r="N16" s="3">
        <v>3.7264167235354799</v>
      </c>
      <c r="O16" s="3">
        <v>16.782017436102699</v>
      </c>
      <c r="P16" s="3">
        <v>9.1587688962035898</v>
      </c>
      <c r="Q16" s="3">
        <v>11.0205387829954</v>
      </c>
      <c r="R16" s="3">
        <v>12.6702716445173</v>
      </c>
      <c r="S16" s="3">
        <v>8.2862041374373394</v>
      </c>
      <c r="T16" s="3">
        <v>9.4342445407284092</v>
      </c>
      <c r="U16" s="3">
        <v>11.785899656751701</v>
      </c>
      <c r="V16" s="3">
        <v>12.6256062373959</v>
      </c>
    </row>
    <row r="17" spans="1:22" x14ac:dyDescent="0.35">
      <c r="A17" s="2">
        <v>42377</v>
      </c>
      <c r="B17" s="3" t="e">
        <v>#N/A</v>
      </c>
      <c r="C17" s="3">
        <v>11.8746844697465</v>
      </c>
      <c r="D17" s="3">
        <v>14.321721400686</v>
      </c>
      <c r="E17" s="3">
        <v>15.2025571349724</v>
      </c>
      <c r="F17" s="3">
        <v>11.808782801346601</v>
      </c>
      <c r="G17" s="3">
        <v>11.3765046654117</v>
      </c>
      <c r="H17" s="3">
        <v>15.246875745078199</v>
      </c>
      <c r="I17" s="3">
        <v>11.168220628660899</v>
      </c>
      <c r="J17" s="3">
        <v>16.014644796885101</v>
      </c>
      <c r="K17" s="3">
        <v>9.8449300780442393</v>
      </c>
      <c r="L17" s="3">
        <v>9.7170683523171508</v>
      </c>
      <c r="M17" s="3">
        <v>13.4797476344775</v>
      </c>
      <c r="N17" s="3">
        <v>9.5453572469791794</v>
      </c>
      <c r="O17" s="3">
        <v>16.636329109476002</v>
      </c>
      <c r="P17" s="3">
        <v>9.4483860639692896</v>
      </c>
      <c r="Q17" s="3">
        <v>10.864058259071401</v>
      </c>
      <c r="R17" s="3">
        <v>11.499034418076301</v>
      </c>
      <c r="S17" s="3">
        <v>7.95817230717621</v>
      </c>
      <c r="T17" s="3">
        <v>11.2220468853781</v>
      </c>
      <c r="U17" s="3">
        <v>11.6574289895179</v>
      </c>
      <c r="V17" s="3">
        <v>11.401778172528999</v>
      </c>
    </row>
    <row r="18" spans="1:22" x14ac:dyDescent="0.35">
      <c r="A18" s="2">
        <v>42410</v>
      </c>
      <c r="B18" s="3" t="e">
        <v>#N/A</v>
      </c>
      <c r="C18" s="3">
        <v>12.1100359724933</v>
      </c>
      <c r="D18" s="3">
        <v>14.9813369250256</v>
      </c>
      <c r="E18" s="3">
        <v>15.3833526030083</v>
      </c>
      <c r="F18" s="3">
        <v>12.423771970707101</v>
      </c>
      <c r="G18" s="3">
        <v>13.1111069947796</v>
      </c>
      <c r="H18" s="3">
        <v>15.2180550895074</v>
      </c>
      <c r="I18" s="3">
        <v>11.767424244072799</v>
      </c>
      <c r="J18" s="3">
        <v>17.0360879572283</v>
      </c>
      <c r="K18" s="3">
        <v>10.2812893412181</v>
      </c>
      <c r="L18" s="3">
        <v>10.304066479668</v>
      </c>
      <c r="M18" s="3">
        <v>13.6754532087478</v>
      </c>
      <c r="N18" s="3">
        <v>7.6883605509076904</v>
      </c>
      <c r="O18" s="3">
        <v>16.2341825750478</v>
      </c>
      <c r="P18" s="3">
        <v>8.9000273892822594</v>
      </c>
      <c r="Q18" s="3">
        <v>11.1689822485605</v>
      </c>
      <c r="R18" s="3">
        <v>13.4026188718904</v>
      </c>
      <c r="S18" s="3">
        <v>8.0862756559667996</v>
      </c>
      <c r="T18" s="3">
        <v>10.787510965905399</v>
      </c>
      <c r="U18" s="3">
        <v>13.6960567257769</v>
      </c>
      <c r="V18" s="3">
        <v>11.345698282012201</v>
      </c>
    </row>
    <row r="19" spans="1:22" x14ac:dyDescent="0.35">
      <c r="A19" s="2">
        <v>42439</v>
      </c>
      <c r="B19" s="3" t="e">
        <v>#N/A</v>
      </c>
      <c r="C19" s="3">
        <v>12.928513892821099</v>
      </c>
      <c r="D19" s="3">
        <v>15.1276297525035</v>
      </c>
      <c r="E19" s="3">
        <v>15.9263453634107</v>
      </c>
      <c r="F19" s="3">
        <v>13.1910288263641</v>
      </c>
      <c r="G19" s="3">
        <v>14.791805750277399</v>
      </c>
      <c r="H19" s="3">
        <v>15.898579943605201</v>
      </c>
      <c r="I19" s="3">
        <v>12.5910479549021</v>
      </c>
      <c r="J19" s="3">
        <v>17.901790203524801</v>
      </c>
      <c r="K19" s="3">
        <v>10.528828958160201</v>
      </c>
      <c r="L19" s="3">
        <v>12.7526960949816</v>
      </c>
      <c r="M19" s="3">
        <v>14.2661737558917</v>
      </c>
      <c r="N19" s="3">
        <v>9.1077411646989699</v>
      </c>
      <c r="O19" s="3">
        <v>17.010948332990701</v>
      </c>
      <c r="P19" s="3">
        <v>9.3381297450124094</v>
      </c>
      <c r="Q19" s="3">
        <v>12.155782217959199</v>
      </c>
      <c r="R19" s="3">
        <v>14.4258052600797</v>
      </c>
      <c r="S19" s="3">
        <v>8.8038970719208098</v>
      </c>
      <c r="T19" s="3">
        <v>12.595418510584601</v>
      </c>
      <c r="U19" s="3">
        <v>15.571026842393699</v>
      </c>
      <c r="V19" s="3">
        <v>12.9463711210929</v>
      </c>
    </row>
    <row r="20" spans="1:22" x14ac:dyDescent="0.35">
      <c r="A20" s="2">
        <v>42468</v>
      </c>
      <c r="B20" s="3" t="e">
        <v>#N/A</v>
      </c>
      <c r="C20" s="3">
        <v>13.2165498582024</v>
      </c>
      <c r="D20" s="3">
        <v>15.0784222456173</v>
      </c>
      <c r="E20" s="3">
        <v>16.809601537858899</v>
      </c>
      <c r="F20" s="3">
        <v>13.136825976196301</v>
      </c>
      <c r="G20" s="3">
        <v>14.583588431622999</v>
      </c>
      <c r="H20" s="3">
        <v>16.2158090055567</v>
      </c>
      <c r="I20" s="3">
        <v>12.5215728207555</v>
      </c>
      <c r="J20" s="3">
        <v>19.295053370711798</v>
      </c>
      <c r="K20" s="3">
        <v>10.387847996311599</v>
      </c>
      <c r="L20" s="3">
        <v>13.3690516855679</v>
      </c>
      <c r="M20" s="3">
        <v>14.7375703844485</v>
      </c>
      <c r="N20" s="3">
        <v>8.7218758846640494</v>
      </c>
      <c r="O20" s="3">
        <v>16.861426876507799</v>
      </c>
      <c r="P20" s="3">
        <v>9.9609084980962308</v>
      </c>
      <c r="Q20" s="3">
        <v>11.851541684743699</v>
      </c>
      <c r="R20" s="3">
        <v>14.126759620969199</v>
      </c>
      <c r="S20" s="3">
        <v>8.9944709037839807</v>
      </c>
      <c r="T20" s="3">
        <v>12.3185637717484</v>
      </c>
      <c r="U20" s="3">
        <v>12.7202598772818</v>
      </c>
      <c r="V20" s="3">
        <v>12.635151369132901</v>
      </c>
    </row>
    <row r="21" spans="1:22" x14ac:dyDescent="0.35">
      <c r="A21" s="2">
        <v>42500</v>
      </c>
      <c r="B21" s="3" t="e">
        <v>#N/A</v>
      </c>
      <c r="C21" s="3">
        <v>13.699742934567301</v>
      </c>
      <c r="D21" s="3">
        <v>14.4608130525032</v>
      </c>
      <c r="E21" s="3">
        <v>15.9908881841952</v>
      </c>
      <c r="F21" s="3">
        <v>12.250951037248701</v>
      </c>
      <c r="G21" s="3">
        <v>15.368555912101799</v>
      </c>
      <c r="H21" s="3">
        <v>15.4437549984439</v>
      </c>
      <c r="I21" s="3">
        <v>11.9770701515907</v>
      </c>
      <c r="J21" s="3">
        <v>19.7779137711121</v>
      </c>
      <c r="K21" s="3">
        <v>10.105165678531399</v>
      </c>
      <c r="L21" s="3">
        <v>13.010666542444101</v>
      </c>
      <c r="M21" s="3">
        <v>14.2731178873087</v>
      </c>
      <c r="N21" s="3">
        <v>10.7552595753173</v>
      </c>
      <c r="O21" s="3">
        <v>17.4582586538993</v>
      </c>
      <c r="P21" s="3">
        <v>9.6697220882208494</v>
      </c>
      <c r="Q21" s="3">
        <v>11.7806592582028</v>
      </c>
      <c r="R21" s="3">
        <v>14.207335302325699</v>
      </c>
      <c r="S21" s="3">
        <v>8.6018260261242308</v>
      </c>
      <c r="T21" s="3">
        <v>12.6683115457498</v>
      </c>
      <c r="U21" s="3">
        <v>12.5133681363998</v>
      </c>
      <c r="V21" s="3">
        <v>13.4458883155678</v>
      </c>
    </row>
    <row r="22" spans="1:22" x14ac:dyDescent="0.35">
      <c r="A22" s="2">
        <v>42531</v>
      </c>
      <c r="B22" s="3" t="e">
        <v>#N/A</v>
      </c>
      <c r="C22" s="3">
        <v>13.5810468847357</v>
      </c>
      <c r="D22" s="3">
        <v>14.880426538834399</v>
      </c>
      <c r="E22" s="3">
        <v>16.953539321468401</v>
      </c>
      <c r="F22" s="3">
        <v>11.7654530178985</v>
      </c>
      <c r="G22" s="3">
        <v>14.4065036681528</v>
      </c>
      <c r="H22" s="3">
        <v>16.094333297965299</v>
      </c>
      <c r="I22" s="3">
        <v>13.1935139651877</v>
      </c>
      <c r="J22" s="3">
        <v>18.4368623976547</v>
      </c>
      <c r="K22" s="3">
        <v>10.1963562146098</v>
      </c>
      <c r="L22" s="3">
        <v>12.0731146474506</v>
      </c>
      <c r="M22" s="3">
        <v>14.8789805079684</v>
      </c>
      <c r="N22" s="3">
        <v>9.8331194628607701</v>
      </c>
      <c r="O22" s="3">
        <v>17.587636334260299</v>
      </c>
      <c r="P22" s="3">
        <v>10.8337884131191</v>
      </c>
      <c r="Q22" s="3">
        <v>11.8594901186387</v>
      </c>
      <c r="R22" s="3">
        <v>14.5771875680236</v>
      </c>
      <c r="S22" s="3">
        <v>8.3630144731321998</v>
      </c>
      <c r="T22" s="3">
        <v>12.5075656872189</v>
      </c>
      <c r="U22" s="3">
        <v>12.660320037373101</v>
      </c>
      <c r="V22" s="3">
        <v>13.880843685782001</v>
      </c>
    </row>
    <row r="23" spans="1:22" x14ac:dyDescent="0.35">
      <c r="A23" s="2">
        <v>42559</v>
      </c>
      <c r="B23" s="3">
        <v>13.5904341010651</v>
      </c>
      <c r="C23" s="3">
        <v>14.672709812443101</v>
      </c>
      <c r="D23" s="3">
        <v>15.421899795855699</v>
      </c>
      <c r="E23" s="3">
        <v>17.395367301617998</v>
      </c>
      <c r="F23" s="3">
        <v>11.061916917081501</v>
      </c>
      <c r="G23" s="3">
        <v>14.6037026222308</v>
      </c>
      <c r="H23" s="3">
        <v>16.181632156315899</v>
      </c>
      <c r="I23" s="3">
        <v>13.0669259055131</v>
      </c>
      <c r="J23" s="3">
        <v>18.2506144305632</v>
      </c>
      <c r="K23" s="3">
        <v>9.8251203820847195</v>
      </c>
      <c r="L23" s="3">
        <v>12.91633583044</v>
      </c>
      <c r="M23" s="3">
        <v>14.5338266789222</v>
      </c>
      <c r="N23" s="3">
        <v>8.4355582734059507</v>
      </c>
      <c r="O23" s="3">
        <v>17.752981938739602</v>
      </c>
      <c r="P23" s="3">
        <v>10.8105510565914</v>
      </c>
      <c r="Q23" s="3">
        <v>11.900106605347901</v>
      </c>
      <c r="R23" s="3">
        <v>14.857551200532599</v>
      </c>
      <c r="S23" s="3">
        <v>8.3929822915733094</v>
      </c>
      <c r="T23" s="3">
        <v>12.755147069503399</v>
      </c>
      <c r="U23" s="3">
        <v>12.293762440018201</v>
      </c>
      <c r="V23" s="3">
        <v>13.354920585703001</v>
      </c>
    </row>
    <row r="24" spans="1:22" x14ac:dyDescent="0.35">
      <c r="A24" s="2">
        <v>42592</v>
      </c>
      <c r="B24" s="3">
        <v>13.61163681084</v>
      </c>
      <c r="C24" s="3">
        <v>15.6068632887407</v>
      </c>
      <c r="D24" s="3">
        <v>17.054288177686999</v>
      </c>
      <c r="E24" s="3">
        <v>18.5409399795588</v>
      </c>
      <c r="F24" s="3">
        <v>12.3969114896045</v>
      </c>
      <c r="G24" s="3">
        <v>14.6195153132931</v>
      </c>
      <c r="H24" s="3">
        <v>16.515825788568399</v>
      </c>
      <c r="I24" s="3">
        <v>13.875203144182899</v>
      </c>
      <c r="J24" s="3">
        <v>18.796437076070699</v>
      </c>
      <c r="K24" s="3">
        <v>10.0719226489657</v>
      </c>
      <c r="L24" s="3">
        <v>13.586758737298499</v>
      </c>
      <c r="M24" s="3">
        <v>15.6566840364878</v>
      </c>
      <c r="N24" s="3">
        <v>8.7895366810458508</v>
      </c>
      <c r="O24" s="3">
        <v>18.135000819181201</v>
      </c>
      <c r="P24" s="3">
        <v>11.731301792280799</v>
      </c>
      <c r="Q24" s="3">
        <v>13.2399826404304</v>
      </c>
      <c r="R24" s="3">
        <v>15.4635065261843</v>
      </c>
      <c r="S24" s="3">
        <v>8.3474662598789404</v>
      </c>
      <c r="T24" s="3">
        <v>12.5554077791002</v>
      </c>
      <c r="U24" s="3">
        <v>11.5942865707768</v>
      </c>
      <c r="V24" s="3">
        <v>13.032339633164</v>
      </c>
    </row>
    <row r="25" spans="1:22" x14ac:dyDescent="0.35">
      <c r="A25" s="2">
        <v>42622</v>
      </c>
      <c r="B25" s="3">
        <v>13.961436619234901</v>
      </c>
      <c r="C25" s="3">
        <v>15.434523285087799</v>
      </c>
      <c r="D25" s="3">
        <v>16.031229149594498</v>
      </c>
      <c r="E25" s="3">
        <v>17.7072530363182</v>
      </c>
      <c r="F25" s="3">
        <v>11.694586138035801</v>
      </c>
      <c r="G25" s="3">
        <v>13.8410657166422</v>
      </c>
      <c r="H25" s="3">
        <v>16.892022265377499</v>
      </c>
      <c r="I25" s="3">
        <v>13.6180953215695</v>
      </c>
      <c r="J25" s="3">
        <v>17.7598438609247</v>
      </c>
      <c r="K25" s="3">
        <v>10.1661879927761</v>
      </c>
      <c r="L25" s="3">
        <v>13.8487872477164</v>
      </c>
      <c r="M25" s="3">
        <v>15.2113808733332</v>
      </c>
      <c r="N25" s="3">
        <v>8.6253546822782603</v>
      </c>
      <c r="O25" s="3">
        <v>18.1990712486189</v>
      </c>
      <c r="P25" s="3">
        <v>12.6287044484672</v>
      </c>
      <c r="Q25" s="3">
        <v>12.7684147418198</v>
      </c>
      <c r="R25" s="3">
        <v>14.2043694234945</v>
      </c>
      <c r="S25" s="3">
        <v>8.4077098686511391</v>
      </c>
      <c r="T25" s="3">
        <v>12.0576207129953</v>
      </c>
      <c r="U25" s="3">
        <v>11.685587922897099</v>
      </c>
      <c r="V25" s="3">
        <v>12.582294084446801</v>
      </c>
    </row>
    <row r="26" spans="1:22" x14ac:dyDescent="0.35">
      <c r="A26" s="2">
        <v>42653</v>
      </c>
      <c r="B26" s="3">
        <v>13.6637489973113</v>
      </c>
      <c r="C26" s="3">
        <v>15.715128756359899</v>
      </c>
      <c r="D26" s="3">
        <v>16.361147906929801</v>
      </c>
      <c r="E26" s="3">
        <v>16.762913205890001</v>
      </c>
      <c r="F26" s="3">
        <v>11.680029024609601</v>
      </c>
      <c r="G26" s="3">
        <v>12.946838984944399</v>
      </c>
      <c r="H26" s="3">
        <v>16.761882497676599</v>
      </c>
      <c r="I26" s="3">
        <v>13.721304851360401</v>
      </c>
      <c r="J26" s="3">
        <v>18.1712997396906</v>
      </c>
      <c r="K26" s="3">
        <v>10.0035503653534</v>
      </c>
      <c r="L26" s="3">
        <v>14.298221583610299</v>
      </c>
      <c r="M26" s="3">
        <v>14.823624516284699</v>
      </c>
      <c r="N26" s="3">
        <v>9.1186678621093407</v>
      </c>
      <c r="O26" s="3">
        <v>17.837139122933301</v>
      </c>
      <c r="P26" s="3">
        <v>12.594843141548001</v>
      </c>
      <c r="Q26" s="3">
        <v>12.796077529824201</v>
      </c>
      <c r="R26" s="3">
        <v>14.197765483034701</v>
      </c>
      <c r="S26" s="3">
        <v>8.3470497969595101</v>
      </c>
      <c r="T26" s="3">
        <v>12.6282820424187</v>
      </c>
      <c r="U26" s="3">
        <v>13.405824831065701</v>
      </c>
      <c r="V26" s="3">
        <v>11.6082592777679</v>
      </c>
    </row>
    <row r="27" spans="1:22" x14ac:dyDescent="0.35">
      <c r="A27" s="2">
        <v>42684</v>
      </c>
      <c r="B27" s="3">
        <v>13.9226589129233</v>
      </c>
      <c r="C27" s="3">
        <v>16.442189848085299</v>
      </c>
      <c r="D27" s="3">
        <v>16.081043590974001</v>
      </c>
      <c r="E27" s="3">
        <v>15.943412161731199</v>
      </c>
      <c r="F27" s="3">
        <v>11.7106927914085</v>
      </c>
      <c r="G27" s="3">
        <v>12.0868379926732</v>
      </c>
      <c r="H27" s="3">
        <v>16.5169390475569</v>
      </c>
      <c r="I27" s="3">
        <v>13.232717118397201</v>
      </c>
      <c r="J27" s="3">
        <v>16.806794781652801</v>
      </c>
      <c r="K27" s="3">
        <v>9.8326781453370895</v>
      </c>
      <c r="L27" s="3">
        <v>13.821744733398599</v>
      </c>
      <c r="M27" s="3">
        <v>14.349513309551</v>
      </c>
      <c r="N27" s="3">
        <v>8.6967025041960309</v>
      </c>
      <c r="O27" s="3">
        <v>16.975144290905401</v>
      </c>
      <c r="P27" s="3">
        <v>11.861685981569799</v>
      </c>
      <c r="Q27" s="3">
        <v>12.444180314073799</v>
      </c>
      <c r="R27" s="3">
        <v>14.8758433950868</v>
      </c>
      <c r="S27" s="3">
        <v>7.8252384237225501</v>
      </c>
      <c r="T27" s="3">
        <v>11.5020175809337</v>
      </c>
      <c r="U27" s="3">
        <v>12.4031756127054</v>
      </c>
      <c r="V27" s="3">
        <v>13.2773933027013</v>
      </c>
    </row>
    <row r="28" spans="1:22" x14ac:dyDescent="0.35">
      <c r="A28" s="2">
        <v>42713</v>
      </c>
      <c r="B28" s="3">
        <v>14.077812651665999</v>
      </c>
      <c r="C28" s="3">
        <v>16.145329547040198</v>
      </c>
      <c r="D28" s="3">
        <v>15.3427617614703</v>
      </c>
      <c r="E28" s="3">
        <v>15.763649960674501</v>
      </c>
      <c r="F28" s="3">
        <v>12.011336908529399</v>
      </c>
      <c r="G28" s="3">
        <v>11.7459168099893</v>
      </c>
      <c r="H28" s="3">
        <v>16.4350333925981</v>
      </c>
      <c r="I28" s="3">
        <v>13.260325693559899</v>
      </c>
      <c r="J28" s="3">
        <v>16.825948224949499</v>
      </c>
      <c r="K28" s="3">
        <v>9.9346674258419299</v>
      </c>
      <c r="L28" s="3">
        <v>12.9747502587271</v>
      </c>
      <c r="M28" s="3">
        <v>14.330106314441201</v>
      </c>
      <c r="N28" s="3">
        <v>9.8435712630941694</v>
      </c>
      <c r="O28" s="3">
        <v>16.521318763310301</v>
      </c>
      <c r="P28" s="3">
        <v>11.827294823403101</v>
      </c>
      <c r="Q28" s="3">
        <v>12.415729991923399</v>
      </c>
      <c r="R28" s="3">
        <v>14.808745722884501</v>
      </c>
      <c r="S28" s="3">
        <v>7.5077896097885599</v>
      </c>
      <c r="T28" s="3">
        <v>11.7785506056165</v>
      </c>
      <c r="U28" s="3">
        <v>12.3862602666697</v>
      </c>
      <c r="V28" s="3">
        <v>14.280733247771</v>
      </c>
    </row>
    <row r="29" spans="1:22" x14ac:dyDescent="0.35">
      <c r="A29" s="2">
        <v>42745</v>
      </c>
      <c r="B29" s="3">
        <v>13.2536590530792</v>
      </c>
      <c r="C29" s="3">
        <v>15.4094590510503</v>
      </c>
      <c r="D29" s="3">
        <v>15.3722451149896</v>
      </c>
      <c r="E29" s="3">
        <v>16.7966090539087</v>
      </c>
      <c r="F29" s="3">
        <v>12.2679903793191</v>
      </c>
      <c r="G29" s="3">
        <v>12.023826398595</v>
      </c>
      <c r="H29" s="3">
        <v>16.6346648367367</v>
      </c>
      <c r="I29" s="3">
        <v>13.0145486541356</v>
      </c>
      <c r="J29" s="3">
        <v>16.053612742368301</v>
      </c>
      <c r="K29" s="3">
        <v>9.6917606197148007</v>
      </c>
      <c r="L29" s="3">
        <v>12.9340430678189</v>
      </c>
      <c r="M29" s="3">
        <v>14.8300246143283</v>
      </c>
      <c r="N29" s="3">
        <v>9.1768968784879696</v>
      </c>
      <c r="O29" s="3">
        <v>16.4237019918953</v>
      </c>
      <c r="P29" s="3">
        <v>11.747177050835999</v>
      </c>
      <c r="Q29" s="3">
        <v>13.635791990975299</v>
      </c>
      <c r="R29" s="3">
        <v>15.153745530344001</v>
      </c>
      <c r="S29" s="3">
        <v>7.5739223027040996</v>
      </c>
      <c r="T29" s="3">
        <v>12.2700040798036</v>
      </c>
      <c r="U29" s="3">
        <v>12.746041092266401</v>
      </c>
      <c r="V29" s="3">
        <v>14.042813060291399</v>
      </c>
    </row>
    <row r="30" spans="1:22" x14ac:dyDescent="0.35">
      <c r="A30" s="2">
        <v>42776</v>
      </c>
      <c r="B30" s="3">
        <v>13.1438069035952</v>
      </c>
      <c r="C30" s="3">
        <v>15.936193230542701</v>
      </c>
      <c r="D30" s="3">
        <v>15.2839238448763</v>
      </c>
      <c r="E30" s="3">
        <v>16.597279330398901</v>
      </c>
      <c r="F30" s="3">
        <v>12.813098047551399</v>
      </c>
      <c r="G30" s="3">
        <v>13.680164753412001</v>
      </c>
      <c r="H30" s="3">
        <v>16.752725631964399</v>
      </c>
      <c r="I30" s="3">
        <v>13.125974325959801</v>
      </c>
      <c r="J30" s="3">
        <v>16.637918175647599</v>
      </c>
      <c r="K30" s="3">
        <v>9.4608384907482108</v>
      </c>
      <c r="L30" s="3">
        <v>13.3937134890203</v>
      </c>
      <c r="M30" s="3">
        <v>15.157141189482999</v>
      </c>
      <c r="N30" s="3">
        <v>8.4648802659025293</v>
      </c>
      <c r="O30" s="3">
        <v>17.4097070080187</v>
      </c>
      <c r="P30" s="3">
        <v>12.247290630614801</v>
      </c>
      <c r="Q30" s="3">
        <v>13.1931692517595</v>
      </c>
      <c r="R30" s="3">
        <v>15.1806637463492</v>
      </c>
      <c r="S30" s="3">
        <v>8.4994092302270197</v>
      </c>
      <c r="T30" s="3">
        <v>12.266839763515099</v>
      </c>
      <c r="U30" s="3">
        <v>13.228684743705699</v>
      </c>
      <c r="V30" s="3">
        <v>14.1425416037294</v>
      </c>
    </row>
    <row r="31" spans="1:22" x14ac:dyDescent="0.35">
      <c r="A31" s="2">
        <v>42804</v>
      </c>
      <c r="B31" s="3">
        <v>13.159814537347501</v>
      </c>
      <c r="C31" s="3">
        <v>16.0809480711577</v>
      </c>
      <c r="D31" s="3">
        <v>14.979951078592</v>
      </c>
      <c r="E31" s="3">
        <v>16.636546346482302</v>
      </c>
      <c r="F31" s="3">
        <v>12.526794672618299</v>
      </c>
      <c r="G31" s="3">
        <v>12.9191561255992</v>
      </c>
      <c r="H31" s="3">
        <v>16.7421626241055</v>
      </c>
      <c r="I31" s="3">
        <v>12.8858113550724</v>
      </c>
      <c r="J31" s="3">
        <v>16.408734815350002</v>
      </c>
      <c r="K31" s="3">
        <v>9.4971827443665298</v>
      </c>
      <c r="L31" s="3">
        <v>12.965335346464601</v>
      </c>
      <c r="M31" s="3">
        <v>15.596646633146699</v>
      </c>
      <c r="N31" s="3">
        <v>9.1608291126751595</v>
      </c>
      <c r="O31" s="3">
        <v>17.563327803255898</v>
      </c>
      <c r="P31" s="3">
        <v>12.2454998134194</v>
      </c>
      <c r="Q31" s="3">
        <v>12.896185805924301</v>
      </c>
      <c r="R31" s="3">
        <v>14.6924455121093</v>
      </c>
      <c r="S31" s="3">
        <v>8.4994111618472896</v>
      </c>
      <c r="T31" s="3">
        <v>11.816618326850101</v>
      </c>
      <c r="U31" s="3">
        <v>13.0884608030298</v>
      </c>
      <c r="V31" s="3">
        <v>13.8687063659017</v>
      </c>
    </row>
    <row r="32" spans="1:22" x14ac:dyDescent="0.35">
      <c r="A32" s="2">
        <v>42835</v>
      </c>
      <c r="B32" s="3">
        <v>13.5535091964615</v>
      </c>
      <c r="C32" s="3">
        <v>17.344591734312601</v>
      </c>
      <c r="D32" s="3">
        <v>15.479584668519999</v>
      </c>
      <c r="E32" s="3">
        <v>17.5170804048112</v>
      </c>
      <c r="F32" s="3">
        <v>12.3791689977019</v>
      </c>
      <c r="G32" s="3">
        <v>12.253360286602801</v>
      </c>
      <c r="H32" s="3">
        <v>16.813898805216699</v>
      </c>
      <c r="I32" s="3">
        <v>13.112646763008</v>
      </c>
      <c r="J32" s="3">
        <v>17.085048963172898</v>
      </c>
      <c r="K32" s="3">
        <v>9.21723546269852</v>
      </c>
      <c r="L32" s="3">
        <v>12.584722675702899</v>
      </c>
      <c r="M32" s="3">
        <v>15.564927228593699</v>
      </c>
      <c r="N32" s="3">
        <v>10.9244924672058</v>
      </c>
      <c r="O32" s="3">
        <v>17.990151052921998</v>
      </c>
      <c r="P32" s="3">
        <v>12.1872099874091</v>
      </c>
      <c r="Q32" s="3">
        <v>12.832053414059301</v>
      </c>
      <c r="R32" s="3">
        <v>15.012215877455199</v>
      </c>
      <c r="S32" s="3">
        <v>8.4909970562534003</v>
      </c>
      <c r="T32" s="3">
        <v>12.166037337869501</v>
      </c>
      <c r="U32" s="3">
        <v>14.108510573775201</v>
      </c>
      <c r="V32" s="3">
        <v>13.9936560038118</v>
      </c>
    </row>
    <row r="33" spans="1:22" x14ac:dyDescent="0.35">
      <c r="A33" s="2">
        <v>42865</v>
      </c>
      <c r="B33" s="3">
        <v>13.004402140711701</v>
      </c>
      <c r="C33" s="3">
        <v>17.269125119362599</v>
      </c>
      <c r="D33" s="3">
        <v>15.660648025723701</v>
      </c>
      <c r="E33" s="3">
        <v>17.6024403617449</v>
      </c>
      <c r="F33" s="3">
        <v>12.793996985655999</v>
      </c>
      <c r="G33" s="3">
        <v>11.0960298278699</v>
      </c>
      <c r="H33" s="3">
        <v>16.998934879069999</v>
      </c>
      <c r="I33" s="3">
        <v>13.317143581095999</v>
      </c>
      <c r="J33" s="3">
        <v>16.827276646430899</v>
      </c>
      <c r="K33" s="3">
        <v>9.3781246343446796</v>
      </c>
      <c r="L33" s="3">
        <v>13.0248085271422</v>
      </c>
      <c r="M33" s="3">
        <v>16.297423938029901</v>
      </c>
      <c r="N33" s="3">
        <v>13.426005889098899</v>
      </c>
      <c r="O33" s="3">
        <v>18.3070444937802</v>
      </c>
      <c r="P33" s="3">
        <v>12.7555297887234</v>
      </c>
      <c r="Q33" s="3">
        <v>12.795884723463001</v>
      </c>
      <c r="R33" s="3">
        <v>14.650203639800599</v>
      </c>
      <c r="S33" s="3">
        <v>8.7410492744764294</v>
      </c>
      <c r="T33" s="3">
        <v>11.899635989107299</v>
      </c>
      <c r="U33" s="3">
        <v>14.9972695000885</v>
      </c>
      <c r="V33" s="3">
        <v>13.394064352455899</v>
      </c>
    </row>
    <row r="34" spans="1:22" x14ac:dyDescent="0.35">
      <c r="A34" s="2">
        <v>42895</v>
      </c>
      <c r="B34" s="3">
        <v>14.0065740728599</v>
      </c>
      <c r="C34" s="3">
        <v>16.821825386707602</v>
      </c>
      <c r="D34" s="3">
        <v>15.351596559288</v>
      </c>
      <c r="E34" s="3">
        <v>17.920894555125098</v>
      </c>
      <c r="F34" s="3">
        <v>12.5707671426575</v>
      </c>
      <c r="G34" s="3">
        <v>12.100138126064</v>
      </c>
      <c r="H34" s="3">
        <v>16.773694745058702</v>
      </c>
      <c r="I34" s="3">
        <v>13.615728012026301</v>
      </c>
      <c r="J34" s="3">
        <v>16.4716122628809</v>
      </c>
      <c r="K34" s="3">
        <v>9.6275806667318502</v>
      </c>
      <c r="L34" s="3">
        <v>11.862085749557201</v>
      </c>
      <c r="M34" s="3">
        <v>15.2066800246751</v>
      </c>
      <c r="N34" s="3">
        <v>13.392052671186001</v>
      </c>
      <c r="O34" s="3">
        <v>18.310308147448399</v>
      </c>
      <c r="P34" s="3">
        <v>13.130127931663999</v>
      </c>
      <c r="Q34" s="3">
        <v>12.18882665396</v>
      </c>
      <c r="R34" s="3">
        <v>14.690881542170301</v>
      </c>
      <c r="S34" s="3">
        <v>8.6710942292326791</v>
      </c>
      <c r="T34" s="3">
        <v>11.2477127249637</v>
      </c>
      <c r="U34" s="3">
        <v>14.583272870038099</v>
      </c>
      <c r="V34" s="3">
        <v>13.719624218577</v>
      </c>
    </row>
    <row r="35" spans="1:22" x14ac:dyDescent="0.35">
      <c r="A35" s="2">
        <v>42926</v>
      </c>
      <c r="B35" s="3">
        <v>14.0975774033618</v>
      </c>
      <c r="C35" s="3">
        <v>17.2487213788202</v>
      </c>
      <c r="D35" s="3">
        <v>15.541638206872401</v>
      </c>
      <c r="E35" s="3">
        <v>16.713140133497301</v>
      </c>
      <c r="F35" s="3">
        <v>12.4591960011058</v>
      </c>
      <c r="G35" s="3">
        <v>11.911998578823299</v>
      </c>
      <c r="H35" s="3">
        <v>16.359156200600498</v>
      </c>
      <c r="I35" s="3">
        <v>13.7725473729733</v>
      </c>
      <c r="J35" s="3">
        <v>16.8526198543498</v>
      </c>
      <c r="K35" s="3">
        <v>9.4153360938038304</v>
      </c>
      <c r="L35" s="3">
        <v>11.917932848063399</v>
      </c>
      <c r="M35" s="3">
        <v>14.9226015310397</v>
      </c>
      <c r="N35" s="3">
        <v>13.029975561157899</v>
      </c>
      <c r="O35" s="3">
        <v>18.408645165630901</v>
      </c>
      <c r="P35" s="3">
        <v>12.747642323745101</v>
      </c>
      <c r="Q35" s="3">
        <v>11.7195020579353</v>
      </c>
      <c r="R35" s="3">
        <v>14.6245556068467</v>
      </c>
      <c r="S35" s="3">
        <v>8.6064202095571893</v>
      </c>
      <c r="T35" s="3">
        <v>11.141552557661001</v>
      </c>
      <c r="U35" s="3">
        <v>15.6188320300996</v>
      </c>
      <c r="V35" s="3">
        <v>14.455366029334799</v>
      </c>
    </row>
    <row r="36" spans="1:22" x14ac:dyDescent="0.35">
      <c r="A36" s="2">
        <v>42957</v>
      </c>
      <c r="B36" s="3">
        <v>13.919120607299501</v>
      </c>
      <c r="C36" s="3">
        <v>17.5128420144217</v>
      </c>
      <c r="D36" s="3">
        <v>15.688293577918399</v>
      </c>
      <c r="E36" s="3">
        <v>16.418950123825699</v>
      </c>
      <c r="F36" s="3">
        <v>12.602220314753801</v>
      </c>
      <c r="G36" s="3">
        <v>12.604555370256699</v>
      </c>
      <c r="H36" s="3">
        <v>16.364497530763</v>
      </c>
      <c r="I36" s="3">
        <v>13.838690281886301</v>
      </c>
      <c r="J36" s="3">
        <v>17.027509062700599</v>
      </c>
      <c r="K36" s="3">
        <v>9.1709317955265508</v>
      </c>
      <c r="L36" s="3">
        <v>12.7446160102783</v>
      </c>
      <c r="M36" s="3">
        <v>15.856097954923801</v>
      </c>
      <c r="N36" s="3">
        <v>12.5773717788823</v>
      </c>
      <c r="O36" s="3">
        <v>18.466632411073899</v>
      </c>
      <c r="P36" s="3">
        <v>13.503017412497901</v>
      </c>
      <c r="Q36" s="3">
        <v>12.336931161235301</v>
      </c>
      <c r="R36" s="3">
        <v>14.6910499068305</v>
      </c>
      <c r="S36" s="3">
        <v>8.6921874645290398</v>
      </c>
      <c r="T36" s="3">
        <v>11.8751427311533</v>
      </c>
      <c r="U36" s="3">
        <v>16.0527254109066</v>
      </c>
      <c r="V36" s="3">
        <v>14.161771856140801</v>
      </c>
    </row>
    <row r="37" spans="1:22" x14ac:dyDescent="0.35">
      <c r="A37" s="2">
        <v>42986</v>
      </c>
      <c r="B37" s="3">
        <v>14.3561224409546</v>
      </c>
      <c r="C37" s="3">
        <v>18.622196208073898</v>
      </c>
      <c r="D37" s="3">
        <v>15.442496832235999</v>
      </c>
      <c r="E37" s="3">
        <v>16.8688543979884</v>
      </c>
      <c r="F37" s="3">
        <v>12.526570283124499</v>
      </c>
      <c r="G37" s="3">
        <v>12.4840667066387</v>
      </c>
      <c r="H37" s="3">
        <v>16.5187639759449</v>
      </c>
      <c r="I37" s="3">
        <v>13.9274134836079</v>
      </c>
      <c r="J37" s="3">
        <v>16.808644545203499</v>
      </c>
      <c r="K37" s="3">
        <v>9.0305230241522398</v>
      </c>
      <c r="L37" s="3">
        <v>13.619567370554501</v>
      </c>
      <c r="M37" s="3">
        <v>15.2965414886961</v>
      </c>
      <c r="N37" s="3">
        <v>11.3978233088629</v>
      </c>
      <c r="O37" s="3">
        <v>18.702986369193201</v>
      </c>
      <c r="P37" s="3">
        <v>13.096938066952299</v>
      </c>
      <c r="Q37" s="3">
        <v>11.143338154455799</v>
      </c>
      <c r="R37" s="3">
        <v>15.219636710120501</v>
      </c>
      <c r="S37" s="3">
        <v>8.5245832204921204</v>
      </c>
      <c r="T37" s="3">
        <v>11.4305532367092</v>
      </c>
      <c r="U37" s="3">
        <v>16.1124129048161</v>
      </c>
      <c r="V37" s="3">
        <v>14.0871574934562</v>
      </c>
    </row>
    <row r="38" spans="1:22" x14ac:dyDescent="0.35">
      <c r="A38" s="2">
        <v>43018</v>
      </c>
      <c r="B38" s="3">
        <v>14.3615591664816</v>
      </c>
      <c r="C38" s="3">
        <v>15.5199698074076</v>
      </c>
      <c r="D38" s="3">
        <v>15.575630570126799</v>
      </c>
      <c r="E38" s="3">
        <v>17.727190575047501</v>
      </c>
      <c r="F38" s="3">
        <v>12.3379151800782</v>
      </c>
      <c r="G38" s="3">
        <v>13.053171963106101</v>
      </c>
      <c r="H38" s="3">
        <v>16.183077016029301</v>
      </c>
      <c r="I38" s="3">
        <v>13.4736508432141</v>
      </c>
      <c r="J38" s="3">
        <v>16.506173301184901</v>
      </c>
      <c r="K38" s="3">
        <v>9.3530277830506794</v>
      </c>
      <c r="L38" s="3">
        <v>14.1556949644081</v>
      </c>
      <c r="M38" s="3">
        <v>15.4228722603746</v>
      </c>
      <c r="N38" s="3">
        <v>11.880022817736901</v>
      </c>
      <c r="O38" s="3">
        <v>18.589062459516601</v>
      </c>
      <c r="P38" s="3">
        <v>13.8513285783224</v>
      </c>
      <c r="Q38" s="3">
        <v>10.8279294238852</v>
      </c>
      <c r="R38" s="3">
        <v>15.734995703344</v>
      </c>
      <c r="S38" s="3">
        <v>7.9731648498677403</v>
      </c>
      <c r="T38" s="3">
        <v>11.286735945795201</v>
      </c>
      <c r="U38" s="3">
        <v>15.9502604312886</v>
      </c>
      <c r="V38" s="3">
        <v>13.222819789617899</v>
      </c>
    </row>
    <row r="39" spans="1:22" x14ac:dyDescent="0.35">
      <c r="A39" s="2">
        <v>43049</v>
      </c>
      <c r="B39" s="3">
        <v>14.817012496010699</v>
      </c>
      <c r="C39" s="3">
        <v>14.536714114944701</v>
      </c>
      <c r="D39" s="3">
        <v>15.409821059489399</v>
      </c>
      <c r="E39" s="3">
        <v>17.968607669941001</v>
      </c>
      <c r="F39" s="3">
        <v>11.9019149464258</v>
      </c>
      <c r="G39" s="3">
        <v>13.078545522816899</v>
      </c>
      <c r="H39" s="3">
        <v>15.820654230795</v>
      </c>
      <c r="I39" s="3">
        <v>13.774848886914199</v>
      </c>
      <c r="J39" s="3">
        <v>15.7616053352883</v>
      </c>
      <c r="K39" s="3">
        <v>9.4058704426617297</v>
      </c>
      <c r="L39" s="3">
        <v>12.9165489959071</v>
      </c>
      <c r="M39" s="3">
        <v>15.5218494584122</v>
      </c>
      <c r="N39" s="3">
        <v>11.8837365859588</v>
      </c>
      <c r="O39" s="3">
        <v>18.853388310957701</v>
      </c>
      <c r="P39" s="3">
        <v>13.9979139675736</v>
      </c>
      <c r="Q39" s="3">
        <v>10.8426013308344</v>
      </c>
      <c r="R39" s="3">
        <v>15.494241054476699</v>
      </c>
      <c r="S39" s="3">
        <v>8.2220484395599094</v>
      </c>
      <c r="T39" s="3">
        <v>10.865196048923099</v>
      </c>
      <c r="U39" s="3">
        <v>16.355064462693001</v>
      </c>
      <c r="V39" s="3">
        <v>13.0821735736309</v>
      </c>
    </row>
    <row r="40" spans="1:22" x14ac:dyDescent="0.35">
      <c r="A40" s="2">
        <v>43077</v>
      </c>
      <c r="B40" s="3">
        <v>13.814679058791601</v>
      </c>
      <c r="C40" s="3">
        <v>12.6204571616106</v>
      </c>
      <c r="D40" s="3">
        <v>15.158982623207599</v>
      </c>
      <c r="E40" s="3">
        <v>17.0841005931292</v>
      </c>
      <c r="F40" s="3">
        <v>11.615735884474301</v>
      </c>
      <c r="G40" s="3">
        <v>12.226103737776601</v>
      </c>
      <c r="H40" s="3">
        <v>15.850369092585399</v>
      </c>
      <c r="I40" s="3">
        <v>13.099385669501499</v>
      </c>
      <c r="J40" s="3">
        <v>15.5190786577061</v>
      </c>
      <c r="K40" s="3">
        <v>9.1110524522682699</v>
      </c>
      <c r="L40" s="3">
        <v>12.8550870586063</v>
      </c>
      <c r="M40" s="3">
        <v>14.353743499941</v>
      </c>
      <c r="N40" s="3">
        <v>12.7222139623142</v>
      </c>
      <c r="O40" s="3">
        <v>18.646725697595699</v>
      </c>
      <c r="P40" s="3">
        <v>13.227550134499401</v>
      </c>
      <c r="Q40" s="3">
        <v>10.8192026498128</v>
      </c>
      <c r="R40" s="3">
        <v>15.564910449113199</v>
      </c>
      <c r="S40" s="3">
        <v>8.0623649534014792</v>
      </c>
      <c r="T40" s="3">
        <v>10.747643143358999</v>
      </c>
      <c r="U40" s="3">
        <v>18.080725107482401</v>
      </c>
      <c r="V40" s="3">
        <v>13.1891686899917</v>
      </c>
    </row>
    <row r="41" spans="1:22" x14ac:dyDescent="0.35">
      <c r="A41" s="2">
        <v>43110</v>
      </c>
      <c r="B41" s="3">
        <v>14.292358838072699</v>
      </c>
      <c r="C41" s="3">
        <v>14.459055680334201</v>
      </c>
      <c r="D41" s="3">
        <v>15.8547889796971</v>
      </c>
      <c r="E41" s="3">
        <v>18.2350689017333</v>
      </c>
      <c r="F41" s="3">
        <v>12.1495755017354</v>
      </c>
      <c r="G41" s="3">
        <v>13.7815976700499</v>
      </c>
      <c r="H41" s="3">
        <v>16.688232164535101</v>
      </c>
      <c r="I41" s="3">
        <v>13.392550517001901</v>
      </c>
      <c r="J41" s="3">
        <v>15.7557468107109</v>
      </c>
      <c r="K41" s="3">
        <v>9.2117503776258296</v>
      </c>
      <c r="L41" s="3">
        <v>13.5742330666105</v>
      </c>
      <c r="M41" s="3">
        <v>14.990853169518701</v>
      </c>
      <c r="N41" s="3">
        <v>14.202316805679899</v>
      </c>
      <c r="O41" s="3">
        <v>19.188878871341601</v>
      </c>
      <c r="P41" s="3">
        <v>14.0769155485805</v>
      </c>
      <c r="Q41" s="3">
        <v>12.290738444601899</v>
      </c>
      <c r="R41" s="3">
        <v>16.239697108843199</v>
      </c>
      <c r="S41" s="3">
        <v>8.0375627654465998</v>
      </c>
      <c r="T41" s="3">
        <v>11.5167987038948</v>
      </c>
      <c r="U41" s="3">
        <v>20.212761957742298</v>
      </c>
      <c r="V41" s="3">
        <v>13.5503015265698</v>
      </c>
    </row>
    <row r="42" spans="1:22" x14ac:dyDescent="0.35">
      <c r="A42" s="2">
        <v>43140</v>
      </c>
      <c r="B42" s="3">
        <v>12.736600656458601</v>
      </c>
      <c r="C42" s="3">
        <v>14.014830363394699</v>
      </c>
      <c r="D42" s="3">
        <v>15.3782153882724</v>
      </c>
      <c r="E42" s="3">
        <v>17.019629739812402</v>
      </c>
      <c r="F42" s="3">
        <v>11.580779540241901</v>
      </c>
      <c r="G42" s="3">
        <v>12.839889349912699</v>
      </c>
      <c r="H42" s="3">
        <v>16.5197852005975</v>
      </c>
      <c r="I42" s="3">
        <v>12.9131056418128</v>
      </c>
      <c r="J42" s="3">
        <v>15.290315944770599</v>
      </c>
      <c r="K42" s="3">
        <v>8.6946243009474102</v>
      </c>
      <c r="L42" s="3">
        <v>13.2597571582226</v>
      </c>
      <c r="M42" s="3">
        <v>14.178961477447899</v>
      </c>
      <c r="N42" s="3">
        <v>14.1345746316748</v>
      </c>
      <c r="O42" s="3">
        <v>18.4812762931262</v>
      </c>
      <c r="P42" s="3">
        <v>12.498551699696099</v>
      </c>
      <c r="Q42" s="3">
        <v>11.486845767270999</v>
      </c>
      <c r="R42" s="3">
        <v>15.912134856811599</v>
      </c>
      <c r="S42" s="3">
        <v>7.8358370985705097</v>
      </c>
      <c r="T42" s="3">
        <v>11.2640769597506</v>
      </c>
      <c r="U42" s="3">
        <v>19.154049145310001</v>
      </c>
      <c r="V42" s="3">
        <v>13.5541507451612</v>
      </c>
    </row>
    <row r="43" spans="1:22" x14ac:dyDescent="0.35">
      <c r="A43" s="2">
        <v>43168</v>
      </c>
      <c r="B43" s="3">
        <v>13.4586478616494</v>
      </c>
      <c r="C43" s="3">
        <v>14.314504241856399</v>
      </c>
      <c r="D43" s="3">
        <v>14.9681836153253</v>
      </c>
      <c r="E43" s="3">
        <v>16.952530861463199</v>
      </c>
      <c r="F43" s="3">
        <v>11.423863710175601</v>
      </c>
      <c r="G43" s="3">
        <v>13.867328273885599</v>
      </c>
      <c r="H43" s="3">
        <v>16.280031378044399</v>
      </c>
      <c r="I43" s="3">
        <v>13.512188948138601</v>
      </c>
      <c r="J43" s="3">
        <v>15.6695632291325</v>
      </c>
      <c r="K43" s="3">
        <v>9.0394048526485893</v>
      </c>
      <c r="L43" s="3">
        <v>13.2363577937301</v>
      </c>
      <c r="M43" s="3">
        <v>15.455019454650101</v>
      </c>
      <c r="N43" s="3">
        <v>14.1137913616649</v>
      </c>
      <c r="O43" s="3">
        <v>17.9564508649568</v>
      </c>
      <c r="P43" s="3">
        <v>13.3948717793764</v>
      </c>
      <c r="Q43" s="3">
        <v>10.4226705099094</v>
      </c>
      <c r="R43" s="3">
        <v>15.400592344523799</v>
      </c>
      <c r="S43" s="3">
        <v>7.9658721466278903</v>
      </c>
      <c r="T43" s="3">
        <v>11.1967117106629</v>
      </c>
      <c r="U43" s="3">
        <v>20.8035889016322</v>
      </c>
      <c r="V43" s="3">
        <v>13.8908146363295</v>
      </c>
    </row>
    <row r="44" spans="1:22" x14ac:dyDescent="0.35">
      <c r="A44" s="2">
        <v>43200</v>
      </c>
      <c r="B44" s="3">
        <v>12.7908332889248</v>
      </c>
      <c r="C44" s="3">
        <v>13.781142671238801</v>
      </c>
      <c r="D44" s="3">
        <v>14.9399488459312</v>
      </c>
      <c r="E44" s="3">
        <v>15.891040698232199</v>
      </c>
      <c r="F44" s="3">
        <v>11.259904846546201</v>
      </c>
      <c r="G44" s="3">
        <v>13.8708032293465</v>
      </c>
      <c r="H44" s="3">
        <v>16.450183765034001</v>
      </c>
      <c r="I44" s="3">
        <v>13.4794398373423</v>
      </c>
      <c r="J44" s="3">
        <v>15.6090849830458</v>
      </c>
      <c r="K44" s="3">
        <v>8.8993957317078003</v>
      </c>
      <c r="L44" s="3">
        <v>12.7188394699408</v>
      </c>
      <c r="M44" s="3">
        <v>15.249344200307201</v>
      </c>
      <c r="N44" s="3">
        <v>13.9586495219519</v>
      </c>
      <c r="O44" s="3">
        <v>18.1524023559585</v>
      </c>
      <c r="P44" s="3">
        <v>12.725756370239701</v>
      </c>
      <c r="Q44" s="3">
        <v>11.5064581164324</v>
      </c>
      <c r="R44" s="3">
        <v>15.105959056943499</v>
      </c>
      <c r="S44" s="3">
        <v>7.3936276099910998</v>
      </c>
      <c r="T44" s="3">
        <v>11.3751664028375</v>
      </c>
      <c r="U44" s="3">
        <v>21.748743955492099</v>
      </c>
      <c r="V44" s="3">
        <v>14.7278522387221</v>
      </c>
    </row>
    <row r="45" spans="1:22" x14ac:dyDescent="0.35">
      <c r="A45" s="2">
        <v>43230</v>
      </c>
      <c r="B45" s="3">
        <v>11.968620367489899</v>
      </c>
      <c r="C45" s="3">
        <v>13.4113625139861</v>
      </c>
      <c r="D45" s="3">
        <v>13.625418581109001</v>
      </c>
      <c r="E45" s="3">
        <v>15.714490206146101</v>
      </c>
      <c r="F45" s="3">
        <v>11.422179215436801</v>
      </c>
      <c r="G45" s="3">
        <v>13.738678526852</v>
      </c>
      <c r="H45" s="3">
        <v>16.1650576316624</v>
      </c>
      <c r="I45" s="3">
        <v>13.394592308655501</v>
      </c>
      <c r="J45" s="3">
        <v>14.8766727130423</v>
      </c>
      <c r="K45" s="3">
        <v>8.8430664212385697</v>
      </c>
      <c r="L45" s="3">
        <v>12.571894589441699</v>
      </c>
      <c r="M45" s="3">
        <v>15.153938464691601</v>
      </c>
      <c r="N45" s="3">
        <v>14.7327867017353</v>
      </c>
      <c r="O45" s="3">
        <v>18.391806429168199</v>
      </c>
      <c r="P45" s="3">
        <v>12.6733308450275</v>
      </c>
      <c r="Q45" s="3">
        <v>11.0137609647053</v>
      </c>
      <c r="R45" s="3">
        <v>14.9014818045783</v>
      </c>
      <c r="S45" s="3">
        <v>6.7385344958351299</v>
      </c>
      <c r="T45" s="3">
        <v>10.5892266596366</v>
      </c>
      <c r="U45" s="3">
        <v>20.112390062260999</v>
      </c>
      <c r="V45" s="3">
        <v>14.480135560733601</v>
      </c>
    </row>
    <row r="46" spans="1:22" x14ac:dyDescent="0.35">
      <c r="A46" s="2">
        <v>43259</v>
      </c>
      <c r="B46" s="3">
        <v>11.719548095842899</v>
      </c>
      <c r="C46" s="3">
        <v>12.3338419375744</v>
      </c>
      <c r="D46" s="3">
        <v>13.366046901976</v>
      </c>
      <c r="E46" s="3">
        <v>16.189840899557499</v>
      </c>
      <c r="F46" s="3">
        <v>10.974958513510501</v>
      </c>
      <c r="G46" s="3">
        <v>13.1647708681576</v>
      </c>
      <c r="H46" s="3">
        <v>16.243873828833198</v>
      </c>
      <c r="I46" s="3">
        <v>13.7702781625516</v>
      </c>
      <c r="J46" s="3">
        <v>14.4207671934559</v>
      </c>
      <c r="K46" s="3">
        <v>8.8906727849606</v>
      </c>
      <c r="L46" s="3">
        <v>10.751798861546799</v>
      </c>
      <c r="M46" s="3">
        <v>14.4624183012416</v>
      </c>
      <c r="N46" s="3">
        <v>14.420115900517301</v>
      </c>
      <c r="O46" s="3">
        <v>18.714176654131599</v>
      </c>
      <c r="P46" s="3">
        <v>12.7122595348219</v>
      </c>
      <c r="Q46" s="3">
        <v>11.5817420638274</v>
      </c>
      <c r="R46" s="3">
        <v>15.009093335618401</v>
      </c>
      <c r="S46" s="3">
        <v>6.2624157270706702</v>
      </c>
      <c r="T46" s="3">
        <v>11.0649849717152</v>
      </c>
      <c r="U46" s="3">
        <v>20.402667106156599</v>
      </c>
      <c r="V46" s="3">
        <v>15.2380129083984</v>
      </c>
    </row>
    <row r="47" spans="1:22" x14ac:dyDescent="0.35">
      <c r="A47" s="2">
        <v>43291</v>
      </c>
      <c r="B47" s="3">
        <v>10.6644032074457</v>
      </c>
      <c r="C47" s="3">
        <v>11.655823018091599</v>
      </c>
      <c r="D47" s="3">
        <v>12.8513376636126</v>
      </c>
      <c r="E47" s="3">
        <v>14.7925653489186</v>
      </c>
      <c r="F47" s="3">
        <v>10.507579247314</v>
      </c>
      <c r="G47" s="3">
        <v>13.4957998444899</v>
      </c>
      <c r="H47" s="3">
        <v>15.3732561489101</v>
      </c>
      <c r="I47" s="3">
        <v>13.2280375660518</v>
      </c>
      <c r="J47" s="3">
        <v>15.588971416783499</v>
      </c>
      <c r="K47" s="3">
        <v>8.3305011317762503</v>
      </c>
      <c r="L47" s="3">
        <v>10.7040200470648</v>
      </c>
      <c r="M47" s="3">
        <v>14.239163733422499</v>
      </c>
      <c r="N47" s="3">
        <v>14.6971305239939</v>
      </c>
      <c r="O47" s="3">
        <v>18.670475821558298</v>
      </c>
      <c r="P47" s="3">
        <v>11.7988190725516</v>
      </c>
      <c r="Q47" s="3">
        <v>11.5303816645292</v>
      </c>
      <c r="R47" s="3">
        <v>14.2519177723743</v>
      </c>
      <c r="S47" s="3">
        <v>6.2722286627351096</v>
      </c>
      <c r="T47" s="3">
        <v>11.0555246603685</v>
      </c>
      <c r="U47" s="3">
        <v>16.353452272965601</v>
      </c>
      <c r="V47" s="3">
        <v>15.0853675255296</v>
      </c>
    </row>
    <row r="48" spans="1:22" x14ac:dyDescent="0.35">
      <c r="A48" s="2">
        <v>43322</v>
      </c>
      <c r="B48" s="3">
        <v>10.245437002065801</v>
      </c>
      <c r="C48" s="3">
        <v>11.7260934978313</v>
      </c>
      <c r="D48" s="3">
        <v>13.9944468153982</v>
      </c>
      <c r="E48" s="3">
        <v>15.8902821043236</v>
      </c>
      <c r="F48" s="3">
        <v>10.8342605649138</v>
      </c>
      <c r="G48" s="3">
        <v>14.043328928324801</v>
      </c>
      <c r="H48" s="3">
        <v>16.5038169333639</v>
      </c>
      <c r="I48" s="3">
        <v>13.5450140796288</v>
      </c>
      <c r="J48" s="3">
        <v>14.9249159549307</v>
      </c>
      <c r="K48" s="3">
        <v>8.2221451667098009</v>
      </c>
      <c r="L48" s="3">
        <v>10.779088899750001</v>
      </c>
      <c r="M48" s="3">
        <v>13.6774057733164</v>
      </c>
      <c r="N48" s="3">
        <v>15.134182901905699</v>
      </c>
      <c r="O48" s="3">
        <v>19.6108023954956</v>
      </c>
      <c r="P48" s="3">
        <v>11.6534042330526</v>
      </c>
      <c r="Q48" s="3">
        <v>12.4910697624926</v>
      </c>
      <c r="R48" s="3">
        <v>14.7854511924201</v>
      </c>
      <c r="S48" s="3">
        <v>6.0886247762773404</v>
      </c>
      <c r="T48" s="3">
        <v>11.142660166472</v>
      </c>
      <c r="U48" s="3">
        <v>17.7730805053864</v>
      </c>
      <c r="V48" s="3">
        <v>14.461019373730499</v>
      </c>
    </row>
    <row r="49" spans="1:22" x14ac:dyDescent="0.35">
      <c r="A49" s="2">
        <v>43353</v>
      </c>
      <c r="B49" s="3">
        <v>9.9485731726939104</v>
      </c>
      <c r="C49" s="3">
        <v>11.4915485648781</v>
      </c>
      <c r="D49" s="3">
        <v>13.1549734262362</v>
      </c>
      <c r="E49" s="3">
        <v>14.636783650091999</v>
      </c>
      <c r="F49" s="3">
        <v>10.690701213733901</v>
      </c>
      <c r="G49" s="3">
        <v>12.2826768721281</v>
      </c>
      <c r="H49" s="3">
        <v>16.4953724657428</v>
      </c>
      <c r="I49" s="3">
        <v>12.987925664010399</v>
      </c>
      <c r="J49" s="3">
        <v>14.9302452470861</v>
      </c>
      <c r="K49" s="3">
        <v>8.2073933114533109</v>
      </c>
      <c r="L49" s="3">
        <v>10.633642106813999</v>
      </c>
      <c r="M49" s="3">
        <v>13.081137168786499</v>
      </c>
      <c r="N49" s="3">
        <v>14.485307280952499</v>
      </c>
      <c r="O49" s="3">
        <v>19.711925113292601</v>
      </c>
      <c r="P49" s="3">
        <v>10.7090991067518</v>
      </c>
      <c r="Q49" s="3">
        <v>12.6055118547447</v>
      </c>
      <c r="R49" s="3">
        <v>14.5129893013191</v>
      </c>
      <c r="S49" s="3">
        <v>5.8285256651468798</v>
      </c>
      <c r="T49" s="3">
        <v>12.350978769963501</v>
      </c>
      <c r="U49" s="3">
        <v>17.395608215714599</v>
      </c>
      <c r="V49" s="3">
        <v>13.6063151748724</v>
      </c>
    </row>
    <row r="50" spans="1:22" x14ac:dyDescent="0.35">
      <c r="A50" s="2">
        <v>43383</v>
      </c>
      <c r="B50" s="3">
        <v>10.050312081835401</v>
      </c>
      <c r="C50" s="3">
        <v>15.816967238473801</v>
      </c>
      <c r="D50" s="3">
        <v>13.2662513097727</v>
      </c>
      <c r="E50" s="3">
        <v>13.4045582604621</v>
      </c>
      <c r="F50" s="3">
        <v>10.4653627667244</v>
      </c>
      <c r="G50" s="3">
        <v>12.9684549247629</v>
      </c>
      <c r="H50" s="3">
        <v>15.7624915034816</v>
      </c>
      <c r="I50" s="3">
        <v>12.611436882642099</v>
      </c>
      <c r="J50" s="3">
        <v>14.560664644747201</v>
      </c>
      <c r="K50" s="3">
        <v>8.1086202123932303</v>
      </c>
      <c r="L50" s="3">
        <v>10.845127161995199</v>
      </c>
      <c r="M50" s="3">
        <v>12.077501242235501</v>
      </c>
      <c r="N50" s="3">
        <v>12.5060532214251</v>
      </c>
      <c r="O50" s="3">
        <v>17.490720476087098</v>
      </c>
      <c r="P50" s="3">
        <v>10.217192915948999</v>
      </c>
      <c r="Q50" s="3">
        <v>12.529335117914</v>
      </c>
      <c r="R50" s="3">
        <v>14.7113119097822</v>
      </c>
      <c r="S50" s="3">
        <v>5.9507497601208899</v>
      </c>
      <c r="T50" s="3">
        <v>11.842355071902199</v>
      </c>
      <c r="U50" s="3">
        <v>15.723598902143699</v>
      </c>
      <c r="V50" s="3">
        <v>13.8545957461643</v>
      </c>
    </row>
    <row r="51" spans="1:22" x14ac:dyDescent="0.35">
      <c r="A51" s="2">
        <v>43413</v>
      </c>
      <c r="B51" s="3">
        <v>9.77769415651691</v>
      </c>
      <c r="C51" s="3">
        <v>15.0969721224767</v>
      </c>
      <c r="D51" s="3">
        <v>13.391879741511399</v>
      </c>
      <c r="E51" s="3">
        <v>13.4480659458884</v>
      </c>
      <c r="F51" s="3">
        <v>10.5070537184593</v>
      </c>
      <c r="G51" s="3">
        <v>13.0883556163768</v>
      </c>
      <c r="H51" s="3">
        <v>15.7269475937354</v>
      </c>
      <c r="I51" s="3">
        <v>12.2221251370238</v>
      </c>
      <c r="J51" s="3">
        <v>13.1675445324019</v>
      </c>
      <c r="K51" s="3">
        <v>7.9234991862595203</v>
      </c>
      <c r="L51" s="3">
        <v>11.2970466473152</v>
      </c>
      <c r="M51" s="3">
        <v>12.4650728526041</v>
      </c>
      <c r="N51" s="3">
        <v>12.329926210765199</v>
      </c>
      <c r="O51" s="3">
        <v>17.966154594451801</v>
      </c>
      <c r="P51" s="3">
        <v>10.2732478278699</v>
      </c>
      <c r="Q51" s="3">
        <v>12.8954170756591</v>
      </c>
      <c r="R51" s="3">
        <v>14.308988451354701</v>
      </c>
      <c r="S51" s="3">
        <v>5.6822704595117504</v>
      </c>
      <c r="T51" s="3">
        <v>12.1149891117176</v>
      </c>
      <c r="U51" s="3">
        <v>15.420581925912201</v>
      </c>
      <c r="V51" s="3">
        <v>13.630671985311601</v>
      </c>
    </row>
    <row r="52" spans="1:22" x14ac:dyDescent="0.35">
      <c r="A52" s="2">
        <v>43444</v>
      </c>
      <c r="B52" s="3">
        <v>9.8061446616479504</v>
      </c>
      <c r="C52" s="3">
        <v>14.442956708620899</v>
      </c>
      <c r="D52" s="3">
        <v>13.9416744625932</v>
      </c>
      <c r="E52" s="3">
        <v>14.3433024376508</v>
      </c>
      <c r="F52" s="3">
        <v>10.5638261329301</v>
      </c>
      <c r="G52" s="3">
        <v>13.1509001108661</v>
      </c>
      <c r="H52" s="3">
        <v>15.720372758997801</v>
      </c>
      <c r="I52" s="3">
        <v>12.1347409113454</v>
      </c>
      <c r="J52" s="3">
        <v>12.327880760110499</v>
      </c>
      <c r="K52" s="3">
        <v>7.9392242506240098</v>
      </c>
      <c r="L52" s="3">
        <v>11.461202565569399</v>
      </c>
      <c r="M52" s="3">
        <v>12.1026957585009</v>
      </c>
      <c r="N52" s="3">
        <v>12.340015961878001</v>
      </c>
      <c r="O52" s="3">
        <v>17.483978471744901</v>
      </c>
      <c r="P52" s="3">
        <v>10.4548924501395</v>
      </c>
      <c r="Q52" s="3">
        <v>13.0951711056961</v>
      </c>
      <c r="R52" s="3">
        <v>14.2170962510584</v>
      </c>
      <c r="S52" s="3">
        <v>5.9654487755794401</v>
      </c>
      <c r="T52" s="3">
        <v>10.853160682671099</v>
      </c>
      <c r="U52" s="3">
        <v>15.817260656324301</v>
      </c>
      <c r="V52" s="3">
        <v>14.116764445356701</v>
      </c>
    </row>
    <row r="53" spans="1:22" x14ac:dyDescent="0.35">
      <c r="A53" s="2">
        <v>43475</v>
      </c>
      <c r="B53" s="3">
        <v>9.6190617169848505</v>
      </c>
      <c r="C53" s="3">
        <v>8.9912170886348708</v>
      </c>
      <c r="D53" s="3">
        <v>14.469422158709801</v>
      </c>
      <c r="E53" s="3">
        <v>15.744696079369399</v>
      </c>
      <c r="F53" s="3">
        <v>10.766458559396799</v>
      </c>
      <c r="G53" s="3">
        <v>13.8020065726553</v>
      </c>
      <c r="H53" s="3">
        <v>16.024859027717</v>
      </c>
      <c r="I53" s="3">
        <v>12.725256585597799</v>
      </c>
      <c r="J53" s="3">
        <v>13.048636836941601</v>
      </c>
      <c r="K53" s="3">
        <v>8.6987161504303891</v>
      </c>
      <c r="L53" s="3">
        <v>12.557115309250401</v>
      </c>
      <c r="M53" s="3">
        <v>12.885174359328399</v>
      </c>
      <c r="N53" s="3">
        <v>11.177207608557501</v>
      </c>
      <c r="O53" s="3">
        <v>17.771863329155</v>
      </c>
      <c r="P53" s="3">
        <v>10.455364212727</v>
      </c>
      <c r="Q53" s="3">
        <v>13.309859421991201</v>
      </c>
      <c r="R53" s="3">
        <v>13.791269678717899</v>
      </c>
      <c r="S53" s="3">
        <v>6.0302555166130896</v>
      </c>
      <c r="T53" s="3">
        <v>11.0125045506154</v>
      </c>
      <c r="U53" s="3">
        <v>14.776373622884099</v>
      </c>
      <c r="V53" s="3">
        <v>15.1027727608771</v>
      </c>
    </row>
    <row r="54" spans="1:22" x14ac:dyDescent="0.35">
      <c r="A54" s="2">
        <v>43504</v>
      </c>
      <c r="B54" s="3">
        <v>10.2145521305833</v>
      </c>
      <c r="C54" s="3">
        <v>8.8599259166194102</v>
      </c>
      <c r="D54" s="3">
        <v>14.7515494748775</v>
      </c>
      <c r="E54" s="3">
        <v>15.6537647849892</v>
      </c>
      <c r="F54" s="3">
        <v>10.770557664767001</v>
      </c>
      <c r="G54" s="3">
        <v>15.7004663051304</v>
      </c>
      <c r="H54" s="3">
        <v>16.216282488899601</v>
      </c>
      <c r="I54" s="3">
        <v>13.5442639121823</v>
      </c>
      <c r="J54" s="3">
        <v>13.055453784367</v>
      </c>
      <c r="K54" s="3">
        <v>10.0657981442218</v>
      </c>
      <c r="L54" s="3">
        <v>12.7009184668341</v>
      </c>
      <c r="M54" s="3">
        <v>12.803640504164701</v>
      </c>
      <c r="N54" s="3">
        <v>11.453486801708401</v>
      </c>
      <c r="O54" s="3">
        <v>18.355136764267701</v>
      </c>
      <c r="P54" s="3">
        <v>11.097391832245</v>
      </c>
      <c r="Q54" s="3">
        <v>13.102312720375901</v>
      </c>
      <c r="R54" s="3">
        <v>14.638920920747699</v>
      </c>
      <c r="S54" s="3">
        <v>7.0785462535969597</v>
      </c>
      <c r="T54" s="3">
        <v>11.022895449912101</v>
      </c>
      <c r="U54" s="3">
        <v>15.0596988679156</v>
      </c>
      <c r="V54" s="3">
        <v>16.1648010892999</v>
      </c>
    </row>
    <row r="55" spans="1:22" x14ac:dyDescent="0.35">
      <c r="A55" s="2">
        <v>43532</v>
      </c>
      <c r="B55" s="3">
        <v>11.241062559551599</v>
      </c>
      <c r="C55" s="3">
        <v>8.8567653016233407</v>
      </c>
      <c r="D55" s="3">
        <v>14.272439768710299</v>
      </c>
      <c r="E55" s="3">
        <v>15.1565479269925</v>
      </c>
      <c r="F55" s="3">
        <v>10.5349831753496</v>
      </c>
      <c r="G55" s="3">
        <v>15.225292008932399</v>
      </c>
      <c r="H55" s="3">
        <v>16.421799803957001</v>
      </c>
      <c r="I55" s="3">
        <v>14.0593341164726</v>
      </c>
      <c r="J55" s="3">
        <v>12.4889192955662</v>
      </c>
      <c r="K55" s="3">
        <v>10.117183396875101</v>
      </c>
      <c r="L55" s="3">
        <v>12.153870909628999</v>
      </c>
      <c r="M55" s="3">
        <v>12.775033747086701</v>
      </c>
      <c r="N55" s="3">
        <v>12.5967530571035</v>
      </c>
      <c r="O55" s="3">
        <v>18.456425543509798</v>
      </c>
      <c r="P55" s="3">
        <v>11.3827060574123</v>
      </c>
      <c r="Q55" s="3">
        <v>12.2304653185332</v>
      </c>
      <c r="R55" s="3">
        <v>14.786144288659001</v>
      </c>
      <c r="S55" s="3">
        <v>7.1762358458132596</v>
      </c>
      <c r="T55" s="3">
        <v>11.6038510561587</v>
      </c>
      <c r="U55" s="3">
        <v>16.9796768785409</v>
      </c>
      <c r="V55" s="3">
        <v>15.987708583435101</v>
      </c>
    </row>
    <row r="56" spans="1:22" x14ac:dyDescent="0.35">
      <c r="A56" s="2">
        <v>43565</v>
      </c>
      <c r="B56" s="3">
        <v>12.330470866721599</v>
      </c>
      <c r="C56" s="3">
        <v>8.5414504176994708</v>
      </c>
      <c r="D56" s="3">
        <v>14.292384433104001</v>
      </c>
      <c r="E56" s="3">
        <v>15.430320412836799</v>
      </c>
      <c r="F56" s="3">
        <v>11.3426533624038</v>
      </c>
      <c r="G56" s="3">
        <v>15.515843710451101</v>
      </c>
      <c r="H56" s="3">
        <v>16.1029751453564</v>
      </c>
      <c r="I56" s="3">
        <v>15.040029684657201</v>
      </c>
      <c r="J56" s="3">
        <v>13.564740243251199</v>
      </c>
      <c r="K56" s="3">
        <v>11.2217295688897</v>
      </c>
      <c r="L56" s="3">
        <v>11.8103126969594</v>
      </c>
      <c r="M56" s="3">
        <v>13.6005669888934</v>
      </c>
      <c r="N56" s="3">
        <v>13.835650554674601</v>
      </c>
      <c r="O56" s="3">
        <v>18.891295144178901</v>
      </c>
      <c r="P56" s="3">
        <v>12.3357408469075</v>
      </c>
      <c r="Q56" s="3">
        <v>12.875929755078101</v>
      </c>
      <c r="R56" s="3">
        <v>14.983724084481899</v>
      </c>
      <c r="S56" s="3">
        <v>6.3321186954061304</v>
      </c>
      <c r="T56" s="3">
        <v>11.775709447531201</v>
      </c>
      <c r="U56" s="3">
        <v>17.929020204708898</v>
      </c>
      <c r="V56" s="3">
        <v>17.1134160752298</v>
      </c>
    </row>
    <row r="57" spans="1:22" x14ac:dyDescent="0.35">
      <c r="A57" s="2">
        <v>43595</v>
      </c>
      <c r="B57" s="3">
        <v>11.218985461214499</v>
      </c>
      <c r="C57" s="3">
        <v>9.1924288485157195</v>
      </c>
      <c r="D57" s="3">
        <v>13.3601404252896</v>
      </c>
      <c r="E57" s="3">
        <v>14.984675473754701</v>
      </c>
      <c r="F57" s="3">
        <v>10.317554654254099</v>
      </c>
      <c r="G57" s="3">
        <v>13.4642005692872</v>
      </c>
      <c r="H57" s="3">
        <v>15.736739071184401</v>
      </c>
      <c r="I57" s="3">
        <v>14.9186225893336</v>
      </c>
      <c r="J57" s="3">
        <v>13.0776909821447</v>
      </c>
      <c r="K57" s="3">
        <v>10.789548747504501</v>
      </c>
      <c r="L57" s="3">
        <v>11.5356317019292</v>
      </c>
      <c r="M57" s="3">
        <v>13.3052816398736</v>
      </c>
      <c r="N57" s="3">
        <v>12.9353551844085</v>
      </c>
      <c r="O57" s="3">
        <v>18.231551672389401</v>
      </c>
      <c r="P57" s="3">
        <v>11.533645971146001</v>
      </c>
      <c r="Q57" s="3">
        <v>12.648260228696101</v>
      </c>
      <c r="R57" s="3">
        <v>14.9031365922999</v>
      </c>
      <c r="S57" s="3">
        <v>5.73617572916522</v>
      </c>
      <c r="T57" s="3">
        <v>11.2955849666067</v>
      </c>
      <c r="U57" s="3">
        <v>17.399313796549698</v>
      </c>
      <c r="V57" s="3">
        <v>16.534799414020199</v>
      </c>
    </row>
    <row r="58" spans="1:22" x14ac:dyDescent="0.35">
      <c r="A58" s="2">
        <v>43626</v>
      </c>
      <c r="B58" s="3">
        <v>11.215920655422901</v>
      </c>
      <c r="C58" s="3">
        <v>8.2515031572363</v>
      </c>
      <c r="D58" s="3">
        <v>13.9072249244335</v>
      </c>
      <c r="E58" s="3">
        <v>15.5491059025368</v>
      </c>
      <c r="F58" s="3">
        <v>10.6115645613854</v>
      </c>
      <c r="G58" s="3">
        <v>13.2642200659553</v>
      </c>
      <c r="H58" s="3">
        <v>16.585120409148601</v>
      </c>
      <c r="I58" s="3">
        <v>14.6334022894491</v>
      </c>
      <c r="J58" s="3">
        <v>13.118921567138299</v>
      </c>
      <c r="K58" s="3">
        <v>10.940818487222501</v>
      </c>
      <c r="L58" s="3">
        <v>12.056634902327501</v>
      </c>
      <c r="M58" s="3">
        <v>13.2616514475648</v>
      </c>
      <c r="N58" s="3">
        <v>14.066554213063201</v>
      </c>
      <c r="O58" s="3">
        <v>19.238421491755101</v>
      </c>
      <c r="P58" s="3">
        <v>11.1337499799718</v>
      </c>
      <c r="Q58" s="3">
        <v>13.2134198624712</v>
      </c>
      <c r="R58" s="3">
        <v>15.190260137401699</v>
      </c>
      <c r="S58" s="3">
        <v>6.1620753551049603</v>
      </c>
      <c r="T58" s="3">
        <v>11.8374474764527</v>
      </c>
      <c r="U58" s="3">
        <v>16.852071008521499</v>
      </c>
      <c r="V58" s="3">
        <v>16.6743402082679</v>
      </c>
    </row>
    <row r="59" spans="1:22" x14ac:dyDescent="0.35">
      <c r="A59" s="2">
        <v>43656</v>
      </c>
      <c r="B59" s="3">
        <v>11.5801013168903</v>
      </c>
      <c r="C59" s="3">
        <v>8.8757297258471404</v>
      </c>
      <c r="D59" s="3">
        <v>14.3196769865213</v>
      </c>
      <c r="E59" s="3">
        <v>15.4869286354955</v>
      </c>
      <c r="F59" s="3">
        <v>10.810582916434999</v>
      </c>
      <c r="G59" s="3">
        <v>13.6392799571076</v>
      </c>
      <c r="H59" s="3">
        <v>16.729205354236999</v>
      </c>
      <c r="I59" s="3">
        <v>15.0606003863886</v>
      </c>
      <c r="J59" s="3">
        <v>12.870790963368</v>
      </c>
      <c r="K59" s="3">
        <v>11.115639420747</v>
      </c>
      <c r="L59" s="3">
        <v>12.901102968394101</v>
      </c>
      <c r="M59" s="3">
        <v>13.0212813245272</v>
      </c>
      <c r="N59" s="3">
        <v>14.1133818279576</v>
      </c>
      <c r="O59" s="3">
        <v>18.2888853928591</v>
      </c>
      <c r="P59" s="3">
        <v>11.3477940316209</v>
      </c>
      <c r="Q59" s="3">
        <v>13.2243923337412</v>
      </c>
      <c r="R59" s="3">
        <v>15.9070569649666</v>
      </c>
      <c r="S59" s="3">
        <v>6.4038363658347102</v>
      </c>
      <c r="T59" s="3">
        <v>12.334432707323201</v>
      </c>
      <c r="U59" s="3">
        <v>16.4815856930318</v>
      </c>
      <c r="V59" s="3">
        <v>16.407515473279901</v>
      </c>
    </row>
    <row r="60" spans="1:22" x14ac:dyDescent="0.35">
      <c r="A60" s="2">
        <v>43686</v>
      </c>
      <c r="B60" s="3">
        <v>11.0060162491688</v>
      </c>
      <c r="C60" s="3">
        <v>8.7625789388589403</v>
      </c>
      <c r="D60" s="3">
        <v>14.6632004749149</v>
      </c>
      <c r="E60" s="3">
        <v>14.848885171201999</v>
      </c>
      <c r="F60" s="3">
        <v>9.78955048198908</v>
      </c>
      <c r="G60" s="3">
        <v>14.459485388230201</v>
      </c>
      <c r="H60" s="3">
        <v>16.085921746780102</v>
      </c>
      <c r="I60" s="3">
        <v>14.539500514497</v>
      </c>
      <c r="J60" s="3">
        <v>12.440383374062201</v>
      </c>
      <c r="K60" s="3">
        <v>10.524632365838899</v>
      </c>
      <c r="L60" s="3">
        <v>12.9395675249283</v>
      </c>
      <c r="M60" s="3">
        <v>12.1736443738167</v>
      </c>
      <c r="N60" s="3">
        <v>12.752148648039499</v>
      </c>
      <c r="O60" s="3">
        <v>18.218794745297998</v>
      </c>
      <c r="P60" s="3">
        <v>10.7908499679119</v>
      </c>
      <c r="Q60" s="3">
        <v>12.529476639360899</v>
      </c>
      <c r="R60" s="3">
        <v>15.146410465552</v>
      </c>
      <c r="S60" s="3">
        <v>6.4229318119965804</v>
      </c>
      <c r="T60" s="3">
        <v>12.289419178443801</v>
      </c>
      <c r="U60" s="3">
        <v>15.266402739669299</v>
      </c>
      <c r="V60" s="3">
        <v>16.666718655604502</v>
      </c>
    </row>
    <row r="61" spans="1:22" x14ac:dyDescent="0.35">
      <c r="A61" s="2">
        <v>43718</v>
      </c>
      <c r="B61" s="3">
        <v>12.0463293978195</v>
      </c>
      <c r="C61" s="3">
        <v>9.1712280925488905</v>
      </c>
      <c r="D61" s="3">
        <v>14.771535550252899</v>
      </c>
      <c r="E61" s="3">
        <v>14.0223684534015</v>
      </c>
      <c r="F61" s="3">
        <v>9.9892553139465505</v>
      </c>
      <c r="G61" s="3">
        <v>13.9888648401488</v>
      </c>
      <c r="H61" s="3">
        <v>16.078186252559799</v>
      </c>
      <c r="I61" s="3">
        <v>15.0234275074754</v>
      </c>
      <c r="J61" s="3">
        <v>13.234231068605901</v>
      </c>
      <c r="K61" s="3">
        <v>10.930637968153899</v>
      </c>
      <c r="L61" s="3">
        <v>12.8561576828945</v>
      </c>
      <c r="M61" s="3">
        <v>12.094106262513</v>
      </c>
      <c r="N61" s="3">
        <v>13.7893445368349</v>
      </c>
      <c r="O61" s="3">
        <v>18.1639108210396</v>
      </c>
      <c r="P61" s="3">
        <v>11.399083987187</v>
      </c>
      <c r="Q61" s="3">
        <v>13.3009255122398</v>
      </c>
      <c r="R61" s="3">
        <v>15.639003729528801</v>
      </c>
      <c r="S61" s="3">
        <v>6.3748486299228198</v>
      </c>
      <c r="T61" s="3">
        <v>12.8405794338018</v>
      </c>
      <c r="U61" s="3">
        <v>13.9720113394396</v>
      </c>
      <c r="V61" s="3">
        <v>16.722142991235501</v>
      </c>
    </row>
    <row r="62" spans="1:22" x14ac:dyDescent="0.35">
      <c r="A62" s="2">
        <v>43748</v>
      </c>
      <c r="B62" s="3">
        <v>11.654774063876401</v>
      </c>
      <c r="C62" s="3">
        <v>9.3727882954603299</v>
      </c>
      <c r="D62" s="3">
        <v>13.905457085105899</v>
      </c>
      <c r="E62" s="3">
        <v>13.6430386765464</v>
      </c>
      <c r="F62" s="3">
        <v>9.5641719495065303</v>
      </c>
      <c r="G62" s="3">
        <v>13.508329742926801</v>
      </c>
      <c r="H62" s="3">
        <v>15.5727740955687</v>
      </c>
      <c r="I62" s="3">
        <v>15.1024643808248</v>
      </c>
      <c r="J62" s="3">
        <v>13.3377713386443</v>
      </c>
      <c r="K62" s="3">
        <v>10.7807473714492</v>
      </c>
      <c r="L62" s="3">
        <v>12.5913621125734</v>
      </c>
      <c r="M62" s="3">
        <v>11.656327640913601</v>
      </c>
      <c r="N62" s="3">
        <v>12.3440815709319</v>
      </c>
      <c r="O62" s="3">
        <v>17.919015609733599</v>
      </c>
      <c r="P62" s="3">
        <v>10.9688245835289</v>
      </c>
      <c r="Q62" s="3">
        <v>13.4205148191375</v>
      </c>
      <c r="R62" s="3">
        <v>15.174852102318299</v>
      </c>
      <c r="S62" s="3">
        <v>6.1240480952827498</v>
      </c>
      <c r="T62" s="3">
        <v>12.844153710731</v>
      </c>
      <c r="U62" s="3">
        <v>14.1828829771919</v>
      </c>
      <c r="V62" s="3">
        <v>16.254295085861301</v>
      </c>
    </row>
    <row r="63" spans="1:22" x14ac:dyDescent="0.35">
      <c r="A63" s="2">
        <v>43777</v>
      </c>
      <c r="B63" s="3">
        <v>11.8159066082689</v>
      </c>
      <c r="C63" s="3">
        <v>8.2340635084151401</v>
      </c>
      <c r="D63" s="3">
        <v>14.624719345929901</v>
      </c>
      <c r="E63" s="3">
        <v>14.090949579147701</v>
      </c>
      <c r="F63" s="3">
        <v>10.385946230631999</v>
      </c>
      <c r="G63" s="3">
        <v>13.9942786412419</v>
      </c>
      <c r="H63" s="3">
        <v>16.111279500974799</v>
      </c>
      <c r="I63" s="3">
        <v>15.8680754125186</v>
      </c>
      <c r="J63" s="3">
        <v>13.6408342892045</v>
      </c>
      <c r="K63" s="3">
        <v>11.437933660375901</v>
      </c>
      <c r="L63" s="3">
        <v>13.368774072116601</v>
      </c>
      <c r="M63" s="3">
        <v>11.833488339945101</v>
      </c>
      <c r="N63" s="3">
        <v>11.4856462071122</v>
      </c>
      <c r="O63" s="3">
        <v>19.2380717465084</v>
      </c>
      <c r="P63" s="3">
        <v>11.5113573595318</v>
      </c>
      <c r="Q63" s="3">
        <v>13.274953889271099</v>
      </c>
      <c r="R63" s="3">
        <v>15.846253576161599</v>
      </c>
      <c r="S63" s="3">
        <v>6.2890826756460596</v>
      </c>
      <c r="T63" s="3">
        <v>13.2044289210597</v>
      </c>
      <c r="U63" s="3">
        <v>14.6478515234312</v>
      </c>
      <c r="V63" s="3">
        <v>16.4719066364108</v>
      </c>
    </row>
    <row r="64" spans="1:22" x14ac:dyDescent="0.35">
      <c r="A64" s="2">
        <v>43809</v>
      </c>
      <c r="B64" s="3">
        <v>12.2316336806363</v>
      </c>
      <c r="C64" s="3">
        <v>8.3210412035029808</v>
      </c>
      <c r="D64" s="3">
        <v>14.786608559973599</v>
      </c>
      <c r="E64" s="3">
        <v>14.0058001872485</v>
      </c>
      <c r="F64" s="3">
        <v>9.7560747632425393</v>
      </c>
      <c r="G64" s="3">
        <v>13.676968293422799</v>
      </c>
      <c r="H64" s="3">
        <v>15.7904219970029</v>
      </c>
      <c r="I64" s="3">
        <v>15.385461928282</v>
      </c>
      <c r="J64" s="3">
        <v>13.405538592967099</v>
      </c>
      <c r="K64" s="3">
        <v>11.0272108688466</v>
      </c>
      <c r="L64" s="3">
        <v>13.640602668027</v>
      </c>
      <c r="M64" s="3">
        <v>11.7551030234105</v>
      </c>
      <c r="N64" s="3">
        <v>11.0927431127833</v>
      </c>
      <c r="O64" s="3">
        <v>18.840636805953601</v>
      </c>
      <c r="P64" s="3">
        <v>11.6263458338655</v>
      </c>
      <c r="Q64" s="3">
        <v>13.247652993953199</v>
      </c>
      <c r="R64" s="3">
        <v>15.1183079945252</v>
      </c>
      <c r="S64" s="3">
        <v>6.2032073334820899</v>
      </c>
      <c r="T64" s="3">
        <v>12.7410943030266</v>
      </c>
      <c r="U64" s="3">
        <v>14.555428666094601</v>
      </c>
      <c r="V64" s="3">
        <v>16.549989881418501</v>
      </c>
    </row>
    <row r="65" spans="1:22" x14ac:dyDescent="0.35">
      <c r="A65" s="2">
        <v>43840</v>
      </c>
      <c r="B65" s="3">
        <v>12.9231978802213</v>
      </c>
      <c r="C65" s="3">
        <v>9.4410625556362504</v>
      </c>
      <c r="D65" s="3">
        <v>15.382528737661801</v>
      </c>
      <c r="E65" s="3">
        <v>13.7959906499542</v>
      </c>
      <c r="F65" s="3">
        <v>10.5466020373273</v>
      </c>
      <c r="G65" s="3">
        <v>14.5193773037828</v>
      </c>
      <c r="H65" s="3">
        <v>16.017466590743599</v>
      </c>
      <c r="I65" s="3">
        <v>15.559615530266701</v>
      </c>
      <c r="J65" s="3">
        <v>13.9982827313258</v>
      </c>
      <c r="K65" s="3">
        <v>11.4149153744738</v>
      </c>
      <c r="L65" s="3">
        <v>14.3796662149079</v>
      </c>
      <c r="M65" s="3">
        <v>12.3316501887666</v>
      </c>
      <c r="N65" s="3">
        <v>11.104988839648501</v>
      </c>
      <c r="O65" s="3">
        <v>19.189061124652699</v>
      </c>
      <c r="P65" s="3">
        <v>12.5744206286459</v>
      </c>
      <c r="Q65" s="3">
        <v>13.8007644969581</v>
      </c>
      <c r="R65" s="3">
        <v>15.552795054452799</v>
      </c>
      <c r="S65" s="3">
        <v>6.6333850010974702</v>
      </c>
      <c r="T65" s="3">
        <v>13.5364292710033</v>
      </c>
      <c r="U65" s="3">
        <v>14.0689424593441</v>
      </c>
      <c r="V65" s="3">
        <v>16.8330417802139</v>
      </c>
    </row>
    <row r="66" spans="1:22" x14ac:dyDescent="0.35">
      <c r="A66" s="2">
        <v>43871</v>
      </c>
      <c r="B66" s="3">
        <v>12.269701721451099</v>
      </c>
      <c r="C66" s="3">
        <v>8.6397136765807208</v>
      </c>
      <c r="D66" s="3">
        <v>14.748819324652599</v>
      </c>
      <c r="E66" s="3">
        <v>13.2600495807502</v>
      </c>
      <c r="F66" s="3">
        <v>10.3602555342695</v>
      </c>
      <c r="G66" s="3">
        <v>14.4141453462583</v>
      </c>
      <c r="H66" s="3">
        <v>15.5153164602036</v>
      </c>
      <c r="I66" s="3">
        <v>14.9117329365597</v>
      </c>
      <c r="J66" s="3">
        <v>13.927162560371199</v>
      </c>
      <c r="K66" s="3">
        <v>11.306370222819201</v>
      </c>
      <c r="L66" s="3">
        <v>13.903478281449001</v>
      </c>
      <c r="M66" s="3">
        <v>11.704937181315699</v>
      </c>
      <c r="N66" s="3">
        <v>10.7132444591136</v>
      </c>
      <c r="O66" s="3">
        <v>19.1071105598818</v>
      </c>
      <c r="P66" s="3">
        <v>12.1010357772519</v>
      </c>
      <c r="Q66" s="3">
        <v>13.3446102019864</v>
      </c>
      <c r="R66" s="3">
        <v>15.3130483785944</v>
      </c>
      <c r="S66" s="3">
        <v>6.5439888511898197</v>
      </c>
      <c r="T66" s="3">
        <v>12.8225664217066</v>
      </c>
      <c r="U66" s="3">
        <v>13.0586960379446</v>
      </c>
      <c r="V66" s="3">
        <v>16.092047665645399</v>
      </c>
    </row>
    <row r="67" spans="1:22" x14ac:dyDescent="0.35">
      <c r="A67" s="2">
        <v>43900</v>
      </c>
      <c r="B67" s="3">
        <v>12.840069087623499</v>
      </c>
      <c r="C67" s="3">
        <v>7.38502594719301</v>
      </c>
      <c r="D67" s="3">
        <v>12.7081052830206</v>
      </c>
      <c r="E67" s="3">
        <v>11.3975781805152</v>
      </c>
      <c r="F67" s="3">
        <v>8.4459765816895391</v>
      </c>
      <c r="G67" s="3">
        <v>13.0405329290653</v>
      </c>
      <c r="H67" s="3">
        <v>15.1007214061982</v>
      </c>
      <c r="I67" s="3">
        <v>14.175596807338399</v>
      </c>
      <c r="J67" s="3">
        <v>12.349913726399899</v>
      </c>
      <c r="K67" s="3">
        <v>9.9739497327275597</v>
      </c>
      <c r="L67" s="3">
        <v>11.6312881340925</v>
      </c>
      <c r="M67" s="3">
        <v>9.7065051819478292</v>
      </c>
      <c r="N67" s="3">
        <v>7.4522830591458797</v>
      </c>
      <c r="O67" s="3">
        <v>16.5413500293425</v>
      </c>
      <c r="P67" s="3">
        <v>11.8200106273163</v>
      </c>
      <c r="Q67" s="3">
        <v>11.4302868252444</v>
      </c>
      <c r="R67" s="3">
        <v>13.518041359665</v>
      </c>
      <c r="S67" s="3">
        <v>5.6850014436790604</v>
      </c>
      <c r="T67" s="3">
        <v>10.7657094340146</v>
      </c>
      <c r="U67" s="3">
        <v>12.662096911298701</v>
      </c>
      <c r="V67" s="3">
        <v>14.166959368231501</v>
      </c>
    </row>
    <row r="68" spans="1:22" x14ac:dyDescent="0.35">
      <c r="A68" s="2">
        <v>43930</v>
      </c>
      <c r="B68" s="3">
        <v>12.2436042137779</v>
      </c>
      <c r="C68" s="3">
        <v>7.7179084138284804</v>
      </c>
      <c r="D68" s="3">
        <v>11.051486515973799</v>
      </c>
      <c r="E68" s="3">
        <v>10.5795745928781</v>
      </c>
      <c r="F68" s="3">
        <v>9.7723868149372493</v>
      </c>
      <c r="G68" s="3">
        <v>10.399383562857</v>
      </c>
      <c r="H68" s="3">
        <v>15.2052489054921</v>
      </c>
      <c r="I68" s="3">
        <v>14.058208019265299</v>
      </c>
      <c r="J68" s="3">
        <v>10.961021317672101</v>
      </c>
      <c r="K68" s="3">
        <v>10.2100474892561</v>
      </c>
      <c r="L68" s="3">
        <v>11.722239767186901</v>
      </c>
      <c r="M68" s="3">
        <v>9.2439273422179795</v>
      </c>
      <c r="N68" s="3">
        <v>7.7583998474208702</v>
      </c>
      <c r="O68" s="3">
        <v>15.660806749867699</v>
      </c>
      <c r="P68" s="3">
        <v>12.041426365238101</v>
      </c>
      <c r="Q68" s="3">
        <v>12.534639505020801</v>
      </c>
      <c r="R68" s="3">
        <v>14.640933532972999</v>
      </c>
      <c r="S68" s="3">
        <v>5.5882427669830896</v>
      </c>
      <c r="T68" s="3">
        <v>11.1516190503077</v>
      </c>
      <c r="U68" s="3">
        <v>13.249973103448699</v>
      </c>
      <c r="V68" s="3">
        <v>15.908837962378801</v>
      </c>
    </row>
    <row r="69" spans="1:22" x14ac:dyDescent="0.35">
      <c r="A69" s="2">
        <v>43959</v>
      </c>
      <c r="B69" s="3">
        <v>13.314534758489099</v>
      </c>
      <c r="C69" s="3">
        <v>122.89217018466999</v>
      </c>
      <c r="D69" s="3">
        <v>11.9309373987867</v>
      </c>
      <c r="E69" s="3">
        <v>12.242546923354601</v>
      </c>
      <c r="F69" s="3">
        <v>11.6674182078412</v>
      </c>
      <c r="G69" s="3">
        <v>14.548373253364</v>
      </c>
      <c r="H69" s="3">
        <v>16.079675896715099</v>
      </c>
      <c r="I69" s="3">
        <v>15.2623770007077</v>
      </c>
      <c r="J69" s="3">
        <v>15.3478406105678</v>
      </c>
      <c r="K69" s="3">
        <v>11.5818575624789</v>
      </c>
      <c r="L69" s="3">
        <v>14.3618675598581</v>
      </c>
      <c r="M69" s="3">
        <v>10.6359471977831</v>
      </c>
      <c r="N69" s="3">
        <v>9.8314350672670905</v>
      </c>
      <c r="O69" s="3">
        <v>18.0737459376994</v>
      </c>
      <c r="P69" s="3">
        <v>12.6179906924615</v>
      </c>
      <c r="Q69" s="3">
        <v>13.4594034486589</v>
      </c>
      <c r="R69" s="3">
        <v>16.5742491028473</v>
      </c>
      <c r="S69" s="3">
        <v>6.4001865258938002</v>
      </c>
      <c r="T69" s="3">
        <v>15.9938425879331</v>
      </c>
      <c r="U69" s="3">
        <v>15.088485361437501</v>
      </c>
      <c r="V69" s="3">
        <v>17.151807966116898</v>
      </c>
    </row>
    <row r="70" spans="1:22" x14ac:dyDescent="0.35">
      <c r="A70" s="2">
        <v>43992</v>
      </c>
      <c r="B70" s="3">
        <v>13.833206873668701</v>
      </c>
      <c r="C70" s="3">
        <v>14.4737851956793</v>
      </c>
      <c r="D70" s="3">
        <v>15.3274527229354</v>
      </c>
      <c r="E70" s="3">
        <v>16.009159992883198</v>
      </c>
      <c r="F70" s="3">
        <v>13.519172584584799</v>
      </c>
      <c r="G70" s="3">
        <v>18.4985660261428</v>
      </c>
      <c r="H70" s="3">
        <v>20.0187347482162</v>
      </c>
      <c r="I70" s="3">
        <v>16.5303324813727</v>
      </c>
      <c r="J70" s="3">
        <v>16.819042871197102</v>
      </c>
      <c r="K70" s="3">
        <v>13.0612745482133</v>
      </c>
      <c r="L70" s="3">
        <v>18.071485247605999</v>
      </c>
      <c r="M70" s="3">
        <v>11.1924423009136</v>
      </c>
      <c r="N70" s="3">
        <v>12.1959400805502</v>
      </c>
      <c r="O70" s="3">
        <v>21.296207274358601</v>
      </c>
      <c r="P70" s="3">
        <v>13.901208342978601</v>
      </c>
      <c r="Q70" s="3">
        <v>14.514421771371101</v>
      </c>
      <c r="R70" s="3">
        <v>19.9935560251547</v>
      </c>
      <c r="S70" s="3">
        <v>8.0640009586419108</v>
      </c>
      <c r="T70" s="3">
        <v>14.796501156590899</v>
      </c>
      <c r="U70" s="3">
        <v>16.1467467972302</v>
      </c>
      <c r="V70" s="3">
        <v>19.659514039873599</v>
      </c>
    </row>
    <row r="71" spans="1:22" x14ac:dyDescent="0.35">
      <c r="A71" s="2">
        <v>44022</v>
      </c>
      <c r="B71" s="3">
        <v>16.282862553344099</v>
      </c>
      <c r="C71" s="3">
        <v>15.030248336864201</v>
      </c>
      <c r="D71" s="3">
        <v>16.3808709961584</v>
      </c>
      <c r="E71" s="3">
        <v>15.626786094101501</v>
      </c>
      <c r="F71" s="3">
        <v>12.5039405067348</v>
      </c>
      <c r="G71" s="3">
        <v>19.787683789290401</v>
      </c>
      <c r="H71" s="3">
        <v>19.955147579664199</v>
      </c>
      <c r="I71" s="3">
        <v>16.8625067528919</v>
      </c>
      <c r="J71" s="3">
        <v>16.122194604634799</v>
      </c>
      <c r="K71" s="3">
        <v>12.5771086713327</v>
      </c>
      <c r="L71" s="3">
        <v>26.783324479109201</v>
      </c>
      <c r="M71" s="3">
        <v>11.669168365689</v>
      </c>
      <c r="N71" s="3">
        <v>13.2572266707589</v>
      </c>
      <c r="O71" s="3">
        <v>23.177923625427201</v>
      </c>
      <c r="P71" s="3">
        <v>15.6300560383551</v>
      </c>
      <c r="Q71" s="3">
        <v>14.9075694179968</v>
      </c>
      <c r="R71" s="3">
        <v>19.411208152822201</v>
      </c>
      <c r="S71" s="3">
        <v>8.2933513561629404</v>
      </c>
      <c r="T71" s="3">
        <v>16.527664519568098</v>
      </c>
      <c r="U71" s="3">
        <v>14.9948496650082</v>
      </c>
      <c r="V71" s="3">
        <v>19.4959060695898</v>
      </c>
    </row>
    <row r="72" spans="1:22" x14ac:dyDescent="0.35">
      <c r="A72" s="2">
        <v>44053</v>
      </c>
      <c r="B72" s="3">
        <v>16.029487674419101</v>
      </c>
      <c r="C72" s="3">
        <v>15.697345757598899</v>
      </c>
      <c r="D72" s="3">
        <v>16.48151024685</v>
      </c>
      <c r="E72" s="3">
        <v>15.3383171114197</v>
      </c>
      <c r="F72" s="3">
        <v>12.2537288152089</v>
      </c>
      <c r="G72" s="3">
        <v>21.314981848283701</v>
      </c>
      <c r="H72" s="3">
        <v>18.921707175610099</v>
      </c>
      <c r="I72" s="3">
        <v>17.072639951494399</v>
      </c>
      <c r="J72" s="3">
        <v>17.170028402024901</v>
      </c>
      <c r="K72" s="3">
        <v>13.4051440393633</v>
      </c>
      <c r="L72" s="3">
        <v>25.785469242375399</v>
      </c>
      <c r="M72" s="3">
        <v>11.2947952365028</v>
      </c>
      <c r="N72" s="3">
        <v>11.9031443125472</v>
      </c>
      <c r="O72" s="3">
        <v>23.843232240315899</v>
      </c>
      <c r="P72" s="3">
        <v>14.7599323471528</v>
      </c>
      <c r="Q72" s="3">
        <v>15.0913029661201</v>
      </c>
      <c r="R72" s="3">
        <v>19.179624698895399</v>
      </c>
      <c r="S72" s="3">
        <v>7.4280927933591903</v>
      </c>
      <c r="T72" s="3">
        <v>12.9553552888241</v>
      </c>
      <c r="U72" s="3">
        <v>14.772666789260301</v>
      </c>
      <c r="V72" s="3">
        <v>19.6217333683242</v>
      </c>
    </row>
    <row r="73" spans="1:22" x14ac:dyDescent="0.35">
      <c r="A73" s="2">
        <v>44084</v>
      </c>
      <c r="B73" s="3">
        <v>15.7134346799058</v>
      </c>
      <c r="C73" s="3">
        <v>14.2406057142443</v>
      </c>
      <c r="D73" s="3">
        <v>15.3846075140703</v>
      </c>
      <c r="E73" s="3">
        <v>15.8194634326653</v>
      </c>
      <c r="F73" s="3">
        <v>11.988111748962501</v>
      </c>
      <c r="G73" s="3">
        <v>21.559246949346001</v>
      </c>
      <c r="H73" s="3">
        <v>17.847782690165999</v>
      </c>
      <c r="I73" s="3">
        <v>15.6297487491009</v>
      </c>
      <c r="J73" s="3">
        <v>15.1608180486606</v>
      </c>
      <c r="K73" s="3">
        <v>12.8596373995842</v>
      </c>
      <c r="L73" s="3">
        <v>21.5201148031115</v>
      </c>
      <c r="M73" s="3">
        <v>11.168266168655901</v>
      </c>
      <c r="N73" s="3">
        <v>12.1115508771951</v>
      </c>
      <c r="O73" s="3">
        <v>23.089964192912198</v>
      </c>
      <c r="P73" s="3">
        <v>14.677115840301401</v>
      </c>
      <c r="Q73" s="3">
        <v>14.937370853855001</v>
      </c>
      <c r="R73" s="3">
        <v>18.830078883148101</v>
      </c>
      <c r="S73" s="3">
        <v>7.5413228564170396</v>
      </c>
      <c r="T73" s="3">
        <v>13.2202723846043</v>
      </c>
      <c r="U73" s="3">
        <v>15.5036243585941</v>
      </c>
      <c r="V73" s="3">
        <v>21.240749556234199</v>
      </c>
    </row>
    <row r="74" spans="1:22" x14ac:dyDescent="0.35">
      <c r="A74" s="2">
        <v>44113</v>
      </c>
      <c r="B74" s="3">
        <v>15.9494993344234</v>
      </c>
      <c r="C74" s="3">
        <v>13.935939047577399</v>
      </c>
      <c r="D74" s="3">
        <v>15.583738498150501</v>
      </c>
      <c r="E74" s="3">
        <v>15.779824248913201</v>
      </c>
      <c r="F74" s="3">
        <v>11.8916800614896</v>
      </c>
      <c r="G74" s="3">
        <v>20.618521882291699</v>
      </c>
      <c r="H74" s="3">
        <v>17.541538464819801</v>
      </c>
      <c r="I74" s="3">
        <v>15.434628055101699</v>
      </c>
      <c r="J74" s="3">
        <v>15.4069667452831</v>
      </c>
      <c r="K74" s="3">
        <v>12.454135071087</v>
      </c>
      <c r="L74" s="3">
        <v>16.9877274595415</v>
      </c>
      <c r="M74" s="3">
        <v>10.381338988458401</v>
      </c>
      <c r="N74" s="3">
        <v>11.4854094866047</v>
      </c>
      <c r="O74" s="3">
        <v>23.361785327994301</v>
      </c>
      <c r="P74" s="3">
        <v>15.1980107941194</v>
      </c>
      <c r="Q74" s="3">
        <v>15.541593384009399</v>
      </c>
      <c r="R74" s="3">
        <v>18.439596269571201</v>
      </c>
      <c r="S74" s="3">
        <v>7.6353726516144702</v>
      </c>
      <c r="T74" s="3">
        <v>12.402350012427799</v>
      </c>
      <c r="U74" s="3">
        <v>15.736972820836399</v>
      </c>
      <c r="V74" s="3">
        <v>21.5455684591949</v>
      </c>
    </row>
    <row r="75" spans="1:22" x14ac:dyDescent="0.35">
      <c r="A75" s="2">
        <v>44145</v>
      </c>
      <c r="B75" s="3">
        <v>16.354367317485401</v>
      </c>
      <c r="C75" s="3">
        <v>14.7916631561645</v>
      </c>
      <c r="D75" s="3">
        <v>17.0020807849662</v>
      </c>
      <c r="E75" s="3">
        <v>18.020077757463401</v>
      </c>
      <c r="F75" s="3">
        <v>13.5032663027255</v>
      </c>
      <c r="G75" s="3">
        <v>17.354714805153598</v>
      </c>
      <c r="H75" s="3">
        <v>16.564599649943901</v>
      </c>
      <c r="I75" s="3">
        <v>15.038649384572</v>
      </c>
      <c r="J75" s="3">
        <v>15.099882260621101</v>
      </c>
      <c r="K75" s="3">
        <v>12.156111346655299</v>
      </c>
      <c r="L75" s="3">
        <v>15.016074517396</v>
      </c>
      <c r="M75" s="3">
        <v>10.7288040811789</v>
      </c>
      <c r="N75" s="3">
        <v>10.354924495486401</v>
      </c>
      <c r="O75" s="3">
        <v>22.730040095711502</v>
      </c>
      <c r="P75" s="3">
        <v>15.328324311104099</v>
      </c>
      <c r="Q75" s="3">
        <v>15.072140435163501</v>
      </c>
      <c r="R75" s="3">
        <v>18.414478868792401</v>
      </c>
      <c r="S75" s="3">
        <v>7.9270837779138601</v>
      </c>
      <c r="T75" s="3">
        <v>15.364592703041801</v>
      </c>
      <c r="U75" s="3">
        <v>15.220284933790699</v>
      </c>
      <c r="V75" s="3">
        <v>20.9685919671528</v>
      </c>
    </row>
    <row r="76" spans="1:22" x14ac:dyDescent="0.35">
      <c r="A76" s="2">
        <v>44175</v>
      </c>
      <c r="B76" s="3">
        <v>16.375757759144101</v>
      </c>
      <c r="C76" s="3">
        <v>14.3454004940814</v>
      </c>
      <c r="D76" s="3">
        <v>18.063628128131</v>
      </c>
      <c r="E76" s="3">
        <v>16.969441071056298</v>
      </c>
      <c r="F76" s="3">
        <v>13.9627591029914</v>
      </c>
      <c r="G76" s="3">
        <v>16.302425605434902</v>
      </c>
      <c r="H76" s="3">
        <v>15.7604750434525</v>
      </c>
      <c r="I76" s="3">
        <v>15.6837299687508</v>
      </c>
      <c r="J76" s="3">
        <v>15.2249564909971</v>
      </c>
      <c r="K76" s="3">
        <v>13.332577126329401</v>
      </c>
      <c r="L76" s="3">
        <v>13.791136058716599</v>
      </c>
      <c r="M76" s="3">
        <v>9.8560479810443091</v>
      </c>
      <c r="N76" s="3">
        <v>11.8828676486566</v>
      </c>
      <c r="O76" s="3">
        <v>24.085017287958099</v>
      </c>
      <c r="P76" s="3">
        <v>15.286229787991999</v>
      </c>
      <c r="Q76" s="3">
        <v>15.090238570938601</v>
      </c>
      <c r="R76" s="3">
        <v>19.764867175334501</v>
      </c>
      <c r="S76" s="3">
        <v>7.6998766636799498</v>
      </c>
      <c r="T76" s="3">
        <v>15.7066306439906</v>
      </c>
      <c r="U76" s="3">
        <v>15.626222839298601</v>
      </c>
      <c r="V76" s="3">
        <v>19.627099302682598</v>
      </c>
    </row>
    <row r="77" spans="1:22" x14ac:dyDescent="0.35">
      <c r="A77" s="2">
        <v>44204</v>
      </c>
      <c r="B77" s="3">
        <v>18.249774938094799</v>
      </c>
      <c r="C77" s="3">
        <v>15.036290655242199</v>
      </c>
      <c r="D77" s="3">
        <v>18.033223807288898</v>
      </c>
      <c r="E77" s="3">
        <v>16.793995708943001</v>
      </c>
      <c r="F77" s="3">
        <v>13.7376700811947</v>
      </c>
      <c r="G77" s="3">
        <v>14.667241333902499</v>
      </c>
      <c r="H77" s="3">
        <v>14.876627431972199</v>
      </c>
      <c r="I77" s="3">
        <v>16.652356713201801</v>
      </c>
      <c r="J77" s="3">
        <v>15.4267400409666</v>
      </c>
      <c r="K77" s="3">
        <v>14.8093929388689</v>
      </c>
      <c r="L77" s="3">
        <v>13.1598985394062</v>
      </c>
      <c r="M77" s="3">
        <v>9.9345607342291409</v>
      </c>
      <c r="N77" s="3">
        <v>12.1279416342218</v>
      </c>
      <c r="O77" s="3">
        <v>24.722279072692999</v>
      </c>
      <c r="P77" s="3">
        <v>16.273013584113698</v>
      </c>
      <c r="Q77" s="3">
        <v>14.326785543032599</v>
      </c>
      <c r="R77" s="3">
        <v>20.4181793498731</v>
      </c>
      <c r="S77" s="3">
        <v>8.0923615343720208</v>
      </c>
      <c r="T77" s="3">
        <v>15.2330758333541</v>
      </c>
      <c r="U77" s="3">
        <v>17.376147902585899</v>
      </c>
      <c r="V77" s="3">
        <v>19.131254928449302</v>
      </c>
    </row>
    <row r="78" spans="1:22" x14ac:dyDescent="0.35">
      <c r="A78" s="2">
        <v>44237</v>
      </c>
      <c r="B78" s="3">
        <v>19.0225810491091</v>
      </c>
      <c r="C78" s="3">
        <v>14.4120205023849</v>
      </c>
      <c r="D78" s="3">
        <v>17.440627290441601</v>
      </c>
      <c r="E78" s="3">
        <v>16.372791842431301</v>
      </c>
      <c r="F78" s="3">
        <v>10.963200316357799</v>
      </c>
      <c r="G78" s="3">
        <v>15.3725550334812</v>
      </c>
      <c r="H78" s="3">
        <v>14.356493861059301</v>
      </c>
      <c r="I78" s="3">
        <v>15.8371412815707</v>
      </c>
      <c r="J78" s="3">
        <v>14.3569759576107</v>
      </c>
      <c r="K78" s="3">
        <v>13.9184894816389</v>
      </c>
      <c r="L78" s="3">
        <v>11.0225373546307</v>
      </c>
      <c r="M78" s="3">
        <v>10.4630889839394</v>
      </c>
      <c r="N78" s="3">
        <v>11.229689201560801</v>
      </c>
      <c r="O78" s="3">
        <v>23.781267536908501</v>
      </c>
      <c r="P78" s="3">
        <v>18.640577813656002</v>
      </c>
      <c r="Q78" s="3">
        <v>13.728279129207699</v>
      </c>
      <c r="R78" s="3">
        <v>19.3856691933888</v>
      </c>
      <c r="S78" s="3">
        <v>7.56378569423131</v>
      </c>
      <c r="T78" s="3">
        <v>15.437141610479999</v>
      </c>
      <c r="U78" s="3">
        <v>16.525714960628299</v>
      </c>
      <c r="V78" s="3">
        <v>18.7088721858571</v>
      </c>
    </row>
    <row r="79" spans="1:22" x14ac:dyDescent="0.35">
      <c r="A79" s="2">
        <v>44265</v>
      </c>
      <c r="B79" s="3">
        <v>16.009112349665699</v>
      </c>
      <c r="C79" s="3">
        <v>15.096274203461601</v>
      </c>
      <c r="D79" s="3">
        <v>16.7665088536918</v>
      </c>
      <c r="E79" s="3">
        <v>15.599174664104799</v>
      </c>
      <c r="F79" s="3">
        <v>11.814568647819399</v>
      </c>
      <c r="G79" s="3">
        <v>14.958978100984799</v>
      </c>
      <c r="H79" s="3">
        <v>14.568255202924099</v>
      </c>
      <c r="I79" s="3">
        <v>15.261673353507399</v>
      </c>
      <c r="J79" s="3">
        <v>14.723207761736401</v>
      </c>
      <c r="K79" s="3">
        <v>13.040906045773401</v>
      </c>
      <c r="L79" s="3">
        <v>9.8110310308724404</v>
      </c>
      <c r="M79" s="3">
        <v>10.4047408495826</v>
      </c>
      <c r="N79" s="3">
        <v>12.166781352393301</v>
      </c>
      <c r="O79" s="3">
        <v>23.821314457819302</v>
      </c>
      <c r="P79" s="3">
        <v>16.4467256033609</v>
      </c>
      <c r="Q79" s="3">
        <v>13.404767717528401</v>
      </c>
      <c r="R79" s="3">
        <v>19.797466785189702</v>
      </c>
      <c r="S79" s="3">
        <v>7.32577763649972</v>
      </c>
      <c r="T79" s="3">
        <v>14.593048320309199</v>
      </c>
      <c r="U79" s="3">
        <v>16.781897341618699</v>
      </c>
      <c r="V79" s="3">
        <v>19.174111509126501</v>
      </c>
    </row>
    <row r="80" spans="1:22" x14ac:dyDescent="0.35">
      <c r="A80" s="2">
        <v>44295</v>
      </c>
      <c r="B80" s="3">
        <v>16.054532460464799</v>
      </c>
      <c r="C80" s="3">
        <v>14.136308612151501</v>
      </c>
      <c r="D80" s="3">
        <v>16.1197976298828</v>
      </c>
      <c r="E80" s="3">
        <v>14.934183270834</v>
      </c>
      <c r="F80" s="3">
        <v>12.0294331458872</v>
      </c>
      <c r="G80" s="3">
        <v>12.401838694831399</v>
      </c>
      <c r="H80" s="3">
        <v>14.348965164587201</v>
      </c>
      <c r="I80" s="3">
        <v>15.256686904439601</v>
      </c>
      <c r="J80" s="3">
        <v>14.6871182940737</v>
      </c>
      <c r="K80" s="3">
        <v>13.026401168907499</v>
      </c>
      <c r="L80" s="3">
        <v>9.2021372673545905</v>
      </c>
      <c r="M80" s="3">
        <v>9.9300211043596001</v>
      </c>
      <c r="N80" s="3">
        <v>12.282511023925499</v>
      </c>
      <c r="O80" s="3">
        <v>22.919374989482801</v>
      </c>
      <c r="P80" s="3">
        <v>16.015486451155098</v>
      </c>
      <c r="Q80" s="3">
        <v>13.818119493585</v>
      </c>
      <c r="R80" s="3">
        <v>19.091596954057099</v>
      </c>
      <c r="S80" s="3">
        <v>6.3479917566725996</v>
      </c>
      <c r="T80" s="3">
        <v>14.071327946119901</v>
      </c>
      <c r="U80" s="3">
        <v>16.6039852850325</v>
      </c>
      <c r="V80" s="3">
        <v>19.350301436299802</v>
      </c>
    </row>
    <row r="81" spans="1:22" x14ac:dyDescent="0.35">
      <c r="A81" s="2">
        <v>44326</v>
      </c>
      <c r="B81" s="3">
        <v>15.7118735996313</v>
      </c>
      <c r="C81" s="3">
        <v>12.7155740034218</v>
      </c>
      <c r="D81" s="3">
        <v>15.756638265673899</v>
      </c>
      <c r="E81" s="3">
        <v>14.6385879045135</v>
      </c>
      <c r="F81" s="3">
        <v>12.908065899733</v>
      </c>
      <c r="G81" s="3">
        <v>11.8163037087922</v>
      </c>
      <c r="H81" s="3">
        <v>14.0227008394685</v>
      </c>
      <c r="I81" s="3">
        <v>14.314269559219399</v>
      </c>
      <c r="J81" s="3">
        <v>14.7886421681818</v>
      </c>
      <c r="K81" s="3">
        <v>11.517581697121299</v>
      </c>
      <c r="L81" s="3">
        <v>8.9659885113465094</v>
      </c>
      <c r="M81" s="3">
        <v>9.6404546880861606</v>
      </c>
      <c r="N81" s="3">
        <v>6.7760068347584497</v>
      </c>
      <c r="O81" s="3">
        <v>22.596260489232701</v>
      </c>
      <c r="P81" s="3">
        <v>15.0664602121028</v>
      </c>
      <c r="Q81" s="3">
        <v>13.9660147546399</v>
      </c>
      <c r="R81" s="3">
        <v>18.6575111276833</v>
      </c>
      <c r="S81" s="3">
        <v>6.3925772766348397</v>
      </c>
      <c r="T81" s="3">
        <v>13.8070678918185</v>
      </c>
      <c r="U81" s="3">
        <v>16.602461518550701</v>
      </c>
      <c r="V81" s="3">
        <v>19.114272146219498</v>
      </c>
    </row>
    <row r="82" spans="1:22" x14ac:dyDescent="0.35">
      <c r="A82" s="2">
        <v>44357</v>
      </c>
      <c r="B82" s="3">
        <v>16.794864131521301</v>
      </c>
      <c r="C82" s="3">
        <v>11.342482246522</v>
      </c>
      <c r="D82" s="3">
        <v>16.043173322155901</v>
      </c>
      <c r="E82" s="3">
        <v>16.5465475377462</v>
      </c>
      <c r="F82" s="3">
        <v>12.701691783525501</v>
      </c>
      <c r="G82" s="3">
        <v>9.5186889972595097</v>
      </c>
      <c r="H82" s="3">
        <v>14.027793156761501</v>
      </c>
      <c r="I82" s="3">
        <v>13.807943782856899</v>
      </c>
      <c r="J82" s="3">
        <v>15.125783839421199</v>
      </c>
      <c r="K82" s="3">
        <v>11.1714422053506</v>
      </c>
      <c r="L82" s="3">
        <v>9.5308958598384095</v>
      </c>
      <c r="M82" s="3">
        <v>9.8446897960406208</v>
      </c>
      <c r="N82" s="3">
        <v>13.308825816893901</v>
      </c>
      <c r="O82" s="3">
        <v>23.4968911437191</v>
      </c>
      <c r="P82" s="3">
        <v>15.9682562132563</v>
      </c>
      <c r="Q82" s="3">
        <v>13.484341098506899</v>
      </c>
      <c r="R82" s="3">
        <v>18.036536274504801</v>
      </c>
      <c r="S82" s="3">
        <v>6.1802815726537403</v>
      </c>
      <c r="T82" s="3">
        <v>15.1808989966623</v>
      </c>
      <c r="U82" s="3">
        <v>17.584372097417202</v>
      </c>
      <c r="V82" s="3">
        <v>19.377414997566301</v>
      </c>
    </row>
    <row r="83" spans="1:22" x14ac:dyDescent="0.35">
      <c r="A83" s="2">
        <v>44386</v>
      </c>
      <c r="B83" s="3">
        <v>16.112343703731099</v>
      </c>
      <c r="C83" s="3">
        <v>10.866553823111699</v>
      </c>
      <c r="D83" s="3">
        <v>14.689696940122801</v>
      </c>
      <c r="E83" s="3">
        <v>15.9303882904926</v>
      </c>
      <c r="F83" s="3">
        <v>12.1315533394631</v>
      </c>
      <c r="G83" s="3">
        <v>8.8079995535556801</v>
      </c>
      <c r="H83" s="3">
        <v>13.442027324814299</v>
      </c>
      <c r="I83" s="3">
        <v>13.758373366612499</v>
      </c>
      <c r="J83" s="3">
        <v>14.452582178435099</v>
      </c>
      <c r="K83" s="3">
        <v>10.907548590243</v>
      </c>
      <c r="L83" s="3">
        <v>8.7974679424904405</v>
      </c>
      <c r="M83" s="3">
        <v>9.3484897729299199</v>
      </c>
      <c r="N83" s="3">
        <v>11.8587985806973</v>
      </c>
      <c r="O83" s="3">
        <v>22.986972338143801</v>
      </c>
      <c r="P83" s="3">
        <v>15.0120593682537</v>
      </c>
      <c r="Q83" s="3">
        <v>13.3351650802477</v>
      </c>
      <c r="R83" s="3">
        <v>16.905269930787099</v>
      </c>
      <c r="S83" s="3">
        <v>5.6661095776366697</v>
      </c>
      <c r="T83" s="3">
        <v>14.3962027314333</v>
      </c>
      <c r="U83" s="3">
        <v>16.983708825243401</v>
      </c>
      <c r="V83" s="3">
        <v>19.104181164739099</v>
      </c>
    </row>
    <row r="84" spans="1:22" x14ac:dyDescent="0.35">
      <c r="A84" s="2">
        <v>44418</v>
      </c>
      <c r="B84" s="3">
        <v>15.746670571071601</v>
      </c>
      <c r="C84" s="3">
        <v>10.6116432980127</v>
      </c>
      <c r="D84" s="3">
        <v>14.6829009333409</v>
      </c>
      <c r="E84" s="3">
        <v>15.166760478911</v>
      </c>
      <c r="F84" s="3">
        <v>11.959661226804601</v>
      </c>
      <c r="G84" s="3">
        <v>8.4996404914141301</v>
      </c>
      <c r="H84" s="3">
        <v>13.359731083307199</v>
      </c>
      <c r="I84" s="3">
        <v>13.193509666168399</v>
      </c>
      <c r="J84" s="3">
        <v>14.181365506204999</v>
      </c>
      <c r="K84" s="3">
        <v>10.594794930569799</v>
      </c>
      <c r="L84" s="3">
        <v>8.1248709948501006</v>
      </c>
      <c r="M84" s="3">
        <v>9.5667972369259395</v>
      </c>
      <c r="N84" s="3">
        <v>11.107686373394699</v>
      </c>
      <c r="O84" s="3">
        <v>23.4967751146438</v>
      </c>
      <c r="P84" s="3">
        <v>14.272860243131101</v>
      </c>
      <c r="Q84" s="3">
        <v>13.168946403273701</v>
      </c>
      <c r="R84" s="3">
        <v>16.638938737161599</v>
      </c>
      <c r="S84" s="3">
        <v>5.6205326270484104</v>
      </c>
      <c r="T84" s="3">
        <v>14.448118176488601</v>
      </c>
      <c r="U84" s="3">
        <v>17.009550246720998</v>
      </c>
      <c r="V84" s="3">
        <v>19.174015838069401</v>
      </c>
    </row>
    <row r="85" spans="1:22" x14ac:dyDescent="0.35">
      <c r="A85" s="2">
        <v>44449</v>
      </c>
      <c r="B85" s="3">
        <v>15.8147465786971</v>
      </c>
      <c r="C85" s="3">
        <v>10.259412864960099</v>
      </c>
      <c r="D85" s="3">
        <v>15.0478145165601</v>
      </c>
      <c r="E85" s="3">
        <v>16.082410356222201</v>
      </c>
      <c r="F85" s="3">
        <v>11.668573421751301</v>
      </c>
      <c r="G85" s="3">
        <v>8.9691855407164596</v>
      </c>
      <c r="H85" s="3">
        <v>14.054749991492301</v>
      </c>
      <c r="I85" s="3">
        <v>13.268748414194199</v>
      </c>
      <c r="J85" s="3">
        <v>13.954305671053801</v>
      </c>
      <c r="K85" s="3">
        <v>10.2449862361677</v>
      </c>
      <c r="L85" s="3">
        <v>7.6700199230428101</v>
      </c>
      <c r="M85" s="3">
        <v>8.8244469281488698</v>
      </c>
      <c r="N85" s="3">
        <v>10.477824840604301</v>
      </c>
      <c r="O85" s="3">
        <v>24.664150316805699</v>
      </c>
      <c r="P85" s="3">
        <v>14.097800039376001</v>
      </c>
      <c r="Q85" s="3">
        <v>13.261053388306999</v>
      </c>
      <c r="R85" s="3">
        <v>17.713201071935298</v>
      </c>
      <c r="S85" s="3">
        <v>5.3313864763967</v>
      </c>
      <c r="T85" s="3">
        <v>14.5703290483271</v>
      </c>
      <c r="U85" s="3">
        <v>16.279268659512901</v>
      </c>
      <c r="V85" s="3">
        <v>19.079522626946002</v>
      </c>
    </row>
    <row r="86" spans="1:22" x14ac:dyDescent="0.35">
      <c r="A86" s="2">
        <v>44477</v>
      </c>
      <c r="B86" s="3">
        <v>15.313546574033101</v>
      </c>
      <c r="C86" s="3">
        <v>9.4760081509092693</v>
      </c>
      <c r="D86" s="3">
        <v>15.4399095691703</v>
      </c>
      <c r="E86" s="3">
        <v>15.9581076113911</v>
      </c>
      <c r="F86" s="3">
        <v>12.122127598974799</v>
      </c>
      <c r="G86" s="3">
        <v>9.6847392154536198</v>
      </c>
      <c r="H86" s="3">
        <v>14.355027068005599</v>
      </c>
      <c r="I86" s="3">
        <v>12.6048162857767</v>
      </c>
      <c r="J86" s="3">
        <v>13.5903422203308</v>
      </c>
      <c r="K86" s="3">
        <v>9.8180787432438308</v>
      </c>
      <c r="L86" s="3">
        <v>7.9577063047503902</v>
      </c>
      <c r="M86" s="3">
        <v>9.4835584139588907</v>
      </c>
      <c r="N86" s="3">
        <v>10.4245772034109</v>
      </c>
      <c r="O86" s="3">
        <v>24.579109182145299</v>
      </c>
      <c r="P86" s="3">
        <v>13.4058090867701</v>
      </c>
      <c r="Q86" s="3">
        <v>13.3366179438757</v>
      </c>
      <c r="R86" s="3">
        <v>17.467727231902501</v>
      </c>
      <c r="S86" s="3">
        <v>5.1076116440418398</v>
      </c>
      <c r="T86" s="3">
        <v>14.5207209629299</v>
      </c>
      <c r="U86" s="3">
        <v>16.0525816020189</v>
      </c>
      <c r="V86" s="3">
        <v>19.033656143898799</v>
      </c>
    </row>
    <row r="87" spans="1:22" x14ac:dyDescent="0.35">
      <c r="A87" s="2">
        <v>44510</v>
      </c>
      <c r="B87" s="3">
        <v>15.098705046510201</v>
      </c>
      <c r="C87" s="3">
        <v>9.9386202769015792</v>
      </c>
      <c r="D87" s="3">
        <v>15.2513127721997</v>
      </c>
      <c r="E87" s="3">
        <v>16.6642502692407</v>
      </c>
      <c r="F87" s="3">
        <v>11.854239559405</v>
      </c>
      <c r="G87" s="3">
        <v>9.9123088905335894</v>
      </c>
      <c r="H87" s="3">
        <v>14.1988720294737</v>
      </c>
      <c r="I87" s="3">
        <v>13.168110002185699</v>
      </c>
      <c r="J87" s="3">
        <v>13.602648057543799</v>
      </c>
      <c r="K87" s="3">
        <v>9.8792998024769396</v>
      </c>
      <c r="L87" s="3">
        <v>7.4452047506352903</v>
      </c>
      <c r="M87" s="3">
        <v>9.6025014398300197</v>
      </c>
      <c r="N87" s="3">
        <v>11.2110588220878</v>
      </c>
      <c r="O87" s="3">
        <v>24.217200828630901</v>
      </c>
      <c r="P87" s="3">
        <v>13.109186364536001</v>
      </c>
      <c r="Q87" s="3">
        <v>13.697298259078201</v>
      </c>
      <c r="R87" s="3">
        <v>17.3584418883345</v>
      </c>
      <c r="S87" s="3">
        <v>5.5802190916866001</v>
      </c>
      <c r="T87" s="3">
        <v>15.3334906266963</v>
      </c>
      <c r="U87" s="3">
        <v>16.1304042667938</v>
      </c>
      <c r="V87" s="3">
        <v>18.936019677933601</v>
      </c>
    </row>
    <row r="88" spans="1:22" x14ac:dyDescent="0.35">
      <c r="A88" s="2">
        <v>44540</v>
      </c>
      <c r="B88" s="3">
        <v>15.863275450920201</v>
      </c>
      <c r="C88" s="3">
        <v>9.6877613259870099</v>
      </c>
      <c r="D88" s="3">
        <v>14.848594033056401</v>
      </c>
      <c r="E88" s="3">
        <v>15.540002826145701</v>
      </c>
      <c r="F88" s="3">
        <v>10.246359186851</v>
      </c>
      <c r="G88" s="3">
        <v>9.8098566786388393</v>
      </c>
      <c r="H88" s="3">
        <v>14.9444629971879</v>
      </c>
      <c r="I88" s="3">
        <v>13.3909895756405</v>
      </c>
      <c r="J88" s="3">
        <v>13.220301881326501</v>
      </c>
      <c r="K88" s="3">
        <v>10.329255434970401</v>
      </c>
      <c r="L88" s="3">
        <v>7.9774760217361296</v>
      </c>
      <c r="M88" s="3">
        <v>9.4932253687339792</v>
      </c>
      <c r="N88" s="3">
        <v>9.9266941101293806</v>
      </c>
      <c r="O88" s="3">
        <v>23.5363020670171</v>
      </c>
      <c r="P88" s="3">
        <v>12.871340039764901</v>
      </c>
      <c r="Q88" s="3">
        <v>13.1150051253125</v>
      </c>
      <c r="R88" s="3">
        <v>16.933667740532499</v>
      </c>
      <c r="S88" s="3">
        <v>6.4560416919792898</v>
      </c>
      <c r="T88" s="3">
        <v>16.502996021500699</v>
      </c>
      <c r="U88" s="3">
        <v>16.6340410541445</v>
      </c>
      <c r="V88" s="3">
        <v>17.192377469532701</v>
      </c>
    </row>
    <row r="89" spans="1:22" x14ac:dyDescent="0.35">
      <c r="A89" s="2">
        <v>44571</v>
      </c>
      <c r="B89" s="3">
        <v>14.8650951897162</v>
      </c>
      <c r="C89" s="3">
        <v>9.0805225739312405</v>
      </c>
      <c r="D89" s="3">
        <v>14.697283448739</v>
      </c>
      <c r="E89" s="3">
        <v>15.052649265057701</v>
      </c>
      <c r="F89" s="3">
        <v>10.8226809710873</v>
      </c>
      <c r="G89" s="3">
        <v>10.5570516851493</v>
      </c>
      <c r="H89" s="3">
        <v>15.570405258047099</v>
      </c>
      <c r="I89" s="3">
        <v>13.5881666848737</v>
      </c>
      <c r="J89" s="3">
        <v>13.563310867811399</v>
      </c>
      <c r="K89" s="3">
        <v>9.8855908258732903</v>
      </c>
      <c r="L89" s="3">
        <v>7.5185438639800504</v>
      </c>
      <c r="M89" s="3">
        <v>9.7036533274206693</v>
      </c>
      <c r="N89" s="3">
        <v>9.7900645716727599</v>
      </c>
      <c r="O89" s="3">
        <v>23.724879897501399</v>
      </c>
      <c r="P89" s="3">
        <v>12.383372710105601</v>
      </c>
      <c r="Q89" s="3">
        <v>13.389980230742101</v>
      </c>
      <c r="R89" s="3">
        <v>17.277727406593499</v>
      </c>
      <c r="S89" s="3">
        <v>5.9513183088146402</v>
      </c>
      <c r="T89" s="3">
        <v>15.37672313284</v>
      </c>
      <c r="U89" s="3">
        <v>15.939337559519</v>
      </c>
      <c r="V89" s="3">
        <v>18.221652683513302</v>
      </c>
    </row>
    <row r="90" spans="1:22" x14ac:dyDescent="0.35">
      <c r="A90" s="2">
        <v>44602</v>
      </c>
      <c r="B90" s="3">
        <v>13.919422536767</v>
      </c>
      <c r="C90" s="3">
        <v>10.1915275532783</v>
      </c>
      <c r="D90" s="3">
        <v>15.1846643488347</v>
      </c>
      <c r="E90" s="3">
        <v>15.3677395215416</v>
      </c>
      <c r="F90" s="3">
        <v>10.165204886606601</v>
      </c>
      <c r="G90" s="3">
        <v>11.158555092726701</v>
      </c>
      <c r="H90" s="3">
        <v>15.582161331003</v>
      </c>
      <c r="I90" s="3">
        <v>13.0540354123076</v>
      </c>
      <c r="J90" s="3">
        <v>13.372742360222601</v>
      </c>
      <c r="K90" s="3">
        <v>9.4874243159302605</v>
      </c>
      <c r="L90" s="3">
        <v>8.1739445156389294</v>
      </c>
      <c r="M90" s="3">
        <v>10.079374975506299</v>
      </c>
      <c r="N90" s="3">
        <v>10.343938296904801</v>
      </c>
      <c r="O90" s="3">
        <v>22.632146521914098</v>
      </c>
      <c r="P90" s="3">
        <v>12.458843252273599</v>
      </c>
      <c r="Q90" s="3">
        <v>13.625500043744101</v>
      </c>
      <c r="R90" s="3">
        <v>17.442072750535999</v>
      </c>
      <c r="S90" s="3">
        <v>4.6515302776698597</v>
      </c>
      <c r="T90" s="3">
        <v>16.131959724789802</v>
      </c>
      <c r="U90" s="3">
        <v>15.110719648018</v>
      </c>
      <c r="V90" s="3">
        <v>18.989986102189999</v>
      </c>
    </row>
    <row r="91" spans="1:22" x14ac:dyDescent="0.35">
      <c r="A91" s="2">
        <v>44630</v>
      </c>
      <c r="B91" s="3">
        <v>12.9698232137085</v>
      </c>
      <c r="C91" s="3">
        <v>9.4099196041189295</v>
      </c>
      <c r="D91" s="3">
        <v>15.0061067526567</v>
      </c>
      <c r="E91" s="3">
        <v>14.561132974321</v>
      </c>
      <c r="F91" s="3">
        <v>8.9663909329887996</v>
      </c>
      <c r="G91" s="3">
        <v>11.6350517052139</v>
      </c>
      <c r="H91" s="3">
        <v>15.2432994412403</v>
      </c>
      <c r="I91" s="3">
        <v>12.337901052715299</v>
      </c>
      <c r="J91" s="3">
        <v>13.4652140883277</v>
      </c>
      <c r="K91" s="3">
        <v>9.2556436361384993</v>
      </c>
      <c r="L91" s="3">
        <v>7.8761416954211496</v>
      </c>
      <c r="M91" s="3">
        <v>10.030648992342201</v>
      </c>
      <c r="N91" s="3">
        <v>8.7986419583208804</v>
      </c>
      <c r="O91" s="3">
        <v>21.1664378092295</v>
      </c>
      <c r="P91" s="3">
        <v>10.2110388062097</v>
      </c>
      <c r="Q91" s="3">
        <v>14.3525412752309</v>
      </c>
      <c r="R91" s="3">
        <v>16.813593297628501</v>
      </c>
      <c r="S91" s="3">
        <v>4.4124420771054602</v>
      </c>
      <c r="T91" s="3">
        <v>16.275910926354001</v>
      </c>
      <c r="U91" s="3">
        <v>14.537205251675401</v>
      </c>
      <c r="V91" s="3">
        <v>19.446482557916699</v>
      </c>
    </row>
    <row r="92" spans="1:22" x14ac:dyDescent="0.35">
      <c r="A92" s="2">
        <v>44659</v>
      </c>
      <c r="B92" s="3">
        <v>12.8030836847709</v>
      </c>
      <c r="C92" s="3">
        <v>9.5320262685203296</v>
      </c>
      <c r="D92" s="3">
        <v>14.9359226444227</v>
      </c>
      <c r="E92" s="3">
        <v>14.367017311938699</v>
      </c>
      <c r="F92" s="3">
        <v>8.91694635967729</v>
      </c>
      <c r="G92" s="3">
        <v>10.2951049223289</v>
      </c>
      <c r="H92" s="3">
        <v>15.302016440898401</v>
      </c>
      <c r="I92" s="3">
        <v>12.070513221972901</v>
      </c>
      <c r="J92" s="3">
        <v>13.713752755699399</v>
      </c>
      <c r="K92" s="3">
        <v>9.1576402174257208</v>
      </c>
      <c r="L92" s="3">
        <v>7.5926227392350603</v>
      </c>
      <c r="M92" s="3">
        <v>9.7363350076814399</v>
      </c>
      <c r="N92" s="3">
        <v>10.249405975308401</v>
      </c>
      <c r="O92" s="3">
        <v>22.548604240328501</v>
      </c>
      <c r="P92" s="3">
        <v>10.744241024184999</v>
      </c>
      <c r="Q92" s="3">
        <v>14.252071628784099</v>
      </c>
      <c r="R92" s="3">
        <v>16.858773762047399</v>
      </c>
      <c r="S92" s="3">
        <v>4.9587595556709596</v>
      </c>
      <c r="T92" s="3">
        <v>16.782726289781401</v>
      </c>
      <c r="U92" s="3">
        <v>14.3622911155843</v>
      </c>
      <c r="V92" s="3">
        <v>19.203602932906701</v>
      </c>
    </row>
    <row r="93" spans="1:22" x14ac:dyDescent="0.35">
      <c r="A93" s="2">
        <v>44691</v>
      </c>
      <c r="B93" s="3">
        <v>12.23861450844</v>
      </c>
      <c r="C93" s="3">
        <v>8.3098121102582194</v>
      </c>
      <c r="D93" s="3">
        <v>13.5886188175676</v>
      </c>
      <c r="E93" s="3">
        <v>13.5140726725989</v>
      </c>
      <c r="F93" s="3">
        <v>6.7527983231030904</v>
      </c>
      <c r="G93" s="3">
        <v>7.8425469322648498</v>
      </c>
      <c r="H93" s="3">
        <v>14.582303575487201</v>
      </c>
      <c r="I93" s="3">
        <v>11.2355925582651</v>
      </c>
      <c r="J93" s="3">
        <v>12.1484248693521</v>
      </c>
      <c r="K93" s="3">
        <v>8.5917009317250894</v>
      </c>
      <c r="L93" s="3">
        <v>6.3271429711540197</v>
      </c>
      <c r="M93" s="3">
        <v>8.5929670641193105</v>
      </c>
      <c r="N93" s="3">
        <v>9.1276478553798999</v>
      </c>
      <c r="O93" s="3">
        <v>20.354715448875002</v>
      </c>
      <c r="P93" s="3">
        <v>10.011980717474</v>
      </c>
      <c r="Q93" s="3">
        <v>13.5948551309412</v>
      </c>
      <c r="R93" s="3">
        <v>16.069151749804099</v>
      </c>
      <c r="S93" s="3">
        <v>4.5423388811097896</v>
      </c>
      <c r="T93" s="3">
        <v>15.4654172237528</v>
      </c>
      <c r="U93" s="3">
        <v>12.692759205995401</v>
      </c>
      <c r="V93" s="3">
        <v>18.8099242080194</v>
      </c>
    </row>
    <row r="94" spans="1:22" x14ac:dyDescent="0.35">
      <c r="A94" s="2">
        <v>44722</v>
      </c>
      <c r="B94" s="3">
        <v>13.138759707561899</v>
      </c>
      <c r="C94" s="3">
        <v>7.1470172238474099</v>
      </c>
      <c r="D94" s="3">
        <v>13.0526130997264</v>
      </c>
      <c r="E94" s="3">
        <v>13.2207516089929</v>
      </c>
      <c r="F94" s="3">
        <v>6.6418073832710602</v>
      </c>
      <c r="G94" s="3">
        <v>8.0599443072999399</v>
      </c>
      <c r="H94" s="3">
        <v>13.9646426778665</v>
      </c>
      <c r="I94" s="3">
        <v>11.543775142318299</v>
      </c>
      <c r="J94" s="3">
        <v>11.711107312361801</v>
      </c>
      <c r="K94" s="3">
        <v>8.7281680344606105</v>
      </c>
      <c r="L94" s="3">
        <v>6.3453747150509798</v>
      </c>
      <c r="M94" s="3">
        <v>8.4958076811011196</v>
      </c>
      <c r="N94" s="3">
        <v>8.9337791264152493</v>
      </c>
      <c r="O94" s="3">
        <v>20.51483332047</v>
      </c>
      <c r="P94" s="3">
        <v>11.7811203127902</v>
      </c>
      <c r="Q94" s="3">
        <v>12.6051366137615</v>
      </c>
      <c r="R94" s="3">
        <v>15.819116239990199</v>
      </c>
      <c r="S94" s="3">
        <v>4.7519671441243601</v>
      </c>
      <c r="T94" s="3">
        <v>13.9844840095367</v>
      </c>
      <c r="U94" s="3">
        <v>12.6984035938289</v>
      </c>
      <c r="V94" s="3">
        <v>16.972128376685401</v>
      </c>
    </row>
    <row r="95" spans="1:22" x14ac:dyDescent="0.35">
      <c r="A95" s="2">
        <v>44750</v>
      </c>
      <c r="B95" s="3">
        <v>13.5757413520101</v>
      </c>
      <c r="C95" s="3">
        <v>6.4875596897464902</v>
      </c>
      <c r="D95" s="3">
        <v>12.224715668739901</v>
      </c>
      <c r="E95" s="3">
        <v>12.7827521268679</v>
      </c>
      <c r="F95" s="3">
        <v>6.8946358839000501</v>
      </c>
      <c r="G95" s="3">
        <v>7.0389304196604296</v>
      </c>
      <c r="H95" s="3">
        <v>13.295402771201999</v>
      </c>
      <c r="I95" s="3">
        <v>10.1598641997809</v>
      </c>
      <c r="J95" s="3">
        <v>11.397345250295499</v>
      </c>
      <c r="K95" s="3">
        <v>8.2772673762645308</v>
      </c>
      <c r="L95" s="3">
        <v>6.0617513197197503</v>
      </c>
      <c r="M95" s="3">
        <v>8.8959415352433595</v>
      </c>
      <c r="N95" s="3">
        <v>7.7825543953793401</v>
      </c>
      <c r="O95" s="3">
        <v>20.485138216208099</v>
      </c>
      <c r="P95" s="3">
        <v>11.9382058400173</v>
      </c>
      <c r="Q95" s="3">
        <v>12.1859617051299</v>
      </c>
      <c r="R95" s="3">
        <v>15.1164697673684</v>
      </c>
      <c r="S95" s="3">
        <v>4.2303120828984904</v>
      </c>
      <c r="T95" s="3">
        <v>12.612919186805801</v>
      </c>
      <c r="U95" s="3">
        <v>10.747131941412199</v>
      </c>
      <c r="V95" s="3">
        <v>15.608337414420999</v>
      </c>
    </row>
    <row r="96" spans="1:22" x14ac:dyDescent="0.35">
      <c r="A96" s="2">
        <v>44783</v>
      </c>
      <c r="B96" s="3">
        <v>12.608177663617401</v>
      </c>
      <c r="C96" s="3">
        <v>6.6358458585229601</v>
      </c>
      <c r="D96" s="3">
        <v>12.854132010689501</v>
      </c>
      <c r="E96" s="3">
        <v>12.8922927913212</v>
      </c>
      <c r="F96" s="3">
        <v>6.2679065705789299</v>
      </c>
      <c r="G96" s="3">
        <v>7.7027795994949697</v>
      </c>
      <c r="H96" s="3">
        <v>13.871418149980901</v>
      </c>
      <c r="I96" s="3">
        <v>10.7924250124225</v>
      </c>
      <c r="J96" s="3">
        <v>11.5982269535525</v>
      </c>
      <c r="K96" s="3">
        <v>8.7392656629194096</v>
      </c>
      <c r="L96" s="3">
        <v>6.5395573425878304</v>
      </c>
      <c r="M96" s="3">
        <v>8.9839452219231504</v>
      </c>
      <c r="N96" s="3">
        <v>8.2424381362745507</v>
      </c>
      <c r="O96" s="3">
        <v>22.471732504746701</v>
      </c>
      <c r="P96" s="3">
        <v>10.5395806527671</v>
      </c>
      <c r="Q96" s="3">
        <v>13.7843754067218</v>
      </c>
      <c r="R96" s="3">
        <v>15.425268641862401</v>
      </c>
      <c r="S96" s="3">
        <v>4.4417301951052703</v>
      </c>
      <c r="T96" s="3">
        <v>13.550544648581599</v>
      </c>
      <c r="U96" s="3">
        <v>11.342863929277099</v>
      </c>
      <c r="V96" s="3">
        <v>16.447457275787599</v>
      </c>
    </row>
    <row r="97" spans="1:22" x14ac:dyDescent="0.35">
      <c r="A97" s="2">
        <v>44813</v>
      </c>
      <c r="B97" s="3">
        <v>12.614239477186899</v>
      </c>
      <c r="C97" s="3">
        <v>6.9454832152899302</v>
      </c>
      <c r="D97" s="3">
        <v>13.0470554558815</v>
      </c>
      <c r="E97" s="3">
        <v>12.8828527538152</v>
      </c>
      <c r="F97" s="3">
        <v>6.1454203839297303</v>
      </c>
      <c r="G97" s="3">
        <v>8.0221769992837793</v>
      </c>
      <c r="H97" s="3">
        <v>13.815886773611901</v>
      </c>
      <c r="I97" s="3">
        <v>10.779292749888899</v>
      </c>
      <c r="J97" s="3">
        <v>11.1855783699628</v>
      </c>
      <c r="K97" s="3">
        <v>8.5172917416949492</v>
      </c>
      <c r="L97" s="3">
        <v>6.4910000205419998</v>
      </c>
      <c r="M97" s="3">
        <v>8.54621303586325</v>
      </c>
      <c r="N97" s="3">
        <v>6.9668025514714502</v>
      </c>
      <c r="O97" s="3">
        <v>22.659890146465202</v>
      </c>
      <c r="P97" s="3">
        <v>10.8445351567992</v>
      </c>
      <c r="Q97" s="3">
        <v>12.762594282999499</v>
      </c>
      <c r="R97" s="3">
        <v>15.6735798287311</v>
      </c>
      <c r="S97" s="3">
        <v>4.9671552989111101</v>
      </c>
      <c r="T97" s="3">
        <v>12.736293423137999</v>
      </c>
      <c r="U97" s="3">
        <v>11.185290100562399</v>
      </c>
      <c r="V97" s="3">
        <v>15.4549856769275</v>
      </c>
    </row>
    <row r="98" spans="1:22" x14ac:dyDescent="0.35">
      <c r="A98" s="2">
        <v>44844</v>
      </c>
      <c r="B98" s="3">
        <v>11.3314000022456</v>
      </c>
      <c r="C98" s="3">
        <v>7.1385955105139702</v>
      </c>
      <c r="D98" s="3">
        <v>12.469957476656299</v>
      </c>
      <c r="E98" s="3">
        <v>11.253465018058099</v>
      </c>
      <c r="F98" s="3">
        <v>6.0710031492850201</v>
      </c>
      <c r="G98" s="3">
        <v>8.2834553566430191</v>
      </c>
      <c r="H98" s="3">
        <v>12.8553573441155</v>
      </c>
      <c r="I98" s="3">
        <v>10.561631505157701</v>
      </c>
      <c r="J98" s="3">
        <v>11.213970440288501</v>
      </c>
      <c r="K98" s="3">
        <v>8.6665931065164994</v>
      </c>
      <c r="L98" s="3">
        <v>6.9710598039296201</v>
      </c>
      <c r="M98" s="3">
        <v>8.1294772458479407</v>
      </c>
      <c r="N98" s="3">
        <v>6.6565717527728596</v>
      </c>
      <c r="O98" s="3">
        <v>21.6300813415032</v>
      </c>
      <c r="P98" s="3">
        <v>9.5017487972742192</v>
      </c>
      <c r="Q98" s="3">
        <v>12.9089689917112</v>
      </c>
      <c r="R98" s="3">
        <v>14.9229499584159</v>
      </c>
      <c r="S98" s="3">
        <v>4.7138700793537902</v>
      </c>
      <c r="T98" s="3">
        <v>12.459961295366799</v>
      </c>
      <c r="U98" s="3">
        <v>10.480659301088901</v>
      </c>
      <c r="V98" s="3">
        <v>14.9701145751173</v>
      </c>
    </row>
    <row r="99" spans="1:22" x14ac:dyDescent="0.35">
      <c r="A99" s="2">
        <v>44875</v>
      </c>
      <c r="B99" s="3">
        <v>11.543556657745899</v>
      </c>
      <c r="C99" s="3">
        <v>7.8142545267435501</v>
      </c>
      <c r="D99" s="3">
        <v>12.5599163722345</v>
      </c>
      <c r="E99" s="3">
        <v>11.699658804285001</v>
      </c>
      <c r="F99" s="3">
        <v>7.3674725236638903</v>
      </c>
      <c r="G99" s="3">
        <v>9.6571897342785906</v>
      </c>
      <c r="H99" s="3">
        <v>13.128814670246999</v>
      </c>
      <c r="I99" s="3">
        <v>11.318769138314</v>
      </c>
      <c r="J99" s="3">
        <v>12.555930282344599</v>
      </c>
      <c r="K99" s="3">
        <v>10.375395826774501</v>
      </c>
      <c r="L99" s="3">
        <v>6.7400024416385902</v>
      </c>
      <c r="M99" s="3">
        <v>8.9130531775428494</v>
      </c>
      <c r="N99" s="3">
        <v>6.99791091204309</v>
      </c>
      <c r="O99" s="3">
        <v>22.301956971749199</v>
      </c>
      <c r="P99" s="3">
        <v>9.1557474967944792</v>
      </c>
      <c r="Q99" s="3">
        <v>12.9284622706384</v>
      </c>
      <c r="R99" s="3">
        <v>15.519766448505001</v>
      </c>
      <c r="S99" s="3">
        <v>5.3629771078508401</v>
      </c>
      <c r="T99" s="3">
        <v>12.670450488817201</v>
      </c>
      <c r="U99" s="3">
        <v>9.5538067917519296</v>
      </c>
      <c r="V99" s="3">
        <v>14.778576157788001</v>
      </c>
    </row>
    <row r="100" spans="1:22" x14ac:dyDescent="0.35">
      <c r="A100" s="2">
        <v>44904</v>
      </c>
      <c r="B100" s="3">
        <v>12.3452348695811</v>
      </c>
      <c r="C100" s="3">
        <v>7.2150001198211298</v>
      </c>
      <c r="D100" s="3">
        <v>12.1839760235033</v>
      </c>
      <c r="E100" s="3">
        <v>12.524538067966599</v>
      </c>
      <c r="F100" s="3">
        <v>7.4863290060336798</v>
      </c>
      <c r="G100" s="3">
        <v>9.6654706251073303</v>
      </c>
      <c r="H100" s="3">
        <v>13.4465861606019</v>
      </c>
      <c r="I100" s="3">
        <v>12.821750961880801</v>
      </c>
      <c r="J100" s="3">
        <v>12.191474778243</v>
      </c>
      <c r="K100" s="3">
        <v>10.785261396604801</v>
      </c>
      <c r="L100" s="3">
        <v>6.7482687821574201</v>
      </c>
      <c r="M100" s="3">
        <v>9.1344505321650793</v>
      </c>
      <c r="N100" s="3">
        <v>6.6724427516623201</v>
      </c>
      <c r="O100" s="3">
        <v>22.721316806907499</v>
      </c>
      <c r="P100" s="3">
        <v>11.0150124292791</v>
      </c>
      <c r="Q100" s="3">
        <v>11.911632361605699</v>
      </c>
      <c r="R100" s="3">
        <v>15.5378803192368</v>
      </c>
      <c r="S100" s="3">
        <v>5.44102217564041</v>
      </c>
      <c r="T100" s="3">
        <v>11.7489613713641</v>
      </c>
      <c r="U100" s="3">
        <v>11.733367328232299</v>
      </c>
      <c r="V100" s="3">
        <v>13.905192493428901</v>
      </c>
    </row>
    <row r="101" spans="1:22" x14ac:dyDescent="0.35">
      <c r="A101" s="2">
        <v>44936</v>
      </c>
      <c r="B101" s="3">
        <v>12.200896735888699</v>
      </c>
      <c r="C101" s="3">
        <v>7.2377816493634599</v>
      </c>
      <c r="D101" s="3">
        <v>11.711497246702001</v>
      </c>
      <c r="E101" s="3">
        <v>12.8884447254256</v>
      </c>
      <c r="F101" s="3">
        <v>8.1164727940648493</v>
      </c>
      <c r="G101" s="3">
        <v>9.8214443034577901</v>
      </c>
      <c r="H101" s="3">
        <v>13.484118857555</v>
      </c>
      <c r="I101" s="3">
        <v>13.3501918822192</v>
      </c>
      <c r="J101" s="3">
        <v>12.5402521339375</v>
      </c>
      <c r="K101" s="3">
        <v>11.1551424547766</v>
      </c>
      <c r="L101" s="3">
        <v>7.0478702255390697</v>
      </c>
      <c r="M101" s="3">
        <v>9.4148652943220803</v>
      </c>
      <c r="N101" s="3">
        <v>6.47869721241827</v>
      </c>
      <c r="O101" s="3">
        <v>21.7204715731995</v>
      </c>
      <c r="P101" s="3">
        <v>11.6560883931392</v>
      </c>
      <c r="Q101" s="3">
        <v>11.817104260377</v>
      </c>
      <c r="R101" s="3">
        <v>16.218434116151801</v>
      </c>
      <c r="S101" s="3">
        <v>5.2290233885008499</v>
      </c>
      <c r="T101" s="3">
        <v>12.048464655042</v>
      </c>
      <c r="U101" s="3">
        <v>11.178778137319901</v>
      </c>
      <c r="V101" s="3">
        <v>14.622545033603499</v>
      </c>
    </row>
    <row r="102" spans="1:22" x14ac:dyDescent="0.35">
      <c r="A102" s="2">
        <v>44967</v>
      </c>
      <c r="B102" s="3">
        <v>12.406350945797</v>
      </c>
      <c r="C102" s="3">
        <v>7.9134375479821397</v>
      </c>
      <c r="D102" s="3">
        <v>12.3537290474244</v>
      </c>
      <c r="E102" s="3">
        <v>12.8987566291335</v>
      </c>
      <c r="F102" s="3">
        <v>7.6793908780071902</v>
      </c>
      <c r="G102" s="3">
        <v>9.6967568213862201</v>
      </c>
      <c r="H102" s="3">
        <v>13.342350182155201</v>
      </c>
      <c r="I102" s="3">
        <v>14.4210317528666</v>
      </c>
      <c r="J102" s="3">
        <v>12.5013781560385</v>
      </c>
      <c r="K102" s="3">
        <v>12.7534576508053</v>
      </c>
      <c r="L102" s="3">
        <v>7.0442996827436302</v>
      </c>
      <c r="M102" s="3">
        <v>9.1297297512323503</v>
      </c>
      <c r="N102" s="3">
        <v>7.7366182805458399</v>
      </c>
      <c r="O102" s="3">
        <v>21.1118729897719</v>
      </c>
      <c r="P102" s="3">
        <v>11.3693831279059</v>
      </c>
      <c r="Q102" s="3">
        <v>11.076941748175001</v>
      </c>
      <c r="R102" s="3">
        <v>15.9231782865377</v>
      </c>
      <c r="S102" s="3">
        <v>4.5136948395602401</v>
      </c>
      <c r="T102" s="3">
        <v>12.2738931862839</v>
      </c>
      <c r="U102" s="3">
        <v>11.051036060335701</v>
      </c>
      <c r="V102" s="3">
        <v>14.4386874853867</v>
      </c>
    </row>
    <row r="103" spans="1:22" x14ac:dyDescent="0.35">
      <c r="A103" s="2">
        <v>44995</v>
      </c>
      <c r="B103" s="3">
        <v>11.8798699786432</v>
      </c>
      <c r="C103" s="3">
        <v>7.8050415148032402</v>
      </c>
      <c r="D103" s="3">
        <v>11.706387213803101</v>
      </c>
      <c r="E103" s="3">
        <v>11.8375880577725</v>
      </c>
      <c r="F103" s="3">
        <v>7.2150461793740996</v>
      </c>
      <c r="G103" s="3">
        <v>9.4221614437917403</v>
      </c>
      <c r="H103" s="3">
        <v>13.0576524697621</v>
      </c>
      <c r="I103" s="3">
        <v>14.474014248832299</v>
      </c>
      <c r="J103" s="3">
        <v>12.5731204801028</v>
      </c>
      <c r="K103" s="3">
        <v>12.677170255838</v>
      </c>
      <c r="L103" s="3">
        <v>6.6489760856804301</v>
      </c>
      <c r="M103" s="3">
        <v>8.7770949749625409</v>
      </c>
      <c r="N103" s="3">
        <v>7.3423269795600001</v>
      </c>
      <c r="O103" s="3">
        <v>20.176111012939401</v>
      </c>
      <c r="P103" s="3">
        <v>10.4106554020226</v>
      </c>
      <c r="Q103" s="3">
        <v>11.284221393579299</v>
      </c>
      <c r="R103" s="3">
        <v>15.685531003589499</v>
      </c>
      <c r="S103" s="3">
        <v>5.2039663301731398</v>
      </c>
      <c r="T103" s="3">
        <v>11.3264315892194</v>
      </c>
      <c r="U103" s="3">
        <v>12.5383170938843</v>
      </c>
      <c r="V103" s="3">
        <v>15.035974956571801</v>
      </c>
    </row>
    <row r="104" spans="1:22" x14ac:dyDescent="0.35">
      <c r="A104" s="2">
        <v>45026</v>
      </c>
      <c r="B104" s="3">
        <v>12.380373941734801</v>
      </c>
      <c r="C104" s="3">
        <v>7.3235512384882497</v>
      </c>
      <c r="D104" s="3">
        <v>12.005485115442299</v>
      </c>
      <c r="E104" s="3">
        <v>11.722693911990699</v>
      </c>
      <c r="F104" s="3">
        <v>6.7574554326770597</v>
      </c>
      <c r="G104" s="3">
        <v>9.7186243005974404</v>
      </c>
      <c r="H104" s="3">
        <v>13.1010680075827</v>
      </c>
      <c r="I104" s="3">
        <v>15.066150860098899</v>
      </c>
      <c r="J104" s="3">
        <v>12.574293474445801</v>
      </c>
      <c r="K104" s="3">
        <v>13.8572632289896</v>
      </c>
      <c r="L104" s="3">
        <v>6.5575137917406296</v>
      </c>
      <c r="M104" s="3">
        <v>9.0499849913742398</v>
      </c>
      <c r="N104" s="3">
        <v>7.1105496996650404</v>
      </c>
      <c r="O104" s="3">
        <v>20.117552894179401</v>
      </c>
      <c r="P104" s="3">
        <v>10.9691848996271</v>
      </c>
      <c r="Q104" s="3">
        <v>10.974848906885599</v>
      </c>
      <c r="R104" s="3">
        <v>15.788541262416199</v>
      </c>
      <c r="S104" s="3">
        <v>4.8109834340931004</v>
      </c>
      <c r="T104" s="3">
        <v>10.961293823461199</v>
      </c>
      <c r="U104" s="3">
        <v>13.7917350057546</v>
      </c>
      <c r="V104" s="3">
        <v>15.7165407030748</v>
      </c>
    </row>
    <row r="105" spans="1:22" x14ac:dyDescent="0.35">
      <c r="A105" s="2">
        <v>45056</v>
      </c>
      <c r="B105" s="3">
        <v>12.1691654250907</v>
      </c>
      <c r="C105" s="3">
        <v>8.4338032966969294</v>
      </c>
      <c r="D105" s="3">
        <v>12.0642431040714</v>
      </c>
      <c r="E105" s="3">
        <v>11.4811360864894</v>
      </c>
      <c r="F105" s="3">
        <v>7.2153878340300599</v>
      </c>
      <c r="G105" s="3">
        <v>9.6714491123480393</v>
      </c>
      <c r="H105" s="3">
        <v>13.0882637066239</v>
      </c>
      <c r="I105" s="3">
        <v>15.197474804798301</v>
      </c>
      <c r="J105" s="3">
        <v>12.501428761773401</v>
      </c>
      <c r="K105" s="3">
        <v>13.1858856354186</v>
      </c>
      <c r="L105" s="3">
        <v>6.9508010127723496</v>
      </c>
      <c r="M105" s="3">
        <v>9.0387710418879905</v>
      </c>
      <c r="N105" s="3">
        <v>7.1686352215006997</v>
      </c>
      <c r="O105" s="3">
        <v>21.0475890292056</v>
      </c>
      <c r="P105" s="3">
        <v>10.402378391324399</v>
      </c>
      <c r="Q105" s="3">
        <v>11.3984460281954</v>
      </c>
      <c r="R105" s="3">
        <v>15.697225003029001</v>
      </c>
      <c r="S105" s="3">
        <v>4.1399452942215298</v>
      </c>
      <c r="T105" s="3">
        <v>11.3071895742994</v>
      </c>
      <c r="U105" s="3">
        <v>13.715808935553101</v>
      </c>
      <c r="V105" s="3">
        <v>16.482692859412101</v>
      </c>
    </row>
    <row r="106" spans="1:22" x14ac:dyDescent="0.35">
      <c r="A106" s="2">
        <v>45086</v>
      </c>
      <c r="B106" s="3">
        <v>11.8270930913118</v>
      </c>
      <c r="C106" s="3">
        <v>8.2905053463169391</v>
      </c>
      <c r="D106" s="3">
        <v>13.6546150838256</v>
      </c>
      <c r="E106" s="3">
        <v>10.253203490609</v>
      </c>
      <c r="F106" s="3">
        <v>7.8322069707830302</v>
      </c>
      <c r="G106" s="3">
        <v>9.8436900418527706</v>
      </c>
      <c r="H106" s="3">
        <v>13.200146766930301</v>
      </c>
      <c r="I106" s="3">
        <v>16.362270579503502</v>
      </c>
      <c r="J106" s="3">
        <v>11.9896821712241</v>
      </c>
      <c r="K106" s="3">
        <v>13.030315196301499</v>
      </c>
      <c r="L106" s="3">
        <v>7.7776166227616397</v>
      </c>
      <c r="M106" s="3">
        <v>9.1366868399855896</v>
      </c>
      <c r="N106" s="3">
        <v>7.7513395879571698</v>
      </c>
      <c r="O106" s="3">
        <v>21.345564785570399</v>
      </c>
      <c r="P106" s="3">
        <v>10.3622601231387</v>
      </c>
      <c r="Q106" s="3">
        <v>11.1779722572231</v>
      </c>
      <c r="R106" s="3">
        <v>15.8040472473553</v>
      </c>
      <c r="S106" s="3">
        <v>5.0102359591947101</v>
      </c>
      <c r="T106" s="3">
        <v>10.981571857807101</v>
      </c>
      <c r="U106" s="3">
        <v>13.908034636672401</v>
      </c>
      <c r="V106" s="3">
        <v>16.947438317757399</v>
      </c>
    </row>
    <row r="107" spans="1:22" x14ac:dyDescent="0.35">
      <c r="A107" s="2">
        <v>45117</v>
      </c>
      <c r="B107" s="3">
        <v>11.770286650003399</v>
      </c>
      <c r="C107" s="3">
        <v>8.8860147362107398</v>
      </c>
      <c r="D107" s="3">
        <v>13.3358851492798</v>
      </c>
      <c r="E107" s="3">
        <v>10.0262464870461</v>
      </c>
      <c r="F107" s="3">
        <v>8.3818822993034896</v>
      </c>
      <c r="G107" s="3">
        <v>10.0872238711328</v>
      </c>
      <c r="H107" s="3">
        <v>13.2118402025741</v>
      </c>
      <c r="I107" s="3">
        <v>15.9174808733085</v>
      </c>
      <c r="J107" s="3">
        <v>11.8229351825776</v>
      </c>
      <c r="K107" s="3">
        <v>11.6970367728719</v>
      </c>
      <c r="L107" s="3">
        <v>7.8788676174857404</v>
      </c>
      <c r="M107" s="3">
        <v>9.2763683979614608</v>
      </c>
      <c r="N107" s="3">
        <v>7.8496385405017</v>
      </c>
      <c r="O107" s="3">
        <v>21.985132316040101</v>
      </c>
      <c r="P107" s="3">
        <v>10.1264782805717</v>
      </c>
      <c r="Q107" s="3">
        <v>11.0345311233299</v>
      </c>
      <c r="R107" s="3">
        <v>15.384482589333899</v>
      </c>
      <c r="S107" s="3">
        <v>5.4402497924362896</v>
      </c>
      <c r="T107" s="3">
        <v>11.2487980182546</v>
      </c>
      <c r="U107" s="3">
        <v>13.496547049990401</v>
      </c>
      <c r="V107" s="3">
        <v>17.2400552373743</v>
      </c>
    </row>
    <row r="108" spans="1:22" x14ac:dyDescent="0.35">
      <c r="A108" s="2">
        <v>45148</v>
      </c>
      <c r="B108" s="3">
        <v>12.1734351763285</v>
      </c>
      <c r="C108" s="3">
        <v>9.3088334016395091</v>
      </c>
      <c r="D108" s="3">
        <v>13.6619389235327</v>
      </c>
      <c r="E108" s="3">
        <v>9.9234740996323794</v>
      </c>
      <c r="F108" s="3">
        <v>8.3828750045218694</v>
      </c>
      <c r="G108" s="3">
        <v>10.8125071655365</v>
      </c>
      <c r="H108" s="3">
        <v>13.8370309020266</v>
      </c>
      <c r="I108" s="3">
        <v>16.162073343998902</v>
      </c>
      <c r="J108" s="3">
        <v>11.9338366010012</v>
      </c>
      <c r="K108" s="3">
        <v>11.601152949436401</v>
      </c>
      <c r="L108" s="3">
        <v>7.9430417211736302</v>
      </c>
      <c r="M108" s="3">
        <v>10.034104138311999</v>
      </c>
      <c r="N108" s="3">
        <v>7.77085628255029</v>
      </c>
      <c r="O108" s="3">
        <v>20.981008971953301</v>
      </c>
      <c r="P108" s="3">
        <v>10.713171015594</v>
      </c>
      <c r="Q108" s="3">
        <v>11.638464031367899</v>
      </c>
      <c r="R108" s="3">
        <v>15.781381761072099</v>
      </c>
      <c r="S108" s="3">
        <v>5.9282073392538601</v>
      </c>
      <c r="T108" s="3">
        <v>11.5613666707712</v>
      </c>
      <c r="U108" s="3">
        <v>14.5332047838302</v>
      </c>
      <c r="V108" s="3">
        <v>17.192901597130199</v>
      </c>
    </row>
    <row r="109" spans="1:22" x14ac:dyDescent="0.35">
      <c r="A109" s="2">
        <v>45177</v>
      </c>
      <c r="B109" s="3">
        <v>11.8743192597495</v>
      </c>
      <c r="C109" s="3">
        <v>8.6501972771968703</v>
      </c>
      <c r="D109" s="3">
        <v>13.430834342425999</v>
      </c>
      <c r="E109" s="3">
        <v>9.7620419687471092</v>
      </c>
      <c r="F109" s="3">
        <v>7.9117524870799301</v>
      </c>
      <c r="G109" s="3">
        <v>9.91525200901056</v>
      </c>
      <c r="H109" s="3">
        <v>13.8314710820906</v>
      </c>
      <c r="I109" s="3">
        <v>15.591668597150299</v>
      </c>
      <c r="J109" s="3">
        <v>11.6696938147553</v>
      </c>
      <c r="K109" s="3">
        <v>11.1914017794962</v>
      </c>
      <c r="L109" s="3">
        <v>7.7944020296261201</v>
      </c>
      <c r="M109" s="3">
        <v>9.6013103334674597</v>
      </c>
      <c r="N109" s="3">
        <v>6.9308272545276601</v>
      </c>
      <c r="O109" s="3">
        <v>20.890262625888401</v>
      </c>
      <c r="P109" s="3">
        <v>10.320707840937001</v>
      </c>
      <c r="Q109" s="3">
        <v>10.8710440101486</v>
      </c>
      <c r="R109" s="3">
        <v>15.9266800799411</v>
      </c>
      <c r="S109" s="3">
        <v>6.3237720063153704</v>
      </c>
      <c r="T109" s="3">
        <v>10.8523063860954</v>
      </c>
      <c r="U109" s="3">
        <v>14.9672301761988</v>
      </c>
      <c r="V109" s="3">
        <v>16.6653743233217</v>
      </c>
    </row>
    <row r="110" spans="1:22" x14ac:dyDescent="0.35">
      <c r="A110" s="2">
        <v>45209</v>
      </c>
      <c r="B110" s="3">
        <v>11.5074458787361</v>
      </c>
      <c r="C110" s="3">
        <v>8.6061839880928304</v>
      </c>
      <c r="D110" s="3">
        <v>12.975012800041601</v>
      </c>
      <c r="E110" s="3">
        <v>9.9186360184192495</v>
      </c>
      <c r="F110" s="3">
        <v>7.96002692675565</v>
      </c>
      <c r="G110" s="3">
        <v>9.4662980982726506</v>
      </c>
      <c r="H110" s="3">
        <v>13.5936913281403</v>
      </c>
      <c r="I110" s="3">
        <v>15.3430698479795</v>
      </c>
      <c r="J110" s="3">
        <v>11.223117992999301</v>
      </c>
      <c r="K110" s="3">
        <v>10.1698211982598</v>
      </c>
      <c r="L110" s="3">
        <v>7.6402145242603403</v>
      </c>
      <c r="M110" s="3">
        <v>9.5669842037901898</v>
      </c>
      <c r="N110" s="3">
        <v>6.42525198230061</v>
      </c>
      <c r="O110" s="3">
        <v>20.529220343476599</v>
      </c>
      <c r="P110" s="3">
        <v>9.8951732877196594</v>
      </c>
      <c r="Q110" s="3">
        <v>10.380668782457301</v>
      </c>
      <c r="R110" s="3">
        <v>14.6516512519524</v>
      </c>
      <c r="S110" s="3">
        <v>6.01176069145707</v>
      </c>
      <c r="T110" s="3">
        <v>10.737958721109599</v>
      </c>
      <c r="U110" s="3">
        <v>13.7954136212999</v>
      </c>
      <c r="V110" s="3">
        <v>15.6886081702441</v>
      </c>
    </row>
    <row r="111" spans="1:22" x14ac:dyDescent="0.35">
      <c r="A111" s="2">
        <v>45240</v>
      </c>
      <c r="B111" s="3">
        <v>11.6501723868491</v>
      </c>
      <c r="C111" s="3">
        <v>8.2673747813531104</v>
      </c>
      <c r="D111" s="3">
        <v>12.3397111874428</v>
      </c>
      <c r="E111" s="3">
        <v>9.5459805579605899</v>
      </c>
      <c r="F111" s="3">
        <v>8.1713453131301197</v>
      </c>
      <c r="G111" s="3">
        <v>9.5997664827110505</v>
      </c>
      <c r="H111" s="3">
        <v>13.556010201372599</v>
      </c>
      <c r="I111" s="3">
        <v>15.275453601623701</v>
      </c>
      <c r="J111" s="3">
        <v>11.579554971951101</v>
      </c>
      <c r="K111" s="3">
        <v>10.002840162364899</v>
      </c>
      <c r="L111" s="3">
        <v>7.6511060687953698</v>
      </c>
      <c r="M111" s="3">
        <v>9.3852405355314197</v>
      </c>
      <c r="N111" s="3">
        <v>6.5171128845631303</v>
      </c>
      <c r="O111" s="3">
        <v>20.037227833511199</v>
      </c>
      <c r="P111" s="3">
        <v>9.6909106634917102</v>
      </c>
      <c r="Q111" s="3">
        <v>10.568800766504101</v>
      </c>
      <c r="R111" s="3">
        <v>14.2551266245645</v>
      </c>
      <c r="S111" s="3">
        <v>4.8098193325063603</v>
      </c>
      <c r="T111" s="3">
        <v>10.3067487433349</v>
      </c>
      <c r="U111" s="3">
        <v>13.833724472369701</v>
      </c>
      <c r="V111" s="3">
        <v>16.057259560359999</v>
      </c>
    </row>
    <row r="112" spans="1:22" x14ac:dyDescent="0.35">
      <c r="A112" s="2">
        <v>45268</v>
      </c>
      <c r="B112" s="3">
        <v>11.308064889114201</v>
      </c>
      <c r="C112" s="3">
        <v>9.3237792109271496</v>
      </c>
      <c r="D112" s="3">
        <v>12.467275715131599</v>
      </c>
      <c r="E112" s="3">
        <v>9.0955314093895794</v>
      </c>
      <c r="F112" s="3">
        <v>8.9486504935513</v>
      </c>
      <c r="G112" s="3">
        <v>10.3837644701945</v>
      </c>
      <c r="H112" s="3">
        <v>13.5700335727691</v>
      </c>
      <c r="I112" s="3">
        <v>15.725530359136499</v>
      </c>
      <c r="J112" s="3">
        <v>12.3558223533741</v>
      </c>
      <c r="K112" s="3">
        <v>10.1313206623695</v>
      </c>
      <c r="L112" s="3">
        <v>7.6519567803727204</v>
      </c>
      <c r="M112" s="3">
        <v>9.5436188477682293</v>
      </c>
      <c r="N112" s="3">
        <v>6.5528169571802302</v>
      </c>
      <c r="O112" s="3">
        <v>21.386075023918099</v>
      </c>
      <c r="P112" s="3">
        <v>9.1664813247640993</v>
      </c>
      <c r="Q112" s="3">
        <v>10.325092110572299</v>
      </c>
      <c r="R112" s="3">
        <v>14.2507899255232</v>
      </c>
      <c r="S112" s="3">
        <v>4.7466219530025802</v>
      </c>
      <c r="T112" s="3">
        <v>10.178734484167199</v>
      </c>
      <c r="U112" s="3">
        <v>14.506425672484101</v>
      </c>
      <c r="V112" s="3">
        <v>16.502915189339902</v>
      </c>
    </row>
    <row r="113" spans="1:37" x14ac:dyDescent="0.35">
      <c r="A113" s="2">
        <v>45301</v>
      </c>
      <c r="B113" s="3">
        <v>10.786150293005001</v>
      </c>
      <c r="C113" s="3">
        <v>9.5440655112742796</v>
      </c>
      <c r="D113" s="3">
        <v>12.8754187949973</v>
      </c>
      <c r="E113" s="3">
        <v>9.4374862940692896</v>
      </c>
      <c r="F113" s="3">
        <v>8.2874073779788393</v>
      </c>
      <c r="G113" s="3">
        <v>11.4222082206038</v>
      </c>
      <c r="H113" s="3">
        <v>13.776151950706099</v>
      </c>
      <c r="I113" s="3">
        <v>15.722960873549299</v>
      </c>
      <c r="J113" s="3">
        <v>12.447792421419701</v>
      </c>
      <c r="K113" s="3">
        <v>9.8788697960863097</v>
      </c>
      <c r="L113" s="3">
        <v>7.7485079449045902</v>
      </c>
      <c r="M113" s="3">
        <v>9.3702107201958196</v>
      </c>
      <c r="N113" s="3">
        <v>6.7886610992837397</v>
      </c>
      <c r="O113" s="3">
        <v>21.9327885798821</v>
      </c>
      <c r="P113" s="3">
        <v>8.9196526373030292</v>
      </c>
      <c r="Q113" s="3">
        <v>10.7896290733448</v>
      </c>
      <c r="R113" s="3">
        <v>14.5456380573121</v>
      </c>
      <c r="S113" s="3">
        <v>4.6315666780867604</v>
      </c>
      <c r="T113" s="3">
        <v>10.7665579302893</v>
      </c>
      <c r="U113" s="3">
        <v>14.460276037303499</v>
      </c>
      <c r="V113" s="3">
        <v>18.503245330411101</v>
      </c>
    </row>
    <row r="114" spans="1:37" x14ac:dyDescent="0.35">
      <c r="A114" s="2">
        <v>45331</v>
      </c>
      <c r="B114" s="3">
        <v>11.070980853733101</v>
      </c>
      <c r="C114" s="3">
        <v>9.4136538073376705</v>
      </c>
      <c r="D114" s="3">
        <v>12.934275521505899</v>
      </c>
      <c r="E114" s="3">
        <v>9.8494741857664394</v>
      </c>
      <c r="F114" s="3">
        <v>8.8178350471809104</v>
      </c>
      <c r="G114" s="3">
        <v>11.420036756049599</v>
      </c>
      <c r="H114" s="3">
        <v>13.840535447416</v>
      </c>
      <c r="I114" s="3">
        <v>16.026722077991401</v>
      </c>
      <c r="J114" s="3">
        <v>12.9553567378849</v>
      </c>
      <c r="K114" s="3">
        <v>10.4935011701875</v>
      </c>
      <c r="L114" s="3">
        <v>7.84038244361592</v>
      </c>
      <c r="M114" s="3">
        <v>9.3561227194339498</v>
      </c>
      <c r="N114" s="3">
        <v>7.0595769857578903</v>
      </c>
      <c r="O114" s="3">
        <v>22.4536198865632</v>
      </c>
      <c r="P114" s="3">
        <v>8.7240914657709308</v>
      </c>
      <c r="Q114" s="3">
        <v>10.214226274693299</v>
      </c>
      <c r="R114" s="3">
        <v>14.3528073798789</v>
      </c>
      <c r="S114" s="3">
        <v>5.2635421658029697</v>
      </c>
      <c r="T114" s="3">
        <v>10.062219234447801</v>
      </c>
      <c r="U114" s="3">
        <v>14.653314865154099</v>
      </c>
      <c r="V114" s="3">
        <v>18.562798127844101</v>
      </c>
    </row>
    <row r="115" spans="1:37" x14ac:dyDescent="0.35">
      <c r="A115" s="2">
        <v>45359</v>
      </c>
      <c r="B115" s="3">
        <v>11.6144231789002</v>
      </c>
      <c r="C115" s="3">
        <v>10.0458649142612</v>
      </c>
      <c r="D115" s="3">
        <v>13.248442289700501</v>
      </c>
      <c r="E115" s="3">
        <v>9.9167635452393608</v>
      </c>
      <c r="F115" s="3">
        <v>9.2098286832638898</v>
      </c>
      <c r="G115" s="3">
        <v>12.307969992737</v>
      </c>
      <c r="H115" s="3">
        <v>14.003221737652</v>
      </c>
      <c r="I115" s="3">
        <v>17.291479318844601</v>
      </c>
      <c r="J115" s="3">
        <v>12.365319025426899</v>
      </c>
      <c r="K115" s="3">
        <v>10.572184223167699</v>
      </c>
      <c r="L115" s="3">
        <v>7.7907597481177397</v>
      </c>
      <c r="M115" s="3">
        <v>9.5078018240969602</v>
      </c>
      <c r="N115" s="3">
        <v>7.2244734923274301</v>
      </c>
      <c r="O115" s="3">
        <v>22.712693220201299</v>
      </c>
      <c r="P115" s="3">
        <v>9.0047569732592692</v>
      </c>
      <c r="Q115" s="3">
        <v>10.5613167731285</v>
      </c>
      <c r="R115" s="3">
        <v>14.381484817445401</v>
      </c>
      <c r="S115" s="3">
        <v>5.1899463707040896</v>
      </c>
      <c r="T115" s="3">
        <v>9.7195614767186704</v>
      </c>
      <c r="U115" s="3">
        <v>16.548499965923298</v>
      </c>
      <c r="V115" s="3">
        <v>18.407841180297499</v>
      </c>
    </row>
    <row r="116" spans="1:37" x14ac:dyDescent="0.35">
      <c r="A116" s="2">
        <v>45392</v>
      </c>
      <c r="B116" s="3">
        <v>12.057926530910599</v>
      </c>
      <c r="C116" s="3">
        <v>10.1055003147424</v>
      </c>
      <c r="D116" s="3">
        <v>12.667836557708901</v>
      </c>
      <c r="E116" s="3">
        <v>9.2010197718390394</v>
      </c>
      <c r="F116" s="3">
        <v>8.7281455231102996</v>
      </c>
      <c r="G116" s="3">
        <v>13.1096842399474</v>
      </c>
      <c r="H116" s="3">
        <v>14.0443586528176</v>
      </c>
      <c r="I116" s="3">
        <v>17.709149490818</v>
      </c>
      <c r="J116" s="3">
        <v>12.5757434890324</v>
      </c>
      <c r="K116" s="3">
        <v>10.373506379242301</v>
      </c>
      <c r="L116" s="3">
        <v>7.7293605957046303</v>
      </c>
      <c r="M116" s="3">
        <v>9.5863843412020309</v>
      </c>
      <c r="N116" s="3">
        <v>7.0304931388796099</v>
      </c>
      <c r="O116" s="3">
        <v>22.874270534112799</v>
      </c>
      <c r="P116" s="3">
        <v>9.53708127079374</v>
      </c>
      <c r="Q116" s="3">
        <v>10.167433328688899</v>
      </c>
      <c r="R116" s="3">
        <v>14.591887198884899</v>
      </c>
      <c r="S116" s="3">
        <v>5.5918642098025302</v>
      </c>
      <c r="T116" s="3">
        <v>9.5097719620340495</v>
      </c>
      <c r="U116" s="3">
        <v>16.021374639621801</v>
      </c>
      <c r="V116" s="3">
        <v>18.379415284049202</v>
      </c>
    </row>
    <row r="117" spans="1:37" x14ac:dyDescent="0.35">
      <c r="A117" s="2">
        <v>45422</v>
      </c>
      <c r="B117" s="3">
        <v>12.966871562790899</v>
      </c>
      <c r="C117" s="3">
        <v>10.250862623701799</v>
      </c>
      <c r="D117" s="3">
        <v>11.759429262387499</v>
      </c>
      <c r="E117" s="3">
        <v>8.8822131737710794</v>
      </c>
      <c r="F117" s="3">
        <v>8.90091984826703</v>
      </c>
      <c r="G117" s="3">
        <v>13.704898977161101</v>
      </c>
      <c r="H117" s="3">
        <v>14.350541222742899</v>
      </c>
      <c r="I117" s="3">
        <v>17.534522981133101</v>
      </c>
      <c r="J117" s="3">
        <v>12.646426984368</v>
      </c>
      <c r="K117" s="3">
        <v>9.9178922753847001</v>
      </c>
      <c r="L117" s="3">
        <v>7.5788738533441702</v>
      </c>
      <c r="M117" s="3">
        <v>9.7967752136041302</v>
      </c>
      <c r="N117" s="3">
        <v>7.2467932757561799</v>
      </c>
      <c r="O117" s="3">
        <v>22.1332969850375</v>
      </c>
      <c r="P117" s="3">
        <v>10.507033989076699</v>
      </c>
      <c r="Q117" s="3">
        <v>9.9047195692969794</v>
      </c>
      <c r="R117" s="3">
        <v>14.2142788056337</v>
      </c>
      <c r="S117" s="3">
        <v>5.67392950224</v>
      </c>
      <c r="T117" s="3">
        <v>8.9826058200761292</v>
      </c>
      <c r="U117" s="3">
        <v>15.549115564537001</v>
      </c>
      <c r="V117" s="3">
        <v>17.3347870502032</v>
      </c>
    </row>
    <row r="118" spans="1:37" x14ac:dyDescent="0.35">
      <c r="A118" s="2">
        <v>45453</v>
      </c>
      <c r="B118" s="3">
        <v>12.4646599253949</v>
      </c>
      <c r="C118" s="3">
        <v>10.186865911888701</v>
      </c>
      <c r="D118" s="3">
        <v>12.118410834632501</v>
      </c>
      <c r="E118" s="3">
        <v>8.8923965833827801</v>
      </c>
      <c r="F118" s="3">
        <v>8.6891833234952998</v>
      </c>
      <c r="G118" s="3">
        <v>11.679879055991099</v>
      </c>
      <c r="H118" s="3">
        <v>14.138756857939599</v>
      </c>
      <c r="I118" s="3">
        <v>17.603510762680202</v>
      </c>
      <c r="J118" s="3">
        <v>11.4351642166333</v>
      </c>
      <c r="K118" s="3">
        <v>9.5704038863520609</v>
      </c>
      <c r="L118" s="3">
        <v>7.0430318556509297</v>
      </c>
      <c r="M118" s="3">
        <v>9.18529138850527</v>
      </c>
      <c r="N118" s="3">
        <v>7.2209867952735101</v>
      </c>
      <c r="O118" s="3">
        <v>23.138018327236001</v>
      </c>
      <c r="P118" s="3">
        <v>9.9940201473936092</v>
      </c>
      <c r="Q118" s="3">
        <v>9.7726220570972409</v>
      </c>
      <c r="R118" s="3">
        <v>13.548794062458301</v>
      </c>
      <c r="S118" s="3">
        <v>5.5566205222666403</v>
      </c>
      <c r="T118" s="3">
        <v>8.4283806677809192</v>
      </c>
      <c r="U118" s="3">
        <v>15.647102741125501</v>
      </c>
      <c r="V118" s="3">
        <v>16.988090706008101</v>
      </c>
    </row>
    <row r="119" spans="1:37" x14ac:dyDescent="0.35">
      <c r="A119" s="2">
        <v>45483</v>
      </c>
      <c r="B119" s="3">
        <v>11.838316643373901</v>
      </c>
      <c r="C119" s="3">
        <v>9.7206930756981205</v>
      </c>
      <c r="D119" s="3">
        <v>12.3251367512585</v>
      </c>
      <c r="E119" s="3">
        <v>9.2234256017828997</v>
      </c>
      <c r="F119" s="3">
        <v>8.77441151308612</v>
      </c>
      <c r="G119" s="3">
        <v>11.6427633650075</v>
      </c>
      <c r="H119" s="3">
        <v>14.185166039565001</v>
      </c>
      <c r="I119" s="3">
        <v>18.8492231731739</v>
      </c>
      <c r="J119" s="3">
        <v>11.6368901103291</v>
      </c>
      <c r="K119" s="3">
        <v>9.7236077681557198</v>
      </c>
      <c r="L119" s="3">
        <v>7.2671869378685496</v>
      </c>
      <c r="M119" s="3">
        <v>9.8413906812777991</v>
      </c>
      <c r="N119" s="3">
        <v>7.0827404857847798</v>
      </c>
      <c r="O119" s="3">
        <v>24.030124329373098</v>
      </c>
      <c r="P119" s="3">
        <v>9.4881052124664897</v>
      </c>
      <c r="Q119" s="3">
        <v>10.3829194923897</v>
      </c>
      <c r="R119" s="3">
        <v>13.5741005021804</v>
      </c>
      <c r="S119" s="3">
        <v>6.14157175391869</v>
      </c>
      <c r="T119" s="3">
        <v>8.6737862558407404</v>
      </c>
      <c r="U119" s="3">
        <v>14.553338479160301</v>
      </c>
      <c r="V119" s="3">
        <v>16.739352363925999</v>
      </c>
    </row>
    <row r="120" spans="1:37" x14ac:dyDescent="0.35">
      <c r="A120" s="2">
        <v>45513</v>
      </c>
      <c r="B120" s="3">
        <v>11.357669121943101</v>
      </c>
      <c r="C120" s="3">
        <v>9.1947525596275703</v>
      </c>
      <c r="D120" s="3">
        <v>12.4319490657593</v>
      </c>
      <c r="E120" s="3">
        <v>9.3833380080610507</v>
      </c>
      <c r="F120" s="3">
        <v>7.7730616733682396</v>
      </c>
      <c r="G120" s="3">
        <v>10.4287762306723</v>
      </c>
      <c r="H120" s="3">
        <v>13.872964002949001</v>
      </c>
      <c r="I120" s="3">
        <v>16.116946656180399</v>
      </c>
      <c r="J120" s="3">
        <v>10.993676179543201</v>
      </c>
      <c r="K120" s="3">
        <v>8.3974342316724702</v>
      </c>
      <c r="L120" s="3">
        <v>7.3431533366993698</v>
      </c>
      <c r="M120" s="3">
        <v>9.9467701072872394</v>
      </c>
      <c r="N120" s="3">
        <v>6.7187778574025101</v>
      </c>
      <c r="O120" s="3">
        <v>23.7551889759382</v>
      </c>
      <c r="P120" s="3">
        <v>9.0566458880952805</v>
      </c>
      <c r="Q120" s="3">
        <v>10.3526294427124</v>
      </c>
      <c r="R120" s="3">
        <v>13.439830911190001</v>
      </c>
      <c r="S120" s="3">
        <v>5.6471323139397196</v>
      </c>
      <c r="T120" s="3">
        <v>8.8772800499882294</v>
      </c>
      <c r="U120" s="3">
        <v>13.6935415899323</v>
      </c>
      <c r="V120" s="3">
        <v>16.2423304721721</v>
      </c>
    </row>
    <row r="121" spans="1:37" x14ac:dyDescent="0.35">
      <c r="A121" s="2">
        <v>45545</v>
      </c>
      <c r="B121" s="3">
        <v>11.1239848928331</v>
      </c>
      <c r="C121" s="3">
        <v>9.0453495091520004</v>
      </c>
      <c r="D121" s="3">
        <v>13.533281291201</v>
      </c>
      <c r="E121" s="3">
        <v>9.9787820421916003</v>
      </c>
      <c r="F121" s="3">
        <v>7.9100377188957101</v>
      </c>
      <c r="G121" s="3">
        <v>10.3957206202519</v>
      </c>
      <c r="H121" s="3">
        <v>14.451368830055699</v>
      </c>
      <c r="I121" s="3">
        <v>15.3604500459505</v>
      </c>
      <c r="J121" s="3">
        <v>10.558036866378499</v>
      </c>
      <c r="K121" s="3">
        <v>7.96270795513158</v>
      </c>
      <c r="L121" s="3">
        <v>8.2767402948249007</v>
      </c>
      <c r="M121" s="3">
        <v>9.9699891599820294</v>
      </c>
      <c r="N121" s="3">
        <v>6.8637322181218003</v>
      </c>
      <c r="O121" s="3">
        <v>24.6359753578244</v>
      </c>
      <c r="P121" s="3">
        <v>8.7012277730227208</v>
      </c>
      <c r="Q121" s="3">
        <v>10.545224750589</v>
      </c>
      <c r="R121" s="3">
        <v>14.751789856083001</v>
      </c>
      <c r="S121" s="3">
        <v>5.77930642587443</v>
      </c>
      <c r="T121" s="3">
        <v>9.5424015427420201</v>
      </c>
      <c r="U121" s="3">
        <v>13.1389200482469</v>
      </c>
      <c r="V121" s="3">
        <v>16.8113371034046</v>
      </c>
    </row>
    <row r="122" spans="1:37" x14ac:dyDescent="0.35">
      <c r="A122" s="2">
        <v>45573</v>
      </c>
      <c r="B122" s="3">
        <v>13.9100777580498</v>
      </c>
      <c r="C122" s="3">
        <v>9.3788702061683793</v>
      </c>
      <c r="D122" s="3">
        <v>13.2483683562215</v>
      </c>
      <c r="E122" s="3">
        <v>10.4613296076468</v>
      </c>
      <c r="F122" s="3">
        <v>7.8738376608401204</v>
      </c>
      <c r="G122" s="3">
        <v>11.499377060473201</v>
      </c>
      <c r="H122" s="3">
        <v>14.1661056853189</v>
      </c>
      <c r="I122" s="3">
        <v>16.0871035002959</v>
      </c>
      <c r="J122" s="3">
        <v>10.803298428586199</v>
      </c>
      <c r="K122" s="3">
        <v>8.2788123176955004</v>
      </c>
      <c r="L122" s="3">
        <v>8.1473597929920007</v>
      </c>
      <c r="M122" s="3">
        <v>10.506660629422401</v>
      </c>
      <c r="N122" s="3">
        <v>6.7352709086839297</v>
      </c>
      <c r="O122" s="3">
        <v>23.969595672156899</v>
      </c>
      <c r="P122" s="3">
        <v>11.010931479405301</v>
      </c>
      <c r="Q122" s="3">
        <v>10.8965848680641</v>
      </c>
      <c r="R122" s="3">
        <v>14.8727028271949</v>
      </c>
      <c r="S122" s="3">
        <v>5.4485640555261599</v>
      </c>
      <c r="T122" s="3">
        <v>9.4578669068338304</v>
      </c>
      <c r="U122" s="3">
        <v>13.430800417001</v>
      </c>
      <c r="V122" s="3">
        <v>16.6432417970294</v>
      </c>
    </row>
    <row r="124" spans="1:37" x14ac:dyDescent="0.35">
      <c r="A124" s="2" t="s">
        <v>91</v>
      </c>
      <c r="B124" s="3" cm="1">
        <f t="array" ref="B124">MIN(_xlfn._xlws.FILTER(B1:B122, ISNUMBER(B1:B122)))</f>
        <v>9.6190617169848505</v>
      </c>
      <c r="C124" s="3" cm="1">
        <f t="array" ref="C124">MIN(_xlfn._xlws.FILTER(C1:C122, ISNUMBER(C1:C122)))</f>
        <v>6.4875596897464902</v>
      </c>
      <c r="D124" s="3" cm="1">
        <f t="array" ref="D124">MIN(_xlfn._xlws.FILTER(D1:D122, ISNUMBER(D1:D122)))</f>
        <v>11.051486515973799</v>
      </c>
      <c r="E124" s="3" cm="1">
        <f t="array" ref="E124">MIN(_xlfn._xlws.FILTER(E1:E122, ISNUMBER(E1:E122)))</f>
        <v>8.8822131737710794</v>
      </c>
      <c r="F124" s="3" cm="1">
        <f t="array" ref="F124">MIN(_xlfn._xlws.FILTER(F1:F122, ISNUMBER(F1:F122)))</f>
        <v>6.0710031492850201</v>
      </c>
      <c r="G124" s="3" cm="1">
        <f t="array" ref="G124">MIN(_xlfn._xlws.FILTER(G1:G122, ISNUMBER(G1:G122)))</f>
        <v>7.0389304196604296</v>
      </c>
      <c r="H124" s="3" cm="1">
        <f t="array" ref="H124">MIN(_xlfn._xlws.FILTER(H1:H122, ISNUMBER(H1:H122)))</f>
        <v>12.8553573441155</v>
      </c>
      <c r="I124" s="3" cm="1">
        <f t="array" ref="I124">MIN(_xlfn._xlws.FILTER(I1:I122, ISNUMBER(I1:I122)))</f>
        <v>10.1598641997809</v>
      </c>
      <c r="J124" s="3" cm="1">
        <f t="array" ref="J124">MIN(_xlfn._xlws.FILTER(J1:J122, ISNUMBER(J1:J122)))</f>
        <v>10.558036866378499</v>
      </c>
      <c r="K124" s="3" cm="1">
        <f t="array" ref="K124">MIN(_xlfn._xlws.FILTER(K1:K122, ISNUMBER(K1:K122)))</f>
        <v>7.9234991862595203</v>
      </c>
      <c r="L124" s="3" cm="1">
        <f t="array" ref="L124">MIN(_xlfn._xlws.FILTER(L1:L122, ISNUMBER(L1:L122)))</f>
        <v>6.0617513197197503</v>
      </c>
      <c r="M124" s="3" cm="1">
        <f t="array" ref="M124">MIN(_xlfn._xlws.FILTER(M1:M122, ISNUMBER(M1:M122)))</f>
        <v>8.1294772458479407</v>
      </c>
      <c r="N124" s="3" cm="1">
        <f t="array" ref="N124">MIN(_xlfn._xlws.FILTER(N1:N122, ISNUMBER(N1:N122)))</f>
        <v>3.7264167235354799</v>
      </c>
      <c r="O124" s="3" cm="1">
        <f t="array" ref="O124">MIN(_xlfn._xlws.FILTER(O1:O122, ISNUMBER(O1:O122)))</f>
        <v>15.660806749867699</v>
      </c>
      <c r="P124" s="3" cm="1">
        <f t="array" ref="P124">MIN(_xlfn._xlws.FILTER(P1:P122, ISNUMBER(P1:P122)))</f>
        <v>8.5120880917990895</v>
      </c>
      <c r="Q124" s="3" cm="1">
        <f t="array" ref="Q124">MIN(_xlfn._xlws.FILTER(Q1:Q122, ISNUMBER(Q1:Q122)))</f>
        <v>9.7726220570972409</v>
      </c>
      <c r="R124" s="3" cm="1">
        <f t="array" ref="R124">MIN(_xlfn._xlws.FILTER(R1:R122, ISNUMBER(R1:R122)))</f>
        <v>11.499034418076301</v>
      </c>
      <c r="S124" s="3" cm="1">
        <f t="array" ref="S124">MIN(_xlfn._xlws.FILTER(S1:S122, ISNUMBER(S1:S122)))</f>
        <v>4.1399452942215298</v>
      </c>
      <c r="T124" s="3" cm="1">
        <f t="array" ref="T124">MIN(_xlfn._xlws.FILTER(T1:T122, ISNUMBER(T1:T122)))</f>
        <v>8.4283806677809192</v>
      </c>
      <c r="U124" s="3" cm="1">
        <f t="array" ref="U124">MIN(_xlfn._xlws.FILTER(U1:U122, ISNUMBER(U1:U122)))</f>
        <v>9.5538067917519296</v>
      </c>
      <c r="V124" s="3" cm="1">
        <f t="array" ref="V124">MIN(_xlfn._xlws.FILTER(V1:V122, ISNUMBER(V1:V122)))</f>
        <v>11.345698282012201</v>
      </c>
    </row>
    <row r="125" spans="1:37" x14ac:dyDescent="0.35">
      <c r="A125" s="2" t="s">
        <v>92</v>
      </c>
      <c r="B125" s="3" cm="1">
        <f t="array" ref="B125">MAX(_xlfn._xlws.FILTER(B1:B122, ISNUMBER(B1:B122)))</f>
        <v>19.0225810491091</v>
      </c>
      <c r="C125" s="3" cm="1">
        <f t="array" ref="C125">MAX(_xlfn._xlws.FILTER(C1:C122, ISNUMBER(C1:C122)))</f>
        <v>122.89217018466999</v>
      </c>
      <c r="D125" s="3" cm="1">
        <f t="array" ref="D125">MAX(_xlfn._xlws.FILTER(D1:D122, ISNUMBER(D1:D122)))</f>
        <v>18.063628128131</v>
      </c>
      <c r="E125" s="3" cm="1">
        <f t="array" ref="E125">MAX(_xlfn._xlws.FILTER(E1:E122, ISNUMBER(E1:E122)))</f>
        <v>18.787055617224901</v>
      </c>
      <c r="F125" s="3" cm="1">
        <f t="array" ref="F125">MAX(_xlfn._xlws.FILTER(F1:F122, ISNUMBER(F1:F122)))</f>
        <v>14.8838531159601</v>
      </c>
      <c r="G125" s="3" cm="1">
        <f t="array" ref="G125">MAX(_xlfn._xlws.FILTER(G1:G122, ISNUMBER(G1:G122)))</f>
        <v>21.559246949346001</v>
      </c>
      <c r="H125" s="3" cm="1">
        <f t="array" ref="H125">MAX(_xlfn._xlws.FILTER(H1:H122, ISNUMBER(H1:H122)))</f>
        <v>20.0187347482162</v>
      </c>
      <c r="I125" s="3" cm="1">
        <f t="array" ref="I125">MAX(_xlfn._xlws.FILTER(I1:I122, ISNUMBER(I1:I122)))</f>
        <v>18.8492231731739</v>
      </c>
      <c r="J125" s="3" cm="1">
        <f t="array" ref="J125">MAX(_xlfn._xlws.FILTER(J1:J122, ISNUMBER(J1:J122)))</f>
        <v>19.7779137711121</v>
      </c>
      <c r="K125" s="3" cm="1">
        <f t="array" ref="K125">MAX(_xlfn._xlws.FILTER(K1:K122, ISNUMBER(K1:K122)))</f>
        <v>14.8093929388689</v>
      </c>
      <c r="L125" s="3" cm="1">
        <f t="array" ref="L125">MAX(_xlfn._xlws.FILTER(L1:L122, ISNUMBER(L1:L122)))</f>
        <v>26.783324479109201</v>
      </c>
      <c r="M125" s="3" cm="1">
        <f t="array" ref="M125">MAX(_xlfn._xlws.FILTER(M1:M122, ISNUMBER(M1:M122)))</f>
        <v>17.645850693186201</v>
      </c>
      <c r="N125" s="3" cm="1">
        <f t="array" ref="N125">MAX(_xlfn._xlws.FILTER(N1:N122, ISNUMBER(N1:N122)))</f>
        <v>15.134182901905699</v>
      </c>
      <c r="O125" s="3" cm="1">
        <f t="array" ref="O125">MAX(_xlfn._xlws.FILTER(O1:O122, ISNUMBER(O1:O122)))</f>
        <v>24.722279072692999</v>
      </c>
      <c r="P125" s="3" cm="1">
        <f t="array" ref="P125">MAX(_xlfn._xlws.FILTER(P1:P122, ISNUMBER(P1:P122)))</f>
        <v>18.640577813656002</v>
      </c>
      <c r="Q125" s="3" cm="1">
        <f t="array" ref="Q125">MAX(_xlfn._xlws.FILTER(Q1:Q122, ISNUMBER(Q1:Q122)))</f>
        <v>15.541593384009399</v>
      </c>
      <c r="R125" s="3" cm="1">
        <f t="array" ref="R125">MAX(_xlfn._xlws.FILTER(R1:R122, ISNUMBER(R1:R122)))</f>
        <v>20.4181793498731</v>
      </c>
      <c r="S125" s="3" cm="1">
        <f t="array" ref="S125">MAX(_xlfn._xlws.FILTER(S1:S122, ISNUMBER(S1:S122)))</f>
        <v>10.7346640027314</v>
      </c>
      <c r="T125" s="3" cm="1">
        <f t="array" ref="T125">MAX(_xlfn._xlws.FILTER(T1:T122, ISNUMBER(T1:T122)))</f>
        <v>16.782726289781401</v>
      </c>
      <c r="U125" s="3" cm="1">
        <f t="array" ref="U125">MAX(_xlfn._xlws.FILTER(U1:U122, ISNUMBER(U1:U122)))</f>
        <v>21.748743955492099</v>
      </c>
      <c r="V125" s="3" cm="1">
        <f t="array" ref="V125">MAX(_xlfn._xlws.FILTER(V1:V122, ISNUMBER(V1:V122)))</f>
        <v>21.5455684591949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0.69299999999999995</v>
      </c>
      <c r="C127" s="9" cm="1">
        <f t="array" ref="C127">_xlfn.PERCENTRANK.EXC(_xlfn._xlws.FILTER(C1:C122, ISNUMBER(C1:C122)),C122)</f>
        <v>0.31900000000000001</v>
      </c>
      <c r="D127" s="9" cm="1">
        <f t="array" ref="D127">_xlfn.PERCENTRANK.EXC(_xlfn._xlws.FILTER(D1:D122, ISNUMBER(D1:D122)),D122)</f>
        <v>0.23699999999999999</v>
      </c>
      <c r="E127" s="9" cm="1">
        <f t="array" ref="E127">_xlfn.PERCENTRANK.EXC(_xlfn._xlws.FILTER(E1:E122, ISNUMBER(E1:E122)),E122)</f>
        <v>0.13900000000000001</v>
      </c>
      <c r="F127" s="9" cm="1">
        <f t="array" ref="F127">_xlfn.PERCENTRANK.EXC(_xlfn._xlws.FILTER(F1:F122, ISNUMBER(F1:F122)),F122)</f>
        <v>0.122</v>
      </c>
      <c r="G127" s="9" cm="1">
        <f t="array" ref="G127">_xlfn.PERCENTRANK.EXC(_xlfn._xlws.FILTER(G1:G122, ISNUMBER(G1:G122)),G122)</f>
        <v>0.33600000000000002</v>
      </c>
      <c r="H127" s="9" cm="1">
        <f t="array" ref="H127">_xlfn.PERCENTRANK.EXC(_xlfn._xlws.FILTER(H1:H122, ISNUMBER(H1:H122)),H122)</f>
        <v>0.254</v>
      </c>
      <c r="I127" s="9" cm="1">
        <f t="array" ref="I127">_xlfn.PERCENTRANK.EXC(_xlfn._xlws.FILTER(I1:I122, ISNUMBER(I1:I122)),I122)</f>
        <v>0.89300000000000002</v>
      </c>
      <c r="J127" s="9" cm="1">
        <f t="array" ref="J127">_xlfn.PERCENTRANK.EXC(_xlfn._xlws.FILTER(J1:J122, ISNUMBER(J1:J122)),J122)</f>
        <v>1.7999999999999999E-2</v>
      </c>
      <c r="K127" s="9" cm="1">
        <f t="array" ref="K127">_xlfn.PERCENTRANK.EXC(_xlfn._xlws.FILTER(K1:K122, ISNUMBER(K1:K122)),K122)</f>
        <v>6.5000000000000002E-2</v>
      </c>
      <c r="L127" s="9" cm="1">
        <f t="array" ref="L127">_xlfn.PERCENTRANK.EXC(_xlfn._xlws.FILTER(L1:L122, ISNUMBER(L1:L122)),L122)</f>
        <v>0.30299999999999999</v>
      </c>
      <c r="M127" s="9" cm="1">
        <f t="array" ref="M127">_xlfn.PERCENTRANK.EXC(_xlfn._xlws.FILTER(M1:M122, ISNUMBER(M1:M122)),M122)</f>
        <v>0.40899999999999997</v>
      </c>
      <c r="N127" s="9" cm="1">
        <f t="array" ref="N127">_xlfn.PERCENTRANK.EXC(_xlfn._xlws.FILTER(N1:N122, ISNUMBER(N1:N122)),N122)</f>
        <v>0.188</v>
      </c>
      <c r="O127" s="9" cm="1">
        <f t="array" ref="O127">_xlfn.PERCENTRANK.EXC(_xlfn._xlws.FILTER(O1:O122, ISNUMBER(O1:O122)),O122)</f>
        <v>0.93400000000000005</v>
      </c>
      <c r="P127" s="9" cm="1">
        <f t="array" ref="P127">_xlfn.PERCENTRANK.EXC(_xlfn._xlws.FILTER(P1:P122, ISNUMBER(P1:P122)),P122)</f>
        <v>0.434</v>
      </c>
      <c r="Q127" s="9" cm="1">
        <f t="array" ref="Q127">_xlfn.PERCENTRANK.EXC(_xlfn._xlws.FILTER(Q1:Q122, ISNUMBER(Q1:Q122)),Q122)</f>
        <v>0.155</v>
      </c>
      <c r="R127" s="9" cm="1">
        <f t="array" ref="R127">_xlfn.PERCENTRANK.EXC(_xlfn._xlws.FILTER(R1:R122, ISNUMBER(R1:R122)),R122)</f>
        <v>0.36</v>
      </c>
      <c r="S127" s="9" cm="1">
        <f t="array" ref="S127">_xlfn.PERCENTRANK.EXC(_xlfn._xlws.FILTER(S1:S122, ISNUMBER(S1:S122)),S122)</f>
        <v>0.21299999999999999</v>
      </c>
      <c r="T127" s="9" cm="1">
        <f t="array" ref="T127">_xlfn.PERCENTRANK.EXC(_xlfn._xlws.FILTER(T1:T122, ISNUMBER(T1:T122)),T122)</f>
        <v>4.9000000000000002E-2</v>
      </c>
      <c r="U127" s="9" cm="1">
        <f t="array" ref="U127">_xlfn.PERCENTRANK.EXC(_xlfn._xlws.FILTER(U1:U122, ISNUMBER(U1:U122)),U122)</f>
        <v>0.30299999999999999</v>
      </c>
      <c r="V127" s="9" cm="1">
        <f t="array" ref="V127">_xlfn.PERCENTRANK.EXC(_xlfn._xlws.FILTER(V1:V122, ISNUMBER(V1:V122)),V122)</f>
        <v>0.6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41922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3.2382166976492401</v>
      </c>
      <c r="D2" s="3" cm="1">
        <f t="array" ref="D2:D122">_xll.FDS(D1,"FMA_DIV_YLD(NTMA,-10AY,0,AM,""PORTAGG"",""MEANR"")")</f>
        <v>2.6429101274679199</v>
      </c>
      <c r="E2" s="3" cm="1">
        <f t="array" ref="E2:E122">_xll.FDS(E1,"FMA_DIV_YLD(NTMA,-10AY,0,AM,""PORTAGG"",""MEANR"")")</f>
        <v>2.2218241153284701</v>
      </c>
      <c r="F2" s="3" cm="1">
        <f t="array" ref="F2:F122">_xll.FDS(F1,"FMA_DIV_YLD(NTMA,-10AY,0,AM,""PORTAGG"",""MEANR"")")</f>
        <v>4.1475315441532201</v>
      </c>
      <c r="G2" s="3" cm="1">
        <f t="array" ref="G2:G122">_xll.FDS(G1,"FMA_DIV_YLD(NTMA,-10AY,0,AM,""PORTAGG"",""MEANR"")")</f>
        <v>2.3104767818339602</v>
      </c>
      <c r="H2" s="3" cm="1">
        <f t="array" ref="H2:H122">_xll.FDS(H1,"FMA_DIV_YLD(NTMA,-10AY,0,AM,""PORTAGG"",""MEANR"")")</f>
        <v>3.2728968133438601</v>
      </c>
      <c r="I2" s="3" cm="1">
        <f t="array" ref="I2:I122">_xll.FDS(I1,"FMA_DIV_YLD(NTMA,-10AY,0,AM,""PORTAGG"",""MEANR"")")</f>
        <v>3.47119326215793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1.4478796914394501</v>
      </c>
      <c r="L2" s="3" cm="1">
        <f t="array" ref="L2:L122">_xll.FDS(L1,"FMA_DIV_YLD(NTMA,-10AY,0,AM,""PORTAGG"",""MEANR"")")</f>
        <v>3.7905688459025901</v>
      </c>
      <c r="M2" s="3" cm="1">
        <f t="array" ref="M2:M122">_xll.FDS(M1,"FMA_DIV_YLD(NTMA,-10AY,0,AM,""PORTAGG"",""MEANR"")")</f>
        <v>3.60799647731633</v>
      </c>
      <c r="N2" s="3" cm="1">
        <f t="array" ref="N2:N122">_xll.FDS(N1,"FMA_DIV_YLD(NTMA,-10AY,0,AM,""PORTAGG"",""MEANR"")")</f>
        <v>2.45163517119081</v>
      </c>
      <c r="O2" s="3" cm="1">
        <f t="array" ref="O2:O122">_xll.FDS(O1,"FMA_DIV_YLD(NTMA,-10AY,0,AM,""PORTAGG"",""MEANR"")")</f>
        <v>1.61273533440135</v>
      </c>
      <c r="P2" s="3" cm="1">
        <f t="array" ref="P2:P122">_xll.FDS(P1,"FMA_DIV_YLD(NTMA,-10AY,0,AM,""PORTAGG"",""MEANR"")")</f>
        <v>3.76808597581336</v>
      </c>
      <c r="Q2" s="3" cm="1">
        <f t="array" ref="Q2:Q122">_xll.FDS(Q1,"FMA_DIV_YLD(NTMA,-10AY,0,AM,""PORTAGG"",""MEANR"")")</f>
        <v>4.0105317427848197</v>
      </c>
      <c r="R2" s="3" cm="1">
        <f t="array" ref="R2:R122">_xll.FDS(R1,"FMA_DIV_YLD(NTMA,-10AY,0,AM,""PORTAGG"",""MEANR"")")</f>
        <v>3.4370700470597799</v>
      </c>
      <c r="S2" s="3" cm="1">
        <f t="array" ref="S2:S122">_xll.FDS(S1,"FMA_DIV_YLD(NTMA,-10AY,0,AM,""PORTAGG"",""MEANR"")")</f>
        <v>3.2701121160720499</v>
      </c>
      <c r="T2" s="3" cm="1">
        <f t="array" ref="T2:T122">_xll.FDS(T1,"FMA_DIV_YLD(NTMA,-10AY,0,AM,""PORTAGG"",""MEANR"")")</f>
        <v>2.6578896626019799</v>
      </c>
      <c r="U2" s="3" cm="1">
        <f t="array" ref="U2:U122">_xll.FDS(U1,"FMA_DIV_YLD(NTMA,-10AY,0,AM,""PORTAGG"",""MEANR"")")</f>
        <v>2.9252130944437198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41953</v>
      </c>
      <c r="B3" s="3" t="e">
        <v>#N/A</v>
      </c>
      <c r="C3" s="3">
        <v>3.0437466558219999</v>
      </c>
      <c r="D3" s="3">
        <v>2.6500504123826998</v>
      </c>
      <c r="E3" s="3">
        <v>2.1371185941617901</v>
      </c>
      <c r="F3" s="3">
        <v>4.0367073899084804</v>
      </c>
      <c r="G3" s="3">
        <v>2.3019623742012301</v>
      </c>
      <c r="H3" s="3">
        <v>3.23261575387607</v>
      </c>
      <c r="I3" s="3">
        <v>3.43456070829111</v>
      </c>
      <c r="J3" s="3" t="e">
        <v>#N/A</v>
      </c>
      <c r="K3" s="3">
        <v>1.3972213342274999</v>
      </c>
      <c r="L3" s="3">
        <v>3.7862095599796102</v>
      </c>
      <c r="M3" s="3">
        <v>3.34433163571852</v>
      </c>
      <c r="N3" s="3">
        <v>2.7095307057057498</v>
      </c>
      <c r="O3" s="3">
        <v>1.54977831156262</v>
      </c>
      <c r="P3" s="3">
        <v>3.66055653856922</v>
      </c>
      <c r="Q3" s="3">
        <v>4.0152763908072</v>
      </c>
      <c r="R3" s="3">
        <v>3.3754077617251301</v>
      </c>
      <c r="S3" s="3">
        <v>3.0264844179004302</v>
      </c>
      <c r="T3" s="3">
        <v>2.88381053313352</v>
      </c>
      <c r="U3" s="3">
        <v>2.8641318496241599</v>
      </c>
      <c r="V3" s="3" t="e">
        <v>#N/A</v>
      </c>
    </row>
    <row r="4" spans="1:22" x14ac:dyDescent="0.35">
      <c r="A4" s="2">
        <v>41983</v>
      </c>
      <c r="B4" s="3" t="e">
        <v>#N/A</v>
      </c>
      <c r="C4" s="3">
        <v>3.1595625400598202</v>
      </c>
      <c r="D4" s="3">
        <v>2.4765284553481801</v>
      </c>
      <c r="E4" s="3">
        <v>2.1679248903051702</v>
      </c>
      <c r="F4" s="3">
        <v>3.9665922864127401</v>
      </c>
      <c r="G4" s="3">
        <v>2.0161475858543101</v>
      </c>
      <c r="H4" s="3">
        <v>3.3151902303589398</v>
      </c>
      <c r="I4" s="3">
        <v>3.4698446180561202</v>
      </c>
      <c r="J4" s="3" t="e">
        <v>#N/A</v>
      </c>
      <c r="K4" s="3">
        <v>1.3944411909647301</v>
      </c>
      <c r="L4" s="3">
        <v>4.3430074308769901</v>
      </c>
      <c r="M4" s="3">
        <v>3.4636666551887401</v>
      </c>
      <c r="N4" s="3">
        <v>2.6853688498856401</v>
      </c>
      <c r="O4" s="3">
        <v>1.5645428878698</v>
      </c>
      <c r="P4" s="3">
        <v>3.4891825697804699</v>
      </c>
      <c r="Q4" s="3">
        <v>4.4757253116466398</v>
      </c>
      <c r="R4" s="3">
        <v>3.39117897777429</v>
      </c>
      <c r="S4" s="3">
        <v>2.7703296474538801</v>
      </c>
      <c r="T4" s="3">
        <v>3.2899378130925099</v>
      </c>
      <c r="U4" s="3">
        <v>3.17082716371893</v>
      </c>
      <c r="V4" s="3" t="e">
        <v>#N/A</v>
      </c>
    </row>
    <row r="5" spans="1:22" x14ac:dyDescent="0.35">
      <c r="A5" s="2">
        <v>42013</v>
      </c>
      <c r="B5" s="3" t="e">
        <v>#N/A</v>
      </c>
      <c r="C5" s="3">
        <v>3.2572935042955802</v>
      </c>
      <c r="D5" s="3">
        <v>2.5000926449783898</v>
      </c>
      <c r="E5" s="3">
        <v>2.1167793690947998</v>
      </c>
      <c r="F5" s="3">
        <v>3.9751463639067701</v>
      </c>
      <c r="G5" s="3">
        <v>2.16684507285022</v>
      </c>
      <c r="H5" s="3">
        <v>3.3523708591973098</v>
      </c>
      <c r="I5" s="3">
        <v>3.5073118070179099</v>
      </c>
      <c r="J5" s="3" t="e">
        <v>#N/A</v>
      </c>
      <c r="K5" s="3">
        <v>1.51055430724817</v>
      </c>
      <c r="L5" s="3">
        <v>4.1411892410267601</v>
      </c>
      <c r="M5" s="3">
        <v>3.3274511758692</v>
      </c>
      <c r="N5" s="3">
        <v>3.6526810747698599</v>
      </c>
      <c r="O5" s="3">
        <v>1.5853286833278299</v>
      </c>
      <c r="P5" s="3">
        <v>3.2513002170690801</v>
      </c>
      <c r="Q5" s="3">
        <v>4.5504099315411297</v>
      </c>
      <c r="R5" s="3">
        <v>3.4056196101682201</v>
      </c>
      <c r="S5" s="3">
        <v>2.6646470779851898</v>
      </c>
      <c r="T5" s="3">
        <v>3.4662611979092399</v>
      </c>
      <c r="U5" s="3">
        <v>3.0509186893893299</v>
      </c>
      <c r="V5" s="3" t="e">
        <v>#N/A</v>
      </c>
    </row>
    <row r="6" spans="1:22" x14ac:dyDescent="0.35">
      <c r="A6" s="2">
        <v>42045</v>
      </c>
      <c r="B6" s="3" t="e">
        <v>#N/A</v>
      </c>
      <c r="C6" s="3">
        <v>3.2107457453147101</v>
      </c>
      <c r="D6" s="3">
        <v>2.39172454156291</v>
      </c>
      <c r="E6" s="3">
        <v>2.0547250075006702</v>
      </c>
      <c r="F6" s="3">
        <v>3.8214662214024799</v>
      </c>
      <c r="G6" s="3">
        <v>2.2168787366000902</v>
      </c>
      <c r="H6" s="3">
        <v>3.2170701590364801</v>
      </c>
      <c r="I6" s="3">
        <v>3.4899647393250701</v>
      </c>
      <c r="J6" s="3" t="e">
        <v>#N/A</v>
      </c>
      <c r="K6" s="3">
        <v>1.6006825491916601</v>
      </c>
      <c r="L6" s="3">
        <v>4.1425644810957802</v>
      </c>
      <c r="M6" s="3">
        <v>3.1458049387597602</v>
      </c>
      <c r="N6" s="3">
        <v>3.4140806211565899</v>
      </c>
      <c r="O6" s="3">
        <v>1.5199017876933101</v>
      </c>
      <c r="P6" s="3">
        <v>3.17377223303333</v>
      </c>
      <c r="Q6" s="3">
        <v>4.0975526909128703</v>
      </c>
      <c r="R6" s="3">
        <v>3.1806487161035499</v>
      </c>
      <c r="S6" s="3">
        <v>2.9611884744262502</v>
      </c>
      <c r="T6" s="3">
        <v>3.4060029202250002</v>
      </c>
      <c r="U6" s="3">
        <v>3.09236182650322</v>
      </c>
      <c r="V6" s="3" t="e">
        <v>#N/A</v>
      </c>
    </row>
    <row r="7" spans="1:22" x14ac:dyDescent="0.35">
      <c r="A7" s="2">
        <v>42073</v>
      </c>
      <c r="B7" s="3" t="e">
        <v>#N/A</v>
      </c>
      <c r="C7" s="3">
        <v>3.3002292613614799</v>
      </c>
      <c r="D7" s="3">
        <v>2.2977335490508701</v>
      </c>
      <c r="E7" s="3">
        <v>1.9046291528041599</v>
      </c>
      <c r="F7" s="3">
        <v>3.7591938552354902</v>
      </c>
      <c r="G7" s="3">
        <v>2.3665407793729099</v>
      </c>
      <c r="H7" s="3">
        <v>3.2211562280941402</v>
      </c>
      <c r="I7" s="3">
        <v>3.4420497251246398</v>
      </c>
      <c r="J7" s="3" t="e">
        <v>#N/A</v>
      </c>
      <c r="K7" s="3">
        <v>1.5811213248549401</v>
      </c>
      <c r="L7" s="3">
        <v>4.22659519896661</v>
      </c>
      <c r="M7" s="3">
        <v>3.11645787685642</v>
      </c>
      <c r="N7" s="3">
        <v>3.36213819197939</v>
      </c>
      <c r="O7" s="3">
        <v>1.4967878657631399</v>
      </c>
      <c r="P7" s="3">
        <v>3.2033103719336999</v>
      </c>
      <c r="Q7" s="3">
        <v>4.23475316240485</v>
      </c>
      <c r="R7" s="3">
        <v>3.3835639404809501</v>
      </c>
      <c r="S7" s="3">
        <v>3.1189927715108698</v>
      </c>
      <c r="T7" s="3">
        <v>3.5917062925157901</v>
      </c>
      <c r="U7" s="3">
        <v>2.9335687670883202</v>
      </c>
      <c r="V7" s="3" t="e">
        <v>#N/A</v>
      </c>
    </row>
    <row r="8" spans="1:22" x14ac:dyDescent="0.35">
      <c r="A8" s="2">
        <v>42104</v>
      </c>
      <c r="B8" s="3" t="e">
        <v>#N/A</v>
      </c>
      <c r="C8" s="3">
        <v>3.1579216158637902</v>
      </c>
      <c r="D8" s="3">
        <v>2.28931532162128</v>
      </c>
      <c r="E8" s="3">
        <v>1.8442796766565901</v>
      </c>
      <c r="F8" s="3">
        <v>3.4304257035093699</v>
      </c>
      <c r="G8" s="3">
        <v>2.37817416127278</v>
      </c>
      <c r="H8" s="3">
        <v>3.13386843335911</v>
      </c>
      <c r="I8" s="3">
        <v>3.5296204809444198</v>
      </c>
      <c r="J8" s="3" t="e">
        <v>#N/A</v>
      </c>
      <c r="K8" s="3">
        <v>1.5264154252541</v>
      </c>
      <c r="L8" s="3">
        <v>3.6152315074724499</v>
      </c>
      <c r="M8" s="3">
        <v>2.94591454273491</v>
      </c>
      <c r="N8" s="3">
        <v>3.3992465638443501</v>
      </c>
      <c r="O8" s="3">
        <v>1.5048580865557299</v>
      </c>
      <c r="P8" s="3">
        <v>2.5864354612009302</v>
      </c>
      <c r="Q8" s="3">
        <v>4.5541367983701102</v>
      </c>
      <c r="R8" s="3">
        <v>3.3682561261765902</v>
      </c>
      <c r="S8" s="3">
        <v>2.94192172638793</v>
      </c>
      <c r="T8" s="3">
        <v>3.3093315447406999</v>
      </c>
      <c r="U8" s="3">
        <v>2.92335874066594</v>
      </c>
      <c r="V8" s="3" t="e">
        <v>#N/A</v>
      </c>
    </row>
    <row r="9" spans="1:22" x14ac:dyDescent="0.35">
      <c r="A9" s="2">
        <v>42132</v>
      </c>
      <c r="B9" s="3" t="e">
        <v>#N/A</v>
      </c>
      <c r="C9" s="3">
        <v>3.15606360063006</v>
      </c>
      <c r="D9" s="3">
        <v>2.38763795167849</v>
      </c>
      <c r="E9" s="3">
        <v>1.9281251678365801</v>
      </c>
      <c r="F9" s="3">
        <v>3.27015924806074</v>
      </c>
      <c r="G9" s="3">
        <v>1.9253544275347501</v>
      </c>
      <c r="H9" s="3">
        <v>3.1591338739399299</v>
      </c>
      <c r="I9" s="3">
        <v>3.56368334827792</v>
      </c>
      <c r="J9" s="3" t="e">
        <v>#N/A</v>
      </c>
      <c r="K9" s="3">
        <v>1.56719751002297</v>
      </c>
      <c r="L9" s="3">
        <v>3.5499342880776701</v>
      </c>
      <c r="M9" s="3">
        <v>3.0823566197871299</v>
      </c>
      <c r="N9" s="3">
        <v>3.11314565049604</v>
      </c>
      <c r="O9" s="3">
        <v>1.6723161165643401</v>
      </c>
      <c r="P9" s="3">
        <v>2.5820432534838198</v>
      </c>
      <c r="Q9" s="3">
        <v>4.4530308136491499</v>
      </c>
      <c r="R9" s="3">
        <v>3.4194543420923602</v>
      </c>
      <c r="S9" s="3">
        <v>2.8733012741200201</v>
      </c>
      <c r="T9" s="3">
        <v>3.2093629359549798</v>
      </c>
      <c r="U9" s="3">
        <v>3.0214205922789699</v>
      </c>
      <c r="V9" s="3" t="e">
        <v>#N/A</v>
      </c>
    </row>
    <row r="10" spans="1:22" x14ac:dyDescent="0.35">
      <c r="A10" s="2">
        <v>42165</v>
      </c>
      <c r="B10" s="3" t="e">
        <v>#N/A</v>
      </c>
      <c r="C10" s="3">
        <v>3.4238834061889998</v>
      </c>
      <c r="D10" s="3">
        <v>2.5047999397131</v>
      </c>
      <c r="E10" s="3">
        <v>2.0251052181692701</v>
      </c>
      <c r="F10" s="3">
        <v>3.5242808527824101</v>
      </c>
      <c r="G10" s="3">
        <v>1.9596937724733701</v>
      </c>
      <c r="H10" s="3">
        <v>3.24646621260624</v>
      </c>
      <c r="I10" s="3">
        <v>3.8624061427433798</v>
      </c>
      <c r="J10" s="3" t="e">
        <v>#N/A</v>
      </c>
      <c r="K10" s="3">
        <v>1.65247535743411</v>
      </c>
      <c r="L10" s="3">
        <v>3.8612191176507999</v>
      </c>
      <c r="M10" s="3">
        <v>3.2504648204756301</v>
      </c>
      <c r="N10" s="3">
        <v>3.5056025754770701</v>
      </c>
      <c r="O10" s="3">
        <v>1.70085099431927</v>
      </c>
      <c r="P10" s="3">
        <v>2.73234113926656</v>
      </c>
      <c r="Q10" s="3">
        <v>4.7042453261443704</v>
      </c>
      <c r="R10" s="3">
        <v>3.4318921650456402</v>
      </c>
      <c r="S10" s="3">
        <v>3.0866647110730101</v>
      </c>
      <c r="T10" s="3">
        <v>3.3970904907465802</v>
      </c>
      <c r="U10" s="3">
        <v>2.7594885463337402</v>
      </c>
      <c r="V10" s="3" t="e">
        <v>#N/A</v>
      </c>
    </row>
    <row r="11" spans="1:22" x14ac:dyDescent="0.35">
      <c r="A11" s="2">
        <v>42195</v>
      </c>
      <c r="B11" s="3" t="e">
        <v>#N/A</v>
      </c>
      <c r="C11" s="3">
        <v>3.5830871849974102</v>
      </c>
      <c r="D11" s="3">
        <v>2.4819997372168299</v>
      </c>
      <c r="E11" s="3">
        <v>1.9549325411906799</v>
      </c>
      <c r="F11" s="3">
        <v>3.6616139440970099</v>
      </c>
      <c r="G11" s="3">
        <v>1.96401313955226</v>
      </c>
      <c r="H11" s="3">
        <v>3.2976012307505602</v>
      </c>
      <c r="I11" s="3">
        <v>4.0805191345341401</v>
      </c>
      <c r="J11" s="3" t="e">
        <v>#N/A</v>
      </c>
      <c r="K11" s="3">
        <v>1.7024042288411401</v>
      </c>
      <c r="L11" s="3">
        <v>3.8501777447263099</v>
      </c>
      <c r="M11" s="3">
        <v>3.2024242604608499</v>
      </c>
      <c r="N11" s="3">
        <v>3.2574578252736499</v>
      </c>
      <c r="O11" s="3">
        <v>1.58725079262214</v>
      </c>
      <c r="P11" s="3">
        <v>3.0994041740387699</v>
      </c>
      <c r="Q11" s="3">
        <v>4.6993689272917001</v>
      </c>
      <c r="R11" s="3">
        <v>3.4524540859802402</v>
      </c>
      <c r="S11" s="3">
        <v>2.9994862455281299</v>
      </c>
      <c r="T11" s="3">
        <v>3.5954710015101399</v>
      </c>
      <c r="U11" s="3">
        <v>4.1050222147524096</v>
      </c>
      <c r="V11" s="3" t="e">
        <v>#N/A</v>
      </c>
    </row>
    <row r="12" spans="1:22" x14ac:dyDescent="0.35">
      <c r="A12" s="2">
        <v>42226</v>
      </c>
      <c r="B12" s="3" t="e">
        <v>#N/A</v>
      </c>
      <c r="C12" s="3">
        <v>3.55120723949647</v>
      </c>
      <c r="D12" s="3">
        <v>2.5052998387976602</v>
      </c>
      <c r="E12" s="3">
        <v>1.9130321307022899</v>
      </c>
      <c r="F12" s="3">
        <v>3.6501269436346</v>
      </c>
      <c r="G12" s="3">
        <v>2.1077756096343401</v>
      </c>
      <c r="H12" s="3">
        <v>3.4100396052821802</v>
      </c>
      <c r="I12" s="3">
        <v>4.2408398410728703</v>
      </c>
      <c r="J12" s="3" t="e">
        <v>#N/A</v>
      </c>
      <c r="K12" s="3">
        <v>1.7910550033260799</v>
      </c>
      <c r="L12" s="3">
        <v>3.8959256483744098</v>
      </c>
      <c r="M12" s="3">
        <v>3.2295235985675501</v>
      </c>
      <c r="N12" s="3">
        <v>4.2794918020103303</v>
      </c>
      <c r="O12" s="3">
        <v>1.5475680166419801</v>
      </c>
      <c r="P12" s="3">
        <v>3.2020295891833599</v>
      </c>
      <c r="Q12" s="3">
        <v>4.8033726476706704</v>
      </c>
      <c r="R12" s="3">
        <v>3.5789683695208998</v>
      </c>
      <c r="S12" s="3">
        <v>3.1994412351833201</v>
      </c>
      <c r="T12" s="3">
        <v>3.51066081137995</v>
      </c>
      <c r="U12" s="3">
        <v>4.1432829894457504</v>
      </c>
      <c r="V12" s="3" t="e">
        <v>#N/A</v>
      </c>
    </row>
    <row r="13" spans="1:22" x14ac:dyDescent="0.35">
      <c r="A13" s="2">
        <v>42257</v>
      </c>
      <c r="B13" s="3" t="e">
        <v>#N/A</v>
      </c>
      <c r="C13" s="3">
        <v>3.61766497612326</v>
      </c>
      <c r="D13" s="3">
        <v>2.7565276065061699</v>
      </c>
      <c r="E13" s="3">
        <v>2.1114588170915201</v>
      </c>
      <c r="F13" s="3">
        <v>3.6551879811891101</v>
      </c>
      <c r="G13" s="3">
        <v>2.3444610635455501</v>
      </c>
      <c r="H13" s="3">
        <v>3.45668466228675</v>
      </c>
      <c r="I13" s="3">
        <v>4.3065893511190403</v>
      </c>
      <c r="J13" s="3" t="e">
        <v>#N/A</v>
      </c>
      <c r="K13" s="3">
        <v>1.81491861538787</v>
      </c>
      <c r="L13" s="3">
        <v>4.3405620910840996</v>
      </c>
      <c r="M13" s="3">
        <v>3.46300285133972</v>
      </c>
      <c r="N13" s="3">
        <v>3.5728454398492602</v>
      </c>
      <c r="O13" s="3">
        <v>1.6934084512154</v>
      </c>
      <c r="P13" s="3">
        <v>3.4801356719894398</v>
      </c>
      <c r="Q13" s="3">
        <v>4.7586658755417304</v>
      </c>
      <c r="R13" s="3">
        <v>3.5960669126338001</v>
      </c>
      <c r="S13" s="3">
        <v>3.4484838365354502</v>
      </c>
      <c r="T13" s="3">
        <v>4.0682917273578996</v>
      </c>
      <c r="U13" s="3">
        <v>3.56946835227042</v>
      </c>
      <c r="V13" s="3" t="e">
        <v>#N/A</v>
      </c>
    </row>
    <row r="14" spans="1:22" x14ac:dyDescent="0.35">
      <c r="A14" s="2">
        <v>42286</v>
      </c>
      <c r="B14" s="3" t="e">
        <v>#N/A</v>
      </c>
      <c r="C14" s="3">
        <v>3.7189342272458599</v>
      </c>
      <c r="D14" s="3">
        <v>2.56291923319435</v>
      </c>
      <c r="E14" s="3">
        <v>1.98606970698635</v>
      </c>
      <c r="F14" s="3">
        <v>3.6681586712785199</v>
      </c>
      <c r="G14" s="3">
        <v>2.3336586932342702</v>
      </c>
      <c r="H14" s="3">
        <v>3.2481528532069501</v>
      </c>
      <c r="I14" s="3">
        <v>4.1901665111305997</v>
      </c>
      <c r="J14" s="3" t="e">
        <v>#N/A</v>
      </c>
      <c r="K14" s="3">
        <v>1.73435089087929</v>
      </c>
      <c r="L14" s="3">
        <v>3.8984273623699202</v>
      </c>
      <c r="M14" s="3">
        <v>3.2174141174534499</v>
      </c>
      <c r="N14" s="3">
        <v>2.9824500890689301</v>
      </c>
      <c r="O14" s="3">
        <v>1.63444208116162</v>
      </c>
      <c r="P14" s="3">
        <v>3.25679969270919</v>
      </c>
      <c r="Q14" s="3">
        <v>4.8436195250154199</v>
      </c>
      <c r="R14" s="3">
        <v>3.58145347706555</v>
      </c>
      <c r="S14" s="3">
        <v>3.1719648366133799</v>
      </c>
      <c r="T14" s="3">
        <v>3.83864612646838</v>
      </c>
      <c r="U14" s="3">
        <v>3.1881851429750601</v>
      </c>
      <c r="V14" s="3">
        <v>4.3257563118517597</v>
      </c>
    </row>
    <row r="15" spans="1:22" x14ac:dyDescent="0.35">
      <c r="A15" s="2">
        <v>42318</v>
      </c>
      <c r="B15" s="3" t="e">
        <v>#N/A</v>
      </c>
      <c r="C15" s="3">
        <v>3.6143001485420898</v>
      </c>
      <c r="D15" s="3">
        <v>2.63260602355132</v>
      </c>
      <c r="E15" s="3">
        <v>2.0254225287343499</v>
      </c>
      <c r="F15" s="3">
        <v>3.7861384562914102</v>
      </c>
      <c r="G15" s="3">
        <v>2.3643225868935498</v>
      </c>
      <c r="H15" s="3">
        <v>3.27732896532219</v>
      </c>
      <c r="I15" s="3">
        <v>4.1061079142205097</v>
      </c>
      <c r="J15" s="3" t="e">
        <v>#N/A</v>
      </c>
      <c r="K15" s="3">
        <v>1.85762259335043</v>
      </c>
      <c r="L15" s="3">
        <v>4.0337457318805203</v>
      </c>
      <c r="M15" s="3">
        <v>3.30900634737838</v>
      </c>
      <c r="N15" s="3">
        <v>3.1208854424731598</v>
      </c>
      <c r="O15" s="3">
        <v>1.7415024363981999</v>
      </c>
      <c r="P15" s="3">
        <v>3.22556096971033</v>
      </c>
      <c r="Q15" s="3">
        <v>5.0578738961409098</v>
      </c>
      <c r="R15" s="3">
        <v>3.6418760860754298</v>
      </c>
      <c r="S15" s="3">
        <v>3.12715060955244</v>
      </c>
      <c r="T15" s="3">
        <v>4.34242578300291</v>
      </c>
      <c r="U15" s="3">
        <v>3.26918515968738</v>
      </c>
      <c r="V15" s="3">
        <v>4.7593815524216998</v>
      </c>
    </row>
    <row r="16" spans="1:22" x14ac:dyDescent="0.35">
      <c r="A16" s="2">
        <v>42348</v>
      </c>
      <c r="B16" s="3" t="e">
        <v>#N/A</v>
      </c>
      <c r="C16" s="3">
        <v>3.7652882040848401</v>
      </c>
      <c r="D16" s="3">
        <v>2.5558316587932302</v>
      </c>
      <c r="E16" s="3">
        <v>1.98655469340247</v>
      </c>
      <c r="F16" s="3">
        <v>4.2577150672175499</v>
      </c>
      <c r="G16" s="3">
        <v>2.5842189001789002</v>
      </c>
      <c r="H16" s="3">
        <v>3.31213861814064</v>
      </c>
      <c r="I16" s="3">
        <v>4.2588976928395903</v>
      </c>
      <c r="J16" s="3" t="e">
        <v>#N/A</v>
      </c>
      <c r="K16" s="3">
        <v>1.93570124875426</v>
      </c>
      <c r="L16" s="3">
        <v>4.0320399094923101</v>
      </c>
      <c r="M16" s="3">
        <v>3.66247154828462</v>
      </c>
      <c r="N16" s="3">
        <v>3.3620493856938198</v>
      </c>
      <c r="O16" s="3">
        <v>1.76564874501005</v>
      </c>
      <c r="P16" s="3">
        <v>3.31645031721078</v>
      </c>
      <c r="Q16" s="3">
        <v>5.6481454083843801</v>
      </c>
      <c r="R16" s="3">
        <v>3.9032577232149501</v>
      </c>
      <c r="S16" s="3">
        <v>3.5599819342159802</v>
      </c>
      <c r="T16" s="3">
        <v>4.6688099388860103</v>
      </c>
      <c r="U16" s="3">
        <v>2.4923541385263199</v>
      </c>
      <c r="V16" s="3">
        <v>4.6237742759302396</v>
      </c>
    </row>
    <row r="17" spans="1:22" x14ac:dyDescent="0.35">
      <c r="A17" s="2">
        <v>42377</v>
      </c>
      <c r="B17" s="3" t="e">
        <v>#N/A</v>
      </c>
      <c r="C17" s="3">
        <v>3.96665778329367</v>
      </c>
      <c r="D17" s="3">
        <v>2.51658304076817</v>
      </c>
      <c r="E17" s="3">
        <v>2.0618168718277801</v>
      </c>
      <c r="F17" s="3">
        <v>4.41601759411743</v>
      </c>
      <c r="G17" s="3">
        <v>2.73933495732906</v>
      </c>
      <c r="H17" s="3">
        <v>3.2999440219762399</v>
      </c>
      <c r="I17" s="3">
        <v>4.5744168045514897</v>
      </c>
      <c r="J17" s="3">
        <v>2.2178050353848699</v>
      </c>
      <c r="K17" s="3">
        <v>2.0199809005348199</v>
      </c>
      <c r="L17" s="3">
        <v>4.3777781964070899</v>
      </c>
      <c r="M17" s="3">
        <v>3.71940110870788</v>
      </c>
      <c r="N17" s="3">
        <v>2.72472974713282</v>
      </c>
      <c r="O17" s="3">
        <v>1.7514911877091399</v>
      </c>
      <c r="P17" s="3">
        <v>3.09562653168862</v>
      </c>
      <c r="Q17" s="3">
        <v>5.6989435171781704</v>
      </c>
      <c r="R17" s="3">
        <v>3.93572179962</v>
      </c>
      <c r="S17" s="3">
        <v>3.6339007371787702</v>
      </c>
      <c r="T17" s="3">
        <v>4.5160159760062903</v>
      </c>
      <c r="U17" s="3" t="e">
        <v>#N/A</v>
      </c>
      <c r="V17" s="3">
        <v>5.0772748540511197</v>
      </c>
    </row>
    <row r="18" spans="1:22" x14ac:dyDescent="0.35">
      <c r="A18" s="2">
        <v>42410</v>
      </c>
      <c r="B18" s="3" t="e">
        <v>#N/A</v>
      </c>
      <c r="C18" s="3">
        <v>3.7392213390013</v>
      </c>
      <c r="D18" s="3">
        <v>2.4218286861677401</v>
      </c>
      <c r="E18" s="3">
        <v>2.0403953578807998</v>
      </c>
      <c r="F18" s="3">
        <v>4.2004506632525302</v>
      </c>
      <c r="G18" s="3">
        <v>2.59311230323959</v>
      </c>
      <c r="H18" s="3">
        <v>3.2534584559281199</v>
      </c>
      <c r="I18" s="3">
        <v>4.4111129118528902</v>
      </c>
      <c r="J18" s="3">
        <v>2.1712816323324402</v>
      </c>
      <c r="K18" s="3">
        <v>1.95970075660612</v>
      </c>
      <c r="L18" s="3">
        <v>4.3900668445284197</v>
      </c>
      <c r="M18" s="3">
        <v>3.66503059434454</v>
      </c>
      <c r="N18" s="3">
        <v>3.1310552136526</v>
      </c>
      <c r="O18" s="3">
        <v>1.8402010168530101</v>
      </c>
      <c r="P18" s="3">
        <v>3.2978129746461802</v>
      </c>
      <c r="Q18" s="3">
        <v>5.5139481521754501</v>
      </c>
      <c r="R18" s="3">
        <v>3.6362680205960798</v>
      </c>
      <c r="S18" s="3">
        <v>3.6480592363529101</v>
      </c>
      <c r="T18" s="3">
        <v>4.4975034225780801</v>
      </c>
      <c r="U18" s="3" t="e">
        <v>#N/A</v>
      </c>
      <c r="V18" s="3">
        <v>5.2633785643171001</v>
      </c>
    </row>
    <row r="19" spans="1:22" x14ac:dyDescent="0.35">
      <c r="A19" s="2">
        <v>42439</v>
      </c>
      <c r="B19" s="3" t="e">
        <v>#N/A</v>
      </c>
      <c r="C19" s="3">
        <v>3.4897909384997798</v>
      </c>
      <c r="D19" s="3">
        <v>2.4006256119424001</v>
      </c>
      <c r="E19" s="3">
        <v>1.90397452953571</v>
      </c>
      <c r="F19" s="3">
        <v>3.90145056947574</v>
      </c>
      <c r="G19" s="3">
        <v>2.1519514029387099</v>
      </c>
      <c r="H19" s="3">
        <v>3.1268920233742299</v>
      </c>
      <c r="I19" s="3">
        <v>4.1999461422387903</v>
      </c>
      <c r="J19" s="3">
        <v>2.1325280170315302</v>
      </c>
      <c r="K19" s="3">
        <v>1.92448160036562</v>
      </c>
      <c r="L19" s="3">
        <v>3.3916840408291402</v>
      </c>
      <c r="M19" s="3">
        <v>3.4167492278099201</v>
      </c>
      <c r="N19" s="3">
        <v>3.2194341922645702</v>
      </c>
      <c r="O19" s="3">
        <v>1.75951345751827</v>
      </c>
      <c r="P19" s="3">
        <v>3.1511030588643898</v>
      </c>
      <c r="Q19" s="3">
        <v>4.42670509764001</v>
      </c>
      <c r="R19" s="3">
        <v>3.4195617488385799</v>
      </c>
      <c r="S19" s="3">
        <v>3.2234468792037099</v>
      </c>
      <c r="T19" s="3">
        <v>3.9139084220376401</v>
      </c>
      <c r="U19" s="3">
        <v>2.7003088777310702</v>
      </c>
      <c r="V19" s="3">
        <v>4.6547198870019404</v>
      </c>
    </row>
    <row r="20" spans="1:22" x14ac:dyDescent="0.35">
      <c r="A20" s="2">
        <v>42468</v>
      </c>
      <c r="B20" s="3" t="e">
        <v>#N/A</v>
      </c>
      <c r="C20" s="3">
        <v>3.5271150639029001</v>
      </c>
      <c r="D20" s="3">
        <v>2.37453621906878</v>
      </c>
      <c r="E20" s="3">
        <v>1.78481599279454</v>
      </c>
      <c r="F20" s="3">
        <v>3.70743855213406</v>
      </c>
      <c r="G20" s="3">
        <v>2.16807982519392</v>
      </c>
      <c r="H20" s="3">
        <v>3.0489125809391102</v>
      </c>
      <c r="I20" s="3">
        <v>4.2667811251137202</v>
      </c>
      <c r="J20" s="3">
        <v>2.0687577586188399</v>
      </c>
      <c r="K20" s="3">
        <v>1.9434064146891801</v>
      </c>
      <c r="L20" s="3">
        <v>3.2231239404202201</v>
      </c>
      <c r="M20" s="3">
        <v>3.28861190641936</v>
      </c>
      <c r="N20" s="3">
        <v>3.42738383221793</v>
      </c>
      <c r="O20" s="3">
        <v>1.78334704634986</v>
      </c>
      <c r="P20" s="3">
        <v>2.9529004313160701</v>
      </c>
      <c r="Q20" s="3">
        <v>4.31621268089701</v>
      </c>
      <c r="R20" s="3">
        <v>3.4600587112987</v>
      </c>
      <c r="S20" s="3">
        <v>3.2704975472128899</v>
      </c>
      <c r="T20" s="3">
        <v>3.96500726136839</v>
      </c>
      <c r="U20" s="3">
        <v>3.1735779518245901</v>
      </c>
      <c r="V20" s="3">
        <v>4.6509186440043599</v>
      </c>
    </row>
    <row r="21" spans="1:22" x14ac:dyDescent="0.35">
      <c r="A21" s="2">
        <v>42500</v>
      </c>
      <c r="B21" s="3" t="e">
        <v>#N/A</v>
      </c>
      <c r="C21" s="3">
        <v>3.2368056586976999</v>
      </c>
      <c r="D21" s="3">
        <v>2.4566597188255699</v>
      </c>
      <c r="E21" s="3">
        <v>1.82792552667006</v>
      </c>
      <c r="F21" s="3">
        <v>3.8429714010302498</v>
      </c>
      <c r="G21" s="3">
        <v>1.74195853769633</v>
      </c>
      <c r="H21" s="3">
        <v>3.21087628392609</v>
      </c>
      <c r="I21" s="3">
        <v>4.5710896593357901</v>
      </c>
      <c r="J21" s="3">
        <v>2.0713898986781998</v>
      </c>
      <c r="K21" s="3">
        <v>1.95957274694349</v>
      </c>
      <c r="L21" s="3">
        <v>3.3106589507036399</v>
      </c>
      <c r="M21" s="3">
        <v>3.3968856871298798</v>
      </c>
      <c r="N21" s="3">
        <v>2.3099330172985799</v>
      </c>
      <c r="O21" s="3">
        <v>1.6897981424145201</v>
      </c>
      <c r="P21" s="3">
        <v>3.0345069636068298</v>
      </c>
      <c r="Q21" s="3">
        <v>4.4016657419276104</v>
      </c>
      <c r="R21" s="3">
        <v>3.4343633962176598</v>
      </c>
      <c r="S21" s="3">
        <v>3.4274945062540798</v>
      </c>
      <c r="T21" s="3">
        <v>4.1083865283442602</v>
      </c>
      <c r="U21" s="3">
        <v>3.1648871260924798</v>
      </c>
      <c r="V21" s="3">
        <v>4.1940423244250002</v>
      </c>
    </row>
    <row r="22" spans="1:22" x14ac:dyDescent="0.35">
      <c r="A22" s="2">
        <v>42531</v>
      </c>
      <c r="B22" s="3" t="e">
        <v>#N/A</v>
      </c>
      <c r="C22" s="3">
        <v>3.21375935280511</v>
      </c>
      <c r="D22" s="3">
        <v>2.3855073223145302</v>
      </c>
      <c r="E22" s="3">
        <v>1.7057899059747399</v>
      </c>
      <c r="F22" s="3">
        <v>3.81694214409189</v>
      </c>
      <c r="G22" s="3">
        <v>1.7972498236121699</v>
      </c>
      <c r="H22" s="3">
        <v>3.07872245411719</v>
      </c>
      <c r="I22" s="3">
        <v>4.1535573800582304</v>
      </c>
      <c r="J22" s="3">
        <v>2.1225845964176102</v>
      </c>
      <c r="K22" s="3">
        <v>1.9315684594315501</v>
      </c>
      <c r="L22" s="3">
        <v>3.4643682682667301</v>
      </c>
      <c r="M22" s="3">
        <v>3.1513842225843698</v>
      </c>
      <c r="N22" s="3">
        <v>2.51687277239408</v>
      </c>
      <c r="O22" s="3">
        <v>1.61314686988943</v>
      </c>
      <c r="P22" s="3">
        <v>2.60943513156555</v>
      </c>
      <c r="Q22" s="3">
        <v>4.2161851365208198</v>
      </c>
      <c r="R22" s="3">
        <v>3.3312952009631398</v>
      </c>
      <c r="S22" s="3">
        <v>3.5603938336725598</v>
      </c>
      <c r="T22" s="3">
        <v>3.9554655643401802</v>
      </c>
      <c r="U22" s="3">
        <v>3.6376126798530599</v>
      </c>
      <c r="V22" s="3">
        <v>4.0405296659972496</v>
      </c>
    </row>
    <row r="23" spans="1:22" x14ac:dyDescent="0.35">
      <c r="A23" s="2">
        <v>42559</v>
      </c>
      <c r="B23" s="3">
        <v>2.22588074459295</v>
      </c>
      <c r="C23" s="3">
        <v>3.0592055020762801</v>
      </c>
      <c r="D23" s="3">
        <v>2.2967543838902</v>
      </c>
      <c r="E23" s="3">
        <v>1.6870857789848901</v>
      </c>
      <c r="F23" s="3">
        <v>3.8693648508249501</v>
      </c>
      <c r="G23" s="3">
        <v>1.86436487083314</v>
      </c>
      <c r="H23" s="3">
        <v>3.0672563903668602</v>
      </c>
      <c r="I23" s="3">
        <v>4.2003842864954501</v>
      </c>
      <c r="J23" s="3">
        <v>2.12297095811059</v>
      </c>
      <c r="K23" s="3">
        <v>1.9869352087131</v>
      </c>
      <c r="L23" s="3">
        <v>3.15125013059254</v>
      </c>
      <c r="M23" s="3">
        <v>3.1040350322767001</v>
      </c>
      <c r="N23" s="3">
        <v>3.0766021950868399</v>
      </c>
      <c r="O23" s="3">
        <v>1.58303728904601</v>
      </c>
      <c r="P23" s="3">
        <v>2.6004711693961302</v>
      </c>
      <c r="Q23" s="3">
        <v>4.2396001311409899</v>
      </c>
      <c r="R23" s="3">
        <v>3.2786061250899801</v>
      </c>
      <c r="S23" s="3">
        <v>3.5392402879632399</v>
      </c>
      <c r="T23" s="3">
        <v>3.8933115895256298</v>
      </c>
      <c r="U23" s="3">
        <v>3.2498578856966298</v>
      </c>
      <c r="V23" s="3">
        <v>4.26677025167458</v>
      </c>
    </row>
    <row r="24" spans="1:22" x14ac:dyDescent="0.35">
      <c r="A24" s="2">
        <v>42592</v>
      </c>
      <c r="B24" s="3">
        <v>2.2663546732962598</v>
      </c>
      <c r="C24" s="3">
        <v>2.9157018977984701</v>
      </c>
      <c r="D24" s="3">
        <v>2.1317194370646799</v>
      </c>
      <c r="E24" s="3">
        <v>1.57331416632683</v>
      </c>
      <c r="F24" s="3">
        <v>3.4742726239874799</v>
      </c>
      <c r="G24" s="3">
        <v>1.61562309073968</v>
      </c>
      <c r="H24" s="3">
        <v>2.9785561510840299</v>
      </c>
      <c r="I24" s="3">
        <v>3.9801491235615898</v>
      </c>
      <c r="J24" s="3">
        <v>2.03314384915508</v>
      </c>
      <c r="K24" s="3">
        <v>1.89440237176804</v>
      </c>
      <c r="L24" s="3">
        <v>3.08070690015029</v>
      </c>
      <c r="M24" s="3">
        <v>2.95696867019941</v>
      </c>
      <c r="N24" s="3">
        <v>2.96911718949853</v>
      </c>
      <c r="O24" s="3">
        <v>1.5496275487740701</v>
      </c>
      <c r="P24" s="3">
        <v>2.4127045902444202</v>
      </c>
      <c r="Q24" s="3">
        <v>3.7915440121484201</v>
      </c>
      <c r="R24" s="3">
        <v>3.1041761619772998</v>
      </c>
      <c r="S24" s="3">
        <v>3.4824184281679602</v>
      </c>
      <c r="T24" s="3">
        <v>3.77129567576754</v>
      </c>
      <c r="U24" s="3">
        <v>3.1104979612113999</v>
      </c>
      <c r="V24" s="3">
        <v>4.3920906397999797</v>
      </c>
    </row>
    <row r="25" spans="1:22" x14ac:dyDescent="0.35">
      <c r="A25" s="2">
        <v>42622</v>
      </c>
      <c r="B25" s="3">
        <v>2.1982665173250302</v>
      </c>
      <c r="C25" s="3">
        <v>3.0058431108647801</v>
      </c>
      <c r="D25" s="3">
        <v>2.2417379464776901</v>
      </c>
      <c r="E25" s="3">
        <v>1.6963438274067399</v>
      </c>
      <c r="F25" s="3">
        <v>3.6124055705409499</v>
      </c>
      <c r="G25" s="3">
        <v>1.5136807093782401</v>
      </c>
      <c r="H25" s="3">
        <v>2.9218016614164299</v>
      </c>
      <c r="I25" s="3">
        <v>4.0602312048302398</v>
      </c>
      <c r="J25" s="3">
        <v>2.1042064633237998</v>
      </c>
      <c r="K25" s="3">
        <v>1.8739670014552201</v>
      </c>
      <c r="L25" s="3">
        <v>3.1275032129160798</v>
      </c>
      <c r="M25" s="3">
        <v>3.05441117812587</v>
      </c>
      <c r="N25" s="3">
        <v>3.20000184626101</v>
      </c>
      <c r="O25" s="3">
        <v>1.5080959386248101</v>
      </c>
      <c r="P25" s="3">
        <v>2.21589859380336</v>
      </c>
      <c r="Q25" s="3">
        <v>3.8499255662976801</v>
      </c>
      <c r="R25" s="3">
        <v>3.36633624538347</v>
      </c>
      <c r="S25" s="3">
        <v>3.53880021143009</v>
      </c>
      <c r="T25" s="3">
        <v>3.78179940254546</v>
      </c>
      <c r="U25" s="3">
        <v>3.1612378740921598</v>
      </c>
      <c r="V25" s="3">
        <v>4.6113798836116198</v>
      </c>
    </row>
    <row r="26" spans="1:22" x14ac:dyDescent="0.35">
      <c r="A26" s="2">
        <v>42653</v>
      </c>
      <c r="B26" s="3">
        <v>2.2760487500741098</v>
      </c>
      <c r="C26" s="3">
        <v>2.8154748586975802</v>
      </c>
      <c r="D26" s="3">
        <v>2.26359555719156</v>
      </c>
      <c r="E26" s="3">
        <v>1.6600290349242299</v>
      </c>
      <c r="F26" s="3">
        <v>3.4422009530830202</v>
      </c>
      <c r="G26" s="3">
        <v>1.5841894271138</v>
      </c>
      <c r="H26" s="3">
        <v>2.9528775149377</v>
      </c>
      <c r="I26" s="3">
        <v>3.9909434322029198</v>
      </c>
      <c r="J26" s="3">
        <v>2.0601067455675599</v>
      </c>
      <c r="K26" s="3">
        <v>1.88836523879313</v>
      </c>
      <c r="L26" s="3">
        <v>3.00309264234546</v>
      </c>
      <c r="M26" s="3">
        <v>3.1973660984363099</v>
      </c>
      <c r="N26" s="3">
        <v>2.9646665289693201</v>
      </c>
      <c r="O26" s="3">
        <v>1.53223211030893</v>
      </c>
      <c r="P26" s="3">
        <v>2.2166034270135802</v>
      </c>
      <c r="Q26" s="3">
        <v>3.9540675199626101</v>
      </c>
      <c r="R26" s="3">
        <v>3.36711157652626</v>
      </c>
      <c r="S26" s="3">
        <v>3.5898160304755802</v>
      </c>
      <c r="T26" s="3">
        <v>3.7086098748251701</v>
      </c>
      <c r="U26" s="3">
        <v>2.5082685256846902</v>
      </c>
      <c r="V26" s="3">
        <v>4.9700753009640097</v>
      </c>
    </row>
    <row r="27" spans="1:22" x14ac:dyDescent="0.35">
      <c r="A27" s="2">
        <v>42684</v>
      </c>
      <c r="B27" s="3">
        <v>2.2447168129472499</v>
      </c>
      <c r="C27" s="3">
        <v>2.7112718766039401</v>
      </c>
      <c r="D27" s="3">
        <v>2.2658203834297801</v>
      </c>
      <c r="E27" s="3">
        <v>1.7515209106805101</v>
      </c>
      <c r="F27" s="3">
        <v>3.34559081857847</v>
      </c>
      <c r="G27" s="3">
        <v>1.8298963609286201</v>
      </c>
      <c r="H27" s="3">
        <v>2.99617830354866</v>
      </c>
      <c r="I27" s="3">
        <v>4.1161105794079704</v>
      </c>
      <c r="J27" s="3">
        <v>2.2667778947367201</v>
      </c>
      <c r="K27" s="3">
        <v>1.9582916399193599</v>
      </c>
      <c r="L27" s="3">
        <v>3.1045957166507798</v>
      </c>
      <c r="M27" s="3">
        <v>3.2943434040780701</v>
      </c>
      <c r="N27" s="3">
        <v>3.0289820464808401</v>
      </c>
      <c r="O27" s="3">
        <v>1.6209128380328499</v>
      </c>
      <c r="P27" s="3">
        <v>2.3313311175244702</v>
      </c>
      <c r="Q27" s="3">
        <v>4.0780516563062204</v>
      </c>
      <c r="R27" s="3">
        <v>3.2395801084603599</v>
      </c>
      <c r="S27" s="3">
        <v>3.6335684285773402</v>
      </c>
      <c r="T27" s="3">
        <v>3.8698887334659302</v>
      </c>
      <c r="U27" s="3">
        <v>2.6648084207989502</v>
      </c>
      <c r="V27" s="3">
        <v>4.3368989180559003</v>
      </c>
    </row>
    <row r="28" spans="1:22" x14ac:dyDescent="0.35">
      <c r="A28" s="2">
        <v>42713</v>
      </c>
      <c r="B28" s="3">
        <v>2.1857899890927901</v>
      </c>
      <c r="C28" s="3">
        <v>2.7917904902027999</v>
      </c>
      <c r="D28" s="3">
        <v>2.4073670468463599</v>
      </c>
      <c r="E28" s="3">
        <v>1.7002976813175601</v>
      </c>
      <c r="F28" s="3">
        <v>3.11195818208</v>
      </c>
      <c r="G28" s="3">
        <v>2.0973466311779601</v>
      </c>
      <c r="H28" s="3">
        <v>2.9906679757351</v>
      </c>
      <c r="I28" s="3">
        <v>4.1211409388676401</v>
      </c>
      <c r="J28" s="3">
        <v>2.2640250501720902</v>
      </c>
      <c r="K28" s="3">
        <v>1.9398879568858101</v>
      </c>
      <c r="L28" s="3">
        <v>3.4800774769957701</v>
      </c>
      <c r="M28" s="3">
        <v>3.2908899087999099</v>
      </c>
      <c r="N28" s="3">
        <v>2.68815139856701</v>
      </c>
      <c r="O28" s="3">
        <v>1.65768798392064</v>
      </c>
      <c r="P28" s="3">
        <v>2.32618711571808</v>
      </c>
      <c r="Q28" s="3">
        <v>4.1155143871904301</v>
      </c>
      <c r="R28" s="3">
        <v>3.2328987503605902</v>
      </c>
      <c r="S28" s="3">
        <v>3.8255264700945402</v>
      </c>
      <c r="T28" s="3">
        <v>4.0421336210762604</v>
      </c>
      <c r="U28" s="3">
        <v>2.98209066302514</v>
      </c>
      <c r="V28" s="3">
        <v>3.7936649169580701</v>
      </c>
    </row>
    <row r="29" spans="1:22" x14ac:dyDescent="0.35">
      <c r="A29" s="2">
        <v>42745</v>
      </c>
      <c r="B29" s="3">
        <v>2.2907560245095899</v>
      </c>
      <c r="C29" s="3">
        <v>2.9769101115304002</v>
      </c>
      <c r="D29" s="3">
        <v>2.4144176271326998</v>
      </c>
      <c r="E29" s="3">
        <v>1.6287878651509</v>
      </c>
      <c r="F29" s="3">
        <v>2.94166667373206</v>
      </c>
      <c r="G29" s="3">
        <v>2.1919719927625101</v>
      </c>
      <c r="H29" s="3">
        <v>2.9973477660335699</v>
      </c>
      <c r="I29" s="3">
        <v>4.1663717655278596</v>
      </c>
      <c r="J29" s="3">
        <v>2.3842819921156502</v>
      </c>
      <c r="K29" s="3">
        <v>1.96164377593533</v>
      </c>
      <c r="L29" s="3">
        <v>3.4429567468447302</v>
      </c>
      <c r="M29" s="3">
        <v>3.1850790042854098</v>
      </c>
      <c r="N29" s="3">
        <v>2.8575024333490302</v>
      </c>
      <c r="O29" s="3">
        <v>1.67187590006984</v>
      </c>
      <c r="P29" s="3">
        <v>2.3375011629565599</v>
      </c>
      <c r="Q29" s="3">
        <v>3.7453972638066602</v>
      </c>
      <c r="R29" s="3">
        <v>3.1457284114747499</v>
      </c>
      <c r="S29" s="3">
        <v>3.8717640359743002</v>
      </c>
      <c r="T29" s="3">
        <v>3.94675312398833</v>
      </c>
      <c r="U29" s="3">
        <v>2.8382805032189098</v>
      </c>
      <c r="V29" s="3">
        <v>3.94402903342987</v>
      </c>
    </row>
    <row r="30" spans="1:22" x14ac:dyDescent="0.35">
      <c r="A30" s="2">
        <v>42776</v>
      </c>
      <c r="B30" s="3">
        <v>2.2969419834414899</v>
      </c>
      <c r="C30" s="3">
        <v>2.78082761197739</v>
      </c>
      <c r="D30" s="3">
        <v>2.4200026952499698</v>
      </c>
      <c r="E30" s="3">
        <v>1.6367578467320201</v>
      </c>
      <c r="F30" s="3">
        <v>2.6319741035295499</v>
      </c>
      <c r="G30" s="3">
        <v>1.9473535524738199</v>
      </c>
      <c r="H30" s="3">
        <v>2.9708605713262699</v>
      </c>
      <c r="I30" s="3">
        <v>4.0858528296436596</v>
      </c>
      <c r="J30" s="3">
        <v>2.3409810877131401</v>
      </c>
      <c r="K30" s="3">
        <v>1.9319865848551001</v>
      </c>
      <c r="L30" s="3">
        <v>3.3248412432930099</v>
      </c>
      <c r="M30" s="3">
        <v>3.1449511267566401</v>
      </c>
      <c r="N30" s="3">
        <v>3.06621088145359</v>
      </c>
      <c r="O30" s="3">
        <v>1.60039411522956</v>
      </c>
      <c r="P30" s="3">
        <v>2.2693088887070201</v>
      </c>
      <c r="Q30" s="3">
        <v>3.7885115979839901</v>
      </c>
      <c r="R30" s="3">
        <v>3.1073544696230302</v>
      </c>
      <c r="S30" s="3">
        <v>3.5419598362542799</v>
      </c>
      <c r="T30" s="3">
        <v>4.0637004139567301</v>
      </c>
      <c r="U30" s="3">
        <v>3.0326676389998801</v>
      </c>
      <c r="V30" s="3">
        <v>3.8472785933785199</v>
      </c>
    </row>
    <row r="31" spans="1:22" x14ac:dyDescent="0.35">
      <c r="A31" s="2">
        <v>42804</v>
      </c>
      <c r="B31" s="3">
        <v>2.3145377147387798</v>
      </c>
      <c r="C31" s="3">
        <v>2.7554814619831598</v>
      </c>
      <c r="D31" s="3">
        <v>2.4667655158294202</v>
      </c>
      <c r="E31" s="3">
        <v>1.67459289603591</v>
      </c>
      <c r="F31" s="3">
        <v>2.4673037760479102</v>
      </c>
      <c r="G31" s="3">
        <v>2.2135612448023299</v>
      </c>
      <c r="H31" s="3">
        <v>2.99639343088556</v>
      </c>
      <c r="I31" s="3">
        <v>4.1986532302689401</v>
      </c>
      <c r="J31" s="3">
        <v>2.4633282755189199</v>
      </c>
      <c r="K31" s="3">
        <v>1.92304211320381</v>
      </c>
      <c r="L31" s="3">
        <v>3.58711507754529</v>
      </c>
      <c r="M31" s="3">
        <v>3.1966178762918802</v>
      </c>
      <c r="N31" s="3">
        <v>2.95442851538614</v>
      </c>
      <c r="O31" s="3">
        <v>1.58406928884569</v>
      </c>
      <c r="P31" s="3">
        <v>2.27678892006502</v>
      </c>
      <c r="Q31" s="3">
        <v>3.8888061025316101</v>
      </c>
      <c r="R31" s="3">
        <v>3.2015427476342602</v>
      </c>
      <c r="S31" s="3">
        <v>3.5146782163438401</v>
      </c>
      <c r="T31" s="3">
        <v>4.1335171307739396</v>
      </c>
      <c r="U31" s="3">
        <v>3.1912677059180301</v>
      </c>
      <c r="V31" s="3">
        <v>3.8715464427777402</v>
      </c>
    </row>
    <row r="32" spans="1:22" x14ac:dyDescent="0.35">
      <c r="A32" s="2">
        <v>42835</v>
      </c>
      <c r="B32" s="3">
        <v>2.2587699396552101</v>
      </c>
      <c r="C32" s="3">
        <v>2.4143714964012202</v>
      </c>
      <c r="D32" s="3">
        <v>2.4147586830019598</v>
      </c>
      <c r="E32" s="3">
        <v>1.5979086224644199</v>
      </c>
      <c r="F32" s="3">
        <v>2.5678083312809101</v>
      </c>
      <c r="G32" s="3">
        <v>2.0317368931034898</v>
      </c>
      <c r="H32" s="3">
        <v>2.9821907251740898</v>
      </c>
      <c r="I32" s="3">
        <v>4.1312887522061299</v>
      </c>
      <c r="J32" s="3">
        <v>2.3531298109951799</v>
      </c>
      <c r="K32" s="3">
        <v>1.93803422004617</v>
      </c>
      <c r="L32" s="3">
        <v>3.63052925970675</v>
      </c>
      <c r="M32" s="3">
        <v>3.2125635723645698</v>
      </c>
      <c r="N32" s="3">
        <v>2.5848391862849498</v>
      </c>
      <c r="O32" s="3">
        <v>1.5547482708651801</v>
      </c>
      <c r="P32" s="3">
        <v>2.27521022762792</v>
      </c>
      <c r="Q32" s="3">
        <v>3.8702586280326701</v>
      </c>
      <c r="R32" s="3">
        <v>3.11508827478885</v>
      </c>
      <c r="S32" s="3">
        <v>3.55381289584493</v>
      </c>
      <c r="T32" s="3">
        <v>4.0091549631197996</v>
      </c>
      <c r="U32" s="3">
        <v>2.6247210814481798</v>
      </c>
      <c r="V32" s="3">
        <v>3.9624449404077899</v>
      </c>
    </row>
    <row r="33" spans="1:22" x14ac:dyDescent="0.35">
      <c r="A33" s="2">
        <v>42865</v>
      </c>
      <c r="B33" s="3">
        <v>2.3020397573545801</v>
      </c>
      <c r="C33" s="3">
        <v>2.5219932993899499</v>
      </c>
      <c r="D33" s="3">
        <v>2.48832486407803</v>
      </c>
      <c r="E33" s="3">
        <v>1.5545550452249499</v>
      </c>
      <c r="F33" s="3">
        <v>2.4371661360838099</v>
      </c>
      <c r="G33" s="3">
        <v>2.0159528091647001</v>
      </c>
      <c r="H33" s="3">
        <v>2.9510957653898999</v>
      </c>
      <c r="I33" s="3">
        <v>4.0840171226496897</v>
      </c>
      <c r="J33" s="3">
        <v>2.3961725519914201</v>
      </c>
      <c r="K33" s="3">
        <v>1.8457899287308801</v>
      </c>
      <c r="L33" s="3">
        <v>3.5120409561708898</v>
      </c>
      <c r="M33" s="3">
        <v>3.0496654798330001</v>
      </c>
      <c r="N33" s="3">
        <v>2.3199950118518</v>
      </c>
      <c r="O33" s="3">
        <v>1.5540559447876101</v>
      </c>
      <c r="P33" s="3">
        <v>2.2372617773384298</v>
      </c>
      <c r="Q33" s="3">
        <v>3.97853197539968</v>
      </c>
      <c r="R33" s="3">
        <v>3.1913173508928701</v>
      </c>
      <c r="S33" s="3">
        <v>3.6508483524046502</v>
      </c>
      <c r="T33" s="3">
        <v>3.9334653215470698</v>
      </c>
      <c r="U33" s="3">
        <v>2.4731775990695302</v>
      </c>
      <c r="V33" s="3">
        <v>4.0882131319916502</v>
      </c>
    </row>
    <row r="34" spans="1:22" x14ac:dyDescent="0.35">
      <c r="A34" s="2">
        <v>42895</v>
      </c>
      <c r="B34" s="3">
        <v>2.1159775658719102</v>
      </c>
      <c r="C34" s="3">
        <v>2.6377094954485201</v>
      </c>
      <c r="D34" s="3">
        <v>2.5543412790500102</v>
      </c>
      <c r="E34" s="3">
        <v>1.5205906844020001</v>
      </c>
      <c r="F34" s="3">
        <v>2.45810965725149</v>
      </c>
      <c r="G34" s="3">
        <v>2.2336037931149901</v>
      </c>
      <c r="H34" s="3">
        <v>2.9876881927655301</v>
      </c>
      <c r="I34" s="3">
        <v>4.0261469221593398</v>
      </c>
      <c r="J34" s="3">
        <v>2.4762458567449102</v>
      </c>
      <c r="K34" s="3">
        <v>1.7581054724388601</v>
      </c>
      <c r="L34" s="3">
        <v>3.6532378448576699</v>
      </c>
      <c r="M34" s="3">
        <v>3.3412070375350802</v>
      </c>
      <c r="N34" s="3">
        <v>2.7905827751476102</v>
      </c>
      <c r="O34" s="3">
        <v>1.5974742293594</v>
      </c>
      <c r="P34" s="3">
        <v>2.1491249292106702</v>
      </c>
      <c r="Q34" s="3">
        <v>4.3746297152235796</v>
      </c>
      <c r="R34" s="3">
        <v>3.2112946339777801</v>
      </c>
      <c r="S34" s="3">
        <v>3.5810904942035799</v>
      </c>
      <c r="T34" s="3">
        <v>4.0775837543296998</v>
      </c>
      <c r="U34" s="3">
        <v>2.0184801931679002</v>
      </c>
      <c r="V34" s="3">
        <v>3.98280611405161</v>
      </c>
    </row>
    <row r="35" spans="1:22" x14ac:dyDescent="0.35">
      <c r="A35" s="2">
        <v>42926</v>
      </c>
      <c r="B35" s="3">
        <v>2.1321163566619998</v>
      </c>
      <c r="C35" s="3">
        <v>2.65376410718889</v>
      </c>
      <c r="D35" s="3">
        <v>2.5662327653958901</v>
      </c>
      <c r="E35" s="3">
        <v>1.5826101678595299</v>
      </c>
      <c r="F35" s="3">
        <v>2.4781696320533801</v>
      </c>
      <c r="G35" s="3">
        <v>2.31462709797758</v>
      </c>
      <c r="H35" s="3">
        <v>3.06118654791692</v>
      </c>
      <c r="I35" s="3">
        <v>4.0301862217270799</v>
      </c>
      <c r="J35" s="3">
        <v>2.41220963302777</v>
      </c>
      <c r="K35" s="3">
        <v>1.7800467865935801</v>
      </c>
      <c r="L35" s="3">
        <v>3.6767057390765401</v>
      </c>
      <c r="M35" s="3">
        <v>3.3783617519370299</v>
      </c>
      <c r="N35" s="3">
        <v>2.4877176714289999</v>
      </c>
      <c r="O35" s="3">
        <v>1.5858916643188801</v>
      </c>
      <c r="P35" s="3">
        <v>2.2213528450318401</v>
      </c>
      <c r="Q35" s="3">
        <v>4.4470368975905696</v>
      </c>
      <c r="R35" s="3">
        <v>3.2502187979125901</v>
      </c>
      <c r="S35" s="3">
        <v>3.6330301542585102</v>
      </c>
      <c r="T35" s="3">
        <v>4.0996157284112202</v>
      </c>
      <c r="U35" s="3">
        <v>1.7705644424370699</v>
      </c>
      <c r="V35" s="3">
        <v>3.7436542179855099</v>
      </c>
    </row>
    <row r="36" spans="1:22" x14ac:dyDescent="0.35">
      <c r="A36" s="2">
        <v>42957</v>
      </c>
      <c r="B36" s="3">
        <v>2.1900681719434099</v>
      </c>
      <c r="C36" s="3">
        <v>2.6191093463743198</v>
      </c>
      <c r="D36" s="3">
        <v>2.5346251184931199</v>
      </c>
      <c r="E36" s="3">
        <v>1.5808706410904401</v>
      </c>
      <c r="F36" s="3">
        <v>2.3385073668960001</v>
      </c>
      <c r="G36" s="3">
        <v>2.3423943132553098</v>
      </c>
      <c r="H36" s="3">
        <v>3.02642512342599</v>
      </c>
      <c r="I36" s="3">
        <v>4.0248347734030299</v>
      </c>
      <c r="J36" s="3">
        <v>2.41516469049935</v>
      </c>
      <c r="K36" s="3">
        <v>1.8306119834007699</v>
      </c>
      <c r="L36" s="3">
        <v>3.4371552457651702</v>
      </c>
      <c r="M36" s="3">
        <v>3.16802035582</v>
      </c>
      <c r="N36" s="3">
        <v>2.57459585284235</v>
      </c>
      <c r="O36" s="3">
        <v>1.56656364969328</v>
      </c>
      <c r="P36" s="3">
        <v>2.1439031952928298</v>
      </c>
      <c r="Q36" s="3">
        <v>4.1747656964162099</v>
      </c>
      <c r="R36" s="3">
        <v>3.2422536222667402</v>
      </c>
      <c r="S36" s="3">
        <v>3.7375863983678101</v>
      </c>
      <c r="T36" s="3">
        <v>3.9224551265343099</v>
      </c>
      <c r="U36" s="3">
        <v>1.7538027508921701</v>
      </c>
      <c r="V36" s="3">
        <v>3.8056941062459901</v>
      </c>
    </row>
    <row r="37" spans="1:22" x14ac:dyDescent="0.35">
      <c r="A37" s="2">
        <v>42986</v>
      </c>
      <c r="B37" s="3">
        <v>2.1432499424534601</v>
      </c>
      <c r="C37" s="3">
        <v>2.5213796944974298</v>
      </c>
      <c r="D37" s="3">
        <v>2.58887493715102</v>
      </c>
      <c r="E37" s="3">
        <v>1.5474934962059901</v>
      </c>
      <c r="F37" s="3">
        <v>2.47626515762903</v>
      </c>
      <c r="G37" s="3">
        <v>2.10896157862283</v>
      </c>
      <c r="H37" s="3">
        <v>3.0039610096855802</v>
      </c>
      <c r="I37" s="3">
        <v>4.0323548707032</v>
      </c>
      <c r="J37" s="3">
        <v>2.4718783494157002</v>
      </c>
      <c r="K37" s="3">
        <v>1.8479595407274301</v>
      </c>
      <c r="L37" s="3">
        <v>3.2145513724049999</v>
      </c>
      <c r="M37" s="3">
        <v>3.2921777918887001</v>
      </c>
      <c r="N37" s="3">
        <v>2.6384814994308199</v>
      </c>
      <c r="O37" s="3">
        <v>1.5359924360220101</v>
      </c>
      <c r="P37" s="3">
        <v>2.1869437571280099</v>
      </c>
      <c r="Q37" s="3">
        <v>4.5963444673727496</v>
      </c>
      <c r="R37" s="3">
        <v>3.09678568126479</v>
      </c>
      <c r="S37" s="3">
        <v>3.89210705000986</v>
      </c>
      <c r="T37" s="3">
        <v>4.0022077442446804</v>
      </c>
      <c r="U37" s="3">
        <v>1.7242445416740599</v>
      </c>
      <c r="V37" s="3">
        <v>4.2128799642388497</v>
      </c>
    </row>
    <row r="38" spans="1:22" x14ac:dyDescent="0.35">
      <c r="A38" s="2">
        <v>43018</v>
      </c>
      <c r="B38" s="3">
        <v>2.1427871111258101</v>
      </c>
      <c r="C38" s="3">
        <v>2.79108293152315</v>
      </c>
      <c r="D38" s="3">
        <v>2.57332982660615</v>
      </c>
      <c r="E38" s="3">
        <v>1.45215622319895</v>
      </c>
      <c r="F38" s="3">
        <v>2.4632926186791102</v>
      </c>
      <c r="G38" s="3">
        <v>2.24291773102689</v>
      </c>
      <c r="H38" s="3">
        <v>3.0861116470835399</v>
      </c>
      <c r="I38" s="3">
        <v>4.0892952801815596</v>
      </c>
      <c r="J38" s="3">
        <v>2.4958335047901001</v>
      </c>
      <c r="K38" s="3">
        <v>1.7597968491145699</v>
      </c>
      <c r="L38" s="3">
        <v>3.1233724902125202</v>
      </c>
      <c r="M38" s="3">
        <v>3.2631398122059001</v>
      </c>
      <c r="N38" s="3">
        <v>2.8277353037409498</v>
      </c>
      <c r="O38" s="3">
        <v>1.5459046890694501</v>
      </c>
      <c r="P38" s="3">
        <v>2.0563024341259899</v>
      </c>
      <c r="Q38" s="3">
        <v>4.6817717051328103</v>
      </c>
      <c r="R38" s="3">
        <v>2.98287323908845</v>
      </c>
      <c r="S38" s="3">
        <v>4.2599005022502601</v>
      </c>
      <c r="T38" s="3">
        <v>4.2471001568590099</v>
      </c>
      <c r="U38" s="3">
        <v>1.8901174484580501</v>
      </c>
      <c r="V38" s="3">
        <v>4.3602775011019501</v>
      </c>
    </row>
    <row r="39" spans="1:22" x14ac:dyDescent="0.35">
      <c r="A39" s="2">
        <v>43049</v>
      </c>
      <c r="B39" s="3">
        <v>2.0668300394709598</v>
      </c>
      <c r="C39" s="3">
        <v>2.9110645470943601</v>
      </c>
      <c r="D39" s="3">
        <v>2.5944355145789801</v>
      </c>
      <c r="E39" s="3">
        <v>1.4596170337430201</v>
      </c>
      <c r="F39" s="3">
        <v>2.4154143011471101</v>
      </c>
      <c r="G39" s="3">
        <v>2.5571572228146602</v>
      </c>
      <c r="H39" s="3">
        <v>3.2262338780425601</v>
      </c>
      <c r="I39" s="3">
        <v>4.0804438673385102</v>
      </c>
      <c r="J39" s="3">
        <v>2.5546610360827402</v>
      </c>
      <c r="K39" s="3">
        <v>1.9558029629803699</v>
      </c>
      <c r="L39" s="3">
        <v>3.49406110306687</v>
      </c>
      <c r="M39" s="3">
        <v>3.2217104470807199</v>
      </c>
      <c r="N39" s="3">
        <v>3.0520287250851399</v>
      </c>
      <c r="O39" s="3">
        <v>1.52470188789031</v>
      </c>
      <c r="P39" s="3">
        <v>2.0094212159413898</v>
      </c>
      <c r="Q39" s="3">
        <v>4.6368940994620296</v>
      </c>
      <c r="R39" s="3">
        <v>3.0557690851983699</v>
      </c>
      <c r="S39" s="3">
        <v>4.1924075561903198</v>
      </c>
      <c r="T39" s="3">
        <v>4.4073529452330202</v>
      </c>
      <c r="U39" s="3">
        <v>2.02635798595169</v>
      </c>
      <c r="V39" s="3">
        <v>4.34702153978645</v>
      </c>
    </row>
    <row r="40" spans="1:22" x14ac:dyDescent="0.35">
      <c r="A40" s="2">
        <v>43077</v>
      </c>
      <c r="B40" s="3">
        <v>2.22419192857673</v>
      </c>
      <c r="C40" s="3">
        <v>3.29510065325693</v>
      </c>
      <c r="D40" s="3">
        <v>2.6467504240823101</v>
      </c>
      <c r="E40" s="3">
        <v>1.59397894398204</v>
      </c>
      <c r="F40" s="3">
        <v>2.7689905921803599</v>
      </c>
      <c r="G40" s="3">
        <v>2.88221252118145</v>
      </c>
      <c r="H40" s="3">
        <v>3.2928595227764701</v>
      </c>
      <c r="I40" s="3">
        <v>4.19090580025075</v>
      </c>
      <c r="J40" s="3">
        <v>2.5889354142883501</v>
      </c>
      <c r="K40" s="3">
        <v>2.03988860610318</v>
      </c>
      <c r="L40" s="3">
        <v>3.6407435354406701</v>
      </c>
      <c r="M40" s="3">
        <v>3.5046549126944901</v>
      </c>
      <c r="N40" s="3">
        <v>2.9264185415274402</v>
      </c>
      <c r="O40" s="3">
        <v>1.5284404489394601</v>
      </c>
      <c r="P40" s="3">
        <v>2.1006155671868298</v>
      </c>
      <c r="Q40" s="3">
        <v>4.7491126429386696</v>
      </c>
      <c r="R40" s="3">
        <v>3.0458267824753902</v>
      </c>
      <c r="S40" s="3">
        <v>4.2364499218746499</v>
      </c>
      <c r="T40" s="3">
        <v>4.5375808047815402</v>
      </c>
      <c r="U40" s="3">
        <v>1.78960734104634</v>
      </c>
      <c r="V40" s="3">
        <v>4.3404570785917898</v>
      </c>
    </row>
    <row r="41" spans="1:22" x14ac:dyDescent="0.35">
      <c r="A41" s="2">
        <v>43110</v>
      </c>
      <c r="B41" s="3">
        <v>2.1138657234984302</v>
      </c>
      <c r="C41" s="3">
        <v>2.8320744440721501</v>
      </c>
      <c r="D41" s="3">
        <v>2.5054015118264599</v>
      </c>
      <c r="E41" s="3">
        <v>1.51491150780414</v>
      </c>
      <c r="F41" s="3">
        <v>2.8179390444254699</v>
      </c>
      <c r="G41" s="3">
        <v>2.6291057375948599</v>
      </c>
      <c r="H41" s="3">
        <v>3.1017821363823401</v>
      </c>
      <c r="I41" s="3">
        <v>4.1831800627404396</v>
      </c>
      <c r="J41" s="3">
        <v>2.5182093985004199</v>
      </c>
      <c r="K41" s="3">
        <v>2.0291431943761302</v>
      </c>
      <c r="L41" s="3">
        <v>3.3904683983488599</v>
      </c>
      <c r="M41" s="3">
        <v>3.3600135003074598</v>
      </c>
      <c r="N41" s="3">
        <v>2.5539146647906801</v>
      </c>
      <c r="O41" s="3">
        <v>1.4865497997207</v>
      </c>
      <c r="P41" s="3">
        <v>1.9698830078746801</v>
      </c>
      <c r="Q41" s="3">
        <v>4.0588947228821999</v>
      </c>
      <c r="R41" s="3">
        <v>2.9176676416371201</v>
      </c>
      <c r="S41" s="3">
        <v>4.1406311190087299</v>
      </c>
      <c r="T41" s="3">
        <v>4.32804455711653</v>
      </c>
      <c r="U41" s="3">
        <v>1.54797806787328</v>
      </c>
      <c r="V41" s="3">
        <v>4.2983205657753496</v>
      </c>
    </row>
    <row r="42" spans="1:22" x14ac:dyDescent="0.35">
      <c r="A42" s="2">
        <v>43140</v>
      </c>
      <c r="B42" s="3">
        <v>2.3921685868578502</v>
      </c>
      <c r="C42" s="3">
        <v>3.00374928224833</v>
      </c>
      <c r="D42" s="3">
        <v>2.4926689908560098</v>
      </c>
      <c r="E42" s="3">
        <v>1.5696629412630201</v>
      </c>
      <c r="F42" s="3">
        <v>3.0025435588667202</v>
      </c>
      <c r="G42" s="3">
        <v>2.6919951925107899</v>
      </c>
      <c r="H42" s="3">
        <v>3.15738312242101</v>
      </c>
      <c r="I42" s="3">
        <v>4.3504816772321799</v>
      </c>
      <c r="J42" s="3">
        <v>2.6219513391610199</v>
      </c>
      <c r="K42" s="3">
        <v>2.2105701273183098</v>
      </c>
      <c r="L42" s="3">
        <v>3.4281676319496701</v>
      </c>
      <c r="M42" s="3">
        <v>3.5333758196254998</v>
      </c>
      <c r="N42" s="3">
        <v>2.7607267445700399</v>
      </c>
      <c r="O42" s="3">
        <v>1.5559103820335101</v>
      </c>
      <c r="P42" s="3">
        <v>2.2325955517108098</v>
      </c>
      <c r="Q42" s="3">
        <v>4.5133734083736501</v>
      </c>
      <c r="R42" s="3">
        <v>2.9818872744891798</v>
      </c>
      <c r="S42" s="3">
        <v>4.26109236178735</v>
      </c>
      <c r="T42" s="3">
        <v>4.3723210007319899</v>
      </c>
      <c r="U42" s="3">
        <v>1.87555609042543</v>
      </c>
      <c r="V42" s="3">
        <v>4.2735764225440196</v>
      </c>
    </row>
    <row r="43" spans="1:22" x14ac:dyDescent="0.35">
      <c r="A43" s="2">
        <v>43168</v>
      </c>
      <c r="B43" s="3">
        <v>2.2592817185000298</v>
      </c>
      <c r="C43" s="3">
        <v>2.9643747454441298</v>
      </c>
      <c r="D43" s="3">
        <v>2.5704694884505002</v>
      </c>
      <c r="E43" s="3">
        <v>1.5831548627576999</v>
      </c>
      <c r="F43" s="3">
        <v>3.0571731316666502</v>
      </c>
      <c r="G43" s="3">
        <v>2.3254177581703601</v>
      </c>
      <c r="H43" s="3">
        <v>3.21790732853548</v>
      </c>
      <c r="I43" s="3">
        <v>4.1910228666531104</v>
      </c>
      <c r="J43" s="3">
        <v>2.5486124154540399</v>
      </c>
      <c r="K43" s="3">
        <v>2.1813355433933399</v>
      </c>
      <c r="L43" s="3">
        <v>3.3686282750797001</v>
      </c>
      <c r="M43" s="3">
        <v>3.1668248763961202</v>
      </c>
      <c r="N43" s="3">
        <v>3.0847659341524101</v>
      </c>
      <c r="O43" s="3">
        <v>1.5967276546140801</v>
      </c>
      <c r="P43" s="3">
        <v>2.0923986523251501</v>
      </c>
      <c r="Q43" s="3">
        <v>5.1517308659063801</v>
      </c>
      <c r="R43" s="3">
        <v>3.0788472365730102</v>
      </c>
      <c r="S43" s="3">
        <v>4.2862068144575298</v>
      </c>
      <c r="T43" s="3">
        <v>4.4501797596764998</v>
      </c>
      <c r="U43" s="3">
        <v>1.6794162375958901</v>
      </c>
      <c r="V43" s="3">
        <v>4.1656717469676501</v>
      </c>
    </row>
    <row r="44" spans="1:22" x14ac:dyDescent="0.35">
      <c r="A44" s="2">
        <v>43200</v>
      </c>
      <c r="B44" s="3">
        <v>2.4116668479354502</v>
      </c>
      <c r="C44" s="3">
        <v>3.0428063834273198</v>
      </c>
      <c r="D44" s="3">
        <v>2.6387005645107</v>
      </c>
      <c r="E44" s="3">
        <v>1.70155608714357</v>
      </c>
      <c r="F44" s="3">
        <v>3.0919979253558298</v>
      </c>
      <c r="G44" s="3">
        <v>2.0904997386149802</v>
      </c>
      <c r="H44" s="3">
        <v>3.17998833692267</v>
      </c>
      <c r="I44" s="3">
        <v>4.1836195789290702</v>
      </c>
      <c r="J44" s="3">
        <v>2.6132910381469898</v>
      </c>
      <c r="K44" s="3">
        <v>2.2238388881832201</v>
      </c>
      <c r="L44" s="3">
        <v>3.55225549607602</v>
      </c>
      <c r="M44" s="3">
        <v>3.2962170424796802</v>
      </c>
      <c r="N44" s="3">
        <v>3.1136585889099901</v>
      </c>
      <c r="O44" s="3">
        <v>1.5825545042253899</v>
      </c>
      <c r="P44" s="3">
        <v>2.24800568702753</v>
      </c>
      <c r="Q44" s="3">
        <v>4.7348486371730898</v>
      </c>
      <c r="R44" s="3">
        <v>3.0812087507069701</v>
      </c>
      <c r="S44" s="3">
        <v>4.7446112478577103</v>
      </c>
      <c r="T44" s="3">
        <v>4.7656129709014801</v>
      </c>
      <c r="U44" s="3">
        <v>1.78628396613231</v>
      </c>
      <c r="V44" s="3">
        <v>3.8903015705139699</v>
      </c>
    </row>
    <row r="45" spans="1:22" x14ac:dyDescent="0.35">
      <c r="A45" s="2">
        <v>43230</v>
      </c>
      <c r="B45" s="3">
        <v>2.6416412165066601</v>
      </c>
      <c r="C45" s="3">
        <v>3.1709303924455199</v>
      </c>
      <c r="D45" s="3">
        <v>2.9829965311319602</v>
      </c>
      <c r="E45" s="3">
        <v>1.76589567379693</v>
      </c>
      <c r="F45" s="3">
        <v>2.9971706298798502</v>
      </c>
      <c r="G45" s="3">
        <v>1.8321864451384899</v>
      </c>
      <c r="H45" s="3">
        <v>3.2153336142371498</v>
      </c>
      <c r="I45" s="3">
        <v>4.37135478450669</v>
      </c>
      <c r="J45" s="3">
        <v>2.7837191242999202</v>
      </c>
      <c r="K45" s="3">
        <v>2.23286228224045</v>
      </c>
      <c r="L45" s="3">
        <v>3.67501655223472</v>
      </c>
      <c r="M45" s="3">
        <v>3.3139451380120399</v>
      </c>
      <c r="N45" s="3">
        <v>3.0836651402927902</v>
      </c>
      <c r="O45" s="3">
        <v>1.60728006575409</v>
      </c>
      <c r="P45" s="3">
        <v>2.2467336823977702</v>
      </c>
      <c r="Q45" s="3">
        <v>4.8901897085414099</v>
      </c>
      <c r="R45" s="3">
        <v>3.12060853401425</v>
      </c>
      <c r="S45" s="3">
        <v>5.1998373744925104</v>
      </c>
      <c r="T45" s="3">
        <v>5.0090541296745101</v>
      </c>
      <c r="U45" s="3">
        <v>1.9590201836327901</v>
      </c>
      <c r="V45" s="3">
        <v>3.9211420546265199</v>
      </c>
    </row>
    <row r="46" spans="1:22" x14ac:dyDescent="0.35">
      <c r="A46" s="2">
        <v>43259</v>
      </c>
      <c r="B46" s="3">
        <v>2.7374634191873302</v>
      </c>
      <c r="C46" s="3">
        <v>3.1891847596009799</v>
      </c>
      <c r="D46" s="3">
        <v>2.9801506523338102</v>
      </c>
      <c r="E46" s="3">
        <v>1.7270140156134</v>
      </c>
      <c r="F46" s="3">
        <v>3.1089641672981299</v>
      </c>
      <c r="G46" s="3">
        <v>1.8312339083636999</v>
      </c>
      <c r="H46" s="3">
        <v>3.2144929683315002</v>
      </c>
      <c r="I46" s="3">
        <v>4.25809655157415</v>
      </c>
      <c r="J46" s="3">
        <v>2.9307134803000898</v>
      </c>
      <c r="K46" s="3">
        <v>2.2170894995752799</v>
      </c>
      <c r="L46" s="3">
        <v>4.3174966364739404</v>
      </c>
      <c r="M46" s="3">
        <v>3.4373169737929699</v>
      </c>
      <c r="N46" s="3">
        <v>3.42322873787941</v>
      </c>
      <c r="O46" s="3">
        <v>1.59487260510635</v>
      </c>
      <c r="P46" s="3">
        <v>2.24640508084949</v>
      </c>
      <c r="Q46" s="3">
        <v>4.7311311500989097</v>
      </c>
      <c r="R46" s="3">
        <v>3.1930797942167901</v>
      </c>
      <c r="S46" s="3">
        <v>5.5837294661400003</v>
      </c>
      <c r="T46" s="3">
        <v>4.7468474010777104</v>
      </c>
      <c r="U46" s="3">
        <v>1.5537869710325201</v>
      </c>
      <c r="V46" s="3">
        <v>3.6958979510439001</v>
      </c>
    </row>
    <row r="47" spans="1:22" x14ac:dyDescent="0.35">
      <c r="A47" s="2">
        <v>43291</v>
      </c>
      <c r="B47" s="3">
        <v>3.0206587430909999</v>
      </c>
      <c r="C47" s="3">
        <v>3.39616748147498</v>
      </c>
      <c r="D47" s="3">
        <v>3.0797377627707898</v>
      </c>
      <c r="E47" s="3">
        <v>1.8335138016719601</v>
      </c>
      <c r="F47" s="3">
        <v>3.0553534021351201</v>
      </c>
      <c r="G47" s="3">
        <v>2.0597275554217802</v>
      </c>
      <c r="H47" s="3">
        <v>3.3965202477249701</v>
      </c>
      <c r="I47" s="3">
        <v>4.47090527341983</v>
      </c>
      <c r="J47" s="3">
        <v>2.6880251311047698</v>
      </c>
      <c r="K47" s="3">
        <v>2.3796737114286302</v>
      </c>
      <c r="L47" s="3">
        <v>4.3770679506094696</v>
      </c>
      <c r="M47" s="3">
        <v>3.5000071685697298</v>
      </c>
      <c r="N47" s="3">
        <v>3.4338419873302199</v>
      </c>
      <c r="O47" s="3">
        <v>1.5876939544683699</v>
      </c>
      <c r="P47" s="3">
        <v>2.4317146171115298</v>
      </c>
      <c r="Q47" s="3">
        <v>4.6788062676630204</v>
      </c>
      <c r="R47" s="3">
        <v>3.3695972249349802</v>
      </c>
      <c r="S47" s="3">
        <v>5.4296022849885999</v>
      </c>
      <c r="T47" s="3">
        <v>4.8651059821490703</v>
      </c>
      <c r="U47" s="3">
        <v>1.7471343725159401</v>
      </c>
      <c r="V47" s="3">
        <v>3.7753451018148998</v>
      </c>
    </row>
    <row r="48" spans="1:22" x14ac:dyDescent="0.35">
      <c r="A48" s="2">
        <v>43322</v>
      </c>
      <c r="B48" s="3">
        <v>3.1490919728617301</v>
      </c>
      <c r="C48" s="3">
        <v>3.3745029390329102</v>
      </c>
      <c r="D48" s="3">
        <v>2.9282889939824099</v>
      </c>
      <c r="E48" s="3">
        <v>1.72434186921537</v>
      </c>
      <c r="F48" s="3">
        <v>2.88703600203536</v>
      </c>
      <c r="G48" s="3">
        <v>4.3480985628079996</v>
      </c>
      <c r="H48" s="3">
        <v>3.1695744031344399</v>
      </c>
      <c r="I48" s="3">
        <v>4.3614759695777696</v>
      </c>
      <c r="J48" s="3">
        <v>2.7709246127600999</v>
      </c>
      <c r="K48" s="3">
        <v>2.4034086137453499</v>
      </c>
      <c r="L48" s="3">
        <v>4.3849728821670801</v>
      </c>
      <c r="M48" s="3">
        <v>3.60410594688457</v>
      </c>
      <c r="N48" s="3">
        <v>3.5360847767050001</v>
      </c>
      <c r="O48" s="3">
        <v>1.51125576802699</v>
      </c>
      <c r="P48" s="3">
        <v>2.4605045038202999</v>
      </c>
      <c r="Q48" s="3">
        <v>4.3391043730875198</v>
      </c>
      <c r="R48" s="3">
        <v>3.2509399310158398</v>
      </c>
      <c r="S48" s="3">
        <v>5.4999602943095098</v>
      </c>
      <c r="T48" s="3">
        <v>4.7087635939812502</v>
      </c>
      <c r="U48" s="3">
        <v>1.7264906777531299</v>
      </c>
      <c r="V48" s="3">
        <v>3.9417481129125398</v>
      </c>
    </row>
    <row r="49" spans="1:22" x14ac:dyDescent="0.35">
      <c r="A49" s="2">
        <v>43353</v>
      </c>
      <c r="B49" s="3">
        <v>3.2675724826960102</v>
      </c>
      <c r="C49" s="3">
        <v>3.5807127893366602</v>
      </c>
      <c r="D49" s="3">
        <v>3.0777292139016201</v>
      </c>
      <c r="E49" s="3">
        <v>1.7702560053901899</v>
      </c>
      <c r="F49" s="3">
        <v>2.9237992492956799</v>
      </c>
      <c r="G49" s="3">
        <v>2.5518805488155398</v>
      </c>
      <c r="H49" s="3">
        <v>3.1831697980737501</v>
      </c>
      <c r="I49" s="3">
        <v>4.4770799093883502</v>
      </c>
      <c r="J49" s="3">
        <v>2.83901923877078</v>
      </c>
      <c r="K49" s="3">
        <v>2.4191028653298199</v>
      </c>
      <c r="L49" s="3">
        <v>4.4657015815769903</v>
      </c>
      <c r="M49" s="3">
        <v>3.7183026426318202</v>
      </c>
      <c r="N49" s="3">
        <v>3.7150712974534099</v>
      </c>
      <c r="O49" s="3">
        <v>1.4932915664585</v>
      </c>
      <c r="P49" s="3">
        <v>2.7069789081542099</v>
      </c>
      <c r="Q49" s="3">
        <v>4.2075569644530404</v>
      </c>
      <c r="R49" s="3">
        <v>3.3221267881810999</v>
      </c>
      <c r="S49" s="3">
        <v>5.90261253398611</v>
      </c>
      <c r="T49" s="3">
        <v>4.6792921085994799</v>
      </c>
      <c r="U49" s="3">
        <v>1.67738454442388</v>
      </c>
      <c r="V49" s="3">
        <v>4.3282308034163401</v>
      </c>
    </row>
    <row r="50" spans="1:22" x14ac:dyDescent="0.35">
      <c r="A50" s="2">
        <v>43383</v>
      </c>
      <c r="B50" s="3">
        <v>3.2376817534435101</v>
      </c>
      <c r="C50" s="3">
        <v>3.0142025385395801</v>
      </c>
      <c r="D50" s="3">
        <v>3.05695062359547</v>
      </c>
      <c r="E50" s="3">
        <v>1.9305159759945301</v>
      </c>
      <c r="F50" s="3">
        <v>3.1113709045247702</v>
      </c>
      <c r="G50" s="3">
        <v>2.3523037551947299</v>
      </c>
      <c r="H50" s="3">
        <v>3.3626332097118099</v>
      </c>
      <c r="I50" s="3">
        <v>4.6615163019398604</v>
      </c>
      <c r="J50" s="3">
        <v>2.8768964410695799</v>
      </c>
      <c r="K50" s="3">
        <v>2.4832673900616</v>
      </c>
      <c r="L50" s="3">
        <v>4.10238843007801</v>
      </c>
      <c r="M50" s="3">
        <v>4.0785623661850003</v>
      </c>
      <c r="N50" s="3">
        <v>4.1963273734092601</v>
      </c>
      <c r="O50" s="3">
        <v>1.6650124841394001</v>
      </c>
      <c r="P50" s="3">
        <v>2.83818545060414</v>
      </c>
      <c r="Q50" s="3">
        <v>4.2905235122880603</v>
      </c>
      <c r="R50" s="3">
        <v>3.2662782531654502</v>
      </c>
      <c r="S50" s="3">
        <v>5.5282223676575599</v>
      </c>
      <c r="T50" s="3">
        <v>4.8256862996183498</v>
      </c>
      <c r="U50" s="3">
        <v>1.6738310340801299</v>
      </c>
      <c r="V50" s="3">
        <v>4.28818187914238</v>
      </c>
    </row>
    <row r="51" spans="1:22" x14ac:dyDescent="0.35">
      <c r="A51" s="2">
        <v>43413</v>
      </c>
      <c r="B51" s="3">
        <v>3.3121186436452899</v>
      </c>
      <c r="C51" s="3">
        <v>3.0459196287073702</v>
      </c>
      <c r="D51" s="3">
        <v>2.9953842748865398</v>
      </c>
      <c r="E51" s="3">
        <v>1.9282738711973699</v>
      </c>
      <c r="F51" s="3">
        <v>3.1359507999024001</v>
      </c>
      <c r="G51" s="3">
        <v>2.5598790905326001</v>
      </c>
      <c r="H51" s="3">
        <v>3.3685672832056901</v>
      </c>
      <c r="I51" s="3">
        <v>4.9217681174005801</v>
      </c>
      <c r="J51" s="3">
        <v>3.2912780221448701</v>
      </c>
      <c r="K51" s="3">
        <v>2.6040362491851901</v>
      </c>
      <c r="L51" s="3">
        <v>3.9672629068791299</v>
      </c>
      <c r="M51" s="3">
        <v>3.9639395574585001</v>
      </c>
      <c r="N51" s="3">
        <v>4.17210828750133</v>
      </c>
      <c r="O51" s="3">
        <v>1.6518296176170799</v>
      </c>
      <c r="P51" s="3">
        <v>2.83747540563692</v>
      </c>
      <c r="Q51" s="3">
        <v>4.3250429021286303</v>
      </c>
      <c r="R51" s="3">
        <v>3.3697055118161598</v>
      </c>
      <c r="S51" s="3">
        <v>5.3810517855928399</v>
      </c>
      <c r="T51" s="3">
        <v>4.7911622902549098</v>
      </c>
      <c r="U51" s="3">
        <v>1.8214516819823701</v>
      </c>
      <c r="V51" s="3">
        <v>4.3583117346021396</v>
      </c>
    </row>
    <row r="52" spans="1:22" x14ac:dyDescent="0.35">
      <c r="A52" s="2">
        <v>43444</v>
      </c>
      <c r="B52" s="3">
        <v>3.26377215863929</v>
      </c>
      <c r="C52" s="3">
        <v>3.1030600227220799</v>
      </c>
      <c r="D52" s="3">
        <v>2.8483322505867701</v>
      </c>
      <c r="E52" s="3">
        <v>1.8473946755812001</v>
      </c>
      <c r="F52" s="3">
        <v>3.1907764918413601</v>
      </c>
      <c r="G52" s="3">
        <v>2.3761316469059701</v>
      </c>
      <c r="H52" s="3">
        <v>3.3529233949003499</v>
      </c>
      <c r="I52" s="3">
        <v>5.0294206138549002</v>
      </c>
      <c r="J52" s="3">
        <v>3.4822164939355398</v>
      </c>
      <c r="K52" s="3">
        <v>2.6334314627287201</v>
      </c>
      <c r="L52" s="3">
        <v>4.0110100802156099</v>
      </c>
      <c r="M52" s="3">
        <v>4.03055553609118</v>
      </c>
      <c r="N52" s="3">
        <v>4.1812512649474396</v>
      </c>
      <c r="O52" s="3">
        <v>1.69991293335752</v>
      </c>
      <c r="P52" s="3">
        <v>2.7731587777839901</v>
      </c>
      <c r="Q52" s="3">
        <v>4.3513733113688504</v>
      </c>
      <c r="R52" s="3">
        <v>3.43269357959303</v>
      </c>
      <c r="S52" s="3">
        <v>5.55204138636668</v>
      </c>
      <c r="T52" s="3">
        <v>5.3321141979594699</v>
      </c>
      <c r="U52" s="3">
        <v>1.62907213416654</v>
      </c>
      <c r="V52" s="3">
        <v>4.2364351783730498</v>
      </c>
    </row>
    <row r="53" spans="1:22" x14ac:dyDescent="0.35">
      <c r="A53" s="2">
        <v>43475</v>
      </c>
      <c r="B53" s="3">
        <v>3.3301008985120499</v>
      </c>
      <c r="C53" s="3">
        <v>3.8830860762003301</v>
      </c>
      <c r="D53" s="3">
        <v>2.80191727145279</v>
      </c>
      <c r="E53" s="3">
        <v>1.6702792366661201</v>
      </c>
      <c r="F53" s="3">
        <v>3.0895001177885799</v>
      </c>
      <c r="G53" s="3">
        <v>2.31722863261282</v>
      </c>
      <c r="H53" s="3">
        <v>3.2983250120541001</v>
      </c>
      <c r="I53" s="3">
        <v>4.8694296857400801</v>
      </c>
      <c r="J53" s="3">
        <v>3.3020024550132501</v>
      </c>
      <c r="K53" s="3">
        <v>2.6425396474345901</v>
      </c>
      <c r="L53" s="3">
        <v>3.7908498560112398</v>
      </c>
      <c r="M53" s="3">
        <v>3.7511431487034099</v>
      </c>
      <c r="N53" s="3">
        <v>4.2102837939454298</v>
      </c>
      <c r="O53" s="3">
        <v>1.6546042158602801</v>
      </c>
      <c r="P53" s="3">
        <v>2.74965213320929</v>
      </c>
      <c r="Q53" s="3">
        <v>4.4030094639314798</v>
      </c>
      <c r="R53" s="3">
        <v>3.49852608617782</v>
      </c>
      <c r="S53" s="3">
        <v>5.2776477464202598</v>
      </c>
      <c r="T53" s="3">
        <v>5.1261138327941502</v>
      </c>
      <c r="U53" s="3">
        <v>1.8131718984688301</v>
      </c>
      <c r="V53" s="3">
        <v>4.0501586669544603</v>
      </c>
    </row>
    <row r="54" spans="1:22" x14ac:dyDescent="0.35">
      <c r="A54" s="2">
        <v>43504</v>
      </c>
      <c r="B54" s="3">
        <v>3.13494192366531</v>
      </c>
      <c r="C54" s="3">
        <v>3.7857630913199398</v>
      </c>
      <c r="D54" s="3">
        <v>2.7827492995721901</v>
      </c>
      <c r="E54" s="3">
        <v>1.65869334740042</v>
      </c>
      <c r="F54" s="3">
        <v>3.0218859191224401</v>
      </c>
      <c r="G54" s="3">
        <v>2.0849110731404701</v>
      </c>
      <c r="H54" s="3">
        <v>3.2698188877454202</v>
      </c>
      <c r="I54" s="3">
        <v>4.6304532136135199</v>
      </c>
      <c r="J54" s="3">
        <v>3.3136070715266901</v>
      </c>
      <c r="K54" s="3">
        <v>2.4901862839026898</v>
      </c>
      <c r="L54" s="3">
        <v>3.5094549871074201</v>
      </c>
      <c r="M54" s="3">
        <v>3.7964149303186399</v>
      </c>
      <c r="N54" s="3">
        <v>4.3704739611125296</v>
      </c>
      <c r="O54" s="3">
        <v>1.62799527258746</v>
      </c>
      <c r="P54" s="3">
        <v>2.5737207693870201</v>
      </c>
      <c r="Q54" s="3">
        <v>4.3971972576631098</v>
      </c>
      <c r="R54" s="3">
        <v>3.3096059637492199</v>
      </c>
      <c r="S54" s="3">
        <v>4.5558957302144396</v>
      </c>
      <c r="T54" s="3">
        <v>5.1608528867319903</v>
      </c>
      <c r="U54" s="3">
        <v>1.77513065436039</v>
      </c>
      <c r="V54" s="3">
        <v>3.8975557681498798</v>
      </c>
    </row>
    <row r="55" spans="1:22" x14ac:dyDescent="0.35">
      <c r="A55" s="2">
        <v>43532</v>
      </c>
      <c r="B55" s="3">
        <v>2.8633424070553302</v>
      </c>
      <c r="C55" s="3">
        <v>3.91275615816234</v>
      </c>
      <c r="D55" s="3">
        <v>2.8626777323853201</v>
      </c>
      <c r="E55" s="3">
        <v>1.7480994973891699</v>
      </c>
      <c r="F55" s="3">
        <v>3.0766151053535502</v>
      </c>
      <c r="G55" s="3">
        <v>2.2949500069399602</v>
      </c>
      <c r="H55" s="3">
        <v>3.3131032646462999</v>
      </c>
      <c r="I55" s="3">
        <v>4.5329306613282601</v>
      </c>
      <c r="J55" s="3">
        <v>3.50156037134182</v>
      </c>
      <c r="K55" s="3">
        <v>2.5447188591278298</v>
      </c>
      <c r="L55" s="3">
        <v>3.54335673715704</v>
      </c>
      <c r="M55" s="3">
        <v>3.96165282577594</v>
      </c>
      <c r="N55" s="3">
        <v>3.9270802785514198</v>
      </c>
      <c r="O55" s="3">
        <v>1.6298308208018999</v>
      </c>
      <c r="P55" s="3">
        <v>2.5078501030322502</v>
      </c>
      <c r="Q55" s="3">
        <v>4.7059070167465196</v>
      </c>
      <c r="R55" s="3">
        <v>3.3146508913698001</v>
      </c>
      <c r="S55" s="3">
        <v>4.4764819182959696</v>
      </c>
      <c r="T55" s="3">
        <v>5.3167213369988504</v>
      </c>
      <c r="U55" s="3">
        <v>1.5905081877935101</v>
      </c>
      <c r="V55" s="3">
        <v>3.9205345837264098</v>
      </c>
    </row>
    <row r="56" spans="1:22" x14ac:dyDescent="0.35">
      <c r="A56" s="2">
        <v>43565</v>
      </c>
      <c r="B56" s="3">
        <v>2.6058826629909899</v>
      </c>
      <c r="C56" s="3">
        <v>4.0397695361455597</v>
      </c>
      <c r="D56" s="3">
        <v>2.7867273641031298</v>
      </c>
      <c r="E56" s="3">
        <v>1.7073805214459301</v>
      </c>
      <c r="F56" s="3">
        <v>3.0287252610995998</v>
      </c>
      <c r="G56" s="3">
        <v>2.2077448647432898</v>
      </c>
      <c r="H56" s="3">
        <v>3.3847358216627899</v>
      </c>
      <c r="I56" s="3">
        <v>4.1832333072003696</v>
      </c>
      <c r="J56" s="3">
        <v>3.2983073170052202</v>
      </c>
      <c r="K56" s="3">
        <v>2.4401761546752199</v>
      </c>
      <c r="L56" s="3">
        <v>3.3760353713083102</v>
      </c>
      <c r="M56" s="3">
        <v>3.6888348871024901</v>
      </c>
      <c r="N56" s="3">
        <v>3.5556328235765999</v>
      </c>
      <c r="O56" s="3">
        <v>1.5789672885336901</v>
      </c>
      <c r="P56" s="3">
        <v>2.3167724677233599</v>
      </c>
      <c r="Q56" s="3">
        <v>4.3484061894293804</v>
      </c>
      <c r="R56" s="3">
        <v>3.2683813812385698</v>
      </c>
      <c r="S56" s="3">
        <v>4.9835360776961704</v>
      </c>
      <c r="T56" s="3">
        <v>4.9646726568178003</v>
      </c>
      <c r="U56" s="3">
        <v>1.5967579955557401</v>
      </c>
      <c r="V56" s="3">
        <v>3.6992705187925701</v>
      </c>
    </row>
    <row r="57" spans="1:22" x14ac:dyDescent="0.35">
      <c r="A57" s="2">
        <v>43595</v>
      </c>
      <c r="B57" s="3">
        <v>2.8293862044837699</v>
      </c>
      <c r="C57" s="3">
        <v>4.0461442325310797</v>
      </c>
      <c r="D57" s="3">
        <v>2.9741385551085902</v>
      </c>
      <c r="E57" s="3">
        <v>1.8030457673428</v>
      </c>
      <c r="F57" s="3">
        <v>3.37815255783589</v>
      </c>
      <c r="G57" s="3">
        <v>2.5969627601386498</v>
      </c>
      <c r="H57" s="3">
        <v>3.4626868057903901</v>
      </c>
      <c r="I57" s="3">
        <v>4.3088827283497704</v>
      </c>
      <c r="J57" s="3">
        <v>3.4696846814593898</v>
      </c>
      <c r="K57" s="3">
        <v>2.5512151203509501</v>
      </c>
      <c r="L57" s="3">
        <v>3.4815378184307701</v>
      </c>
      <c r="M57" s="3">
        <v>3.8242021338622001</v>
      </c>
      <c r="N57" s="3">
        <v>3.79304901409802</v>
      </c>
      <c r="O57" s="3">
        <v>1.7134839579430201</v>
      </c>
      <c r="P57" s="3">
        <v>2.4746627851577099</v>
      </c>
      <c r="Q57" s="3">
        <v>4.3465766436633597</v>
      </c>
      <c r="R57" s="3">
        <v>3.2980474375135</v>
      </c>
      <c r="S57" s="3">
        <v>5.4523796319539102</v>
      </c>
      <c r="T57" s="3">
        <v>5.1429428225374298</v>
      </c>
      <c r="U57" s="3">
        <v>1.5241446516158099</v>
      </c>
      <c r="V57" s="3">
        <v>3.8060684155710098</v>
      </c>
    </row>
    <row r="58" spans="1:22" x14ac:dyDescent="0.35">
      <c r="A58" s="2">
        <v>43626</v>
      </c>
      <c r="B58" s="3">
        <v>2.8333364439198299</v>
      </c>
      <c r="C58" s="3">
        <v>4.4001710085569501</v>
      </c>
      <c r="D58" s="3">
        <v>2.8136424470927199</v>
      </c>
      <c r="E58" s="3">
        <v>1.7524401699643199</v>
      </c>
      <c r="F58" s="3">
        <v>3.2519787541046501</v>
      </c>
      <c r="G58" s="3">
        <v>2.69471550654902</v>
      </c>
      <c r="H58" s="3">
        <v>3.3167777218165102</v>
      </c>
      <c r="I58" s="3">
        <v>4.4572179628583202</v>
      </c>
      <c r="J58" s="3">
        <v>3.48360987955019</v>
      </c>
      <c r="K58" s="3">
        <v>2.53997395796836</v>
      </c>
      <c r="L58" s="3">
        <v>3.1831257100037602</v>
      </c>
      <c r="M58" s="3">
        <v>3.7503618365135498</v>
      </c>
      <c r="N58" s="3">
        <v>3.2952768389531499</v>
      </c>
      <c r="O58" s="3">
        <v>1.6614777612259</v>
      </c>
      <c r="P58" s="3">
        <v>2.5721931114256802</v>
      </c>
      <c r="Q58" s="3">
        <v>4.1340406564840597</v>
      </c>
      <c r="R58" s="3">
        <v>3.2311093896233301</v>
      </c>
      <c r="S58" s="3">
        <v>4.90620548812704</v>
      </c>
      <c r="T58" s="3">
        <v>5.1216778940631196</v>
      </c>
      <c r="U58" s="3">
        <v>1.58335261457573</v>
      </c>
      <c r="V58" s="3">
        <v>3.81673203868767</v>
      </c>
    </row>
    <row r="59" spans="1:22" x14ac:dyDescent="0.35">
      <c r="A59" s="2">
        <v>43656</v>
      </c>
      <c r="B59" s="3">
        <v>2.7121921591569298</v>
      </c>
      <c r="C59" s="3">
        <v>3.94054710126276</v>
      </c>
      <c r="D59" s="3">
        <v>2.7013997273049402</v>
      </c>
      <c r="E59" s="3">
        <v>1.72277772388575</v>
      </c>
      <c r="F59" s="3">
        <v>3.2824873122773801</v>
      </c>
      <c r="G59" s="3">
        <v>2.7269071779888998</v>
      </c>
      <c r="H59" s="3">
        <v>3.40837293774457</v>
      </c>
      <c r="I59" s="3">
        <v>4.31215706420811</v>
      </c>
      <c r="J59" s="3">
        <v>3.5913440245822899</v>
      </c>
      <c r="K59" s="3">
        <v>2.5658677277732198</v>
      </c>
      <c r="L59" s="3">
        <v>3.0323561012443898</v>
      </c>
      <c r="M59" s="3">
        <v>3.8200283363058398</v>
      </c>
      <c r="N59" s="3">
        <v>3.3745595925006202</v>
      </c>
      <c r="O59" s="3">
        <v>1.7546344691270801</v>
      </c>
      <c r="P59" s="3">
        <v>2.50984410879791</v>
      </c>
      <c r="Q59" s="3">
        <v>4.1440538120313599</v>
      </c>
      <c r="R59" s="3">
        <v>3.0953646407126501</v>
      </c>
      <c r="S59" s="3">
        <v>4.52995336155261</v>
      </c>
      <c r="T59" s="3">
        <v>5.11054526539231</v>
      </c>
      <c r="U59" s="3">
        <v>1.7624907422135001</v>
      </c>
      <c r="V59" s="3">
        <v>3.8654636409034602</v>
      </c>
    </row>
    <row r="60" spans="1:22" x14ac:dyDescent="0.35">
      <c r="A60" s="2">
        <v>43686</v>
      </c>
      <c r="B60" s="3">
        <v>2.8529098115761502</v>
      </c>
      <c r="C60" s="3">
        <v>4.2302516527321297</v>
      </c>
      <c r="D60" s="3">
        <v>2.8076475407247599</v>
      </c>
      <c r="E60" s="3">
        <v>1.81607441719586</v>
      </c>
      <c r="F60" s="3">
        <v>3.6512728603053799</v>
      </c>
      <c r="G60" s="3">
        <v>2.9723936964309798</v>
      </c>
      <c r="H60" s="3">
        <v>3.4938695812122602</v>
      </c>
      <c r="I60" s="3">
        <v>4.4513112541757103</v>
      </c>
      <c r="J60" s="3">
        <v>3.8311634858086201</v>
      </c>
      <c r="K60" s="3">
        <v>2.7022913204829</v>
      </c>
      <c r="L60" s="3">
        <v>3.2125464051855102</v>
      </c>
      <c r="M60" s="3">
        <v>4.0140627691645303</v>
      </c>
      <c r="N60" s="3">
        <v>3.3435175679579001</v>
      </c>
      <c r="O60" s="3">
        <v>1.8080252467506499</v>
      </c>
      <c r="P60" s="3">
        <v>2.6422977171073501</v>
      </c>
      <c r="Q60" s="3">
        <v>4.38067564449734</v>
      </c>
      <c r="R60" s="3">
        <v>3.2797798992483802</v>
      </c>
      <c r="S60" s="3">
        <v>4.6891134510039496</v>
      </c>
      <c r="T60" s="3">
        <v>5.0459063403017499</v>
      </c>
      <c r="U60" s="3">
        <v>1.84893930234918</v>
      </c>
      <c r="V60" s="3">
        <v>3.9884354999466298</v>
      </c>
    </row>
    <row r="61" spans="1:22" x14ac:dyDescent="0.35">
      <c r="A61" s="2">
        <v>43718</v>
      </c>
      <c r="B61" s="3">
        <v>2.61661225680229</v>
      </c>
      <c r="C61" s="3">
        <v>4.1110420825292797</v>
      </c>
      <c r="D61" s="3">
        <v>2.7843713633175202</v>
      </c>
      <c r="E61" s="3">
        <v>1.84519165076047</v>
      </c>
      <c r="F61" s="3">
        <v>3.6345334879938802</v>
      </c>
      <c r="G61" s="3">
        <v>2.9324063024880802</v>
      </c>
      <c r="H61" s="3">
        <v>3.5077994927881999</v>
      </c>
      <c r="I61" s="3">
        <v>4.2782201400665203</v>
      </c>
      <c r="J61" s="3">
        <v>3.6328110531302999</v>
      </c>
      <c r="K61" s="3">
        <v>2.5527704759490799</v>
      </c>
      <c r="L61" s="3">
        <v>3.293165130927</v>
      </c>
      <c r="M61" s="3">
        <v>4.0421381442556399</v>
      </c>
      <c r="N61" s="3">
        <v>3.37629681341389</v>
      </c>
      <c r="O61" s="3">
        <v>1.8092094244005299</v>
      </c>
      <c r="P61" s="3">
        <v>2.4848845980760998</v>
      </c>
      <c r="Q61" s="3">
        <v>4.1627303697458702</v>
      </c>
      <c r="R61" s="3">
        <v>3.21163354272079</v>
      </c>
      <c r="S61" s="3">
        <v>4.93797209936222</v>
      </c>
      <c r="T61" s="3">
        <v>4.7856216704632697</v>
      </c>
      <c r="U61" s="3">
        <v>1.9334346044847801</v>
      </c>
      <c r="V61" s="3">
        <v>4.21617856338053</v>
      </c>
    </row>
    <row r="62" spans="1:22" x14ac:dyDescent="0.35">
      <c r="A62" s="2">
        <v>43748</v>
      </c>
      <c r="B62" s="3">
        <v>2.7004846584663702</v>
      </c>
      <c r="C62" s="3">
        <v>4.2594375479188704</v>
      </c>
      <c r="D62" s="3">
        <v>2.9038764273578099</v>
      </c>
      <c r="E62" s="3">
        <v>1.8825285920347401</v>
      </c>
      <c r="F62" s="3">
        <v>3.64527716157906</v>
      </c>
      <c r="G62" s="3">
        <v>3.1266973358532399</v>
      </c>
      <c r="H62" s="3">
        <v>3.6112483210819999</v>
      </c>
      <c r="I62" s="3">
        <v>4.2671187976051197</v>
      </c>
      <c r="J62" s="3">
        <v>3.5926899275144502</v>
      </c>
      <c r="K62" s="3">
        <v>2.5537856325643</v>
      </c>
      <c r="L62" s="3">
        <v>3.3145960866880602</v>
      </c>
      <c r="M62" s="3">
        <v>4.2854768111199597</v>
      </c>
      <c r="N62" s="3">
        <v>3.2859690839766</v>
      </c>
      <c r="O62" s="3">
        <v>1.8172880219102101</v>
      </c>
      <c r="P62" s="3">
        <v>2.56071430365891</v>
      </c>
      <c r="Q62" s="3">
        <v>4.1921132615000802</v>
      </c>
      <c r="R62" s="3">
        <v>3.3155323653716802</v>
      </c>
      <c r="S62" s="3">
        <v>5.2024130955813597</v>
      </c>
      <c r="T62" s="3">
        <v>4.8253483308115301</v>
      </c>
      <c r="U62" s="3">
        <v>1.6440313798391299</v>
      </c>
      <c r="V62" s="3">
        <v>4.36103793076302</v>
      </c>
    </row>
    <row r="63" spans="1:22" x14ac:dyDescent="0.35">
      <c r="A63" s="2">
        <v>43777</v>
      </c>
      <c r="B63" s="3">
        <v>2.7037305355271402</v>
      </c>
      <c r="C63" s="3">
        <v>4.7150810447079401</v>
      </c>
      <c r="D63" s="3">
        <v>2.78710123763046</v>
      </c>
      <c r="E63" s="3">
        <v>1.8175961640063301</v>
      </c>
      <c r="F63" s="3">
        <v>3.3402735491610702</v>
      </c>
      <c r="G63" s="3">
        <v>2.9269837786369099</v>
      </c>
      <c r="H63" s="3">
        <v>3.4741800896500199</v>
      </c>
      <c r="I63" s="3">
        <v>4.0313551945544299</v>
      </c>
      <c r="J63" s="3">
        <v>3.5217083461788401</v>
      </c>
      <c r="K63" s="3">
        <v>2.4081512789440702</v>
      </c>
      <c r="L63" s="3">
        <v>3.2848079841801101</v>
      </c>
      <c r="M63" s="3">
        <v>4.1631727782081702</v>
      </c>
      <c r="N63" s="3">
        <v>3.3128019229675201</v>
      </c>
      <c r="O63" s="3">
        <v>1.7560903171784701</v>
      </c>
      <c r="P63" s="3">
        <v>2.43155424499809</v>
      </c>
      <c r="Q63" s="3">
        <v>4.0962422489077097</v>
      </c>
      <c r="R63" s="3">
        <v>3.1870328410747399</v>
      </c>
      <c r="S63" s="3">
        <v>4.58913848540021</v>
      </c>
      <c r="T63" s="3">
        <v>4.7346867054598096</v>
      </c>
      <c r="U63" s="3">
        <v>1.66113847892731</v>
      </c>
      <c r="V63" s="3">
        <v>4.2286901783659099</v>
      </c>
    </row>
    <row r="64" spans="1:22" x14ac:dyDescent="0.35">
      <c r="A64" s="2">
        <v>43809</v>
      </c>
      <c r="B64" s="3">
        <v>2.53855282614269</v>
      </c>
      <c r="C64" s="3">
        <v>4.5980243067733904</v>
      </c>
      <c r="D64" s="3">
        <v>2.84376073786866</v>
      </c>
      <c r="E64" s="3">
        <v>1.8822094481104701</v>
      </c>
      <c r="F64" s="3">
        <v>3.6280560584231099</v>
      </c>
      <c r="G64" s="3">
        <v>2.86973507287277</v>
      </c>
      <c r="H64" s="3">
        <v>3.5375251558937602</v>
      </c>
      <c r="I64" s="3">
        <v>4.1117395799965699</v>
      </c>
      <c r="J64" s="3">
        <v>3.5876379559755698</v>
      </c>
      <c r="K64" s="3">
        <v>2.4307866969955199</v>
      </c>
      <c r="L64" s="3">
        <v>3.1928304760837198</v>
      </c>
      <c r="M64" s="3">
        <v>3.9237221941162499</v>
      </c>
      <c r="N64" s="3">
        <v>3.1093213528598498</v>
      </c>
      <c r="O64" s="3">
        <v>1.7037448339588099</v>
      </c>
      <c r="P64" s="3">
        <v>2.39159154028536</v>
      </c>
      <c r="Q64" s="3">
        <v>4.0673824574068096</v>
      </c>
      <c r="R64" s="3">
        <v>3.3185946844243799</v>
      </c>
      <c r="S64" s="3">
        <v>4.6265580834140403</v>
      </c>
      <c r="T64" s="3">
        <v>4.98587416377155</v>
      </c>
      <c r="U64" s="3">
        <v>1.62227193321047</v>
      </c>
      <c r="V64" s="3">
        <v>4.0989903251549098</v>
      </c>
    </row>
    <row r="65" spans="1:22" x14ac:dyDescent="0.35">
      <c r="A65" s="2">
        <v>43840</v>
      </c>
      <c r="B65" s="3">
        <v>2.4087772753732302</v>
      </c>
      <c r="C65" s="3">
        <v>4.0148592496949203</v>
      </c>
      <c r="D65" s="3">
        <v>2.7417166651884002</v>
      </c>
      <c r="E65" s="3">
        <v>1.8399569536454701</v>
      </c>
      <c r="F65" s="3">
        <v>3.5957442340345001</v>
      </c>
      <c r="G65" s="3">
        <v>2.6210284876285499</v>
      </c>
      <c r="H65" s="3">
        <v>3.47766936070474</v>
      </c>
      <c r="I65" s="3">
        <v>3.9881821032515199</v>
      </c>
      <c r="J65" s="3">
        <v>3.47571598866381</v>
      </c>
      <c r="K65" s="3">
        <v>2.32323057283504</v>
      </c>
      <c r="L65" s="3">
        <v>3.1436559470929102</v>
      </c>
      <c r="M65" s="3">
        <v>3.7384123162848302</v>
      </c>
      <c r="N65" s="3">
        <v>3.0392872780618898</v>
      </c>
      <c r="O65" s="3">
        <v>1.66205086001126</v>
      </c>
      <c r="P65" s="3">
        <v>2.20375355224113</v>
      </c>
      <c r="Q65" s="3">
        <v>4.02567416496764</v>
      </c>
      <c r="R65" s="3">
        <v>3.22977954895949</v>
      </c>
      <c r="S65" s="3">
        <v>4.4296810335385102</v>
      </c>
      <c r="T65" s="3">
        <v>5.3014696476554501</v>
      </c>
      <c r="U65" s="3">
        <v>1.4925722790695299</v>
      </c>
      <c r="V65" s="3">
        <v>4.0409710885047403</v>
      </c>
    </row>
    <row r="66" spans="1:22" x14ac:dyDescent="0.35">
      <c r="A66" s="2">
        <v>43871</v>
      </c>
      <c r="B66" s="3">
        <v>2.5298378704031301</v>
      </c>
      <c r="C66" s="3">
        <v>4.7803074128212</v>
      </c>
      <c r="D66" s="3">
        <v>2.8724856936039802</v>
      </c>
      <c r="E66" s="3">
        <v>1.87882928090532</v>
      </c>
      <c r="F66" s="3">
        <v>3.8326270332059398</v>
      </c>
      <c r="G66" s="3">
        <v>3.01077024624073</v>
      </c>
      <c r="H66" s="3">
        <v>3.6101854235953499</v>
      </c>
      <c r="I66" s="3">
        <v>4.1215118250047498</v>
      </c>
      <c r="J66" s="3">
        <v>3.50537370774083</v>
      </c>
      <c r="K66" s="3">
        <v>2.2783459788789</v>
      </c>
      <c r="L66" s="3">
        <v>3.1541156644943298</v>
      </c>
      <c r="M66" s="3">
        <v>3.7860186372376399</v>
      </c>
      <c r="N66" s="3">
        <v>2.87782222211196</v>
      </c>
      <c r="O66" s="3">
        <v>1.6662031835465601</v>
      </c>
      <c r="P66" s="3">
        <v>2.28655493826068</v>
      </c>
      <c r="Q66" s="3">
        <v>4.3167354954890698</v>
      </c>
      <c r="R66" s="3">
        <v>3.3269087957602599</v>
      </c>
      <c r="S66" s="3">
        <v>4.5049188299428096</v>
      </c>
      <c r="T66" s="3">
        <v>5.2929415012223702</v>
      </c>
      <c r="U66" s="3">
        <v>1.6685203925032099</v>
      </c>
      <c r="V66" s="3">
        <v>4.3462270272194798</v>
      </c>
    </row>
    <row r="67" spans="1:22" x14ac:dyDescent="0.35">
      <c r="A67" s="2">
        <v>43900</v>
      </c>
      <c r="B67" s="3">
        <v>2.4102568281378001</v>
      </c>
      <c r="C67" s="3">
        <v>5.2727006057753201</v>
      </c>
      <c r="D67" s="3">
        <v>3.45459210452896</v>
      </c>
      <c r="E67" s="3">
        <v>2.2286163388553999</v>
      </c>
      <c r="F67" s="3">
        <v>4.5072000871131896</v>
      </c>
      <c r="G67" s="3">
        <v>3.5175589656846999</v>
      </c>
      <c r="H67" s="3">
        <v>3.8837352835890302</v>
      </c>
      <c r="I67" s="3">
        <v>4.3293360905274003</v>
      </c>
      <c r="J67" s="3">
        <v>3.80508510737396</v>
      </c>
      <c r="K67" s="3">
        <v>2.5649431976928398</v>
      </c>
      <c r="L67" s="3">
        <v>3.9523597470986198</v>
      </c>
      <c r="M67" s="3">
        <v>4.5947088019562701</v>
      </c>
      <c r="N67" s="3">
        <v>4.5148145692942796</v>
      </c>
      <c r="O67" s="3">
        <v>1.93118860627458</v>
      </c>
      <c r="P67" s="3">
        <v>2.32807836465452</v>
      </c>
      <c r="Q67" s="3">
        <v>4.7792027574826097</v>
      </c>
      <c r="R67" s="3">
        <v>3.8508986817261901</v>
      </c>
      <c r="S67" s="3">
        <v>5.0904181454159199</v>
      </c>
      <c r="T67" s="3">
        <v>6.2549111648308404</v>
      </c>
      <c r="U67" s="3">
        <v>1.6795262300359799</v>
      </c>
      <c r="V67" s="3">
        <v>5.1861257240154996</v>
      </c>
    </row>
    <row r="68" spans="1:22" x14ac:dyDescent="0.35">
      <c r="A68" s="2">
        <v>43930</v>
      </c>
      <c r="B68" s="3">
        <v>2.5112207382118501</v>
      </c>
      <c r="C68" s="3">
        <v>4.91171263871904</v>
      </c>
      <c r="D68" s="3">
        <v>3.8380768431974599</v>
      </c>
      <c r="E68" s="3">
        <v>2.5784232746578399</v>
      </c>
      <c r="F68" s="3">
        <v>3.85495608645512</v>
      </c>
      <c r="G68" s="3">
        <v>4.3963936287562797</v>
      </c>
      <c r="H68" s="3">
        <v>3.93990402176073</v>
      </c>
      <c r="I68" s="3">
        <v>4.4922907562997096</v>
      </c>
      <c r="J68" s="3">
        <v>4.4595390551210699</v>
      </c>
      <c r="K68" s="3">
        <v>2.6863008516465201</v>
      </c>
      <c r="L68" s="3">
        <v>4.2011331558792504</v>
      </c>
      <c r="M68" s="3">
        <v>4.6314555214235096</v>
      </c>
      <c r="N68" s="3">
        <v>4.5927383637302501</v>
      </c>
      <c r="O68" s="3">
        <v>2.1348254690038599</v>
      </c>
      <c r="P68" s="3">
        <v>2.2723076665435902</v>
      </c>
      <c r="Q68" s="3">
        <v>4.2911824372707903</v>
      </c>
      <c r="R68" s="3">
        <v>3.6423098113750498</v>
      </c>
      <c r="S68" s="3">
        <v>5.3992250896646699</v>
      </c>
      <c r="T68" s="3">
        <v>6.1399679556117901</v>
      </c>
      <c r="U68" s="3">
        <v>1.91392716557175</v>
      </c>
      <c r="V68" s="3">
        <v>4.6945680763855604</v>
      </c>
    </row>
    <row r="69" spans="1:22" x14ac:dyDescent="0.35">
      <c r="A69" s="2">
        <v>43959</v>
      </c>
      <c r="B69" s="3">
        <v>2.31062428271622</v>
      </c>
      <c r="C69" s="3">
        <v>3.9824970156358099</v>
      </c>
      <c r="D69" s="3">
        <v>3.8065645565336999</v>
      </c>
      <c r="E69" s="3">
        <v>2.4153021452180798</v>
      </c>
      <c r="F69" s="3">
        <v>3.3433161061199601</v>
      </c>
      <c r="G69" s="3">
        <v>3.23198395580284</v>
      </c>
      <c r="H69" s="3">
        <v>3.712707160266</v>
      </c>
      <c r="I69" s="3">
        <v>4.1132532727061202</v>
      </c>
      <c r="J69" s="3">
        <v>3.5998957222969801</v>
      </c>
      <c r="K69" s="3">
        <v>2.46342869049833</v>
      </c>
      <c r="L69" s="3">
        <v>3.7048543687895998</v>
      </c>
      <c r="M69" s="3">
        <v>3.4992138321170398</v>
      </c>
      <c r="N69" s="3">
        <v>4.8690213321202398</v>
      </c>
      <c r="O69" s="3">
        <v>1.9647626488519101</v>
      </c>
      <c r="P69" s="3">
        <v>2.1787843254879302</v>
      </c>
      <c r="Q69" s="3">
        <v>4.2562943968051998</v>
      </c>
      <c r="R69" s="3">
        <v>3.3630823554420699</v>
      </c>
      <c r="S69" s="3">
        <v>4.1146836707235304</v>
      </c>
      <c r="T69" s="3">
        <v>4.8338058491318101</v>
      </c>
      <c r="U69" s="3">
        <v>1.64370059613555</v>
      </c>
      <c r="V69" s="3">
        <v>4.6811964765345504</v>
      </c>
    </row>
    <row r="70" spans="1:22" x14ac:dyDescent="0.35">
      <c r="A70" s="2">
        <v>43992</v>
      </c>
      <c r="B70" s="3">
        <v>2.2014047796537599</v>
      </c>
      <c r="C70" s="3">
        <v>3.21461473688194</v>
      </c>
      <c r="D70" s="3">
        <v>3.23793629454534</v>
      </c>
      <c r="E70" s="3">
        <v>2.0496322195849999</v>
      </c>
      <c r="F70" s="3">
        <v>2.3875217983744901</v>
      </c>
      <c r="G70" s="3">
        <v>3.0278255750362399</v>
      </c>
      <c r="H70" s="3">
        <v>2.9699127636284599</v>
      </c>
      <c r="I70" s="3">
        <v>3.8594244218935101</v>
      </c>
      <c r="J70" s="3">
        <v>3.0408673235750401</v>
      </c>
      <c r="K70" s="3">
        <v>2.19486254837016</v>
      </c>
      <c r="L70" s="3">
        <v>2.9130404766275899</v>
      </c>
      <c r="M70" s="3">
        <v>3.4218656649555199</v>
      </c>
      <c r="N70" s="3">
        <v>3.6845894021340699</v>
      </c>
      <c r="O70" s="3">
        <v>1.69866425132429</v>
      </c>
      <c r="P70" s="3">
        <v>1.9394734629739701</v>
      </c>
      <c r="Q70" s="3">
        <v>3.9736411834324699</v>
      </c>
      <c r="R70" s="3">
        <v>2.9334505770188</v>
      </c>
      <c r="S70" s="3">
        <v>3.2103036662630502</v>
      </c>
      <c r="T70" s="3">
        <v>4.2690908206252596</v>
      </c>
      <c r="U70" s="3">
        <v>1.3188701059777601</v>
      </c>
      <c r="V70" s="3">
        <v>3.98528109865532</v>
      </c>
    </row>
    <row r="71" spans="1:22" x14ac:dyDescent="0.35">
      <c r="A71" s="2">
        <v>44022</v>
      </c>
      <c r="B71" s="3">
        <v>1.8861364701554999</v>
      </c>
      <c r="C71" s="3">
        <v>3.3198800413271301</v>
      </c>
      <c r="D71" s="3">
        <v>2.8903528787958299</v>
      </c>
      <c r="E71" s="3">
        <v>2.0768247911287601</v>
      </c>
      <c r="F71" s="3">
        <v>2.4690398732382901</v>
      </c>
      <c r="G71" s="3">
        <v>3.1034788424976698</v>
      </c>
      <c r="H71" s="3">
        <v>2.9717277558981898</v>
      </c>
      <c r="I71" s="3">
        <v>3.75913158383515</v>
      </c>
      <c r="J71" s="3">
        <v>3.2101703904784702</v>
      </c>
      <c r="K71" s="3">
        <v>2.2522322585070902</v>
      </c>
      <c r="L71" s="3">
        <v>2.71644843494333</v>
      </c>
      <c r="M71" s="3">
        <v>3.4347004476532499</v>
      </c>
      <c r="N71" s="3">
        <v>3.7021062053408</v>
      </c>
      <c r="O71" s="3">
        <v>1.58140625368301</v>
      </c>
      <c r="P71" s="3">
        <v>1.7283162660168601</v>
      </c>
      <c r="Q71" s="3">
        <v>3.8350109952965301</v>
      </c>
      <c r="R71" s="3">
        <v>3.0235137859489098</v>
      </c>
      <c r="S71" s="3">
        <v>3.4639496802377701</v>
      </c>
      <c r="T71" s="3">
        <v>4.6403829246980299</v>
      </c>
      <c r="U71" s="3">
        <v>1.3872250969177899</v>
      </c>
      <c r="V71" s="3">
        <v>3.81993981261467</v>
      </c>
    </row>
    <row r="72" spans="1:22" x14ac:dyDescent="0.35">
      <c r="A72" s="2">
        <v>44053</v>
      </c>
      <c r="B72" s="3">
        <v>1.96732055615865</v>
      </c>
      <c r="C72" s="3">
        <v>3.4621036511674301</v>
      </c>
      <c r="D72" s="3">
        <v>2.8456645513087402</v>
      </c>
      <c r="E72" s="3">
        <v>2.1274451245903001</v>
      </c>
      <c r="F72" s="3">
        <v>2.6675128783807298</v>
      </c>
      <c r="G72" s="3">
        <v>2.6773656910755301</v>
      </c>
      <c r="H72" s="3">
        <v>3.1217354143931799</v>
      </c>
      <c r="I72" s="3">
        <v>3.5986767745861399</v>
      </c>
      <c r="J72" s="3">
        <v>3.01699933741597</v>
      </c>
      <c r="K72" s="3">
        <v>2.0619388930223002</v>
      </c>
      <c r="L72" s="3">
        <v>2.7640713253018601</v>
      </c>
      <c r="M72" s="3">
        <v>3.4533086253169598</v>
      </c>
      <c r="N72" s="3">
        <v>3.68113525170275</v>
      </c>
      <c r="O72" s="3">
        <v>1.51580662617507</v>
      </c>
      <c r="P72" s="3">
        <v>1.8179725987889701</v>
      </c>
      <c r="Q72" s="3">
        <v>3.69323274737663</v>
      </c>
      <c r="R72" s="3">
        <v>3.1013491435381302</v>
      </c>
      <c r="S72" s="3">
        <v>4.1428023536719003</v>
      </c>
      <c r="T72" s="3">
        <v>4.7183374651456598</v>
      </c>
      <c r="U72" s="3">
        <v>1.3671643789796699</v>
      </c>
      <c r="V72" s="3">
        <v>3.7394587341858601</v>
      </c>
    </row>
    <row r="73" spans="1:22" x14ac:dyDescent="0.35">
      <c r="A73" s="2">
        <v>44084</v>
      </c>
      <c r="B73" s="3">
        <v>1.97900174320085</v>
      </c>
      <c r="C73" s="3">
        <v>3.8700749271450401</v>
      </c>
      <c r="D73" s="3">
        <v>2.9906750873980399</v>
      </c>
      <c r="E73" s="3">
        <v>2.1043392141145998</v>
      </c>
      <c r="F73" s="3">
        <v>2.85047711951289</v>
      </c>
      <c r="G73" s="3">
        <v>2.59048787763501</v>
      </c>
      <c r="H73" s="3">
        <v>3.2669073482223201</v>
      </c>
      <c r="I73" s="3">
        <v>3.8412586237916599</v>
      </c>
      <c r="J73" s="3">
        <v>3.3075554740278399</v>
      </c>
      <c r="K73" s="3">
        <v>2.11731370531272</v>
      </c>
      <c r="L73" s="3">
        <v>3.2006672670795902</v>
      </c>
      <c r="M73" s="3">
        <v>3.3016421650375301</v>
      </c>
      <c r="N73" s="3">
        <v>3.7047066185423501</v>
      </c>
      <c r="O73" s="3">
        <v>1.53009283811813</v>
      </c>
      <c r="P73" s="3">
        <v>1.80871322462988</v>
      </c>
      <c r="Q73" s="3">
        <v>3.5772578330875202</v>
      </c>
      <c r="R73" s="3">
        <v>3.1466190017010498</v>
      </c>
      <c r="S73" s="3">
        <v>4.4732678163270601</v>
      </c>
      <c r="T73" s="3">
        <v>4.4047888363645704</v>
      </c>
      <c r="U73" s="3">
        <v>1.3049877394066001</v>
      </c>
      <c r="V73" s="3">
        <v>3.4503184672200802</v>
      </c>
    </row>
    <row r="74" spans="1:22" x14ac:dyDescent="0.35">
      <c r="A74" s="2">
        <v>44113</v>
      </c>
      <c r="B74" s="3">
        <v>1.95657106675593</v>
      </c>
      <c r="C74" s="3">
        <v>3.8154456070160898</v>
      </c>
      <c r="D74" s="3">
        <v>2.9071485020935399</v>
      </c>
      <c r="E74" s="3">
        <v>2.0084752035203701</v>
      </c>
      <c r="F74" s="3">
        <v>3.1610537823077398</v>
      </c>
      <c r="G74" s="3">
        <v>2.5893268292431699</v>
      </c>
      <c r="H74" s="3">
        <v>3.2451713565048799</v>
      </c>
      <c r="I74" s="3">
        <v>3.82378283695276</v>
      </c>
      <c r="J74" s="3">
        <v>3.2528825692921699</v>
      </c>
      <c r="K74" s="3">
        <v>2.0945710736969101</v>
      </c>
      <c r="L74" s="3">
        <v>3.4666868786271698</v>
      </c>
      <c r="M74" s="3">
        <v>3.5446923711135501</v>
      </c>
      <c r="N74" s="3">
        <v>3.5963693300770601</v>
      </c>
      <c r="O74" s="3">
        <v>1.48375005387212</v>
      </c>
      <c r="P74" s="3">
        <v>1.74235091926382</v>
      </c>
      <c r="Q74" s="3">
        <v>3.46472303666294</v>
      </c>
      <c r="R74" s="3">
        <v>3.1045039923421802</v>
      </c>
      <c r="S74" s="3">
        <v>4.4349727836802098</v>
      </c>
      <c r="T74" s="3">
        <v>4.4095247215030202</v>
      </c>
      <c r="U74" s="3">
        <v>1.3389868797142399</v>
      </c>
      <c r="V74" s="3">
        <v>3.3165876637691398</v>
      </c>
    </row>
    <row r="75" spans="1:22" x14ac:dyDescent="0.35">
      <c r="A75" s="2">
        <v>44145</v>
      </c>
      <c r="B75" s="3">
        <v>1.9075199006671499</v>
      </c>
      <c r="C75" s="3">
        <v>3.3979588789400199</v>
      </c>
      <c r="D75" s="3">
        <v>2.5761057720290301</v>
      </c>
      <c r="E75" s="3">
        <v>1.6335952921037999</v>
      </c>
      <c r="F75" s="3">
        <v>2.6653782939400399</v>
      </c>
      <c r="G75" s="3">
        <v>2.3317538106558802</v>
      </c>
      <c r="H75" s="3">
        <v>3.39153297322461</v>
      </c>
      <c r="I75" s="3">
        <v>3.86445504771826</v>
      </c>
      <c r="J75" s="3">
        <v>3.2708159678097402</v>
      </c>
      <c r="K75" s="3">
        <v>2.0780173311964698</v>
      </c>
      <c r="L75" s="3">
        <v>3.4115560530129598</v>
      </c>
      <c r="M75" s="3">
        <v>3.44200799643184</v>
      </c>
      <c r="N75" s="3">
        <v>3.8429885278958902</v>
      </c>
      <c r="O75" s="3">
        <v>1.4835482129961799</v>
      </c>
      <c r="P75" s="3">
        <v>1.70921976482726</v>
      </c>
      <c r="Q75" s="3">
        <v>3.6986453374296802</v>
      </c>
      <c r="R75" s="3">
        <v>2.9141518380854401</v>
      </c>
      <c r="S75" s="3">
        <v>4.1401287755070202</v>
      </c>
      <c r="T75" s="3">
        <v>4.7987903211637599</v>
      </c>
      <c r="U75" s="3">
        <v>1.30143560004861</v>
      </c>
      <c r="V75" s="3">
        <v>3.4024186061941202</v>
      </c>
    </row>
    <row r="76" spans="1:22" x14ac:dyDescent="0.35">
      <c r="A76" s="2">
        <v>44175</v>
      </c>
      <c r="B76" s="3">
        <v>1.87585079664503</v>
      </c>
      <c r="C76" s="3">
        <v>3.2176465615784702</v>
      </c>
      <c r="D76" s="3">
        <v>2.30964223420027</v>
      </c>
      <c r="E76" s="3">
        <v>1.6865265417564399</v>
      </c>
      <c r="F76" s="3">
        <v>2.6952326129151101</v>
      </c>
      <c r="G76" s="3">
        <v>1.7745075671285699</v>
      </c>
      <c r="H76" s="3">
        <v>3.4603987082269398</v>
      </c>
      <c r="I76" s="3">
        <v>3.68064968841164</v>
      </c>
      <c r="J76" s="3">
        <v>3.4057903202636499</v>
      </c>
      <c r="K76" s="3">
        <v>1.84234510217298</v>
      </c>
      <c r="L76" s="3">
        <v>3.2881781901179599</v>
      </c>
      <c r="M76" s="3">
        <v>3.88053367706032</v>
      </c>
      <c r="N76" s="3">
        <v>3.3457713462505398</v>
      </c>
      <c r="O76" s="3">
        <v>1.35835525120045</v>
      </c>
      <c r="P76" s="3">
        <v>1.6987006134129199</v>
      </c>
      <c r="Q76" s="3">
        <v>3.6209730696122802</v>
      </c>
      <c r="R76" s="3">
        <v>2.7116294525003299</v>
      </c>
      <c r="S76" s="3">
        <v>3.7849773187965901</v>
      </c>
      <c r="T76" s="3">
        <v>4.38638948097711</v>
      </c>
      <c r="U76" s="3">
        <v>1.1888710282811199</v>
      </c>
      <c r="V76" s="3">
        <v>3.48003061273704</v>
      </c>
    </row>
    <row r="77" spans="1:22" x14ac:dyDescent="0.35">
      <c r="A77" s="2">
        <v>44204</v>
      </c>
      <c r="B77" s="3">
        <v>1.6694820927662399</v>
      </c>
      <c r="C77" s="3">
        <v>3.0514075355402399</v>
      </c>
      <c r="D77" s="3">
        <v>2.2551241177491401</v>
      </c>
      <c r="E77" s="3">
        <v>1.68336503182946</v>
      </c>
      <c r="F77" s="3">
        <v>2.6407618437822502</v>
      </c>
      <c r="G77" s="3">
        <v>1.59718718495713</v>
      </c>
      <c r="H77" s="3">
        <v>3.63642701885626</v>
      </c>
      <c r="I77" s="3">
        <v>3.45831750590833</v>
      </c>
      <c r="J77" s="3">
        <v>3.3241748870704599</v>
      </c>
      <c r="K77" s="3">
        <v>1.62061978212682</v>
      </c>
      <c r="L77" s="3">
        <v>3.2325115998599601</v>
      </c>
      <c r="M77" s="3">
        <v>3.7708484333416998</v>
      </c>
      <c r="N77" s="3">
        <v>3.12442158601861</v>
      </c>
      <c r="O77" s="3">
        <v>1.29814671945447</v>
      </c>
      <c r="P77" s="3">
        <v>1.5852632640245501</v>
      </c>
      <c r="Q77" s="3">
        <v>3.7727887165778</v>
      </c>
      <c r="R77" s="3">
        <v>2.6520864477456398</v>
      </c>
      <c r="S77" s="3">
        <v>3.6586917996824102</v>
      </c>
      <c r="T77" s="3">
        <v>4.3804666111003101</v>
      </c>
      <c r="U77" s="3">
        <v>1.15007489306865</v>
      </c>
      <c r="V77" s="3">
        <v>3.5345411983833501</v>
      </c>
    </row>
    <row r="78" spans="1:22" x14ac:dyDescent="0.35">
      <c r="A78" s="2">
        <v>44237</v>
      </c>
      <c r="B78" s="3">
        <v>1.59245055873188</v>
      </c>
      <c r="C78" s="3">
        <v>3.12175992858166</v>
      </c>
      <c r="D78" s="3">
        <v>2.4264820795522901</v>
      </c>
      <c r="E78" s="3">
        <v>1.75058306253924</v>
      </c>
      <c r="F78" s="3">
        <v>2.87941321710553</v>
      </c>
      <c r="G78" s="3">
        <v>1.69272304068223</v>
      </c>
      <c r="H78" s="3">
        <v>3.7971588581523501</v>
      </c>
      <c r="I78" s="3">
        <v>3.5465596713030298</v>
      </c>
      <c r="J78" s="3">
        <v>3.49329527507291</v>
      </c>
      <c r="K78" s="3">
        <v>1.6424604843323101</v>
      </c>
      <c r="L78" s="3">
        <v>3.7511732107871101</v>
      </c>
      <c r="M78" s="3">
        <v>3.7515900921535499</v>
      </c>
      <c r="N78" s="3">
        <v>3.4088893186934799</v>
      </c>
      <c r="O78" s="3">
        <v>1.31830319662086</v>
      </c>
      <c r="P78" s="3">
        <v>1.32493846692051</v>
      </c>
      <c r="Q78" s="3">
        <v>3.7581739193410102</v>
      </c>
      <c r="R78" s="3">
        <v>2.7615700417063902</v>
      </c>
      <c r="S78" s="3">
        <v>4.1773345857323996</v>
      </c>
      <c r="T78" s="3">
        <v>4.4907262974678099</v>
      </c>
      <c r="U78" s="3">
        <v>1.2494608640448699</v>
      </c>
      <c r="V78" s="3">
        <v>3.5351200110104202</v>
      </c>
    </row>
    <row r="79" spans="1:22" x14ac:dyDescent="0.35">
      <c r="A79" s="2">
        <v>44265</v>
      </c>
      <c r="B79" s="3">
        <v>1.8975791464937899</v>
      </c>
      <c r="C79" s="3">
        <v>2.77488829688411</v>
      </c>
      <c r="D79" s="3">
        <v>2.53994366513554</v>
      </c>
      <c r="E79" s="3">
        <v>1.8058468298350701</v>
      </c>
      <c r="F79" s="3">
        <v>2.8960296837944899</v>
      </c>
      <c r="G79" s="3">
        <v>1.88421378957385</v>
      </c>
      <c r="H79" s="3">
        <v>3.9287766785829601</v>
      </c>
      <c r="I79" s="3">
        <v>3.6472352600020499</v>
      </c>
      <c r="J79" s="3">
        <v>3.3768761791453001</v>
      </c>
      <c r="K79" s="3">
        <v>1.72360672254366</v>
      </c>
      <c r="L79" s="3">
        <v>4.2176540134063902</v>
      </c>
      <c r="M79" s="3">
        <v>3.7812278498906098</v>
      </c>
      <c r="N79" s="3">
        <v>3.2460654837238798</v>
      </c>
      <c r="O79" s="3">
        <v>1.3276111973856499</v>
      </c>
      <c r="P79" s="3">
        <v>1.50432917454588</v>
      </c>
      <c r="Q79" s="3">
        <v>3.8771403700771301</v>
      </c>
      <c r="R79" s="3">
        <v>2.72507597645065</v>
      </c>
      <c r="S79" s="3">
        <v>4.4573401402396797</v>
      </c>
      <c r="T79" s="3">
        <v>4.6399454933645696</v>
      </c>
      <c r="U79" s="3">
        <v>1.25280953247216</v>
      </c>
      <c r="V79" s="3">
        <v>3.4132468169686199</v>
      </c>
    </row>
    <row r="80" spans="1:22" x14ac:dyDescent="0.35">
      <c r="A80" s="2">
        <v>44295</v>
      </c>
      <c r="B80" s="3">
        <v>1.91817215944393</v>
      </c>
      <c r="C80" s="3">
        <v>2.9379239950570502</v>
      </c>
      <c r="D80" s="3">
        <v>2.7001527089470301</v>
      </c>
      <c r="E80" s="3">
        <v>1.93162849728163</v>
      </c>
      <c r="F80" s="3">
        <v>2.8475423606583701</v>
      </c>
      <c r="G80" s="3">
        <v>2.0896826561250399</v>
      </c>
      <c r="H80" s="3">
        <v>3.96715334535177</v>
      </c>
      <c r="I80" s="3">
        <v>3.6922335393171299</v>
      </c>
      <c r="J80" s="3">
        <v>3.3555809181698</v>
      </c>
      <c r="K80" s="3">
        <v>1.68308722039529</v>
      </c>
      <c r="L80" s="3">
        <v>4.4484805225885697</v>
      </c>
      <c r="M80" s="3">
        <v>4.0637329121078203</v>
      </c>
      <c r="N80" s="3">
        <v>3.3715629056988901</v>
      </c>
      <c r="O80" s="3">
        <v>1.3643616361637401</v>
      </c>
      <c r="P80" s="3">
        <v>1.60279879115573</v>
      </c>
      <c r="Q80" s="3">
        <v>3.78506048884883</v>
      </c>
      <c r="R80" s="3">
        <v>2.8237172124524599</v>
      </c>
      <c r="S80" s="3">
        <v>5.25619107935327</v>
      </c>
      <c r="T80" s="3">
        <v>4.4440790331130202</v>
      </c>
      <c r="U80" s="3">
        <v>1.1548841673119601</v>
      </c>
      <c r="V80" s="3">
        <v>3.3123935431165901</v>
      </c>
    </row>
    <row r="81" spans="1:22" x14ac:dyDescent="0.35">
      <c r="A81" s="2">
        <v>44326</v>
      </c>
      <c r="B81" s="3">
        <v>1.9444791622513899</v>
      </c>
      <c r="C81" s="3">
        <v>3.5549720967936702</v>
      </c>
      <c r="D81" s="3">
        <v>2.7854475622604502</v>
      </c>
      <c r="E81" s="3">
        <v>2.0284541718625899</v>
      </c>
      <c r="F81" s="3">
        <v>2.8196594024327801</v>
      </c>
      <c r="G81" s="3">
        <v>2.2404384707474101</v>
      </c>
      <c r="H81" s="3">
        <v>4.0226488831768901</v>
      </c>
      <c r="I81" s="3">
        <v>3.8902496800264701</v>
      </c>
      <c r="J81" s="3">
        <v>3.1345088050007002</v>
      </c>
      <c r="K81" s="3">
        <v>1.6963223253981501</v>
      </c>
      <c r="L81" s="3">
        <v>4.75630650314893</v>
      </c>
      <c r="M81" s="3">
        <v>4.2957463309969501</v>
      </c>
      <c r="N81" s="3">
        <v>3.0809705678461698</v>
      </c>
      <c r="O81" s="3">
        <v>1.40167339538063</v>
      </c>
      <c r="P81" s="3">
        <v>1.7066352304126</v>
      </c>
      <c r="Q81" s="3">
        <v>3.7424817174766201</v>
      </c>
      <c r="R81" s="3">
        <v>2.8516846154920699</v>
      </c>
      <c r="S81" s="3">
        <v>5.2574477540617002</v>
      </c>
      <c r="T81" s="3">
        <v>4.4940474547829101</v>
      </c>
      <c r="U81" s="3">
        <v>1.18018221242621</v>
      </c>
      <c r="V81" s="3">
        <v>3.30633835944032</v>
      </c>
    </row>
    <row r="82" spans="1:22" x14ac:dyDescent="0.35">
      <c r="A82" s="2">
        <v>44357</v>
      </c>
      <c r="B82" s="3">
        <v>1.8158196115578999</v>
      </c>
      <c r="C82" s="3">
        <v>3.8585647244725099</v>
      </c>
      <c r="D82" s="3">
        <v>2.7888670284128598</v>
      </c>
      <c r="E82" s="3">
        <v>1.8754269637033401</v>
      </c>
      <c r="F82" s="3">
        <v>2.98557138482203</v>
      </c>
      <c r="G82" s="3">
        <v>2.6775211982359099</v>
      </c>
      <c r="H82" s="3">
        <v>4.1120949876926902</v>
      </c>
      <c r="I82" s="3">
        <v>4.0306396232538599</v>
      </c>
      <c r="J82" s="3">
        <v>3.1201319001633898</v>
      </c>
      <c r="K82" s="3">
        <v>1.6910058064459701</v>
      </c>
      <c r="L82" s="3">
        <v>4.6215501681878202</v>
      </c>
      <c r="M82" s="3">
        <v>4.10993317575267</v>
      </c>
      <c r="N82" s="3">
        <v>2.99000809036718</v>
      </c>
      <c r="O82" s="3">
        <v>1.38695684663575</v>
      </c>
      <c r="P82" s="3">
        <v>1.6252268241686401</v>
      </c>
      <c r="Q82" s="3">
        <v>3.84464572737261</v>
      </c>
      <c r="R82" s="3">
        <v>2.80456721053269</v>
      </c>
      <c r="S82" s="3">
        <v>5.5323890115994097</v>
      </c>
      <c r="T82" s="3">
        <v>4.33639944718057</v>
      </c>
      <c r="U82" s="3">
        <v>1.1862203001820899</v>
      </c>
      <c r="V82" s="3">
        <v>3.2245471849134799</v>
      </c>
    </row>
    <row r="83" spans="1:22" x14ac:dyDescent="0.35">
      <c r="A83" s="2">
        <v>44386</v>
      </c>
      <c r="B83" s="3">
        <v>1.85326421061234</v>
      </c>
      <c r="C83" s="3">
        <v>4.1137329198891903</v>
      </c>
      <c r="D83" s="3">
        <v>3.04124910866497</v>
      </c>
      <c r="E83" s="3">
        <v>1.9438180240662799</v>
      </c>
      <c r="F83" s="3">
        <v>3.0458427201133098</v>
      </c>
      <c r="G83" s="3">
        <v>2.8324301694981</v>
      </c>
      <c r="H83" s="3">
        <v>4.2478204074374197</v>
      </c>
      <c r="I83" s="3">
        <v>4.0562666078054299</v>
      </c>
      <c r="J83" s="3">
        <v>3.18601070302133</v>
      </c>
      <c r="K83" s="3">
        <v>1.71155615014392</v>
      </c>
      <c r="L83" s="3">
        <v>5.2234327288943501</v>
      </c>
      <c r="M83" s="3">
        <v>4.5034638817161801</v>
      </c>
      <c r="N83" s="3">
        <v>3.16530472892453</v>
      </c>
      <c r="O83" s="3">
        <v>1.40144961940541</v>
      </c>
      <c r="P83" s="3">
        <v>1.6975390391168701</v>
      </c>
      <c r="Q83" s="3">
        <v>3.7834555061699899</v>
      </c>
      <c r="R83" s="3">
        <v>2.9770143898863699</v>
      </c>
      <c r="S83" s="3">
        <v>5.7935441195764499</v>
      </c>
      <c r="T83" s="3">
        <v>4.66461148853874</v>
      </c>
      <c r="U83" s="3">
        <v>1.4033346425987101</v>
      </c>
      <c r="V83" s="3">
        <v>3.2614033430420601</v>
      </c>
    </row>
    <row r="84" spans="1:22" x14ac:dyDescent="0.35">
      <c r="A84" s="2">
        <v>44418</v>
      </c>
      <c r="B84" s="3">
        <v>1.92474021926003</v>
      </c>
      <c r="C84" s="3">
        <v>4.81240163287631</v>
      </c>
      <c r="D84" s="3">
        <v>3.12216635184192</v>
      </c>
      <c r="E84" s="3">
        <v>2.0042826636248599</v>
      </c>
      <c r="F84" s="3">
        <v>2.9394358455826</v>
      </c>
      <c r="G84" s="3">
        <v>3.4158910494197201</v>
      </c>
      <c r="H84" s="3">
        <v>4.2751901659471203</v>
      </c>
      <c r="I84" s="3">
        <v>4.2025040077239799</v>
      </c>
      <c r="J84" s="3">
        <v>3.2016614000933101</v>
      </c>
      <c r="K84" s="3">
        <v>1.75390606374684</v>
      </c>
      <c r="L84" s="3">
        <v>5.7339879963303604</v>
      </c>
      <c r="M84" s="3">
        <v>4.5025363987583802</v>
      </c>
      <c r="N84" s="3">
        <v>3.0445639838046299</v>
      </c>
      <c r="O84" s="3">
        <v>1.3638015106796999</v>
      </c>
      <c r="P84" s="3">
        <v>1.82085129553113</v>
      </c>
      <c r="Q84" s="3">
        <v>3.9159851935577201</v>
      </c>
      <c r="R84" s="3">
        <v>3.0093213307867099</v>
      </c>
      <c r="S84" s="3">
        <v>6.1020478932149098</v>
      </c>
      <c r="T84" s="3">
        <v>4.55959284496174</v>
      </c>
      <c r="U84" s="3">
        <v>1.3511245184624701</v>
      </c>
      <c r="V84" s="3">
        <v>3.1176823018511901</v>
      </c>
    </row>
    <row r="85" spans="1:22" x14ac:dyDescent="0.35">
      <c r="A85" s="2">
        <v>44449</v>
      </c>
      <c r="B85" s="3">
        <v>1.9303110792553599</v>
      </c>
      <c r="C85" s="3">
        <v>4.5687743708026396</v>
      </c>
      <c r="D85" s="3">
        <v>3.0813649045992002</v>
      </c>
      <c r="E85" s="3">
        <v>1.8558508779406</v>
      </c>
      <c r="F85" s="3">
        <v>2.9396427530126399</v>
      </c>
      <c r="G85" s="3">
        <v>3.5732382567148999</v>
      </c>
      <c r="H85" s="3">
        <v>4.0541693394167204</v>
      </c>
      <c r="I85" s="3">
        <v>4.1902618741491402</v>
      </c>
      <c r="J85" s="3">
        <v>3.1641418853907899</v>
      </c>
      <c r="K85" s="3">
        <v>1.84362901047737</v>
      </c>
      <c r="L85" s="3">
        <v>6.3291709689965003</v>
      </c>
      <c r="M85" s="3">
        <v>5.1421350872035996</v>
      </c>
      <c r="N85" s="3">
        <v>3.0203375323127202</v>
      </c>
      <c r="O85" s="3">
        <v>1.28354337029819</v>
      </c>
      <c r="P85" s="3">
        <v>1.84170789376832</v>
      </c>
      <c r="Q85" s="3">
        <v>4.0831455955510103</v>
      </c>
      <c r="R85" s="3">
        <v>2.8241019723593199</v>
      </c>
      <c r="S85" s="3">
        <v>6.0465602012227704</v>
      </c>
      <c r="T85" s="3">
        <v>4.2323665604355698</v>
      </c>
      <c r="U85" s="3">
        <v>1.39307259975632</v>
      </c>
      <c r="V85" s="3">
        <v>3.0665347808854801</v>
      </c>
    </row>
    <row r="86" spans="1:22" x14ac:dyDescent="0.35">
      <c r="A86" s="2">
        <v>44477</v>
      </c>
      <c r="B86" s="3">
        <v>1.98286648935988</v>
      </c>
      <c r="C86" s="3">
        <v>4.9915654621769399</v>
      </c>
      <c r="D86" s="3">
        <v>2.9424252664017301</v>
      </c>
      <c r="E86" s="3">
        <v>1.8844083545021599</v>
      </c>
      <c r="F86" s="3">
        <v>3.0258097804949999</v>
      </c>
      <c r="G86" s="3">
        <v>3.5440586597779902</v>
      </c>
      <c r="H86" s="3">
        <v>3.9817667442748901</v>
      </c>
      <c r="I86" s="3">
        <v>4.4664186196074596</v>
      </c>
      <c r="J86" s="3">
        <v>3.35644721921597</v>
      </c>
      <c r="K86" s="3">
        <v>1.9629754802222099</v>
      </c>
      <c r="L86" s="3">
        <v>6.4865207981337596</v>
      </c>
      <c r="M86" s="3">
        <v>4.7045921914262596</v>
      </c>
      <c r="N86" s="3">
        <v>3.0358502775537</v>
      </c>
      <c r="O86" s="3">
        <v>1.27958245294998</v>
      </c>
      <c r="P86" s="3">
        <v>1.9380848213720001</v>
      </c>
      <c r="Q86" s="3">
        <v>3.8583296227176902</v>
      </c>
      <c r="R86" s="3">
        <v>2.8164707459320799</v>
      </c>
      <c r="S86" s="3">
        <v>6.1608673915497798</v>
      </c>
      <c r="T86" s="3">
        <v>4.2067574890020696</v>
      </c>
      <c r="U86" s="3">
        <v>1.43147515404882</v>
      </c>
      <c r="V86" s="3">
        <v>3.0148293044467098</v>
      </c>
    </row>
    <row r="87" spans="1:22" x14ac:dyDescent="0.35">
      <c r="A87" s="2">
        <v>44510</v>
      </c>
      <c r="B87" s="3">
        <v>2.0103930093668501</v>
      </c>
      <c r="C87" s="3">
        <v>4.5569537572448304</v>
      </c>
      <c r="D87" s="3">
        <v>2.97093600659572</v>
      </c>
      <c r="E87" s="3">
        <v>1.7654686667874899</v>
      </c>
      <c r="F87" s="3">
        <v>3.0681903494984399</v>
      </c>
      <c r="G87" s="3">
        <v>3.6952435742268399</v>
      </c>
      <c r="H87" s="3">
        <v>3.9966773030213698</v>
      </c>
      <c r="I87" s="3">
        <v>4.2911853829185604</v>
      </c>
      <c r="J87" s="3">
        <v>3.4854699467652601</v>
      </c>
      <c r="K87" s="3">
        <v>2.0042805440381599</v>
      </c>
      <c r="L87" s="3">
        <v>7.4954118507722596</v>
      </c>
      <c r="M87" s="3">
        <v>4.5834799072949597</v>
      </c>
      <c r="N87" s="3">
        <v>2.98496850019245</v>
      </c>
      <c r="O87" s="3">
        <v>1.3241651642729</v>
      </c>
      <c r="P87" s="3">
        <v>1.9789581903114499</v>
      </c>
      <c r="Q87" s="3">
        <v>3.7587277638437002</v>
      </c>
      <c r="R87" s="3">
        <v>2.8176711967164398</v>
      </c>
      <c r="S87" s="3">
        <v>5.53042553740974</v>
      </c>
      <c r="T87" s="3">
        <v>3.8727948216857802</v>
      </c>
      <c r="U87" s="3">
        <v>1.3211358042218</v>
      </c>
      <c r="V87" s="3">
        <v>2.9824560425492099</v>
      </c>
    </row>
    <row r="88" spans="1:22" x14ac:dyDescent="0.35">
      <c r="A88" s="2">
        <v>44540</v>
      </c>
      <c r="B88" s="3">
        <v>1.9218677687699901</v>
      </c>
      <c r="C88" s="3">
        <v>5.04858198767083</v>
      </c>
      <c r="D88" s="3">
        <v>3.1128483519505701</v>
      </c>
      <c r="E88" s="3">
        <v>1.7801707888921401</v>
      </c>
      <c r="F88" s="3">
        <v>3.39584851658811</v>
      </c>
      <c r="G88" s="3">
        <v>4.2118542884821402</v>
      </c>
      <c r="H88" s="3">
        <v>3.9327851788422699</v>
      </c>
      <c r="I88" s="3">
        <v>4.2325537829473996</v>
      </c>
      <c r="J88" s="3">
        <v>3.5096520623683398</v>
      </c>
      <c r="K88" s="3">
        <v>1.9254652467420099</v>
      </c>
      <c r="L88" s="3">
        <v>7.5339793758950098</v>
      </c>
      <c r="M88" s="3">
        <v>4.6844233853767996</v>
      </c>
      <c r="N88" s="3">
        <v>3.1775877891955102</v>
      </c>
      <c r="O88" s="3">
        <v>1.3494672225892701</v>
      </c>
      <c r="P88" s="3">
        <v>2.06549070091953</v>
      </c>
      <c r="Q88" s="3">
        <v>3.9642511958612801</v>
      </c>
      <c r="R88" s="3">
        <v>2.91109912841846</v>
      </c>
      <c r="S88" s="3">
        <v>4.67368165284197</v>
      </c>
      <c r="T88" s="3">
        <v>4.1419014263538996</v>
      </c>
      <c r="U88" s="3">
        <v>1.52290984071762</v>
      </c>
      <c r="V88" s="3">
        <v>3.29231933934572</v>
      </c>
    </row>
    <row r="89" spans="1:22" x14ac:dyDescent="0.35">
      <c r="A89" s="2">
        <v>44571</v>
      </c>
      <c r="B89" s="3">
        <v>2.0290593743239902</v>
      </c>
      <c r="C89" s="3">
        <v>5.1933506273809797</v>
      </c>
      <c r="D89" s="3">
        <v>3.15102952509642</v>
      </c>
      <c r="E89" s="3">
        <v>1.8124297007219401</v>
      </c>
      <c r="F89" s="3">
        <v>3.26351792712651</v>
      </c>
      <c r="G89" s="3">
        <v>3.9415210345952501</v>
      </c>
      <c r="H89" s="3">
        <v>3.7595708722142702</v>
      </c>
      <c r="I89" s="3">
        <v>4.1873381416289801</v>
      </c>
      <c r="J89" s="3">
        <v>3.4488190378772101</v>
      </c>
      <c r="K89" s="3">
        <v>1.9924639818184</v>
      </c>
      <c r="L89" s="3">
        <v>7.6709353224247296</v>
      </c>
      <c r="M89" s="3">
        <v>4.5337566222680401</v>
      </c>
      <c r="N89" s="3">
        <v>3.1852988511533802</v>
      </c>
      <c r="O89" s="3">
        <v>1.3303833247569099</v>
      </c>
      <c r="P89" s="3">
        <v>2.17012018522201</v>
      </c>
      <c r="Q89" s="3">
        <v>3.94007277760495</v>
      </c>
      <c r="R89" s="3">
        <v>2.85475792959727</v>
      </c>
      <c r="S89" s="3">
        <v>5.1323125071323696</v>
      </c>
      <c r="T89" s="3">
        <v>4.4165511340648198</v>
      </c>
      <c r="U89" s="3">
        <v>1.52464787733985</v>
      </c>
      <c r="V89" s="3">
        <v>3.1304550697576601</v>
      </c>
    </row>
    <row r="90" spans="1:22" x14ac:dyDescent="0.35">
      <c r="A90" s="2">
        <v>44602</v>
      </c>
      <c r="B90" s="3">
        <v>2.1887394386146299</v>
      </c>
      <c r="C90" s="3">
        <v>4.6822080625767297</v>
      </c>
      <c r="D90" s="3">
        <v>3.1078665029789199</v>
      </c>
      <c r="E90" s="3">
        <v>1.8088788236571101</v>
      </c>
      <c r="F90" s="3">
        <v>3.3187822675949601</v>
      </c>
      <c r="G90" s="3">
        <v>3.4178571431390701</v>
      </c>
      <c r="H90" s="3">
        <v>3.76344231312263</v>
      </c>
      <c r="I90" s="3">
        <v>4.2491621473846601</v>
      </c>
      <c r="J90" s="3">
        <v>3.6610275384279301</v>
      </c>
      <c r="K90" s="3">
        <v>2.1951797723876001</v>
      </c>
      <c r="L90" s="3">
        <v>6.8038693376266304</v>
      </c>
      <c r="M90" s="3">
        <v>4.2913562920050401</v>
      </c>
      <c r="N90" s="3">
        <v>2.88189193140578</v>
      </c>
      <c r="O90" s="3">
        <v>1.40674028395142</v>
      </c>
      <c r="P90" s="3">
        <v>2.1495500286272899</v>
      </c>
      <c r="Q90" s="3">
        <v>3.7792121337168001</v>
      </c>
      <c r="R90" s="3">
        <v>2.8369432425065102</v>
      </c>
      <c r="S90" s="3">
        <v>5.8179908012997901</v>
      </c>
      <c r="T90" s="3">
        <v>4.1240963475981296</v>
      </c>
      <c r="U90" s="3">
        <v>1.6754301573241901</v>
      </c>
      <c r="V90" s="3">
        <v>3.0571470587691998</v>
      </c>
    </row>
    <row r="91" spans="1:22" x14ac:dyDescent="0.35">
      <c r="A91" s="2">
        <v>44630</v>
      </c>
      <c r="B91" s="3">
        <v>2.3540366168468498</v>
      </c>
      <c r="C91" s="3">
        <v>4.88872933350802</v>
      </c>
      <c r="D91" s="3">
        <v>3.1424192336256902</v>
      </c>
      <c r="E91" s="3">
        <v>1.95068586356074</v>
      </c>
      <c r="F91" s="3">
        <v>3.7466647277047702</v>
      </c>
      <c r="G91" s="3">
        <v>3.3948169318077501</v>
      </c>
      <c r="H91" s="3">
        <v>3.82223999901775</v>
      </c>
      <c r="I91" s="3">
        <v>4.5071111334003504</v>
      </c>
      <c r="J91" s="3">
        <v>3.6181901449210301</v>
      </c>
      <c r="K91" s="3">
        <v>2.2593689784970099</v>
      </c>
      <c r="L91" s="3">
        <v>8.6434329475671206</v>
      </c>
      <c r="M91" s="3">
        <v>4.4345043536330904</v>
      </c>
      <c r="N91" s="3">
        <v>3.4648874691646498</v>
      </c>
      <c r="O91" s="3">
        <v>1.5159705940346799</v>
      </c>
      <c r="P91" s="3">
        <v>2.64599193983089</v>
      </c>
      <c r="Q91" s="3">
        <v>3.6752599208477599</v>
      </c>
      <c r="R91" s="3">
        <v>2.96519736341555</v>
      </c>
      <c r="S91" s="3">
        <v>6.1748910762550198</v>
      </c>
      <c r="T91" s="3">
        <v>3.6871291984202199</v>
      </c>
      <c r="U91" s="3">
        <v>1.82906048428199</v>
      </c>
      <c r="V91" s="3">
        <v>2.89241589104746</v>
      </c>
    </row>
    <row r="92" spans="1:22" x14ac:dyDescent="0.35">
      <c r="A92" s="2">
        <v>44659</v>
      </c>
      <c r="B92" s="3">
        <v>2.3983603055746898</v>
      </c>
      <c r="C92" s="3">
        <v>4.6710433081287901</v>
      </c>
      <c r="D92" s="3">
        <v>3.2761311703257698</v>
      </c>
      <c r="E92" s="3">
        <v>2.0567120521203099</v>
      </c>
      <c r="F92" s="3">
        <v>3.4894837327058301</v>
      </c>
      <c r="G92" s="3">
        <v>3.7634424728963598</v>
      </c>
      <c r="H92" s="3">
        <v>3.7664094030503801</v>
      </c>
      <c r="I92" s="3">
        <v>4.5761746918676804</v>
      </c>
      <c r="J92" s="3">
        <v>3.5250698010716901</v>
      </c>
      <c r="K92" s="3">
        <v>2.2627733311635199</v>
      </c>
      <c r="L92" s="3">
        <v>8.3378995001326697</v>
      </c>
      <c r="M92" s="3">
        <v>4.44773139353285</v>
      </c>
      <c r="N92" s="3">
        <v>3.2871694358823702</v>
      </c>
      <c r="O92" s="3">
        <v>1.4314270033360901</v>
      </c>
      <c r="P92" s="3">
        <v>2.5558377734997602</v>
      </c>
      <c r="Q92" s="3">
        <v>3.66637001152296</v>
      </c>
      <c r="R92" s="3">
        <v>2.9515284803950799</v>
      </c>
      <c r="S92" s="3">
        <v>5.46236209808891</v>
      </c>
      <c r="T92" s="3">
        <v>3.3911131681296398</v>
      </c>
      <c r="U92" s="3">
        <v>1.58299020899311</v>
      </c>
      <c r="V92" s="3">
        <v>2.8110439767784099</v>
      </c>
    </row>
    <row r="93" spans="1:22" x14ac:dyDescent="0.35">
      <c r="A93" s="2">
        <v>44691</v>
      </c>
      <c r="B93" s="3">
        <v>2.5336192351890099</v>
      </c>
      <c r="C93" s="3">
        <v>5.7929051470837596</v>
      </c>
      <c r="D93" s="3">
        <v>3.4830649972414598</v>
      </c>
      <c r="E93" s="3">
        <v>2.3048826226897399</v>
      </c>
      <c r="F93" s="3">
        <v>4.0471529896526004</v>
      </c>
      <c r="G93" s="3">
        <v>4.7334659558656602</v>
      </c>
      <c r="H93" s="3">
        <v>3.9437887697171101</v>
      </c>
      <c r="I93" s="3">
        <v>4.90142045739975</v>
      </c>
      <c r="J93" s="3">
        <v>3.93431982294593</v>
      </c>
      <c r="K93" s="3">
        <v>2.3791742512255198</v>
      </c>
      <c r="L93" s="3">
        <v>9.4990682792492809</v>
      </c>
      <c r="M93" s="3">
        <v>5.1119244710218696</v>
      </c>
      <c r="N93" s="3">
        <v>3.5813722163569901</v>
      </c>
      <c r="O93" s="3">
        <v>1.6468935487582801</v>
      </c>
      <c r="P93" s="3">
        <v>2.7547407096582699</v>
      </c>
      <c r="Q93" s="3">
        <v>3.8818623067722502</v>
      </c>
      <c r="R93" s="3">
        <v>3.0755246059569901</v>
      </c>
      <c r="S93" s="3">
        <v>5.4500866334154603</v>
      </c>
      <c r="T93" s="3">
        <v>3.7178875121904902</v>
      </c>
      <c r="U93" s="3">
        <v>1.76444976904063</v>
      </c>
      <c r="V93" s="3">
        <v>2.6993188490161302</v>
      </c>
    </row>
    <row r="94" spans="1:22" x14ac:dyDescent="0.35">
      <c r="A94" s="2">
        <v>44722</v>
      </c>
      <c r="B94" s="3">
        <v>2.3433366646407698</v>
      </c>
      <c r="C94" s="3">
        <v>6.51888676259777</v>
      </c>
      <c r="D94" s="3">
        <v>3.5147352855772902</v>
      </c>
      <c r="E94" s="3">
        <v>2.2481794024098201</v>
      </c>
      <c r="F94" s="3">
        <v>4.2641989279912096</v>
      </c>
      <c r="G94" s="3">
        <v>4.6954941198335396</v>
      </c>
      <c r="H94" s="3">
        <v>4.0757558864020096</v>
      </c>
      <c r="I94" s="3">
        <v>4.6998472786776198</v>
      </c>
      <c r="J94" s="3">
        <v>4.0957125634164502</v>
      </c>
      <c r="K94" s="3">
        <v>2.3835635192139302</v>
      </c>
      <c r="L94" s="3">
        <v>10.412787945386899</v>
      </c>
      <c r="M94" s="3">
        <v>5.1581377807316304</v>
      </c>
      <c r="N94" s="3">
        <v>3.9736254224124798</v>
      </c>
      <c r="O94" s="3">
        <v>1.63897817017324</v>
      </c>
      <c r="P94" s="3">
        <v>2.3814828878913801</v>
      </c>
      <c r="Q94" s="3">
        <v>4.2525868066131602</v>
      </c>
      <c r="R94" s="3">
        <v>3.05690528082713</v>
      </c>
      <c r="S94" s="3">
        <v>5.4716720462410704</v>
      </c>
      <c r="T94" s="3">
        <v>4.1018365560487497</v>
      </c>
      <c r="U94" s="3">
        <v>1.7806817544879601</v>
      </c>
      <c r="V94" s="3">
        <v>2.9612259973200801</v>
      </c>
    </row>
    <row r="95" spans="1:22" x14ac:dyDescent="0.35">
      <c r="A95" s="2">
        <v>44750</v>
      </c>
      <c r="B95" s="3">
        <v>2.29371539110209</v>
      </c>
      <c r="C95" s="3">
        <v>7.5753773875764603</v>
      </c>
      <c r="D95" s="3">
        <v>3.72887292895967</v>
      </c>
      <c r="E95" s="3">
        <v>2.4215109866519802</v>
      </c>
      <c r="F95" s="3">
        <v>3.96177897919967</v>
      </c>
      <c r="G95" s="3">
        <v>5.1933110668907698</v>
      </c>
      <c r="H95" s="3">
        <v>4.24905513864769</v>
      </c>
      <c r="I95" s="3">
        <v>5.3507883913930696</v>
      </c>
      <c r="J95" s="3">
        <v>4.1005462022122998</v>
      </c>
      <c r="K95" s="3">
        <v>2.6390153555668801</v>
      </c>
      <c r="L95" s="3">
        <v>11.234025835949801</v>
      </c>
      <c r="M95" s="3">
        <v>4.8112045803360299</v>
      </c>
      <c r="N95" s="3">
        <v>4.3427356505820898</v>
      </c>
      <c r="O95" s="3">
        <v>1.6459609242315201</v>
      </c>
      <c r="P95" s="3">
        <v>2.34747580269967</v>
      </c>
      <c r="Q95" s="3">
        <v>4.3662511133254203</v>
      </c>
      <c r="R95" s="3">
        <v>3.1756203251185098</v>
      </c>
      <c r="S95" s="3">
        <v>6.1302921861457298</v>
      </c>
      <c r="T95" s="3">
        <v>4.5244769465315198</v>
      </c>
      <c r="U95" s="3">
        <v>1.93422413683522</v>
      </c>
      <c r="V95" s="3">
        <v>3.3413113931236098</v>
      </c>
    </row>
    <row r="96" spans="1:22" x14ac:dyDescent="0.35">
      <c r="A96" s="2">
        <v>44783</v>
      </c>
      <c r="B96" s="3">
        <v>2.4163573332669399</v>
      </c>
      <c r="C96" s="3">
        <v>7.22264428476565</v>
      </c>
      <c r="D96" s="3">
        <v>3.6413352374167101</v>
      </c>
      <c r="E96" s="3">
        <v>2.3575420796885602</v>
      </c>
      <c r="F96" s="3">
        <v>4.2759268512378199</v>
      </c>
      <c r="G96" s="3">
        <v>4.9912437463663597</v>
      </c>
      <c r="H96" s="3">
        <v>4.0659240917650799</v>
      </c>
      <c r="I96" s="3">
        <v>5.0740496923806404</v>
      </c>
      <c r="J96" s="3">
        <v>4.0704861785301603</v>
      </c>
      <c r="K96" s="3">
        <v>2.5141828361598999</v>
      </c>
      <c r="L96" s="3">
        <v>10.4277052572436</v>
      </c>
      <c r="M96" s="3">
        <v>4.8954248829462204</v>
      </c>
      <c r="N96" s="3">
        <v>3.9768097800243298</v>
      </c>
      <c r="O96" s="3">
        <v>1.48182456888113</v>
      </c>
      <c r="P96" s="3">
        <v>2.6133705251546702</v>
      </c>
      <c r="Q96" s="3">
        <v>3.81391083527298</v>
      </c>
      <c r="R96" s="3">
        <v>3.1051565671308601</v>
      </c>
      <c r="S96" s="3">
        <v>5.4617528408460601</v>
      </c>
      <c r="T96" s="3">
        <v>4.0519512442184196</v>
      </c>
      <c r="U96" s="3">
        <v>1.88495185755553</v>
      </c>
      <c r="V96" s="3">
        <v>3.1319202421527099</v>
      </c>
    </row>
    <row r="97" spans="1:22" x14ac:dyDescent="0.35">
      <c r="A97" s="2">
        <v>44813</v>
      </c>
      <c r="B97" s="3">
        <v>2.4743824145451798</v>
      </c>
      <c r="C97" s="3">
        <v>7.2941934403428101</v>
      </c>
      <c r="D97" s="3">
        <v>3.5752025719987799</v>
      </c>
      <c r="E97" s="3">
        <v>2.3125961377097499</v>
      </c>
      <c r="F97" s="3">
        <v>4.5790729821125904</v>
      </c>
      <c r="G97" s="3">
        <v>4.92411724358747</v>
      </c>
      <c r="H97" s="3">
        <v>4.1097167623065101</v>
      </c>
      <c r="I97" s="3">
        <v>5.1036748816812398</v>
      </c>
      <c r="J97" s="3">
        <v>4.1328162241303597</v>
      </c>
      <c r="K97" s="3">
        <v>2.6524572290266999</v>
      </c>
      <c r="L97" s="3">
        <v>10.3003609450128</v>
      </c>
      <c r="M97" s="3">
        <v>5.1381702101679299</v>
      </c>
      <c r="N97" s="3">
        <v>4.0956575442567296</v>
      </c>
      <c r="O97" s="3">
        <v>1.4764920801839601</v>
      </c>
      <c r="P97" s="3">
        <v>2.5348410972411499</v>
      </c>
      <c r="Q97" s="3">
        <v>3.9872519987357098</v>
      </c>
      <c r="R97" s="3">
        <v>3.0498275329673699</v>
      </c>
      <c r="S97" s="3">
        <v>4.4371019402890504</v>
      </c>
      <c r="T97" s="3">
        <v>4.3086514668389002</v>
      </c>
      <c r="U97" s="3">
        <v>1.9721014369301899</v>
      </c>
      <c r="V97" s="3">
        <v>3.2979070634704102</v>
      </c>
    </row>
    <row r="98" spans="1:22" x14ac:dyDescent="0.35">
      <c r="A98" s="2">
        <v>44844</v>
      </c>
      <c r="B98" s="3">
        <v>2.7414913686407099</v>
      </c>
      <c r="C98" s="3">
        <v>7.25423038946085</v>
      </c>
      <c r="D98" s="3">
        <v>3.82506903758753</v>
      </c>
      <c r="E98" s="3">
        <v>2.7362072930080701</v>
      </c>
      <c r="F98" s="3">
        <v>5.3422447613378097</v>
      </c>
      <c r="G98" s="3">
        <v>5.0212249315178203</v>
      </c>
      <c r="H98" s="3">
        <v>4.3978507893060899</v>
      </c>
      <c r="I98" s="3">
        <v>5.2751520796009403</v>
      </c>
      <c r="J98" s="3">
        <v>4.2181856160673297</v>
      </c>
      <c r="K98" s="3">
        <v>2.77811934350717</v>
      </c>
      <c r="L98" s="3">
        <v>9.4766889865511708</v>
      </c>
      <c r="M98" s="3">
        <v>5.5263134017972497</v>
      </c>
      <c r="N98" s="3">
        <v>4.61754093353575</v>
      </c>
      <c r="O98" s="3">
        <v>1.55008774866271</v>
      </c>
      <c r="P98" s="3">
        <v>2.8529023612116098</v>
      </c>
      <c r="Q98" s="3">
        <v>3.9503611891224</v>
      </c>
      <c r="R98" s="3">
        <v>3.2106773460084401</v>
      </c>
      <c r="S98" s="3">
        <v>5.1074831253196997</v>
      </c>
      <c r="T98" s="3">
        <v>4.3762079721523</v>
      </c>
      <c r="U98" s="3">
        <v>2.4623296603439702</v>
      </c>
      <c r="V98" s="3">
        <v>3.4276125640512598</v>
      </c>
    </row>
    <row r="99" spans="1:22" x14ac:dyDescent="0.35">
      <c r="A99" s="2">
        <v>44875</v>
      </c>
      <c r="B99" s="3">
        <v>2.67104405970304</v>
      </c>
      <c r="C99" s="3">
        <v>6.9023075878444198</v>
      </c>
      <c r="D99" s="3">
        <v>3.9481216546636899</v>
      </c>
      <c r="E99" s="3">
        <v>2.5924943144240702</v>
      </c>
      <c r="F99" s="3">
        <v>4.2467179092218696</v>
      </c>
      <c r="G99" s="3">
        <v>3.9346592666495699</v>
      </c>
      <c r="H99" s="3">
        <v>4.2657110999276204</v>
      </c>
      <c r="I99" s="3">
        <v>4.88678455749859</v>
      </c>
      <c r="J99" s="3">
        <v>3.7060091441443102</v>
      </c>
      <c r="K99" s="3">
        <v>2.5422180263832099</v>
      </c>
      <c r="L99" s="3">
        <v>9.0670265349712498</v>
      </c>
      <c r="M99" s="3">
        <v>5.0012378507047304</v>
      </c>
      <c r="N99" s="3">
        <v>4.4363917376739002</v>
      </c>
      <c r="O99" s="3">
        <v>1.50849444508138</v>
      </c>
      <c r="P99" s="3">
        <v>2.9124357142805599</v>
      </c>
      <c r="Q99" s="3">
        <v>4.0032307271059997</v>
      </c>
      <c r="R99" s="3">
        <v>3.0635879064775402</v>
      </c>
      <c r="S99" s="3">
        <v>4.9404636596126403</v>
      </c>
      <c r="T99" s="3">
        <v>4.32314779991653</v>
      </c>
      <c r="U99" s="3">
        <v>2.7163794280520399</v>
      </c>
      <c r="V99" s="3">
        <v>3.4953211271837299</v>
      </c>
    </row>
    <row r="100" spans="1:22" x14ac:dyDescent="0.35">
      <c r="A100" s="2">
        <v>44904</v>
      </c>
      <c r="B100" s="3">
        <v>2.4716576176073599</v>
      </c>
      <c r="C100" s="3">
        <v>8.6288293357559898</v>
      </c>
      <c r="D100" s="3">
        <v>4.0771555371592996</v>
      </c>
      <c r="E100" s="3">
        <v>2.3726366358715798</v>
      </c>
      <c r="F100" s="3">
        <v>4.1502013916218798</v>
      </c>
      <c r="G100" s="3">
        <v>3.7667075896300002</v>
      </c>
      <c r="H100" s="3">
        <v>4.2026740291355402</v>
      </c>
      <c r="I100" s="3">
        <v>4.3787076279901704</v>
      </c>
      <c r="J100" s="3">
        <v>3.8696831097934901</v>
      </c>
      <c r="K100" s="3">
        <v>2.5171993515200302</v>
      </c>
      <c r="L100" s="3">
        <v>7.1696807517940098</v>
      </c>
      <c r="M100" s="3">
        <v>4.8592388498428596</v>
      </c>
      <c r="N100" s="3">
        <v>4.4271894109891798</v>
      </c>
      <c r="O100" s="3">
        <v>1.4488684175070099</v>
      </c>
      <c r="P100" s="3">
        <v>2.4314939884842701</v>
      </c>
      <c r="Q100" s="3">
        <v>4.4728731163823401</v>
      </c>
      <c r="R100" s="3">
        <v>3.0526803683347099</v>
      </c>
      <c r="S100" s="3">
        <v>4.9209959631822402</v>
      </c>
      <c r="T100" s="3">
        <v>4.5230279610569202</v>
      </c>
      <c r="U100" s="3">
        <v>2.55851017299275</v>
      </c>
      <c r="V100" s="3">
        <v>3.8265508851916299</v>
      </c>
    </row>
    <row r="101" spans="1:22" x14ac:dyDescent="0.35">
      <c r="A101" s="2">
        <v>44936</v>
      </c>
      <c r="B101" s="3">
        <v>2.4652752767149102</v>
      </c>
      <c r="C101" s="3">
        <v>8.1020544827675796</v>
      </c>
      <c r="D101" s="3">
        <v>4.25637666231352</v>
      </c>
      <c r="E101" s="3">
        <v>2.3005745349353202</v>
      </c>
      <c r="F101" s="3">
        <v>3.8918714992209402</v>
      </c>
      <c r="G101" s="3">
        <v>3.6904447335872401</v>
      </c>
      <c r="H101" s="3">
        <v>4.2122149369222601</v>
      </c>
      <c r="I101" s="3">
        <v>4.3079744942618596</v>
      </c>
      <c r="J101" s="3">
        <v>3.7083912374492098</v>
      </c>
      <c r="K101" s="3">
        <v>2.5423358756896399</v>
      </c>
      <c r="L101" s="3">
        <v>6.6532192772319299</v>
      </c>
      <c r="M101" s="3">
        <v>4.6126940360908302</v>
      </c>
      <c r="N101" s="3">
        <v>4.5171962301880999</v>
      </c>
      <c r="O101" s="3">
        <v>1.4979775994370701</v>
      </c>
      <c r="P101" s="3">
        <v>2.2553503201078899</v>
      </c>
      <c r="Q101" s="3">
        <v>4.5043076951055498</v>
      </c>
      <c r="R101" s="3">
        <v>2.9250116359895499</v>
      </c>
      <c r="S101" s="3">
        <v>4.5495192295081699</v>
      </c>
      <c r="T101" s="3">
        <v>4.7573735668837598</v>
      </c>
      <c r="U101" s="3">
        <v>2.66412391506368</v>
      </c>
      <c r="V101" s="3">
        <v>3.70262178998362</v>
      </c>
    </row>
    <row r="102" spans="1:22" x14ac:dyDescent="0.35">
      <c r="A102" s="2">
        <v>44967</v>
      </c>
      <c r="B102" s="3">
        <v>2.4087153870979598</v>
      </c>
      <c r="C102" s="3">
        <v>7.8099226540095801</v>
      </c>
      <c r="D102" s="3">
        <v>4.1256801656848801</v>
      </c>
      <c r="E102" s="3">
        <v>2.3084071148854899</v>
      </c>
      <c r="F102" s="3">
        <v>4.2440650899382497</v>
      </c>
      <c r="G102" s="3">
        <v>4.0934653907051199</v>
      </c>
      <c r="H102" s="3">
        <v>4.2733173662579</v>
      </c>
      <c r="I102" s="3">
        <v>4.0402869556857999</v>
      </c>
      <c r="J102" s="3">
        <v>3.6601961645810999</v>
      </c>
      <c r="K102" s="3">
        <v>2.44863400850749</v>
      </c>
      <c r="L102" s="3">
        <v>6.5992852498092596</v>
      </c>
      <c r="M102" s="3">
        <v>4.6749027109899099</v>
      </c>
      <c r="N102" s="3">
        <v>3.9977706028804501</v>
      </c>
      <c r="O102" s="3">
        <v>1.5387955358785701</v>
      </c>
      <c r="P102" s="3">
        <v>2.3050732009944301</v>
      </c>
      <c r="Q102" s="3">
        <v>4.7320417683595304</v>
      </c>
      <c r="R102" s="3">
        <v>3.0253827696179001</v>
      </c>
      <c r="S102" s="3">
        <v>5.7647563046883201</v>
      </c>
      <c r="T102" s="3">
        <v>4.6048046071539801</v>
      </c>
      <c r="U102" s="3">
        <v>2.49670054398702</v>
      </c>
      <c r="V102" s="3">
        <v>3.7561310273376698</v>
      </c>
    </row>
    <row r="103" spans="1:22" x14ac:dyDescent="0.35">
      <c r="A103" s="2">
        <v>44995</v>
      </c>
      <c r="B103" s="3">
        <v>2.5095806967324199</v>
      </c>
      <c r="C103" s="3">
        <v>8.1211959642841105</v>
      </c>
      <c r="D103" s="3">
        <v>4.3098915944818597</v>
      </c>
      <c r="E103" s="3">
        <v>2.6656264742419502</v>
      </c>
      <c r="F103" s="3">
        <v>4.47833610210236</v>
      </c>
      <c r="G103" s="3">
        <v>4.7004749832255897</v>
      </c>
      <c r="H103" s="3">
        <v>4.4460155567016102</v>
      </c>
      <c r="I103" s="3">
        <v>3.98260920208324</v>
      </c>
      <c r="J103" s="3">
        <v>3.7527936755216298</v>
      </c>
      <c r="K103" s="3">
        <v>2.5044632435935701</v>
      </c>
      <c r="L103" s="3">
        <v>6.9800567276224399</v>
      </c>
      <c r="M103" s="3">
        <v>4.7815888860789899</v>
      </c>
      <c r="N103" s="3">
        <v>4.2564747981296502</v>
      </c>
      <c r="O103" s="3">
        <v>1.59994879739713</v>
      </c>
      <c r="P103" s="3">
        <v>2.5123824663566401</v>
      </c>
      <c r="Q103" s="3">
        <v>4.6945841776602997</v>
      </c>
      <c r="R103" s="3">
        <v>3.1223899138914302</v>
      </c>
      <c r="S103" s="3">
        <v>4.8699653038498996</v>
      </c>
      <c r="T103" s="3">
        <v>4.6872360081019604</v>
      </c>
      <c r="U103" s="3">
        <v>2.4758182095566599</v>
      </c>
      <c r="V103" s="3">
        <v>3.7665215612646801</v>
      </c>
    </row>
    <row r="104" spans="1:22" x14ac:dyDescent="0.35">
      <c r="A104" s="2">
        <v>45026</v>
      </c>
      <c r="B104" s="3">
        <v>2.4471477423487999</v>
      </c>
      <c r="C104" s="3">
        <v>8.9102875171993396</v>
      </c>
      <c r="D104" s="3">
        <v>4.4549734476306702</v>
      </c>
      <c r="E104" s="3">
        <v>2.7795314103136302</v>
      </c>
      <c r="F104" s="3">
        <v>4.7534126730767001</v>
      </c>
      <c r="G104" s="3">
        <v>4.8788359282379297</v>
      </c>
      <c r="H104" s="3">
        <v>4.4074980152877998</v>
      </c>
      <c r="I104" s="3">
        <v>3.8715674777268401</v>
      </c>
      <c r="J104" s="3">
        <v>3.6753108515333102</v>
      </c>
      <c r="K104" s="3">
        <v>2.3497741039324098</v>
      </c>
      <c r="L104" s="3">
        <v>6.7554277822776898</v>
      </c>
      <c r="M104" s="3">
        <v>4.5737901679977604</v>
      </c>
      <c r="N104" s="3">
        <v>4.3777564009466898</v>
      </c>
      <c r="O104" s="3">
        <v>1.60084891369997</v>
      </c>
      <c r="P104" s="3">
        <v>2.4225770424048099</v>
      </c>
      <c r="Q104" s="3">
        <v>4.84642606012474</v>
      </c>
      <c r="R104" s="3">
        <v>3.1017351254407899</v>
      </c>
      <c r="S104" s="3">
        <v>5.1323809281098098</v>
      </c>
      <c r="T104" s="3">
        <v>4.6022266649884402</v>
      </c>
      <c r="U104" s="3">
        <v>2.5641108282231801</v>
      </c>
      <c r="V104" s="3">
        <v>3.5534590184296402</v>
      </c>
    </row>
    <row r="105" spans="1:22" x14ac:dyDescent="0.35">
      <c r="A105" s="2">
        <v>45056</v>
      </c>
      <c r="B105" s="3">
        <v>2.5072903775555302</v>
      </c>
      <c r="C105" s="3">
        <v>7.5731466524026203</v>
      </c>
      <c r="D105" s="3">
        <v>4.5474983256775001</v>
      </c>
      <c r="E105" s="3">
        <v>2.7394077118097999</v>
      </c>
      <c r="F105" s="3">
        <v>4.3328416174620497</v>
      </c>
      <c r="G105" s="3">
        <v>4.7938737949702599</v>
      </c>
      <c r="H105" s="3">
        <v>4.4076451409799997</v>
      </c>
      <c r="I105" s="3">
        <v>3.7695541331919298</v>
      </c>
      <c r="J105" s="3">
        <v>3.5362709001011199</v>
      </c>
      <c r="K105" s="3">
        <v>2.4305618692082098</v>
      </c>
      <c r="L105" s="3">
        <v>6.73781706373072</v>
      </c>
      <c r="M105" s="3">
        <v>4.5944749385835602</v>
      </c>
      <c r="N105" s="3">
        <v>4.18529907236349</v>
      </c>
      <c r="O105" s="3">
        <v>1.5854786304220301</v>
      </c>
      <c r="P105" s="3">
        <v>2.5506529619017599</v>
      </c>
      <c r="Q105" s="3">
        <v>4.6835098023348198</v>
      </c>
      <c r="R105" s="3">
        <v>3.14695406006155</v>
      </c>
      <c r="S105" s="3">
        <v>5.4911934808614902</v>
      </c>
      <c r="T105" s="3">
        <v>4.3942005689321801</v>
      </c>
      <c r="U105" s="3">
        <v>2.6539546259908402</v>
      </c>
      <c r="V105" s="3">
        <v>3.4215933502602498</v>
      </c>
    </row>
    <row r="106" spans="1:22" x14ac:dyDescent="0.35">
      <c r="A106" s="2">
        <v>45086</v>
      </c>
      <c r="B106" s="3">
        <v>2.5809957006227102</v>
      </c>
      <c r="C106" s="3">
        <v>7.0898488711269998</v>
      </c>
      <c r="D106" s="3">
        <v>4.2057123760262902</v>
      </c>
      <c r="E106" s="3">
        <v>2.9315354880549598</v>
      </c>
      <c r="F106" s="3">
        <v>3.8473399741425398</v>
      </c>
      <c r="G106" s="3">
        <v>5.0446036953680098</v>
      </c>
      <c r="H106" s="3">
        <v>4.4683619165002098</v>
      </c>
      <c r="I106" s="3">
        <v>3.5000105095229901</v>
      </c>
      <c r="J106" s="3">
        <v>3.6942551199231</v>
      </c>
      <c r="K106" s="3">
        <v>2.2711433483052499</v>
      </c>
      <c r="L106" s="3">
        <v>6.1294823555385998</v>
      </c>
      <c r="M106" s="3">
        <v>4.5995100872720398</v>
      </c>
      <c r="N106" s="3">
        <v>4.0066416699468297</v>
      </c>
      <c r="O106" s="3">
        <v>1.55394488613616</v>
      </c>
      <c r="P106" s="3">
        <v>2.5064581293333101</v>
      </c>
      <c r="Q106" s="3">
        <v>4.6811812361929599</v>
      </c>
      <c r="R106" s="3">
        <v>3.110212616219</v>
      </c>
      <c r="S106" s="3">
        <v>4.6869675845421401</v>
      </c>
      <c r="T106" s="3">
        <v>4.4660686481732004</v>
      </c>
      <c r="U106" s="3">
        <v>2.5746856416258299</v>
      </c>
      <c r="V106" s="3">
        <v>3.4642035879430502</v>
      </c>
    </row>
    <row r="107" spans="1:22" x14ac:dyDescent="0.35">
      <c r="A107" s="2">
        <v>45117</v>
      </c>
      <c r="B107" s="3">
        <v>2.60839032214554</v>
      </c>
      <c r="C107" s="3">
        <v>6.6221934349089002</v>
      </c>
      <c r="D107" s="3">
        <v>4.2446403051536397</v>
      </c>
      <c r="E107" s="3">
        <v>3.0545274720731301</v>
      </c>
      <c r="F107" s="3">
        <v>4.2508375193582104</v>
      </c>
      <c r="G107" s="3">
        <v>4.7875458667280704</v>
      </c>
      <c r="H107" s="3">
        <v>4.4708112909885998</v>
      </c>
      <c r="I107" s="3">
        <v>3.54606145813838</v>
      </c>
      <c r="J107" s="3">
        <v>3.8750393386964999</v>
      </c>
      <c r="K107" s="3">
        <v>2.41898197392553</v>
      </c>
      <c r="L107" s="3">
        <v>6.1107877480592903</v>
      </c>
      <c r="M107" s="3">
        <v>4.4766597336087699</v>
      </c>
      <c r="N107" s="3">
        <v>4.0083704784841503</v>
      </c>
      <c r="O107" s="3">
        <v>1.5029832705443</v>
      </c>
      <c r="P107" s="3">
        <v>2.5363325797272398</v>
      </c>
      <c r="Q107" s="3">
        <v>4.7783431442233004</v>
      </c>
      <c r="R107" s="3">
        <v>3.1997434056710898</v>
      </c>
      <c r="S107" s="3">
        <v>4.2698634361471699</v>
      </c>
      <c r="T107" s="3">
        <v>4.3235178607999298</v>
      </c>
      <c r="U107" s="3">
        <v>2.7299599081497301</v>
      </c>
      <c r="V107" s="3">
        <v>3.4268550792595098</v>
      </c>
    </row>
    <row r="108" spans="1:22" x14ac:dyDescent="0.35">
      <c r="A108" s="2">
        <v>45148</v>
      </c>
      <c r="B108" s="3">
        <v>2.5224970147728398</v>
      </c>
      <c r="C108" s="3">
        <v>6.2840412996056196</v>
      </c>
      <c r="D108" s="3">
        <v>4.0883524500476804</v>
      </c>
      <c r="E108" s="3">
        <v>3.0163055895231499</v>
      </c>
      <c r="F108" s="3">
        <v>3.8365091638812601</v>
      </c>
      <c r="G108" s="3">
        <v>4.3376572351445901</v>
      </c>
      <c r="H108" s="3">
        <v>4.2386027317251198</v>
      </c>
      <c r="I108" s="3">
        <v>3.5273497758459098</v>
      </c>
      <c r="J108" s="3">
        <v>3.96427531913444</v>
      </c>
      <c r="K108" s="3">
        <v>2.36834346278805</v>
      </c>
      <c r="L108" s="3">
        <v>5.88533852439092</v>
      </c>
      <c r="M108" s="3">
        <v>4.2044658428724704</v>
      </c>
      <c r="N108" s="3">
        <v>4.2368023180293699</v>
      </c>
      <c r="O108" s="3">
        <v>1.4932728566932301</v>
      </c>
      <c r="P108" s="3">
        <v>2.3831576754498101</v>
      </c>
      <c r="Q108" s="3">
        <v>4.5072798534145804</v>
      </c>
      <c r="R108" s="3">
        <v>3.1199544665735899</v>
      </c>
      <c r="S108" s="3">
        <v>3.67826181897677</v>
      </c>
      <c r="T108" s="3">
        <v>4.0940470875460804</v>
      </c>
      <c r="U108" s="3">
        <v>2.5234165509925699</v>
      </c>
      <c r="V108" s="3">
        <v>3.5756290612438502</v>
      </c>
    </row>
    <row r="109" spans="1:22" x14ac:dyDescent="0.35">
      <c r="A109" s="2">
        <v>45177</v>
      </c>
      <c r="B109" s="3">
        <v>2.6055854241960099</v>
      </c>
      <c r="C109" s="3">
        <v>6.7491442122495302</v>
      </c>
      <c r="D109" s="3">
        <v>4.1633122953151398</v>
      </c>
      <c r="E109" s="3">
        <v>2.8541143918150702</v>
      </c>
      <c r="F109" s="3">
        <v>4.2881407006640497</v>
      </c>
      <c r="G109" s="3">
        <v>4.8704432595982299</v>
      </c>
      <c r="H109" s="3">
        <v>4.2758691388221601</v>
      </c>
      <c r="I109" s="3">
        <v>3.63592621665711</v>
      </c>
      <c r="J109" s="3">
        <v>4.09946503464566</v>
      </c>
      <c r="K109" s="3">
        <v>2.3916327592374098</v>
      </c>
      <c r="L109" s="3">
        <v>6.0163939873504004</v>
      </c>
      <c r="M109" s="3">
        <v>4.4044406067182802</v>
      </c>
      <c r="N109" s="3">
        <v>4.5491329604678903</v>
      </c>
      <c r="O109" s="3">
        <v>1.4988662023814601</v>
      </c>
      <c r="P109" s="3">
        <v>2.4885546591151302</v>
      </c>
      <c r="Q109" s="3">
        <v>4.7178176159707101</v>
      </c>
      <c r="R109" s="3">
        <v>3.1003474300345002</v>
      </c>
      <c r="S109" s="3">
        <v>3.4964377396457</v>
      </c>
      <c r="T109" s="3">
        <v>4.4255131898111797</v>
      </c>
      <c r="U109" s="3">
        <v>2.5776756077574801</v>
      </c>
      <c r="V109" s="3">
        <v>3.6561461770621899</v>
      </c>
    </row>
    <row r="110" spans="1:22" x14ac:dyDescent="0.35">
      <c r="A110" s="2">
        <v>45209</v>
      </c>
      <c r="B110" s="3">
        <v>2.6735182309050902</v>
      </c>
      <c r="C110" s="3">
        <v>7.0254394967620204</v>
      </c>
      <c r="D110" s="3">
        <v>4.2104251183723997</v>
      </c>
      <c r="E110" s="3">
        <v>2.8925117892377301</v>
      </c>
      <c r="F110" s="3">
        <v>4.2876896596071097</v>
      </c>
      <c r="G110" s="3">
        <v>5.0800733215860596</v>
      </c>
      <c r="H110" s="3">
        <v>4.3243578470550004</v>
      </c>
      <c r="I110" s="3">
        <v>3.6082660008045</v>
      </c>
      <c r="J110" s="3">
        <v>4.2668928759666898</v>
      </c>
      <c r="K110" s="3">
        <v>2.5560370944734299</v>
      </c>
      <c r="L110" s="3">
        <v>6.1215625115048597</v>
      </c>
      <c r="M110" s="3">
        <v>4.4387912418328996</v>
      </c>
      <c r="N110" s="3">
        <v>5.1025679219142797</v>
      </c>
      <c r="O110" s="3">
        <v>1.5236918226774201</v>
      </c>
      <c r="P110" s="3">
        <v>2.5625547198309402</v>
      </c>
      <c r="Q110" s="3">
        <v>4.9028135228125098</v>
      </c>
      <c r="R110" s="3">
        <v>3.3529819989842302</v>
      </c>
      <c r="S110" s="3">
        <v>3.7423185497789002</v>
      </c>
      <c r="T110" s="3">
        <v>4.4350193062104601</v>
      </c>
      <c r="U110" s="3">
        <v>2.9865646973040199</v>
      </c>
      <c r="V110" s="3">
        <v>3.89280950579476</v>
      </c>
    </row>
    <row r="111" spans="1:22" x14ac:dyDescent="0.35">
      <c r="A111" s="2">
        <v>45240</v>
      </c>
      <c r="B111" s="3">
        <v>2.69345613370723</v>
      </c>
      <c r="C111" s="3">
        <v>6.9566461199754599</v>
      </c>
      <c r="D111" s="3">
        <v>4.2658289654324504</v>
      </c>
      <c r="E111" s="3">
        <v>3.0368801838284201</v>
      </c>
      <c r="F111" s="3">
        <v>4.4384024088404699</v>
      </c>
      <c r="G111" s="3">
        <v>4.7617395218515499</v>
      </c>
      <c r="H111" s="3">
        <v>4.3255135080439802</v>
      </c>
      <c r="I111" s="3">
        <v>3.5517045830702498</v>
      </c>
      <c r="J111" s="3">
        <v>4.2131748856266196</v>
      </c>
      <c r="K111" s="3">
        <v>2.5326980630051001</v>
      </c>
      <c r="L111" s="3">
        <v>6.32464982962669</v>
      </c>
      <c r="M111" s="3">
        <v>4.5313250557406102</v>
      </c>
      <c r="N111" s="3">
        <v>4.7579301266774801</v>
      </c>
      <c r="O111" s="3">
        <v>1.5345600039137699</v>
      </c>
      <c r="P111" s="3">
        <v>2.6249430782387999</v>
      </c>
      <c r="Q111" s="3">
        <v>4.9129535015235799</v>
      </c>
      <c r="R111" s="3">
        <v>3.4424175280894702</v>
      </c>
      <c r="S111" s="3">
        <v>4.4211385558882998</v>
      </c>
      <c r="T111" s="3">
        <v>4.6319789519465999</v>
      </c>
      <c r="U111" s="3">
        <v>2.97417283163974</v>
      </c>
      <c r="V111" s="3">
        <v>3.8367453314426299</v>
      </c>
    </row>
    <row r="112" spans="1:22" x14ac:dyDescent="0.35">
      <c r="A112" s="2">
        <v>45268</v>
      </c>
      <c r="B112" s="3">
        <v>2.7873102551837698</v>
      </c>
      <c r="C112" s="3">
        <v>9.7626146818079107</v>
      </c>
      <c r="D112" s="3">
        <v>4.2381655034885002</v>
      </c>
      <c r="E112" s="3">
        <v>3.2550676211570901</v>
      </c>
      <c r="F112" s="3">
        <v>4.9663684523386697</v>
      </c>
      <c r="G112" s="3">
        <v>4.0053016786651003</v>
      </c>
      <c r="H112" s="3">
        <v>4.3375394878730402</v>
      </c>
      <c r="I112" s="3">
        <v>3.4187261045380501</v>
      </c>
      <c r="J112" s="3">
        <v>3.9718626423357701</v>
      </c>
      <c r="K112" s="3">
        <v>2.3614452375443302</v>
      </c>
      <c r="L112" s="3">
        <v>6.0757496507474702</v>
      </c>
      <c r="M112" s="3">
        <v>4.2979352966964397</v>
      </c>
      <c r="N112" s="3">
        <v>4.4521160316492896</v>
      </c>
      <c r="O112" s="3">
        <v>1.4173255178909701</v>
      </c>
      <c r="P112" s="3">
        <v>2.7571905675204702</v>
      </c>
      <c r="Q112" s="3">
        <v>5.0013288290353701</v>
      </c>
      <c r="R112" s="3">
        <v>3.43935380470114</v>
      </c>
      <c r="S112" s="3">
        <v>4.4273652135558104</v>
      </c>
      <c r="T112" s="3">
        <v>4.7897234686361498</v>
      </c>
      <c r="U112" s="3">
        <v>2.8445835632854499</v>
      </c>
      <c r="V112" s="3">
        <v>3.7568525228697101</v>
      </c>
    </row>
    <row r="113" spans="1:37" x14ac:dyDescent="0.35">
      <c r="A113" s="2">
        <v>45301</v>
      </c>
      <c r="B113" s="3">
        <v>2.9062348181023401</v>
      </c>
      <c r="C113" s="3">
        <v>10.4366371996108</v>
      </c>
      <c r="D113" s="3">
        <v>4.0568182972104498</v>
      </c>
      <c r="E113" s="3">
        <v>3.1379443154927098</v>
      </c>
      <c r="F113" s="3">
        <v>4.8914293964718496</v>
      </c>
      <c r="G113" s="3">
        <v>3.5828708921148902</v>
      </c>
      <c r="H113" s="3">
        <v>4.2603493263432997</v>
      </c>
      <c r="I113" s="3">
        <v>3.4019831468011899</v>
      </c>
      <c r="J113" s="3">
        <v>3.94726742407178</v>
      </c>
      <c r="K113" s="3">
        <v>2.3493488278800401</v>
      </c>
      <c r="L113" s="3">
        <v>5.7142618645042296</v>
      </c>
      <c r="M113" s="3">
        <v>4.3508553014040796</v>
      </c>
      <c r="N113" s="3">
        <v>4.5837534484570996</v>
      </c>
      <c r="O113" s="3">
        <v>1.3762287250687499</v>
      </c>
      <c r="P113" s="3">
        <v>2.8286587244388399</v>
      </c>
      <c r="Q113" s="3">
        <v>4.7765531290069703</v>
      </c>
      <c r="R113" s="3">
        <v>3.4051803128471998</v>
      </c>
      <c r="S113" s="3">
        <v>4.4407769923654996</v>
      </c>
      <c r="T113" s="3">
        <v>4.4874302032121403</v>
      </c>
      <c r="U113" s="3">
        <v>2.7696645244438298</v>
      </c>
      <c r="V113" s="3">
        <v>3.40855480636159</v>
      </c>
    </row>
    <row r="114" spans="1:37" x14ac:dyDescent="0.35">
      <c r="A114" s="2">
        <v>45331</v>
      </c>
      <c r="B114" s="3">
        <v>2.8293370189414602</v>
      </c>
      <c r="C114" s="3">
        <v>10.7571694413581</v>
      </c>
      <c r="D114" s="3">
        <v>4.1027363640393801</v>
      </c>
      <c r="E114" s="3">
        <v>2.79651859353645</v>
      </c>
      <c r="F114" s="3">
        <v>4.9038713349219503</v>
      </c>
      <c r="G114" s="3">
        <v>3.5828903401842198</v>
      </c>
      <c r="H114" s="3">
        <v>4.2423325885661001</v>
      </c>
      <c r="I114" s="3">
        <v>3.3528509911301301</v>
      </c>
      <c r="J114" s="3">
        <v>3.7643110252418599</v>
      </c>
      <c r="K114" s="3">
        <v>2.2363820524520999</v>
      </c>
      <c r="L114" s="3">
        <v>5.8870453039069801</v>
      </c>
      <c r="M114" s="3">
        <v>4.3356901941169204</v>
      </c>
      <c r="N114" s="3">
        <v>4.4572635083140701</v>
      </c>
      <c r="O114" s="3">
        <v>1.3639160839039599</v>
      </c>
      <c r="P114" s="3">
        <v>3.0054381119151201</v>
      </c>
      <c r="Q114" s="3">
        <v>4.8857291593172301</v>
      </c>
      <c r="R114" s="3">
        <v>3.49028786636647</v>
      </c>
      <c r="S114" s="3">
        <v>4.14085449680013</v>
      </c>
      <c r="T114" s="3">
        <v>4.9338510181058801</v>
      </c>
      <c r="U114" s="3">
        <v>2.7565476771981201</v>
      </c>
      <c r="V114" s="3">
        <v>3.3760125845100299</v>
      </c>
    </row>
    <row r="115" spans="1:37" x14ac:dyDescent="0.35">
      <c r="A115" s="2">
        <v>45359</v>
      </c>
      <c r="B115" s="3">
        <v>2.7284020397622801</v>
      </c>
      <c r="C115" s="3">
        <v>9.5201107544886092</v>
      </c>
      <c r="D115" s="3">
        <v>4.01376736754698</v>
      </c>
      <c r="E115" s="3">
        <v>2.7912561356810799</v>
      </c>
      <c r="F115" s="3">
        <v>5.0124466586855201</v>
      </c>
      <c r="G115" s="3">
        <v>3.5585483324771201</v>
      </c>
      <c r="H115" s="3">
        <v>4.1537291080713299</v>
      </c>
      <c r="I115" s="3">
        <v>3.1072257554894298</v>
      </c>
      <c r="J115" s="3">
        <v>4.10860928560089</v>
      </c>
      <c r="K115" s="3">
        <v>2.2263345521205902</v>
      </c>
      <c r="L115" s="3">
        <v>6.23977816687509</v>
      </c>
      <c r="M115" s="3">
        <v>4.2068987999909098</v>
      </c>
      <c r="N115" s="3">
        <v>4.71821991333558</v>
      </c>
      <c r="O115" s="3">
        <v>1.32793703447603</v>
      </c>
      <c r="P115" s="3">
        <v>2.97741495594707</v>
      </c>
      <c r="Q115" s="3">
        <v>4.8035528361603097</v>
      </c>
      <c r="R115" s="3">
        <v>3.4584199200263299</v>
      </c>
      <c r="S115" s="3">
        <v>4.2039736433656598</v>
      </c>
      <c r="T115" s="3">
        <v>5.1015672277881903</v>
      </c>
      <c r="U115" s="3">
        <v>2.7061939868293599</v>
      </c>
      <c r="V115" s="3">
        <v>3.30467490122042</v>
      </c>
    </row>
    <row r="116" spans="1:37" x14ac:dyDescent="0.35">
      <c r="A116" s="2">
        <v>45392</v>
      </c>
      <c r="B116" s="3">
        <v>2.8155780034689299</v>
      </c>
      <c r="C116" s="3">
        <v>8.9081629611889497</v>
      </c>
      <c r="D116" s="3">
        <v>4.17417597554567</v>
      </c>
      <c r="E116" s="3">
        <v>2.8104544284906998</v>
      </c>
      <c r="F116" s="3">
        <v>4.8602238797538</v>
      </c>
      <c r="G116" s="3">
        <v>3.3091371685338702</v>
      </c>
      <c r="H116" s="3">
        <v>4.1406561964110198</v>
      </c>
      <c r="I116" s="3">
        <v>3.0324603806039199</v>
      </c>
      <c r="J116" s="3">
        <v>4.0502044813415203</v>
      </c>
      <c r="K116" s="3">
        <v>2.18773087631563</v>
      </c>
      <c r="L116" s="3">
        <v>6.1239694764950396</v>
      </c>
      <c r="M116" s="3">
        <v>4.0711274341380301</v>
      </c>
      <c r="N116" s="3">
        <v>5.11283675992747</v>
      </c>
      <c r="O116" s="3">
        <v>1.3115501415437201</v>
      </c>
      <c r="P116" s="3">
        <v>2.9631530063741298</v>
      </c>
      <c r="Q116" s="3">
        <v>5.6539837296029196</v>
      </c>
      <c r="R116" s="3">
        <v>3.4422602959217699</v>
      </c>
      <c r="S116" s="3">
        <v>3.8986065912443002</v>
      </c>
      <c r="T116" s="3">
        <v>5.4106336282807099</v>
      </c>
      <c r="U116" s="3">
        <v>2.2514096241495198</v>
      </c>
      <c r="V116" s="3">
        <v>3.3376704219282001</v>
      </c>
    </row>
    <row r="117" spans="1:37" x14ac:dyDescent="0.35">
      <c r="A117" s="2">
        <v>45422</v>
      </c>
      <c r="B117" s="3">
        <v>2.7894035235766901</v>
      </c>
      <c r="C117" s="3">
        <v>8.6181126731950606</v>
      </c>
      <c r="D117" s="3">
        <v>4.53258464513749</v>
      </c>
      <c r="E117" s="3">
        <v>2.9503311773030201</v>
      </c>
      <c r="F117" s="3">
        <v>5.02571825824492</v>
      </c>
      <c r="G117" s="3">
        <v>3.4859430625836998</v>
      </c>
      <c r="H117" s="3">
        <v>4.0528354915117797</v>
      </c>
      <c r="I117" s="3">
        <v>3.1075044502961102</v>
      </c>
      <c r="J117" s="3">
        <v>4.1249453958429996</v>
      </c>
      <c r="K117" s="3">
        <v>2.1668296137791798</v>
      </c>
      <c r="L117" s="3">
        <v>6.6708148513386298</v>
      </c>
      <c r="M117" s="3">
        <v>3.97934193920671</v>
      </c>
      <c r="N117" s="3">
        <v>5.2744677481827997</v>
      </c>
      <c r="O117" s="3">
        <v>1.36782248843258</v>
      </c>
      <c r="P117" s="3">
        <v>2.7075075256508199</v>
      </c>
      <c r="Q117" s="3">
        <v>5.8013285507491101</v>
      </c>
      <c r="R117" s="3">
        <v>3.6374065636256501</v>
      </c>
      <c r="S117" s="3">
        <v>4.1916965678266802</v>
      </c>
      <c r="T117" s="3">
        <v>5.6361219438608101</v>
      </c>
      <c r="U117" s="3">
        <v>2.3856841630570198</v>
      </c>
      <c r="V117" s="3">
        <v>3.5469893999548399</v>
      </c>
    </row>
    <row r="118" spans="1:37" x14ac:dyDescent="0.35">
      <c r="A118" s="2">
        <v>45453</v>
      </c>
      <c r="B118" s="3">
        <v>2.9293566222735201</v>
      </c>
      <c r="C118" s="3">
        <v>5.1008862350559703</v>
      </c>
      <c r="D118" s="3">
        <v>4.5399002969099804</v>
      </c>
      <c r="E118" s="3">
        <v>3.2524846579217499</v>
      </c>
      <c r="F118" s="3">
        <v>5.2585340878626496</v>
      </c>
      <c r="G118" s="3">
        <v>4.0165837795507802</v>
      </c>
      <c r="H118" s="3">
        <v>4.0654621474766497</v>
      </c>
      <c r="I118" s="3">
        <v>3.1024449264338201</v>
      </c>
      <c r="J118" s="3">
        <v>4.6598445406357296</v>
      </c>
      <c r="K118" s="3">
        <v>2.1657221862367999</v>
      </c>
      <c r="L118" s="3">
        <v>7.3460648564659801</v>
      </c>
      <c r="M118" s="3">
        <v>4.2049556374024002</v>
      </c>
      <c r="N118" s="3">
        <v>5.8795212930494598</v>
      </c>
      <c r="O118" s="3">
        <v>1.3040968132739701</v>
      </c>
      <c r="P118" s="3">
        <v>2.82210862804811</v>
      </c>
      <c r="Q118" s="3">
        <v>5.7936635223491999</v>
      </c>
      <c r="R118" s="3">
        <v>3.8111166292868299</v>
      </c>
      <c r="S118" s="3">
        <v>4.1986459416725497</v>
      </c>
      <c r="T118" s="3">
        <v>5.9238323010761498</v>
      </c>
      <c r="U118" s="3">
        <v>1.9380751503856899</v>
      </c>
      <c r="V118" s="3">
        <v>3.5433378894907999</v>
      </c>
    </row>
    <row r="119" spans="1:37" x14ac:dyDescent="0.35">
      <c r="A119" s="2">
        <v>45483</v>
      </c>
      <c r="B119" s="3">
        <v>3.08565844102767</v>
      </c>
      <c r="C119" s="3">
        <v>5.36193891731424</v>
      </c>
      <c r="D119" s="3">
        <v>4.43428112490564</v>
      </c>
      <c r="E119" s="3">
        <v>3.3566740715684502</v>
      </c>
      <c r="F119" s="3">
        <v>5.0768540548398704</v>
      </c>
      <c r="G119" s="3">
        <v>3.93422423295267</v>
      </c>
      <c r="H119" s="3">
        <v>4.0596485851219999</v>
      </c>
      <c r="I119" s="3">
        <v>2.8695639830458601</v>
      </c>
      <c r="J119" s="3">
        <v>4.3768619098535799</v>
      </c>
      <c r="K119" s="3">
        <v>2.0327682062594201</v>
      </c>
      <c r="L119" s="3">
        <v>6.7924184121141096</v>
      </c>
      <c r="M119" s="3">
        <v>3.9656729605018501</v>
      </c>
      <c r="N119" s="3">
        <v>5.8024488100984604</v>
      </c>
      <c r="O119" s="3">
        <v>1.2490284115894601</v>
      </c>
      <c r="P119" s="3">
        <v>2.9287675367068302</v>
      </c>
      <c r="Q119" s="3">
        <v>5.4534895653259303</v>
      </c>
      <c r="R119" s="3">
        <v>3.77674301795843</v>
      </c>
      <c r="S119" s="3">
        <v>3.8715086246340298</v>
      </c>
      <c r="T119" s="3">
        <v>5.6859379832693797</v>
      </c>
      <c r="U119" s="3">
        <v>1.9182994347450399</v>
      </c>
      <c r="V119" s="3">
        <v>3.6293363015930402</v>
      </c>
    </row>
    <row r="120" spans="1:37" x14ac:dyDescent="0.35">
      <c r="A120" s="2">
        <v>45513</v>
      </c>
      <c r="B120" s="3">
        <v>3.2744586634183999</v>
      </c>
      <c r="C120" s="3">
        <v>5.5196379609253698</v>
      </c>
      <c r="D120" s="3">
        <v>4.3641516829014098</v>
      </c>
      <c r="E120" s="3">
        <v>3.2807328785420098</v>
      </c>
      <c r="F120" s="3">
        <v>5.8511379073319496</v>
      </c>
      <c r="G120" s="3">
        <v>4.3079828295644704</v>
      </c>
      <c r="H120" s="3">
        <v>4.1709976301478102</v>
      </c>
      <c r="I120" s="3">
        <v>3.31990779028231</v>
      </c>
      <c r="J120" s="3">
        <v>4.4733279636174501</v>
      </c>
      <c r="K120" s="3">
        <v>2.30986806400335</v>
      </c>
      <c r="L120" s="3">
        <v>6.6371042517301602</v>
      </c>
      <c r="M120" s="3">
        <v>3.9376768757450198</v>
      </c>
      <c r="N120" s="3">
        <v>6.4960121225806899</v>
      </c>
      <c r="O120" s="3">
        <v>1.2643301933587801</v>
      </c>
      <c r="P120" s="3">
        <v>3.0641773060774802</v>
      </c>
      <c r="Q120" s="3">
        <v>5.54338734041026</v>
      </c>
      <c r="R120" s="3">
        <v>3.8639630821305899</v>
      </c>
      <c r="S120" s="3">
        <v>4.1825026050393097</v>
      </c>
      <c r="T120" s="3">
        <v>5.5057805324929303</v>
      </c>
      <c r="U120" s="3">
        <v>2.0212258412255899</v>
      </c>
      <c r="V120" s="3">
        <v>3.7308042965525399</v>
      </c>
    </row>
    <row r="121" spans="1:37" x14ac:dyDescent="0.35">
      <c r="A121" s="2">
        <v>45545</v>
      </c>
      <c r="B121" s="3">
        <v>3.35862088453732</v>
      </c>
      <c r="C121" s="3">
        <v>4.9851527086459102</v>
      </c>
      <c r="D121" s="3">
        <v>4.0635718202484101</v>
      </c>
      <c r="E121" s="3">
        <v>3.1811279052702299</v>
      </c>
      <c r="F121" s="3">
        <v>5.7322507865692396</v>
      </c>
      <c r="G121" s="3">
        <v>4.0332231968577998</v>
      </c>
      <c r="H121" s="3">
        <v>4.0013771356890198</v>
      </c>
      <c r="I121" s="3">
        <v>3.50856261427321</v>
      </c>
      <c r="J121" s="3">
        <v>4.6675193243895299</v>
      </c>
      <c r="K121" s="3">
        <v>2.4180244120938101</v>
      </c>
      <c r="L121" s="3">
        <v>5.6800738902889298</v>
      </c>
      <c r="M121" s="3">
        <v>3.9233337598269502</v>
      </c>
      <c r="N121" s="3">
        <v>6.5165740170721396</v>
      </c>
      <c r="O121" s="3">
        <v>1.2399311076811199</v>
      </c>
      <c r="P121" s="3">
        <v>3.14189141377283</v>
      </c>
      <c r="Q121" s="3">
        <v>5.4788531775203202</v>
      </c>
      <c r="R121" s="3">
        <v>3.5332490170948399</v>
      </c>
      <c r="S121" s="3">
        <v>4.4424388972833304</v>
      </c>
      <c r="T121" s="3">
        <v>5.2220506558038498</v>
      </c>
      <c r="U121" s="3">
        <v>2.0140165059672301</v>
      </c>
      <c r="V121" s="3">
        <v>3.6562848884242798</v>
      </c>
    </row>
    <row r="122" spans="1:37" x14ac:dyDescent="0.35">
      <c r="A122" s="2">
        <v>45573</v>
      </c>
      <c r="B122" s="3">
        <v>2.6955508219398001</v>
      </c>
      <c r="C122" s="3">
        <v>4.82825097529836</v>
      </c>
      <c r="D122" s="3">
        <v>4.17516528538125</v>
      </c>
      <c r="E122" s="3">
        <v>3.0952693868431602</v>
      </c>
      <c r="F122" s="3">
        <v>5.8140670587235199</v>
      </c>
      <c r="G122" s="3">
        <v>3.7372107988907599</v>
      </c>
      <c r="H122" s="3">
        <v>4.0732097776271896</v>
      </c>
      <c r="I122" s="3">
        <v>3.3552703892540299</v>
      </c>
      <c r="J122" s="3">
        <v>4.9291612880706603</v>
      </c>
      <c r="K122" s="3">
        <v>2.35372944718149</v>
      </c>
      <c r="L122" s="3">
        <v>5.6876321660800198</v>
      </c>
      <c r="M122" s="3">
        <v>3.7321293159066702</v>
      </c>
      <c r="N122" s="3">
        <v>6.6661233271193003</v>
      </c>
      <c r="O122" s="3">
        <v>1.2697990374990999</v>
      </c>
      <c r="P122" s="3">
        <v>2.4722708882536302</v>
      </c>
      <c r="Q122" s="3">
        <v>5.4067074930736698</v>
      </c>
      <c r="R122" s="3">
        <v>3.5037842489339099</v>
      </c>
      <c r="S122" s="3">
        <v>5.2423031964860396</v>
      </c>
      <c r="T122" s="3">
        <v>5.3035959192935396</v>
      </c>
      <c r="U122" s="3">
        <v>1.9534008955120099</v>
      </c>
      <c r="V122" s="3">
        <v>3.6861462289330902</v>
      </c>
    </row>
    <row r="125" spans="1:37" x14ac:dyDescent="0.35">
      <c r="A125" s="2" t="s">
        <v>91</v>
      </c>
      <c r="B125" s="3" cm="1">
        <f t="array" ref="B125">MIN(_xlfn._xlws.FILTER(B1:B122, ISNUMBER(B1:B122)))</f>
        <v>1.59245055873188</v>
      </c>
      <c r="C125" s="3" cm="1">
        <f t="array" ref="C125">MIN(_xlfn._xlws.FILTER(C1:C122, ISNUMBER(C1:C122)))</f>
        <v>2.4143714964012202</v>
      </c>
      <c r="D125" s="3" cm="1">
        <f t="array" ref="D125">MIN(_xlfn._xlws.FILTER(D1:D122, ISNUMBER(D1:D122)))</f>
        <v>2.1317194370646799</v>
      </c>
      <c r="E125" s="3" cm="1">
        <f t="array" ref="E125">MIN(_xlfn._xlws.FILTER(E1:E122, ISNUMBER(E1:E122)))</f>
        <v>1.45215622319895</v>
      </c>
      <c r="F125" s="3" cm="1">
        <f t="array" ref="F125">MIN(_xlfn._xlws.FILTER(F1:F122, ISNUMBER(F1:F122)))</f>
        <v>2.3385073668960001</v>
      </c>
      <c r="G125" s="3" cm="1">
        <f t="array" ref="G125">MIN(_xlfn._xlws.FILTER(G1:G122, ISNUMBER(G1:G122)))</f>
        <v>1.5136807093782401</v>
      </c>
      <c r="H125" s="3" cm="1">
        <f t="array" ref="H125">MIN(_xlfn._xlws.FILTER(H1:H122, ISNUMBER(H1:H122)))</f>
        <v>2.9218016614164299</v>
      </c>
      <c r="I125" s="3" cm="1">
        <f t="array" ref="I125">MIN(_xlfn._xlws.FILTER(I1:I122, ISNUMBER(I1:I122)))</f>
        <v>2.8695639830458601</v>
      </c>
      <c r="J125" s="3" cm="1">
        <f t="array" ref="J125">MIN(_xlfn._xlws.FILTER(J1:J122, ISNUMBER(J1:J122)))</f>
        <v>2.03314384915508</v>
      </c>
      <c r="K125" s="3" cm="1">
        <f t="array" ref="K125">MIN(_xlfn._xlws.FILTER(K1:K122, ISNUMBER(K1:K122)))</f>
        <v>1.3944411909647301</v>
      </c>
      <c r="L125" s="3" cm="1">
        <f t="array" ref="L125">MIN(_xlfn._xlws.FILTER(L1:L122, ISNUMBER(L1:L122)))</f>
        <v>2.71644843494333</v>
      </c>
      <c r="M125" s="3" cm="1">
        <f t="array" ref="M125">MIN(_xlfn._xlws.FILTER(M1:M122, ISNUMBER(M1:M122)))</f>
        <v>2.94591454273491</v>
      </c>
      <c r="N125" s="3" cm="1">
        <f t="array" ref="N125">MIN(_xlfn._xlws.FILTER(N1:N122, ISNUMBER(N1:N122)))</f>
        <v>2.3099330172985799</v>
      </c>
      <c r="O125" s="3" cm="1">
        <f t="array" ref="O125">MIN(_xlfn._xlws.FILTER(O1:O122, ISNUMBER(O1:O122)))</f>
        <v>1.2399311076811199</v>
      </c>
      <c r="P125" s="3" cm="1">
        <f t="array" ref="P125">MIN(_xlfn._xlws.FILTER(P1:P122, ISNUMBER(P1:P122)))</f>
        <v>1.32493846692051</v>
      </c>
      <c r="Q125" s="3" cm="1">
        <f t="array" ref="Q125">MIN(_xlfn._xlws.FILTER(Q1:Q122, ISNUMBER(Q1:Q122)))</f>
        <v>3.46472303666294</v>
      </c>
      <c r="R125" s="3" cm="1">
        <f t="array" ref="R125">MIN(_xlfn._xlws.FILTER(R1:R122, ISNUMBER(R1:R122)))</f>
        <v>2.6520864477456398</v>
      </c>
      <c r="S125" s="3" cm="1">
        <f t="array" ref="S125">MIN(_xlfn._xlws.FILTER(S1:S122, ISNUMBER(S1:S122)))</f>
        <v>2.6646470779851898</v>
      </c>
      <c r="T125" s="3" cm="1">
        <f t="array" ref="T125">MIN(_xlfn._xlws.FILTER(T1:T122, ISNUMBER(T1:T122)))</f>
        <v>2.6578896626019799</v>
      </c>
      <c r="U125" s="3" cm="1">
        <f t="array" ref="U125">MIN(_xlfn._xlws.FILTER(U1:U122, ISNUMBER(U1:U122)))</f>
        <v>1.15007489306865</v>
      </c>
      <c r="V125" s="3" cm="1">
        <f t="array" ref="V125">MIN(_xlfn._xlws.FILTER(V1:V122, ISNUMBER(V1:V122)))</f>
        <v>2.6993188490161302</v>
      </c>
    </row>
    <row r="126" spans="1:37" x14ac:dyDescent="0.35">
      <c r="A126" s="2" t="s">
        <v>92</v>
      </c>
      <c r="B126" s="3" cm="1">
        <f t="array" ref="B126">MAX(_xlfn._xlws.FILTER(B1:B122, ISNUMBER(B1:B122)))</f>
        <v>3.35862088453732</v>
      </c>
      <c r="C126" s="3" cm="1">
        <f t="array" ref="C126">MAX(_xlfn._xlws.FILTER(C1:C122, ISNUMBER(C1:C122)))</f>
        <v>10.7571694413581</v>
      </c>
      <c r="D126" s="3" cm="1">
        <f t="array" ref="D126">MAX(_xlfn._xlws.FILTER(D1:D122, ISNUMBER(D1:D122)))</f>
        <v>4.5474983256775001</v>
      </c>
      <c r="E126" s="3" cm="1">
        <f t="array" ref="E126">MAX(_xlfn._xlws.FILTER(E1:E122, ISNUMBER(E1:E122)))</f>
        <v>3.3566740715684502</v>
      </c>
      <c r="F126" s="3" cm="1">
        <f t="array" ref="F126">MAX(_xlfn._xlws.FILTER(F1:F122, ISNUMBER(F1:F122)))</f>
        <v>5.8511379073319496</v>
      </c>
      <c r="G126" s="3" cm="1">
        <f t="array" ref="G126">MAX(_xlfn._xlws.FILTER(G1:G122, ISNUMBER(G1:G122)))</f>
        <v>5.1933110668907698</v>
      </c>
      <c r="H126" s="3" cm="1">
        <f t="array" ref="H126">MAX(_xlfn._xlws.FILTER(H1:H122, ISNUMBER(H1:H122)))</f>
        <v>4.4708112909885998</v>
      </c>
      <c r="I126" s="3" cm="1">
        <f t="array" ref="I126">MAX(_xlfn._xlws.FILTER(I1:I122, ISNUMBER(I1:I122)))</f>
        <v>5.3507883913930696</v>
      </c>
      <c r="J126" s="3" cm="1">
        <f t="array" ref="J126">MAX(_xlfn._xlws.FILTER(J1:J122, ISNUMBER(J1:J122)))</f>
        <v>4.9291612880706603</v>
      </c>
      <c r="K126" s="3" cm="1">
        <f t="array" ref="K126">MAX(_xlfn._xlws.FILTER(K1:K122, ISNUMBER(K1:K122)))</f>
        <v>2.77811934350717</v>
      </c>
      <c r="L126" s="3" cm="1">
        <f t="array" ref="L126">MAX(_xlfn._xlws.FILTER(L1:L122, ISNUMBER(L1:L122)))</f>
        <v>11.234025835949801</v>
      </c>
      <c r="M126" s="3" cm="1">
        <f t="array" ref="M126">MAX(_xlfn._xlws.FILTER(M1:M122, ISNUMBER(M1:M122)))</f>
        <v>5.5263134017972497</v>
      </c>
      <c r="N126" s="3" cm="1">
        <f t="array" ref="N126">MAX(_xlfn._xlws.FILTER(N1:N122, ISNUMBER(N1:N122)))</f>
        <v>6.6661233271193003</v>
      </c>
      <c r="O126" s="3" cm="1">
        <f t="array" ref="O126">MAX(_xlfn._xlws.FILTER(O1:O122, ISNUMBER(O1:O122)))</f>
        <v>2.1348254690038599</v>
      </c>
      <c r="P126" s="3" cm="1">
        <f t="array" ref="P126">MAX(_xlfn._xlws.FILTER(P1:P122, ISNUMBER(P1:P122)))</f>
        <v>3.76808597581336</v>
      </c>
      <c r="Q126" s="3" cm="1">
        <f t="array" ref="Q126">MAX(_xlfn._xlws.FILTER(Q1:Q122, ISNUMBER(Q1:Q122)))</f>
        <v>5.8013285507491101</v>
      </c>
      <c r="R126" s="3" cm="1">
        <f t="array" ref="R126">MAX(_xlfn._xlws.FILTER(R1:R122, ISNUMBER(R1:R122)))</f>
        <v>3.93572179962</v>
      </c>
      <c r="S126" s="3" cm="1">
        <f t="array" ref="S126">MAX(_xlfn._xlws.FILTER(S1:S122, ISNUMBER(S1:S122)))</f>
        <v>6.1748910762550198</v>
      </c>
      <c r="T126" s="3" cm="1">
        <f t="array" ref="T126">MAX(_xlfn._xlws.FILTER(T1:T122, ISNUMBER(T1:T122)))</f>
        <v>6.2549111648308404</v>
      </c>
      <c r="U126" s="3" cm="1">
        <f t="array" ref="U126">MAX(_xlfn._xlws.FILTER(U1:U122, ISNUMBER(U1:U122)))</f>
        <v>4.1432829894457504</v>
      </c>
      <c r="V126" s="3" cm="1">
        <f t="array" ref="V126">MAX(_xlfn._xlws.FILTER(V1:V122, ISNUMBER(V1:V122)))</f>
        <v>5.2633785643171001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0.72199999999999998</v>
      </c>
      <c r="C128" s="9" cm="1">
        <f t="array" ref="C128">_xlfn.PERCENTRANK.EXC(_xlfn._xlws.FILTER(C1:C122, ISNUMBER(C1:C122)),C122)</f>
        <v>0.70399999999999996</v>
      </c>
      <c r="D128" s="9" cm="1">
        <f t="array" ref="D128">_xlfn.PERCENTRANK.EXC(_xlfn._xlws.FILTER(D1:D122, ISNUMBER(D1:D122)),D122)</f>
        <v>0.88500000000000001</v>
      </c>
      <c r="E128" s="9" cm="1">
        <f t="array" ref="E128">_xlfn.PERCENTRANK.EXC(_xlfn._xlws.FILTER(E1:E122, ISNUMBER(E1:E122)),E122)</f>
        <v>0.94199999999999995</v>
      </c>
      <c r="F128" s="9" cm="1">
        <f t="array" ref="F128">_xlfn.PERCENTRANK.EXC(_xlfn._xlws.FILTER(F1:F122, ISNUMBER(F1:F122)),F122)</f>
        <v>0.98299999999999998</v>
      </c>
      <c r="G128" s="9" cm="1">
        <f t="array" ref="G128">_xlfn.PERCENTRANK.EXC(_xlfn._xlws.FILTER(G1:G122, ISNUMBER(G1:G122)),G122)</f>
        <v>0.76200000000000001</v>
      </c>
      <c r="H128" s="9" cm="1">
        <f t="array" ref="H128">_xlfn.PERCENTRANK.EXC(_xlfn._xlws.FILTER(H1:H122, ISNUMBER(H1:H122)),H122)</f>
        <v>0.77800000000000002</v>
      </c>
      <c r="I128" s="9" cm="1">
        <f t="array" ref="I128">_xlfn.PERCENTRANK.EXC(_xlfn._xlws.FILTER(I1:I122, ISNUMBER(I1:I122)),I122)</f>
        <v>6.5000000000000002E-2</v>
      </c>
      <c r="J128" s="9" cm="1">
        <f t="array" ref="J128">_xlfn.PERCENTRANK.EXC(_xlfn._xlws.FILTER(J1:J122, ISNUMBER(J1:J122)),J122)</f>
        <v>0.99</v>
      </c>
      <c r="K128" s="9" cm="1">
        <f t="array" ref="K128">_xlfn.PERCENTRANK.EXC(_xlfn._xlws.FILTER(K1:K122, ISNUMBER(K1:K122)),K122)</f>
        <v>0.66300000000000003</v>
      </c>
      <c r="L128" s="9" cm="1">
        <f t="array" ref="L128">_xlfn.PERCENTRANK.EXC(_xlfn._xlws.FILTER(L1:L122, ISNUMBER(L1:L122)),L122)</f>
        <v>0.68799999999999994</v>
      </c>
      <c r="M128" s="9" cm="1">
        <f t="array" ref="M128">_xlfn.PERCENTRANK.EXC(_xlfn._xlws.FILTER(M1:M122, ISNUMBER(M1:M122)),M122)</f>
        <v>0.46700000000000003</v>
      </c>
      <c r="N128" s="9" cm="1">
        <f t="array" ref="N128">_xlfn.PERCENTRANK.EXC(_xlfn._xlws.FILTER(N1:N122, ISNUMBER(N1:N122)),N122)</f>
        <v>0.99099999999999999</v>
      </c>
      <c r="O128" s="9" cm="1">
        <f t="array" ref="O128">_xlfn.PERCENTRANK.EXC(_xlfn._xlws.FILTER(O1:O122, ISNUMBER(O1:O122)),O122)</f>
        <v>3.2000000000000001E-2</v>
      </c>
      <c r="P128" s="9" cm="1">
        <f t="array" ref="P128">_xlfn.PERCENTRANK.EXC(_xlfn._xlws.FILTER(P1:P122, ISNUMBER(P1:P122)),P122)</f>
        <v>0.50800000000000001</v>
      </c>
      <c r="Q128" s="9" cm="1">
        <f t="array" ref="Q128">_xlfn.PERCENTRANK.EXC(_xlfn._xlws.FILTER(Q1:Q122, ISNUMBER(Q1:Q122)),Q122)</f>
        <v>0.91800000000000004</v>
      </c>
      <c r="R128" s="9" cm="1">
        <f t="array" ref="R128">_xlfn.PERCENTRANK.EXC(_xlfn._xlws.FILTER(R1:R122, ISNUMBER(R1:R122)),R122)</f>
        <v>0.877</v>
      </c>
      <c r="S128" s="9" cm="1">
        <f t="array" ref="S128">_xlfn.PERCENTRANK.EXC(_xlfn._xlws.FILTER(S1:S122, ISNUMBER(S1:S122)),S122)</f>
        <v>0.77</v>
      </c>
      <c r="T128" s="9" cm="1">
        <f t="array" ref="T128">_xlfn.PERCENTRANK.EXC(_xlfn._xlws.FILTER(T1:T122, ISNUMBER(T1:T122)),T122)</f>
        <v>0.91800000000000004</v>
      </c>
      <c r="U128" s="9" cm="1">
        <f t="array" ref="U128">_xlfn.PERCENTRANK.EXC(_xlfn._xlws.FILTER(U1:U122, ISNUMBER(U1:U122)),U122)</f>
        <v>0.52500000000000002</v>
      </c>
      <c r="V128" s="9" cm="1">
        <f t="array" ref="V128">_xlfn.PERCENTRANK.EXC(_xlfn._xlws.FILTER(V1:V122, ISNUMBER(V1:V122)),V122)</f>
        <v>0.38100000000000001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41922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-6.7013799999999998E-2</v>
      </c>
      <c r="D2" s="24" cm="1">
        <f t="array" ref="D2:D122">_xll.FDS(D1,"FG_TOTAL_RETURNC(-10AY,0,AM)")/100</f>
        <v>-9.2324020000000007E-2</v>
      </c>
      <c r="E2" s="24" cm="1">
        <f t="array" ref="E2:E122">_xll.FDS(E1,"FG_TOTAL_RETURNC(-10AY,0,AM)")/100</f>
        <v>-5.1604690000000002E-2</v>
      </c>
      <c r="F2" s="24" cm="1">
        <f t="array" ref="F2:F122">_xll.FDS(F1,"FG_TOTAL_RETURNC(-10AY,0,AM)")/100</f>
        <v>-6.9975910000000002E-2</v>
      </c>
      <c r="G2" s="24" cm="1">
        <f t="array" ref="G2:G122">_xll.FDS(G1,"FG_TOTAL_RETURNC(-10AY,0,AM)")/100</f>
        <v>-7.5782956999999998E-2</v>
      </c>
      <c r="H2" s="24" cm="1">
        <f t="array" ref="H2:H122">_xll.FDS(H1,"FG_TOTAL_RETURNC(-10AY,0,AM)")/100</f>
        <v>-6.17978E-2</v>
      </c>
      <c r="I2" s="24" cm="1">
        <f t="array" ref="I2:I122">_xll.FDS(I1,"FG_TOTAL_RETURNC(-10AY,0,AM)")/100</f>
        <v>-8.6956500000000006E-2</v>
      </c>
      <c r="J2" s="24" cm="1">
        <f t="array" ref="J2:J122">_xll.FDS(J1,"FG_TOTAL_RETURNC(-10AY,0,AM)")/100</f>
        <v>-6.9845796000000002E-2</v>
      </c>
      <c r="K2" s="24" cm="1">
        <f t="array" ref="K2:K122">_xll.FDS(K1,"FG_TOTAL_RETURNC(-10AY,0,AM)")/100</f>
        <v>-0.11572188</v>
      </c>
      <c r="L2" s="24" cm="1">
        <f t="array" ref="L2:L122">_xll.FDS(L1,"FG_TOTAL_RETURNC(-10AY,0,AM)")/100</f>
        <v>-0.101204815</v>
      </c>
      <c r="M2" s="24" cm="1">
        <f t="array" ref="M2:M122">_xll.FDS(M1,"FG_TOTAL_RETURNC(-10AY,0,AM)")/100</f>
        <v>-0.10099268</v>
      </c>
      <c r="N2" s="24" cm="1">
        <f t="array" ref="N2:N122">_xll.FDS(N1,"FG_TOTAL_RETURNC(-10AY,0,AM)")/100</f>
        <v>-0.16938580000000003</v>
      </c>
      <c r="O2" s="24" cm="1">
        <f t="array" ref="O2:O122">_xll.FDS(O1,"FG_TOTAL_RETURNC(-10AY,0,AM)")/100</f>
        <v>-5.0825953000000007E-2</v>
      </c>
      <c r="P2" s="24" cm="1">
        <f t="array" ref="P2:P122">_xll.FDS(P1,"FG_TOTAL_RETURNC(-10AY,0,AM)")/100</f>
        <v>-8.2452059999999994E-2</v>
      </c>
      <c r="Q2" s="24" cm="1">
        <f t="array" ref="Q2:Q122">_xll.FDS(Q1,"FG_TOTAL_RETURNC(-10AY,0,AM)")/100</f>
        <v>5.8925150000000001E-3</v>
      </c>
      <c r="R2" s="24" cm="1">
        <f t="array" ref="R2:R122">_xll.FDS(R1,"FG_TOTAL_RETURNC(-10AY,0,AM)")/100</f>
        <v>-1.8588899999999998E-2</v>
      </c>
      <c r="S2" s="24" cm="1">
        <f t="array" ref="S2:S122">_xll.FDS(S1,"FG_TOTAL_RETURNC(-10AY,0,AM)")/100</f>
        <v>-0.12332784999999999</v>
      </c>
      <c r="T2" s="24" cm="1">
        <f t="array" ref="T2:T122">_xll.FDS(T1,"FG_TOTAL_RETURNC(-10AY,0,AM)")/100</f>
        <v>-3.3606530000000003E-2</v>
      </c>
      <c r="U2" s="24" cm="1">
        <f t="array" ref="U2:U122">_xll.FDS(U1,"FG_TOTAL_RETURNC(-10AY,0,AM)")/100</f>
        <v>-6.4980389999999999E-2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41953</v>
      </c>
      <c r="B3" s="24" t="e">
        <v>#N/A</v>
      </c>
      <c r="C3" s="24">
        <v>2.2810101999999999E-2</v>
      </c>
      <c r="D3" s="24">
        <v>3.6632894999999999E-2</v>
      </c>
      <c r="E3" s="24">
        <v>3.5462976E-2</v>
      </c>
      <c r="F3" s="24">
        <v>-1.6678988999999998E-2</v>
      </c>
      <c r="G3" s="24">
        <v>-5.1436424000000005E-3</v>
      </c>
      <c r="H3" s="24">
        <v>-3.3267140000000001E-3</v>
      </c>
      <c r="I3" s="24">
        <v>5.7679414999999998E-2</v>
      </c>
      <c r="J3" s="24">
        <v>9.1978310000000001E-3</v>
      </c>
      <c r="K3" s="24">
        <v>1.8770933E-2</v>
      </c>
      <c r="L3" s="24">
        <v>-9.361034E-2</v>
      </c>
      <c r="M3" s="24">
        <v>7.5532080000000001E-2</v>
      </c>
      <c r="N3" s="24">
        <v>-0.10976319999999999</v>
      </c>
      <c r="O3" s="24">
        <v>6.2583685E-2</v>
      </c>
      <c r="P3" s="24">
        <v>3.7780165999999997E-2</v>
      </c>
      <c r="Q3" s="24">
        <v>-1.2767493999999999E-2</v>
      </c>
      <c r="R3" s="24">
        <v>9.4157460000000009E-3</v>
      </c>
      <c r="S3" s="24">
        <v>7.4414729999999998E-2</v>
      </c>
      <c r="T3" s="24">
        <v>-4.6225604999999996E-2</v>
      </c>
      <c r="U3" s="24">
        <v>-1.5858232999999999E-2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41983</v>
      </c>
      <c r="B4" s="24" t="e">
        <v>#N/A</v>
      </c>
      <c r="C4" s="24">
        <v>-5.8363079999999998E-2</v>
      </c>
      <c r="D4" s="24">
        <v>1.8045068000000001E-2</v>
      </c>
      <c r="E4" s="24">
        <v>-1.3594805999999999E-2</v>
      </c>
      <c r="F4" s="24">
        <v>-1.5077591E-3</v>
      </c>
      <c r="G4" s="24">
        <v>1.9466876999999999E-3</v>
      </c>
      <c r="H4" s="24">
        <v>-9.0120129999999993E-2</v>
      </c>
      <c r="I4" s="24">
        <v>-3.8046956E-2</v>
      </c>
      <c r="J4" s="24">
        <v>-0.12923950000000001</v>
      </c>
      <c r="K4" s="24">
        <v>-2.4335086000000002E-2</v>
      </c>
      <c r="L4" s="24">
        <v>-8.2573300000000002E-2</v>
      </c>
      <c r="M4" s="24">
        <v>-6.4722479999999999E-2</v>
      </c>
      <c r="N4" s="24">
        <v>-2.9201746000000001E-2</v>
      </c>
      <c r="O4" s="24">
        <v>-3.2755910999999999E-2</v>
      </c>
      <c r="P4" s="24">
        <v>-2.0567178999999999E-3</v>
      </c>
      <c r="Q4" s="24">
        <v>-0.10910612</v>
      </c>
      <c r="R4" s="24">
        <v>-4.9637555999999996E-3</v>
      </c>
      <c r="S4" s="24">
        <v>6.5953255000000002E-2</v>
      </c>
      <c r="T4" s="24">
        <v>-0.10804802000000001</v>
      </c>
      <c r="U4" s="24">
        <v>-7.1090039999999993E-2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42013</v>
      </c>
      <c r="B5" s="24" t="e">
        <v>#N/A</v>
      </c>
      <c r="C5" s="24">
        <v>-1.9991636E-2</v>
      </c>
      <c r="D5" s="24">
        <v>-1.3729095E-2</v>
      </c>
      <c r="E5" s="24">
        <v>3.4881829999999996E-2</v>
      </c>
      <c r="F5" s="24">
        <v>-6.9992422999999998E-2</v>
      </c>
      <c r="G5" s="24">
        <v>-2.8415263E-2</v>
      </c>
      <c r="H5" s="24">
        <v>-2.7570724000000001E-2</v>
      </c>
      <c r="I5" s="24">
        <v>-1.7150640000000001E-3</v>
      </c>
      <c r="J5" s="24">
        <v>2.5097847E-2</v>
      </c>
      <c r="K5" s="24">
        <v>1.1104941E-2</v>
      </c>
      <c r="L5" s="24">
        <v>-1.6602277999999998E-2</v>
      </c>
      <c r="M5" s="24">
        <v>5.544615E-2</v>
      </c>
      <c r="N5" s="24">
        <v>-0.15048182000000002</v>
      </c>
      <c r="O5" s="24">
        <v>-3.0146837E-3</v>
      </c>
      <c r="P5" s="24">
        <v>6.7527649999999995E-2</v>
      </c>
      <c r="Q5" s="24">
        <v>3.1953453999999999E-2</v>
      </c>
      <c r="R5" s="24">
        <v>-1.9325972E-2</v>
      </c>
      <c r="S5" s="24">
        <v>3.5955430000000003E-2</v>
      </c>
      <c r="T5" s="24">
        <v>-4.2270000000000002E-2</v>
      </c>
      <c r="U5" s="24">
        <v>-4.4128299999999995E-3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42045</v>
      </c>
      <c r="B6" s="24" t="e">
        <v>#N/A</v>
      </c>
      <c r="C6" s="24">
        <v>2.3429394000000003E-2</v>
      </c>
      <c r="D6" s="24">
        <v>1.8024801999999999E-2</v>
      </c>
      <c r="E6" s="24">
        <v>5.5469989999999997E-2</v>
      </c>
      <c r="F6" s="24">
        <v>-3.4468412000000004E-2</v>
      </c>
      <c r="G6" s="24">
        <v>-4.9278079999999995E-2</v>
      </c>
      <c r="H6" s="24">
        <v>4.3143272000000003E-2</v>
      </c>
      <c r="I6" s="24">
        <v>4.3771030000000002E-2</v>
      </c>
      <c r="J6" s="24">
        <v>-1.9084573000000001E-2</v>
      </c>
      <c r="K6" s="24">
        <v>-6.5977572999999998E-3</v>
      </c>
      <c r="L6" s="24">
        <v>-6.4417959999999996E-2</v>
      </c>
      <c r="M6" s="24">
        <v>4.5503140000000004E-2</v>
      </c>
      <c r="N6" s="24">
        <v>-2.4622679000000001E-2</v>
      </c>
      <c r="O6" s="24">
        <v>4.7868849999999998E-2</v>
      </c>
      <c r="P6" s="24">
        <v>-4.2868257E-3</v>
      </c>
      <c r="Q6" s="24">
        <v>-9.5158815000000001E-3</v>
      </c>
      <c r="R6" s="24">
        <v>4.2852759999999997E-2</v>
      </c>
      <c r="S6" s="24">
        <v>-0.12914020000000001</v>
      </c>
      <c r="T6" s="24">
        <v>1.9179463000000001E-2</v>
      </c>
      <c r="U6" s="24">
        <v>-8.4254739999999988E-3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42073</v>
      </c>
      <c r="B7" s="24" t="e">
        <v>#N/A</v>
      </c>
      <c r="C7" s="24">
        <v>-2.4905681999999998E-2</v>
      </c>
      <c r="D7" s="24">
        <v>-2.2500931999999998E-2</v>
      </c>
      <c r="E7" s="24">
        <v>2.1897554E-3</v>
      </c>
      <c r="F7" s="24">
        <v>-4.6881733000000002E-2</v>
      </c>
      <c r="G7" s="24">
        <v>-6.99901E-2</v>
      </c>
      <c r="H7" s="24">
        <v>-5.5760740000000003E-2</v>
      </c>
      <c r="I7" s="24">
        <v>-7.7419280000000004E-3</v>
      </c>
      <c r="J7" s="24">
        <v>-4.0117082999999998E-2</v>
      </c>
      <c r="K7" s="24">
        <v>-1.3283013999999999E-2</v>
      </c>
      <c r="L7" s="24">
        <v>-9.9881829999999991E-2</v>
      </c>
      <c r="M7" s="24">
        <v>-8.105743E-2</v>
      </c>
      <c r="N7" s="24">
        <v>-7.5732889999999997E-2</v>
      </c>
      <c r="O7" s="24">
        <v>4.3804645999999999E-3</v>
      </c>
      <c r="P7" s="24">
        <v>-2.1526396E-2</v>
      </c>
      <c r="Q7" s="24">
        <v>-2.056539E-3</v>
      </c>
      <c r="R7" s="24">
        <v>-4.0076199999999999E-2</v>
      </c>
      <c r="S7" s="24">
        <v>-0.11389846000000001</v>
      </c>
      <c r="T7" s="24">
        <v>-8.3638429999999993E-3</v>
      </c>
      <c r="U7" s="24">
        <v>-1.5400887E-2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42104</v>
      </c>
      <c r="B8" s="24" t="e">
        <v>#N/A</v>
      </c>
      <c r="C8" s="24">
        <v>7.5335502999999998E-2</v>
      </c>
      <c r="D8" s="24">
        <v>5.1320789999999998E-2</v>
      </c>
      <c r="E8" s="24">
        <v>4.2243360000000001E-2</v>
      </c>
      <c r="F8" s="24">
        <v>8.1227420000000009E-2</v>
      </c>
      <c r="G8" s="24">
        <v>3.9048672E-2</v>
      </c>
      <c r="H8" s="24">
        <v>6.0617923999999997E-2</v>
      </c>
      <c r="I8" s="24">
        <v>4.0312050000000002E-2</v>
      </c>
      <c r="J8" s="24">
        <v>7.1748853000000001E-2</v>
      </c>
      <c r="K8" s="24">
        <v>8.4227679999999999E-2</v>
      </c>
      <c r="L8" s="24">
        <v>0.13099157</v>
      </c>
      <c r="M8" s="24">
        <v>0.120629425</v>
      </c>
      <c r="N8" s="24">
        <v>-2.4669647000000003E-2</v>
      </c>
      <c r="O8" s="24">
        <v>3.8317918999999999E-2</v>
      </c>
      <c r="P8" s="24">
        <v>0.245</v>
      </c>
      <c r="Q8" s="24">
        <v>-1.0452448999999999E-2</v>
      </c>
      <c r="R8" s="24">
        <v>1.0966301000000001E-2</v>
      </c>
      <c r="S8" s="24">
        <v>8.5159780000000004E-2</v>
      </c>
      <c r="T8" s="24">
        <v>4.0598629999999997E-2</v>
      </c>
      <c r="U8" s="24">
        <v>-6.4185560000000003E-2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42132</v>
      </c>
      <c r="B9" s="24" t="e">
        <v>#N/A</v>
      </c>
      <c r="C9" s="24">
        <v>4.7264934000000002E-2</v>
      </c>
      <c r="D9" s="24">
        <v>-7.7530503000000001E-2</v>
      </c>
      <c r="E9" s="24">
        <v>-4.8218009999999999E-2</v>
      </c>
      <c r="F9" s="24">
        <v>9.098494E-2</v>
      </c>
      <c r="G9" s="24">
        <v>4.8172235000000001E-2</v>
      </c>
      <c r="H9" s="24">
        <v>8.8495016000000003E-3</v>
      </c>
      <c r="I9" s="24">
        <v>2.7500033E-2</v>
      </c>
      <c r="J9" s="24">
        <v>3.6820173000000002E-3</v>
      </c>
      <c r="K9" s="24">
        <v>6.3759089999999999E-3</v>
      </c>
      <c r="L9" s="24">
        <v>7.9535484000000004E-2</v>
      </c>
      <c r="M9" s="24">
        <v>-2.0848095000000001E-2</v>
      </c>
      <c r="N9" s="24">
        <v>0.14272797000000001</v>
      </c>
      <c r="O9" s="24">
        <v>-9.3609449999999997E-2</v>
      </c>
      <c r="P9" s="24">
        <v>-1.0763049E-2</v>
      </c>
      <c r="Q9" s="24">
        <v>3.196156E-2</v>
      </c>
      <c r="R9" s="24">
        <v>-2.4111151999999997E-2</v>
      </c>
      <c r="S9" s="24">
        <v>-7.9948899999999993E-3</v>
      </c>
      <c r="T9" s="24">
        <v>5.1178575000000004E-2</v>
      </c>
      <c r="U9" s="24">
        <v>-2.3055076999999998E-3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42165</v>
      </c>
      <c r="B10" s="24" t="e">
        <v>#N/A</v>
      </c>
      <c r="C10" s="24">
        <v>-8.361971E-2</v>
      </c>
      <c r="D10" s="24">
        <v>-6.8871616999999996E-2</v>
      </c>
      <c r="E10" s="24">
        <v>-6.0205580000000002E-2</v>
      </c>
      <c r="F10" s="24">
        <v>-6.9242534999999994E-2</v>
      </c>
      <c r="G10" s="24">
        <v>-3.5874784E-2</v>
      </c>
      <c r="H10" s="24">
        <v>-7.4561415000000006E-2</v>
      </c>
      <c r="I10" s="24">
        <v>-4.1362523999999998E-2</v>
      </c>
      <c r="J10" s="24">
        <v>-3.3850312E-2</v>
      </c>
      <c r="K10" s="24">
        <v>-6.2354090000000001E-2</v>
      </c>
      <c r="L10" s="24">
        <v>-9.572457999999999E-2</v>
      </c>
      <c r="M10" s="24">
        <v>-7.3435663999999998E-2</v>
      </c>
      <c r="N10" s="24">
        <v>-4.9802183999999999E-2</v>
      </c>
      <c r="O10" s="24">
        <v>-2.5157154000000001E-2</v>
      </c>
      <c r="P10" s="24">
        <v>-4.5631703999999995E-2</v>
      </c>
      <c r="Q10" s="24">
        <v>-4.6343565000000003E-2</v>
      </c>
      <c r="R10" s="24">
        <v>-4.2833089999999999E-3</v>
      </c>
      <c r="S10" s="24">
        <v>-5.790037E-2</v>
      </c>
      <c r="T10" s="24">
        <v>9.8757744000000005E-3</v>
      </c>
      <c r="U10" s="24">
        <v>2.1374939999999999E-2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42195</v>
      </c>
      <c r="B11" s="24" t="e">
        <v>#N/A</v>
      </c>
      <c r="C11" s="24">
        <v>-4.9957395000000002E-2</v>
      </c>
      <c r="D11" s="24">
        <v>-7.5741409999999995E-3</v>
      </c>
      <c r="E11" s="24">
        <v>-7.9834459999999997E-4</v>
      </c>
      <c r="F11" s="24">
        <v>-5.8315039999999999E-2</v>
      </c>
      <c r="G11" s="24">
        <v>-2.349335E-2</v>
      </c>
      <c r="H11" s="24">
        <v>-2.612567E-2</v>
      </c>
      <c r="I11" s="24">
        <v>-3.0456899999999999E-2</v>
      </c>
      <c r="J11" s="24">
        <v>-2.0841359999999999E-3</v>
      </c>
      <c r="K11" s="24">
        <v>-4.7297297000000002E-2</v>
      </c>
      <c r="L11" s="24">
        <v>-2.8814256E-2</v>
      </c>
      <c r="M11" s="24">
        <v>5.0860643000000009E-3</v>
      </c>
      <c r="N11" s="24">
        <v>-6.3228010000000001E-2</v>
      </c>
      <c r="O11" s="24">
        <v>3.8974524000000003E-2</v>
      </c>
      <c r="P11" s="24">
        <v>-0.10119444</v>
      </c>
      <c r="Q11" s="24">
        <v>-1.5158296E-2</v>
      </c>
      <c r="R11" s="24">
        <v>-1.2725710999999999E-2</v>
      </c>
      <c r="S11" s="24">
        <v>5.825615E-2</v>
      </c>
      <c r="T11" s="24">
        <v>-2.5993050000000004E-2</v>
      </c>
      <c r="U11" s="24">
        <v>7.6923130000000006E-2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42226</v>
      </c>
      <c r="B12" s="24" t="e">
        <v>#N/A</v>
      </c>
      <c r="C12" s="24">
        <v>-3.3911883999999996E-2</v>
      </c>
      <c r="D12" s="24">
        <v>-4.1382313000000004E-2</v>
      </c>
      <c r="E12" s="24">
        <v>2.3591518000000001E-3</v>
      </c>
      <c r="F12" s="24">
        <v>-2.6419997000000001E-2</v>
      </c>
      <c r="G12" s="24">
        <v>-8.0543940000000008E-2</v>
      </c>
      <c r="H12" s="24">
        <v>-7.8060809999999994E-2</v>
      </c>
      <c r="I12" s="24">
        <v>-5.3010464E-2</v>
      </c>
      <c r="J12" s="24">
        <v>-9.9285840000000007E-3</v>
      </c>
      <c r="K12" s="24">
        <v>-5.5804434E-2</v>
      </c>
      <c r="L12" s="24">
        <v>-0.13474738999999999</v>
      </c>
      <c r="M12" s="24">
        <v>-1.6627490000000002E-2</v>
      </c>
      <c r="N12" s="24">
        <v>-9.8579109999999998E-2</v>
      </c>
      <c r="O12" s="24">
        <v>2.2973417999999999E-2</v>
      </c>
      <c r="P12" s="24">
        <v>-2.5439918000000002E-2</v>
      </c>
      <c r="Q12" s="24">
        <v>-4.7532319999999996E-3</v>
      </c>
      <c r="R12" s="24">
        <v>-4.3619100000000001E-2</v>
      </c>
      <c r="S12" s="24">
        <v>-9.8214260000000012E-2</v>
      </c>
      <c r="T12" s="24">
        <v>3.3232569999999996E-2</v>
      </c>
      <c r="U12" s="24">
        <v>-4.7794223000000004E-2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42257</v>
      </c>
      <c r="B13" s="24" t="e">
        <v>#N/A</v>
      </c>
      <c r="C13" s="24">
        <v>-4.8645734999999996E-2</v>
      </c>
      <c r="D13" s="24">
        <v>-0.16466396</v>
      </c>
      <c r="E13" s="24">
        <v>-0.10381800000000001</v>
      </c>
      <c r="F13" s="24">
        <v>-6.3320399999999997E-3</v>
      </c>
      <c r="G13" s="24">
        <v>-0.13045125999999999</v>
      </c>
      <c r="H13" s="24">
        <v>-0.11497325</v>
      </c>
      <c r="I13" s="24">
        <v>-5.8051167000000001E-2</v>
      </c>
      <c r="J13" s="24">
        <v>-8.4271670000000007E-2</v>
      </c>
      <c r="K13" s="24">
        <v>-4.1312512999999995E-2</v>
      </c>
      <c r="L13" s="24">
        <v>-0.16546505</v>
      </c>
      <c r="M13" s="24">
        <v>-0.13335454999999999</v>
      </c>
      <c r="N13" s="24">
        <v>-6.8965553999999997E-3</v>
      </c>
      <c r="O13" s="24">
        <v>-0.12479949</v>
      </c>
      <c r="P13" s="24">
        <v>-0.12502449999999998</v>
      </c>
      <c r="Q13" s="24">
        <v>4.7760010000000002E-3</v>
      </c>
      <c r="R13" s="24">
        <v>-1.6878724000000001E-2</v>
      </c>
      <c r="S13" s="24">
        <v>-0.14803189</v>
      </c>
      <c r="T13" s="24">
        <v>-0.12694931000000001</v>
      </c>
      <c r="U13" s="24">
        <v>-0.115278425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42286</v>
      </c>
      <c r="B14" s="24" t="e">
        <v>#N/A</v>
      </c>
      <c r="C14" s="24">
        <v>3.7187814999999999E-2</v>
      </c>
      <c r="D14" s="24">
        <v>0.17314863</v>
      </c>
      <c r="E14" s="24">
        <v>7.2366475999999999E-2</v>
      </c>
      <c r="F14" s="24">
        <v>2.2758244999999998E-3</v>
      </c>
      <c r="G14" s="24">
        <v>5.5385946999999998E-2</v>
      </c>
      <c r="H14" s="24">
        <v>0.12688816</v>
      </c>
      <c r="I14" s="24">
        <v>3.9618491999999998E-2</v>
      </c>
      <c r="J14" s="24">
        <v>5.6292057E-2</v>
      </c>
      <c r="K14" s="24">
        <v>0.10082471999999999</v>
      </c>
      <c r="L14" s="24">
        <v>9.0712790000000001E-2</v>
      </c>
      <c r="M14" s="24">
        <v>9.7736000000000003E-2</v>
      </c>
      <c r="N14" s="24">
        <v>2.2817492000000002E-2</v>
      </c>
      <c r="O14" s="24">
        <v>8.4677330000000009E-2</v>
      </c>
      <c r="P14" s="24">
        <v>6.6397430000000007E-2</v>
      </c>
      <c r="Q14" s="24">
        <v>-9.0538860000000006E-3</v>
      </c>
      <c r="R14" s="24">
        <v>1.086545E-2</v>
      </c>
      <c r="S14" s="24">
        <v>0.14597511000000002</v>
      </c>
      <c r="T14" s="24">
        <v>1.6868472000000002E-2</v>
      </c>
      <c r="U14" s="24">
        <v>0.11097251999999999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42318</v>
      </c>
      <c r="B15" s="24" t="e">
        <v>#N/A</v>
      </c>
      <c r="C15" s="24">
        <v>-4.9859999999999995E-2</v>
      </c>
      <c r="D15" s="24">
        <v>-8.1743900000000008E-2</v>
      </c>
      <c r="E15" s="24">
        <v>-7.455784E-2</v>
      </c>
      <c r="F15" s="24">
        <v>-0.10399639000000001</v>
      </c>
      <c r="G15" s="24">
        <v>-6.6626310000000008E-2</v>
      </c>
      <c r="H15" s="24">
        <v>-9.0259075000000008E-2</v>
      </c>
      <c r="I15" s="24">
        <v>-3.0345798E-2</v>
      </c>
      <c r="J15" s="24">
        <v>-2.3281157E-2</v>
      </c>
      <c r="K15" s="24">
        <v>-1.4609456E-2</v>
      </c>
      <c r="L15" s="24">
        <v>-5.8217819999999997E-2</v>
      </c>
      <c r="M15" s="24">
        <v>-8.4171715000000008E-2</v>
      </c>
      <c r="N15" s="24">
        <v>-7.6624513000000005E-2</v>
      </c>
      <c r="O15" s="24">
        <v>-8.4487970000000009E-2</v>
      </c>
      <c r="P15" s="24">
        <v>-1.2200295999999999E-2</v>
      </c>
      <c r="Q15" s="24">
        <v>-6.8524420000000003E-2</v>
      </c>
      <c r="R15" s="24">
        <v>-9.1757180000000011E-3</v>
      </c>
      <c r="S15" s="24">
        <v>2.9433608000000003E-2</v>
      </c>
      <c r="T15" s="24">
        <v>-0.11868996</v>
      </c>
      <c r="U15" s="24">
        <v>-7.0145902999999996E-2</v>
      </c>
      <c r="V15" s="24">
        <v>-8.8268579999999999E-2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42348</v>
      </c>
      <c r="B16" s="24" t="e">
        <v>#N/A</v>
      </c>
      <c r="C16" s="24">
        <v>-7.3702754999999995E-2</v>
      </c>
      <c r="D16" s="24">
        <v>-6.429255E-3</v>
      </c>
      <c r="E16" s="24">
        <v>-8.526802E-3</v>
      </c>
      <c r="F16" s="24">
        <v>-0.11099838999999999</v>
      </c>
      <c r="G16" s="24">
        <v>-6.7665577000000005E-2</v>
      </c>
      <c r="H16" s="24">
        <v>2.1610974999999998E-2</v>
      </c>
      <c r="I16" s="24">
        <v>-4.1484713999999999E-2</v>
      </c>
      <c r="J16" s="24">
        <v>-5.9590339999999999E-2</v>
      </c>
      <c r="K16" s="24">
        <v>-3.8205683000000004E-2</v>
      </c>
      <c r="L16" s="24">
        <v>-3.7426472000000002E-2</v>
      </c>
      <c r="M16" s="24">
        <v>-0.16788720999999998</v>
      </c>
      <c r="N16" s="24">
        <v>-0.14285726000000001</v>
      </c>
      <c r="O16" s="24">
        <v>-2.3624957000000002E-2</v>
      </c>
      <c r="P16" s="24">
        <v>-4.3441239999999999E-2</v>
      </c>
      <c r="Q16" s="24">
        <v>-0.10031879</v>
      </c>
      <c r="R16" s="24">
        <v>-7.1911810000000007E-2</v>
      </c>
      <c r="S16" s="24">
        <v>-0.12349833</v>
      </c>
      <c r="T16" s="24">
        <v>-8.1283090000000002E-2</v>
      </c>
      <c r="U16" s="24">
        <v>-8.8714484999999996E-2</v>
      </c>
      <c r="V16" s="24">
        <v>1.7376900000000001E-2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42377</v>
      </c>
      <c r="B17" s="24" t="e">
        <v>#N/A</v>
      </c>
      <c r="C17" s="24">
        <v>-4.0515423000000002E-2</v>
      </c>
      <c r="D17" s="24">
        <v>4.3936968000000002E-3</v>
      </c>
      <c r="E17" s="24">
        <v>-6.7512216999999999E-2</v>
      </c>
      <c r="F17" s="24">
        <v>-4.5946417000000003E-2</v>
      </c>
      <c r="G17" s="24">
        <v>-8.3164990000000008E-2</v>
      </c>
      <c r="H17" s="24">
        <v>-4.5337677E-2</v>
      </c>
      <c r="I17" s="24">
        <v>-8.2610430000000012E-2</v>
      </c>
      <c r="J17" s="24">
        <v>-8.8296050000000015E-2</v>
      </c>
      <c r="K17" s="24">
        <v>-5.4572525000000004E-2</v>
      </c>
      <c r="L17" s="24">
        <v>-0.15665567</v>
      </c>
      <c r="M17" s="24">
        <v>-7.5829744000000004E-2</v>
      </c>
      <c r="N17" s="24">
        <v>-9.7053710000000001E-2</v>
      </c>
      <c r="O17" s="24">
        <v>-1.6666532000000001E-2</v>
      </c>
      <c r="P17" s="24">
        <v>-9.7534120000000002E-2</v>
      </c>
      <c r="Q17" s="24">
        <v>-2.0342946000000001E-2</v>
      </c>
      <c r="R17" s="24">
        <v>-4.1330757000000003E-2</v>
      </c>
      <c r="S17" s="24">
        <v>-6.6343009999999994E-2</v>
      </c>
      <c r="T17" s="24">
        <v>1.8250346000000001E-2</v>
      </c>
      <c r="U17" s="24">
        <v>-3.9540946E-2</v>
      </c>
      <c r="V17" s="24">
        <v>-0.11537069000000001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42410</v>
      </c>
      <c r="B18" s="24" t="e">
        <v>#N/A</v>
      </c>
      <c r="C18" s="24">
        <v>7.45672E-2</v>
      </c>
      <c r="D18" s="24">
        <v>0.11022842000000001</v>
      </c>
      <c r="E18" s="24">
        <v>2.7130603999999999E-2</v>
      </c>
      <c r="F18" s="24">
        <v>4.8455476999999997E-2</v>
      </c>
      <c r="G18" s="24">
        <v>5.4830313000000006E-2</v>
      </c>
      <c r="H18" s="24">
        <v>7.6923012999999998E-2</v>
      </c>
      <c r="I18" s="24">
        <v>3.4129619999999999E-2</v>
      </c>
      <c r="J18" s="24">
        <v>-4.4083595000000004E-4</v>
      </c>
      <c r="K18" s="24">
        <v>4.4938325999999999E-3</v>
      </c>
      <c r="L18" s="24">
        <v>3.3263444999999996E-2</v>
      </c>
      <c r="M18" s="24">
        <v>5.0642132999999999E-2</v>
      </c>
      <c r="N18" s="24">
        <v>-0.21900827</v>
      </c>
      <c r="O18" s="24">
        <v>-5.4221510000000001E-2</v>
      </c>
      <c r="P18" s="24">
        <v>-9.1045490000000007E-2</v>
      </c>
      <c r="Q18" s="24">
        <v>-1.2522279999999998E-2</v>
      </c>
      <c r="R18" s="24">
        <v>4.8674583E-2</v>
      </c>
      <c r="S18" s="24">
        <v>5.3450822999999995E-2</v>
      </c>
      <c r="T18" s="24">
        <v>2.6737452E-3</v>
      </c>
      <c r="U18" s="24">
        <v>-5.4402293999999997E-2</v>
      </c>
      <c r="V18" s="24">
        <v>-5.7254553E-2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42439</v>
      </c>
      <c r="B19" s="24" t="e">
        <v>#N/A</v>
      </c>
      <c r="C19" s="24">
        <v>9.2627050000000002E-2</v>
      </c>
      <c r="D19" s="24">
        <v>3.4883617999999998E-2</v>
      </c>
      <c r="E19" s="24">
        <v>7.6134324000000003E-2</v>
      </c>
      <c r="F19" s="24">
        <v>7.4523450000000005E-2</v>
      </c>
      <c r="G19" s="24">
        <v>0.21930682999999998</v>
      </c>
      <c r="H19" s="24">
        <v>4.3367386000000001E-2</v>
      </c>
      <c r="I19" s="24">
        <v>0.1072607</v>
      </c>
      <c r="J19" s="24">
        <v>0.11091518</v>
      </c>
      <c r="K19" s="24">
        <v>5.6028960000000003E-2</v>
      </c>
      <c r="L19" s="24">
        <v>0.31660317999999998</v>
      </c>
      <c r="M19" s="24">
        <v>0.12476933000000001</v>
      </c>
      <c r="N19" s="24">
        <v>0.27689589000000003</v>
      </c>
      <c r="O19" s="24">
        <v>5.7739496000000001E-2</v>
      </c>
      <c r="P19" s="24">
        <v>9.8238829999999999E-2</v>
      </c>
      <c r="Q19" s="24">
        <v>9.8956820000000001E-2</v>
      </c>
      <c r="R19" s="24">
        <v>5.6961536E-2</v>
      </c>
      <c r="S19" s="24">
        <v>0.12991357000000001</v>
      </c>
      <c r="T19" s="24">
        <v>0.11155331</v>
      </c>
      <c r="U19" s="24">
        <v>9.7653269999999986E-2</v>
      </c>
      <c r="V19" s="24">
        <v>9.4146370000000007E-2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42468</v>
      </c>
      <c r="B20" s="24" t="e">
        <v>#N/A</v>
      </c>
      <c r="C20" s="24">
        <v>1.2758732E-2</v>
      </c>
      <c r="D20" s="24">
        <v>1.1235952E-2</v>
      </c>
      <c r="E20" s="24">
        <v>4.0138600000000003E-2</v>
      </c>
      <c r="F20" s="24">
        <v>3.3333301999999995E-2</v>
      </c>
      <c r="G20" s="24">
        <v>1.8270493000000002E-2</v>
      </c>
      <c r="H20" s="24">
        <v>7.457208600000001E-2</v>
      </c>
      <c r="I20" s="24">
        <v>-1.0432243000000001E-2</v>
      </c>
      <c r="J20" s="24">
        <v>1.6673325999999999E-2</v>
      </c>
      <c r="K20" s="24">
        <v>3.7926197000000002E-2</v>
      </c>
      <c r="L20" s="24">
        <v>2.2718549000000001E-2</v>
      </c>
      <c r="M20" s="24">
        <v>5.3106426999999998E-2</v>
      </c>
      <c r="N20" s="24">
        <v>-8.2873106000000002E-3</v>
      </c>
      <c r="O20" s="24">
        <v>1.2388706000000001E-2</v>
      </c>
      <c r="P20" s="24">
        <v>4.159355E-2</v>
      </c>
      <c r="Q20" s="24">
        <v>-6.6700579999999995E-3</v>
      </c>
      <c r="R20" s="24">
        <v>-6.8307519999999998E-3</v>
      </c>
      <c r="S20" s="24">
        <v>6.4890265000000003E-2</v>
      </c>
      <c r="T20" s="24">
        <v>1.7195106000000002E-2</v>
      </c>
      <c r="U20" s="24">
        <v>-4.3448266999999999E-2</v>
      </c>
      <c r="V20" s="24">
        <v>2.0062922999999999E-3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42500</v>
      </c>
      <c r="B21" s="24" t="e">
        <v>#N/A</v>
      </c>
      <c r="C21" s="24">
        <v>2.4916052999999997E-2</v>
      </c>
      <c r="D21" s="24">
        <v>-3.2905996E-2</v>
      </c>
      <c r="E21" s="24">
        <v>-1.6657472E-2</v>
      </c>
      <c r="F21" s="24">
        <v>-7.1279883000000002E-2</v>
      </c>
      <c r="G21" s="24">
        <v>0.17783092</v>
      </c>
      <c r="H21" s="24">
        <v>-7.6223016000000005E-2</v>
      </c>
      <c r="I21" s="24">
        <v>-4.8192739999999998E-2</v>
      </c>
      <c r="J21" s="24">
        <v>6.0522556000000005E-3</v>
      </c>
      <c r="K21" s="24">
        <v>-8.7463856E-3</v>
      </c>
      <c r="L21" s="24">
        <v>9.1114520000000004E-2</v>
      </c>
      <c r="M21" s="24">
        <v>-2.2001564999999997E-2</v>
      </c>
      <c r="N21" s="24">
        <v>0.18523693000000002</v>
      </c>
      <c r="O21" s="24">
        <v>4.0153027000000001E-2</v>
      </c>
      <c r="P21" s="24">
        <v>-2.1409630000000002E-2</v>
      </c>
      <c r="Q21" s="24">
        <v>-1.7561971999999999E-2</v>
      </c>
      <c r="R21" s="24">
        <v>1.496017E-2</v>
      </c>
      <c r="S21" s="24">
        <v>-7.0667267000000006E-2</v>
      </c>
      <c r="T21" s="24">
        <v>-1.0619103999999999E-2</v>
      </c>
      <c r="U21" s="24">
        <v>1.8024564E-2</v>
      </c>
      <c r="V21" s="24">
        <v>7.8976629999999992E-2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42531</v>
      </c>
      <c r="B22" s="24" t="e">
        <v>#N/A</v>
      </c>
      <c r="C22" s="24">
        <v>-1.5569508000000001E-2</v>
      </c>
      <c r="D22" s="24">
        <v>1.237297E-2</v>
      </c>
      <c r="E22" s="24">
        <v>7.1710943999999999E-2</v>
      </c>
      <c r="F22" s="24">
        <v>-2.8571426999999996E-2</v>
      </c>
      <c r="G22" s="24">
        <v>1.5572071E-2</v>
      </c>
      <c r="H22" s="24">
        <v>-1.3546765000000001E-2</v>
      </c>
      <c r="I22" s="24">
        <v>7.6740503000000002E-2</v>
      </c>
      <c r="J22" s="24">
        <v>-4.6962919999999998E-2</v>
      </c>
      <c r="K22" s="24">
        <v>1.4705896000000001E-2</v>
      </c>
      <c r="L22" s="24">
        <v>-6.1076639999999995E-2</v>
      </c>
      <c r="M22" s="24">
        <v>3.8025139999999999E-2</v>
      </c>
      <c r="N22" s="24">
        <v>-5.4641666000000005E-2</v>
      </c>
      <c r="O22" s="24">
        <v>1.5808821000000001E-2</v>
      </c>
      <c r="P22" s="24">
        <v>2.1878004E-2</v>
      </c>
      <c r="Q22" s="24">
        <v>-2.0504772999999997E-2</v>
      </c>
      <c r="R22" s="24">
        <v>2.8112411E-2</v>
      </c>
      <c r="S22" s="24">
        <v>-1.5208185000000001E-2</v>
      </c>
      <c r="T22" s="24">
        <v>4.7736167999999999E-3</v>
      </c>
      <c r="U22" s="24">
        <v>4.9575090000000002E-2</v>
      </c>
      <c r="V22" s="24">
        <v>-3.3195913000000001E-2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42559</v>
      </c>
      <c r="B23" s="24" t="e">
        <v>#N/A</v>
      </c>
      <c r="C23" s="24">
        <v>5.0604699999999996E-2</v>
      </c>
      <c r="D23" s="24">
        <v>8.2279440000000009E-2</v>
      </c>
      <c r="E23" s="24">
        <v>3.5578369999999998E-2</v>
      </c>
      <c r="F23" s="24">
        <v>-5.0222216E-2</v>
      </c>
      <c r="G23" s="24">
        <v>7.6350926999999999E-2</v>
      </c>
      <c r="H23" s="24">
        <v>4.2051553999999998E-2</v>
      </c>
      <c r="I23" s="24">
        <v>3.8207293000000003E-2</v>
      </c>
      <c r="J23" s="24">
        <v>2.3631573000000003E-2</v>
      </c>
      <c r="K23" s="24">
        <v>1.3719797000000001E-2</v>
      </c>
      <c r="L23" s="24">
        <v>0.12519741000000001</v>
      </c>
      <c r="M23" s="24">
        <v>3.1937479999999997E-2</v>
      </c>
      <c r="N23" s="24">
        <v>-0.14481056</v>
      </c>
      <c r="O23" s="24">
        <v>3.6364793999999999E-2</v>
      </c>
      <c r="P23" s="24">
        <v>2.5939584000000002E-2</v>
      </c>
      <c r="Q23" s="24">
        <v>1.1972547E-2</v>
      </c>
      <c r="R23" s="24">
        <v>1.8499732000000001E-2</v>
      </c>
      <c r="S23" s="24">
        <v>4.1321159999999996E-2</v>
      </c>
      <c r="T23" s="24">
        <v>2.1178365000000001E-2</v>
      </c>
      <c r="U23" s="24">
        <v>1.8893480000000001E-2</v>
      </c>
      <c r="V23" s="24">
        <v>-4.2743263000000004E-2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42592</v>
      </c>
      <c r="B24" s="24">
        <v>1.7396450000000001E-2</v>
      </c>
      <c r="C24" s="24">
        <v>4.0355085999999998E-2</v>
      </c>
      <c r="D24" s="24">
        <v>8.3978769999999994E-2</v>
      </c>
      <c r="E24" s="24">
        <v>2.7572155000000001E-2</v>
      </c>
      <c r="F24" s="24">
        <v>0.14850890999999999</v>
      </c>
      <c r="G24" s="24">
        <v>9.4110369999999999E-2</v>
      </c>
      <c r="H24" s="24">
        <v>1.3349533E-2</v>
      </c>
      <c r="I24" s="24">
        <v>0.10969567</v>
      </c>
      <c r="J24" s="24">
        <v>4.6287060000000005E-2</v>
      </c>
      <c r="K24" s="24">
        <v>9.1689000000000007E-2</v>
      </c>
      <c r="L24" s="24">
        <v>0.12273777000000001</v>
      </c>
      <c r="M24" s="24">
        <v>0.14017618000000001</v>
      </c>
      <c r="N24" s="24">
        <v>5.2325606000000004E-2</v>
      </c>
      <c r="O24" s="24">
        <v>2.9866456999999999E-2</v>
      </c>
      <c r="P24" s="24">
        <v>6.8256973999999998E-2</v>
      </c>
      <c r="Q24" s="24">
        <v>0.11166107</v>
      </c>
      <c r="R24" s="24">
        <v>6.3531755999999995E-2</v>
      </c>
      <c r="S24" s="24">
        <v>-2.386278E-2</v>
      </c>
      <c r="T24" s="24">
        <v>4.7022700000000001E-2</v>
      </c>
      <c r="U24" s="24">
        <v>-1.5894115E-2</v>
      </c>
      <c r="V24" s="24">
        <v>2.391076E-2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42622</v>
      </c>
      <c r="B25" s="24">
        <v>3.0846595999999998E-3</v>
      </c>
      <c r="C25" s="24">
        <v>-5.3271236E-2</v>
      </c>
      <c r="D25" s="24">
        <v>-6.6942510000000011E-2</v>
      </c>
      <c r="E25" s="24">
        <v>-9.3416099999999988E-2</v>
      </c>
      <c r="F25" s="24">
        <v>-5.1934359999999999E-2</v>
      </c>
      <c r="G25" s="24">
        <v>-4.9273670000000006E-2</v>
      </c>
      <c r="H25" s="24">
        <v>-2.8742611000000001E-2</v>
      </c>
      <c r="I25" s="24">
        <v>-4.0816364000000001E-2</v>
      </c>
      <c r="J25" s="24">
        <v>-5.3856554000000001E-2</v>
      </c>
      <c r="K25" s="24">
        <v>-1.5889644999999997E-2</v>
      </c>
      <c r="L25" s="24">
        <v>-3.0480564000000002E-2</v>
      </c>
      <c r="M25" s="24">
        <v>-9.4390389999999991E-2</v>
      </c>
      <c r="N25" s="24">
        <v>-6.906092E-3</v>
      </c>
      <c r="O25" s="24">
        <v>4.4354199999999998E-3</v>
      </c>
      <c r="P25" s="24">
        <v>6.1905740000000001E-2</v>
      </c>
      <c r="Q25" s="24">
        <v>-4.3043016999999996E-2</v>
      </c>
      <c r="R25" s="24">
        <v>-6.6434980000000005E-2</v>
      </c>
      <c r="S25" s="24">
        <v>-2.9284477E-2</v>
      </c>
      <c r="T25" s="24">
        <v>-1.5077709999999999E-2</v>
      </c>
      <c r="U25" s="24">
        <v>-2.0188391E-2</v>
      </c>
      <c r="V25" s="24">
        <v>-3.6013483999999998E-2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42653</v>
      </c>
      <c r="B26" s="24">
        <v>0</v>
      </c>
      <c r="C26" s="24">
        <v>1.3930559E-2</v>
      </c>
      <c r="D26" s="24">
        <v>6.1265590000000002E-2</v>
      </c>
      <c r="E26" s="24">
        <v>1.9183159E-3</v>
      </c>
      <c r="F26" s="24">
        <v>3.5215258999999999E-2</v>
      </c>
      <c r="G26" s="24">
        <v>-4.0443420000000001E-2</v>
      </c>
      <c r="H26" s="24">
        <v>3.6991835000000002E-3</v>
      </c>
      <c r="I26" s="24">
        <v>5.6515929999999999E-2</v>
      </c>
      <c r="J26" s="24">
        <v>3.5169720000000002E-2</v>
      </c>
      <c r="K26" s="24">
        <v>3.2647252000000002E-2</v>
      </c>
      <c r="L26" s="24">
        <v>8.4340930000000008E-2</v>
      </c>
      <c r="M26" s="24">
        <v>2.0771622999999999E-2</v>
      </c>
      <c r="N26" s="24">
        <v>2.9902696999999999E-2</v>
      </c>
      <c r="O26" s="24">
        <v>1.5625E-2</v>
      </c>
      <c r="P26" s="24">
        <v>3.6019086999999998E-2</v>
      </c>
      <c r="Q26" s="24">
        <v>2.0630359999999999E-3</v>
      </c>
      <c r="R26" s="24">
        <v>8.1230399999999998E-3</v>
      </c>
      <c r="S26" s="24">
        <v>-1.2067138999999999E-2</v>
      </c>
      <c r="T26" s="24">
        <v>-3.8467170000000002E-2</v>
      </c>
      <c r="U26" s="24">
        <v>2.3351549999999999E-2</v>
      </c>
      <c r="V26" s="24">
        <v>-4.6004352999999998E-2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42684</v>
      </c>
      <c r="B27" s="24">
        <v>4.9353838000000001E-3</v>
      </c>
      <c r="C27" s="24">
        <v>3.1788825999999999E-2</v>
      </c>
      <c r="D27" s="24">
        <v>-7.1021675999999992E-2</v>
      </c>
      <c r="E27" s="24">
        <v>-8.342456999999999E-2</v>
      </c>
      <c r="F27" s="24">
        <v>-3.4557283000000001E-2</v>
      </c>
      <c r="G27" s="24">
        <v>5.5260660000000003E-2</v>
      </c>
      <c r="H27" s="24">
        <v>-7.6474246999999995E-2</v>
      </c>
      <c r="I27" s="24">
        <v>-5.6954089999999999E-2</v>
      </c>
      <c r="J27" s="24">
        <v>-0.13197165499999999</v>
      </c>
      <c r="K27" s="24">
        <v>-8.7457069999999998E-2</v>
      </c>
      <c r="L27" s="24">
        <v>-6.7465780000000003E-2</v>
      </c>
      <c r="M27" s="24">
        <v>-6.8495630000000002E-2</v>
      </c>
      <c r="N27" s="24">
        <v>-2.093184E-2</v>
      </c>
      <c r="O27" s="24">
        <v>-7.0234117999999998E-2</v>
      </c>
      <c r="P27" s="24">
        <v>-8.0586800000000014E-2</v>
      </c>
      <c r="Q27" s="24">
        <v>-5.7791469999999998E-2</v>
      </c>
      <c r="R27" s="24">
        <v>3.928566E-2</v>
      </c>
      <c r="S27" s="24">
        <v>-9.426445E-2</v>
      </c>
      <c r="T27" s="24">
        <v>-4.2814612000000002E-2</v>
      </c>
      <c r="U27" s="24">
        <v>-8.7919420000000012E-2</v>
      </c>
      <c r="V27" s="24">
        <v>0.12989020000000001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42713</v>
      </c>
      <c r="B28" s="24">
        <v>7.9334973999999996E-3</v>
      </c>
      <c r="C28" s="24">
        <v>3.6031365000000003E-2</v>
      </c>
      <c r="D28" s="24">
        <v>3.2707452999999999E-3</v>
      </c>
      <c r="E28" s="24">
        <v>-8.3556770000000006E-3</v>
      </c>
      <c r="F28" s="24">
        <v>6.7114830000000007E-3</v>
      </c>
      <c r="G28" s="24">
        <v>-2.455616E-2</v>
      </c>
      <c r="H28" s="24">
        <v>-9.9760293999999992E-4</v>
      </c>
      <c r="I28" s="24">
        <v>4.6379805000000003E-2</v>
      </c>
      <c r="J28" s="24">
        <v>3.710401E-2</v>
      </c>
      <c r="K28" s="24">
        <v>3.5586475999999999E-2</v>
      </c>
      <c r="L28" s="24">
        <v>-1.8834113999999999E-2</v>
      </c>
      <c r="M28" s="24">
        <v>2.9842019999999997E-2</v>
      </c>
      <c r="N28" s="24">
        <v>0.13655174</v>
      </c>
      <c r="O28" s="24">
        <v>-1.2589872E-2</v>
      </c>
      <c r="P28" s="24">
        <v>1.0054588E-2</v>
      </c>
      <c r="Q28" s="24">
        <v>9.3100070000000004E-3</v>
      </c>
      <c r="R28" s="24">
        <v>7.9642533999999994E-3</v>
      </c>
      <c r="S28" s="24">
        <v>-6.1858709999999997E-2</v>
      </c>
      <c r="T28" s="24">
        <v>8.4740640000000006E-2</v>
      </c>
      <c r="U28" s="24">
        <v>-7.3583719999999993E-3</v>
      </c>
      <c r="V28" s="24">
        <v>8.6244340000000003E-2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42745</v>
      </c>
      <c r="B29" s="24">
        <v>-2.9624223999999998E-2</v>
      </c>
      <c r="C29" s="24">
        <v>-5.6830406E-2</v>
      </c>
      <c r="D29" s="24">
        <v>3.9612055000000004E-3</v>
      </c>
      <c r="E29" s="24">
        <v>5.1443219999999998E-2</v>
      </c>
      <c r="F29" s="24">
        <v>7.8393699999999997E-2</v>
      </c>
      <c r="G29" s="24">
        <v>3.9911984999999997E-2</v>
      </c>
      <c r="H29" s="24">
        <v>4.2064190000000003E-3</v>
      </c>
      <c r="I29" s="24">
        <v>-6.9637300000000004E-3</v>
      </c>
      <c r="J29" s="24">
        <v>-8.0463050000000008E-2</v>
      </c>
      <c r="K29" s="24">
        <v>2.3444891E-3</v>
      </c>
      <c r="L29" s="24">
        <v>8.7608809999999995E-2</v>
      </c>
      <c r="M29" s="24">
        <v>2.9214381999999997E-2</v>
      </c>
      <c r="N29" s="24">
        <v>-1.3042092E-3</v>
      </c>
      <c r="O29" s="24">
        <v>-6.7154170000000004E-3</v>
      </c>
      <c r="P29" s="24">
        <v>9.4884634000000009E-3</v>
      </c>
      <c r="Q29" s="24">
        <v>5.9799313999999999E-2</v>
      </c>
      <c r="R29" s="24">
        <v>2.9993772999999998E-2</v>
      </c>
      <c r="S29" s="24">
        <v>-6.1018825000000006E-2</v>
      </c>
      <c r="T29" s="24">
        <v>4.00697E-2</v>
      </c>
      <c r="U29" s="24">
        <v>1.6277075000000002E-2</v>
      </c>
      <c r="V29" s="24">
        <v>-1.7810046999999999E-2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42776</v>
      </c>
      <c r="B30" s="24">
        <v>1.996088E-2</v>
      </c>
      <c r="C30" s="24">
        <v>9.7300170000000005E-2</v>
      </c>
      <c r="D30" s="24">
        <v>1.7472624999999999E-2</v>
      </c>
      <c r="E30" s="24">
        <v>-1.9517778999999999E-2</v>
      </c>
      <c r="F30" s="24">
        <v>0.106617565</v>
      </c>
      <c r="G30" s="24">
        <v>6.4346313000000002E-2</v>
      </c>
      <c r="H30" s="24">
        <v>2.4939418000000001E-2</v>
      </c>
      <c r="I30" s="24">
        <v>6.1143994E-2</v>
      </c>
      <c r="J30" s="24">
        <v>0.11105812</v>
      </c>
      <c r="K30" s="24">
        <v>6.7009330000000006E-2</v>
      </c>
      <c r="L30" s="24">
        <v>8.5673809999999989E-2</v>
      </c>
      <c r="M30" s="24">
        <v>3.8132548000000002E-2</v>
      </c>
      <c r="N30" s="24">
        <v>-5.4522810000000005E-2</v>
      </c>
      <c r="O30" s="24">
        <v>8.3670500000000009E-2</v>
      </c>
      <c r="P30" s="24">
        <v>5.04328E-2</v>
      </c>
      <c r="Q30" s="24">
        <v>1.0643959000000001E-2</v>
      </c>
      <c r="R30" s="24">
        <v>8.3582399999999994E-3</v>
      </c>
      <c r="S30" s="24">
        <v>0.16566669999999997</v>
      </c>
      <c r="T30" s="24">
        <v>1.1370181999999999E-3</v>
      </c>
      <c r="U30" s="24">
        <v>2.5411130000000001E-2</v>
      </c>
      <c r="V30" s="24">
        <v>1.1147857000000001E-2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42804</v>
      </c>
      <c r="B31" s="24">
        <v>3.7989615999999998E-3</v>
      </c>
      <c r="C31" s="24">
        <v>-1.2180268999999999E-2</v>
      </c>
      <c r="D31" s="24">
        <v>-1.5974522000000001E-2</v>
      </c>
      <c r="E31" s="24">
        <v>-1.170963E-2</v>
      </c>
      <c r="F31" s="24">
        <v>7.5937509999999993E-3</v>
      </c>
      <c r="G31" s="24">
        <v>-0.10140144</v>
      </c>
      <c r="H31" s="24">
        <v>1.2166262000000001E-2</v>
      </c>
      <c r="I31" s="24">
        <v>-8.0544950000000001E-3</v>
      </c>
      <c r="J31" s="24">
        <v>1.9948482999999999E-2</v>
      </c>
      <c r="K31" s="24">
        <v>4.1294098E-3</v>
      </c>
      <c r="L31" s="24">
        <v>-3.0049682000000001E-2</v>
      </c>
      <c r="M31" s="24">
        <v>5.3751470000000003E-4</v>
      </c>
      <c r="N31" s="24">
        <v>3.5386682000000003E-2</v>
      </c>
      <c r="O31" s="24">
        <v>1.9854069000000002E-2</v>
      </c>
      <c r="P31" s="24">
        <v>1.4424323999999999E-3</v>
      </c>
      <c r="Q31" s="24">
        <v>-1.0891616E-2</v>
      </c>
      <c r="R31" s="24">
        <v>-2.859503E-2</v>
      </c>
      <c r="S31" s="24">
        <v>6.8629980000000004E-3</v>
      </c>
      <c r="T31" s="24">
        <v>-4.9965916000000006E-2</v>
      </c>
      <c r="U31" s="24">
        <v>-1.8221556999999999E-2</v>
      </c>
      <c r="V31" s="24">
        <v>-1.6377032E-2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42835</v>
      </c>
      <c r="B32" s="24">
        <v>4.4764640000000001E-2</v>
      </c>
      <c r="C32" s="24">
        <v>0.11837233</v>
      </c>
      <c r="D32" s="24">
        <v>6.0470819999999995E-2</v>
      </c>
      <c r="E32" s="24">
        <v>6.9016695000000003E-2</v>
      </c>
      <c r="F32" s="24">
        <v>2.9204009999999999E-2</v>
      </c>
      <c r="G32" s="24">
        <v>4.8318029999999998E-2</v>
      </c>
      <c r="H32" s="24">
        <v>1.6026735E-2</v>
      </c>
      <c r="I32" s="24">
        <v>3.4353494999999998E-2</v>
      </c>
      <c r="J32" s="24">
        <v>9.5268249999999999E-2</v>
      </c>
      <c r="K32" s="24">
        <v>1.9876598999999998E-2</v>
      </c>
      <c r="L32" s="24">
        <v>-5.3882600000000006E-4</v>
      </c>
      <c r="M32" s="24">
        <v>-3.3130348000000004E-2</v>
      </c>
      <c r="N32" s="24">
        <v>3.1645536000000002E-2</v>
      </c>
      <c r="O32" s="24">
        <v>5.6905150000000002E-2</v>
      </c>
      <c r="P32" s="24">
        <v>3.4979463000000002E-2</v>
      </c>
      <c r="Q32" s="24">
        <v>1.8693924000000001E-2</v>
      </c>
      <c r="R32" s="24">
        <v>2.6806712E-2</v>
      </c>
      <c r="S32" s="24">
        <v>3.0957103E-2</v>
      </c>
      <c r="T32" s="24">
        <v>2.5098443000000002E-2</v>
      </c>
      <c r="U32" s="24">
        <v>4.9740195000000001E-2</v>
      </c>
      <c r="V32" s="24">
        <v>2.9712677E-2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42865</v>
      </c>
      <c r="B33" s="24">
        <v>-6.8057117E-2</v>
      </c>
      <c r="C33" s="24">
        <v>-5.8213889999999997E-2</v>
      </c>
      <c r="D33" s="24">
        <v>1.9135118E-2</v>
      </c>
      <c r="E33" s="24">
        <v>1.8841743000000001E-2</v>
      </c>
      <c r="F33" s="24">
        <v>9.2448470000000005E-2</v>
      </c>
      <c r="G33" s="24">
        <v>-6.7094564000000001E-3</v>
      </c>
      <c r="H33" s="24">
        <v>4.9950720000000004E-2</v>
      </c>
      <c r="I33" s="24">
        <v>3.6533952000000001E-2</v>
      </c>
      <c r="J33" s="24">
        <v>-9.6011160000000003E-4</v>
      </c>
      <c r="K33" s="24">
        <v>9.1061829999999996E-2</v>
      </c>
      <c r="L33" s="24">
        <v>3.9892316000000004E-2</v>
      </c>
      <c r="M33" s="24">
        <v>9.0942744999999992E-2</v>
      </c>
      <c r="N33" s="24">
        <v>0.18282222999999997</v>
      </c>
      <c r="O33" s="24">
        <v>2.1095752999999998E-2</v>
      </c>
      <c r="P33" s="24">
        <v>3.5387754E-2</v>
      </c>
      <c r="Q33" s="24">
        <v>-6.2845650000000003E-2</v>
      </c>
      <c r="R33" s="24">
        <v>-1.3205171E-2</v>
      </c>
      <c r="S33" s="24">
        <v>0.10440778999999999</v>
      </c>
      <c r="T33" s="24">
        <v>-5.8311224000000001E-4</v>
      </c>
      <c r="U33" s="24">
        <v>-9.900987E-3</v>
      </c>
      <c r="V33" s="24">
        <v>-2.5331974000000002E-3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42895</v>
      </c>
      <c r="B34" s="24">
        <v>8.1664680000000003E-2</v>
      </c>
      <c r="C34" s="24">
        <v>2.1306514999999998E-2</v>
      </c>
      <c r="D34" s="24">
        <v>1.1265277999999998E-3</v>
      </c>
      <c r="E34" s="24">
        <v>1.5229820999999999E-2</v>
      </c>
      <c r="F34" s="24">
        <v>1.1730194000000001E-2</v>
      </c>
      <c r="G34" s="24">
        <v>2.6725411000000001E-2</v>
      </c>
      <c r="H34" s="24">
        <v>2.4726151999999998E-2</v>
      </c>
      <c r="I34" s="24">
        <v>1.3108014999999999E-2</v>
      </c>
      <c r="J34" s="24">
        <v>2.5562166999999997E-2</v>
      </c>
      <c r="K34" s="24">
        <v>4.6196460000000002E-2</v>
      </c>
      <c r="L34" s="24">
        <v>-0.11249351499999999</v>
      </c>
      <c r="M34" s="24">
        <v>-2.5467276999999997E-3</v>
      </c>
      <c r="N34" s="24">
        <v>-1.6597569E-2</v>
      </c>
      <c r="O34" s="24">
        <v>8.9423656000000001E-3</v>
      </c>
      <c r="P34" s="24">
        <v>5.7027580000000001E-2</v>
      </c>
      <c r="Q34" s="24">
        <v>-6.0085772999999995E-2</v>
      </c>
      <c r="R34" s="24">
        <v>4.0632486000000004E-3</v>
      </c>
      <c r="S34" s="24">
        <v>3.3923744999999998E-2</v>
      </c>
      <c r="T34" s="24">
        <v>2.0420074E-2</v>
      </c>
      <c r="U34" s="24">
        <v>3.7142873E-2</v>
      </c>
      <c r="V34" s="24">
        <v>-1.3531804000000001E-2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42926</v>
      </c>
      <c r="B35" s="24">
        <v>2.8199792000000001E-2</v>
      </c>
      <c r="C35" s="24">
        <v>4.8383473999999999E-3</v>
      </c>
      <c r="D35" s="24">
        <v>1.7175435999999999E-2</v>
      </c>
      <c r="E35" s="24">
        <v>-4.0613174000000002E-2</v>
      </c>
      <c r="F35" s="24">
        <v>5.0514936E-3</v>
      </c>
      <c r="G35" s="24">
        <v>-1.4056325000000001E-2</v>
      </c>
      <c r="H35" s="24">
        <v>-2.6674627999999999E-2</v>
      </c>
      <c r="I35" s="24">
        <v>2.3289323000000001E-2</v>
      </c>
      <c r="J35" s="24">
        <v>4.6855569999999999E-2</v>
      </c>
      <c r="K35" s="24">
        <v>-8.0954430000000008E-3</v>
      </c>
      <c r="L35" s="24">
        <v>2.0801305999999999E-2</v>
      </c>
      <c r="M35" s="24">
        <v>-4.7470150000000003E-2</v>
      </c>
      <c r="N35" s="24">
        <v>0.10021114</v>
      </c>
      <c r="O35" s="24">
        <v>1.7670393E-2</v>
      </c>
      <c r="P35" s="24">
        <v>-3.7587285E-3</v>
      </c>
      <c r="Q35" s="24">
        <v>-2.6136338999999998E-2</v>
      </c>
      <c r="R35" s="24">
        <v>1.7808676000000002E-3</v>
      </c>
      <c r="S35" s="24">
        <v>9.1865060000000005E-3</v>
      </c>
      <c r="T35" s="24">
        <v>-1.3213694E-2</v>
      </c>
      <c r="U35" s="24">
        <v>5.5096149999999998E-3</v>
      </c>
      <c r="V35" s="24">
        <v>6.2445399999999998E-2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42957</v>
      </c>
      <c r="B36" s="24">
        <v>3.7079095999999999E-2</v>
      </c>
      <c r="C36" s="24">
        <v>5.1716089999999999E-2</v>
      </c>
      <c r="D36" s="24">
        <v>-1.2691319000000001E-2</v>
      </c>
      <c r="E36" s="24">
        <v>-1.3445377000000001E-2</v>
      </c>
      <c r="F36" s="24">
        <v>4.7953725000000003E-2</v>
      </c>
      <c r="G36" s="24">
        <v>5.6428550000000001E-2</v>
      </c>
      <c r="H36" s="24">
        <v>3.1721591999999999E-4</v>
      </c>
      <c r="I36" s="24">
        <v>1.0396123E-2</v>
      </c>
      <c r="J36" s="24">
        <v>5.9728619999999998E-3</v>
      </c>
      <c r="K36" s="24">
        <v>-2.3445665999999997E-2</v>
      </c>
      <c r="L36" s="24">
        <v>8.5112569999999999E-2</v>
      </c>
      <c r="M36" s="24">
        <v>6.2522529999999993E-2</v>
      </c>
      <c r="N36" s="24">
        <v>-1.917553E-2</v>
      </c>
      <c r="O36" s="24">
        <v>-7.2354079999999996E-3</v>
      </c>
      <c r="P36" s="24">
        <v>7.4107884999999998E-2</v>
      </c>
      <c r="Q36" s="24">
        <v>4.1530490000000003E-2</v>
      </c>
      <c r="R36" s="24">
        <v>1.4017820000000001E-3</v>
      </c>
      <c r="S36" s="24">
        <v>7.1813703000000007E-2</v>
      </c>
      <c r="T36" s="24">
        <v>5.1785707E-2</v>
      </c>
      <c r="U36" s="24">
        <v>-3.1506835999999996E-2</v>
      </c>
      <c r="V36" s="24">
        <v>-2.6365697E-2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42986</v>
      </c>
      <c r="B37" s="24">
        <v>5.961168E-2</v>
      </c>
      <c r="C37" s="24">
        <v>5.8654903999999994E-2</v>
      </c>
      <c r="D37" s="24">
        <v>1.9281626E-2</v>
      </c>
      <c r="E37" s="24">
        <v>2.8960824E-2</v>
      </c>
      <c r="F37" s="24">
        <v>7.8106522999999997E-2</v>
      </c>
      <c r="G37" s="24">
        <v>6.6834569999999996E-2</v>
      </c>
      <c r="H37" s="24">
        <v>3.5521746E-2</v>
      </c>
      <c r="I37" s="24">
        <v>4.1156889999999995E-2</v>
      </c>
      <c r="J37" s="24">
        <v>5.0377846000000002E-3</v>
      </c>
      <c r="K37" s="24">
        <v>2.3400664000000002E-2</v>
      </c>
      <c r="L37" s="24">
        <v>0.11459707999999999</v>
      </c>
      <c r="M37" s="24">
        <v>4.5785904000000002E-2</v>
      </c>
      <c r="N37" s="24">
        <v>-8.7976456000000008E-3</v>
      </c>
      <c r="O37" s="24">
        <v>3.7351966E-2</v>
      </c>
      <c r="P37" s="24">
        <v>4.8381567E-2</v>
      </c>
      <c r="Q37" s="24">
        <v>-6.3292210000000002E-2</v>
      </c>
      <c r="R37" s="24">
        <v>4.0702700000000001E-2</v>
      </c>
      <c r="S37" s="24">
        <v>5.1452039999999997E-2</v>
      </c>
      <c r="T37" s="24">
        <v>9.2812776999999999E-3</v>
      </c>
      <c r="U37" s="24">
        <v>4.8797726999999999E-2</v>
      </c>
      <c r="V37" s="24">
        <v>3.4466505000000001E-2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43018</v>
      </c>
      <c r="B38" s="24">
        <v>9.9999905E-3</v>
      </c>
      <c r="C38" s="24">
        <v>5.6654929999999999E-2</v>
      </c>
      <c r="D38" s="24">
        <v>-6.6764950000000002E-3</v>
      </c>
      <c r="E38" s="24">
        <v>3.1732798E-2</v>
      </c>
      <c r="F38" s="24">
        <v>-8.0497264999999998E-3</v>
      </c>
      <c r="G38" s="24">
        <v>6.2385200000000002E-2</v>
      </c>
      <c r="H38" s="24">
        <v>-3.9816499999999998E-3</v>
      </c>
      <c r="I38" s="24">
        <v>-1.5491425999999999E-2</v>
      </c>
      <c r="J38" s="24">
        <v>-5.8539209999999994E-2</v>
      </c>
      <c r="K38" s="24">
        <v>5.5233836000000001E-2</v>
      </c>
      <c r="L38" s="24">
        <v>2.1469474000000002E-2</v>
      </c>
      <c r="M38" s="24">
        <v>-2.2052824000000002E-2</v>
      </c>
      <c r="N38" s="24">
        <v>-7.2978376999999997E-2</v>
      </c>
      <c r="O38" s="24">
        <v>-8.1967115000000004E-3</v>
      </c>
      <c r="P38" s="24">
        <v>7.2635649999999996E-2</v>
      </c>
      <c r="Q38" s="24">
        <v>-2.125001E-2</v>
      </c>
      <c r="R38" s="24">
        <v>4.3616769999999999E-2</v>
      </c>
      <c r="S38" s="24">
        <v>-0.12570679000000001</v>
      </c>
      <c r="T38" s="24">
        <v>-5.8315395999999995E-3</v>
      </c>
      <c r="U38" s="24">
        <v>2.1577835E-2</v>
      </c>
      <c r="V38" s="24">
        <v>-2.7651129999999999E-2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43049</v>
      </c>
      <c r="B39" s="24">
        <v>3.2896875999999999E-2</v>
      </c>
      <c r="C39" s="24">
        <v>-2.3654639999999998E-2</v>
      </c>
      <c r="D39" s="24">
        <v>7.4672699999999998E-4</v>
      </c>
      <c r="E39" s="24">
        <v>-2.9419659999999999E-3</v>
      </c>
      <c r="F39" s="24">
        <v>-1.3648152E-2</v>
      </c>
      <c r="G39" s="24">
        <v>2.072537E-2</v>
      </c>
      <c r="H39" s="24">
        <v>-1.0147630999999999E-2</v>
      </c>
      <c r="I39" s="24">
        <v>1.8990754999999998E-2</v>
      </c>
      <c r="J39" s="24">
        <v>-5.4002642999999996E-2</v>
      </c>
      <c r="K39" s="24">
        <v>4.6995997000000005E-2</v>
      </c>
      <c r="L39" s="24">
        <v>-9.318071E-2</v>
      </c>
      <c r="M39" s="24">
        <v>-2.1057904000000002E-2</v>
      </c>
      <c r="N39" s="24">
        <v>-4.6808424000000001E-2</v>
      </c>
      <c r="O39" s="24">
        <v>2.3612738000000001E-2</v>
      </c>
      <c r="P39" s="24">
        <v>2.0905851999999999E-2</v>
      </c>
      <c r="Q39" s="24">
        <v>-8.6526160000000005E-2</v>
      </c>
      <c r="R39" s="24">
        <v>-1.0351777E-2</v>
      </c>
      <c r="S39" s="24">
        <v>6.9651603999999999E-3</v>
      </c>
      <c r="T39" s="24">
        <v>-5.3581419999999998E-2</v>
      </c>
      <c r="U39" s="24">
        <v>6.5346479999999998E-2</v>
      </c>
      <c r="V39" s="24">
        <v>-2.2656261999999996E-2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43077</v>
      </c>
      <c r="B40" s="24">
        <v>-2.8756976E-2</v>
      </c>
      <c r="C40" s="24">
        <v>-0.11770641</v>
      </c>
      <c r="D40" s="24">
        <v>1.0820985E-2</v>
      </c>
      <c r="E40" s="24">
        <v>-3.4870505E-3</v>
      </c>
      <c r="F40" s="24">
        <v>-1.0471224999999999E-2</v>
      </c>
      <c r="G40" s="24">
        <v>-4.4476690000000006E-2</v>
      </c>
      <c r="H40" s="24">
        <v>2.2056580000000003E-2</v>
      </c>
      <c r="I40" s="24">
        <v>-3.4078895999999997E-2</v>
      </c>
      <c r="J40" s="24">
        <v>5.6281090000000001E-3</v>
      </c>
      <c r="K40" s="24">
        <v>9.4068050000000001E-4</v>
      </c>
      <c r="L40" s="24">
        <v>4.6354531999999995E-3</v>
      </c>
      <c r="M40" s="24">
        <v>4.0819764000000001E-2</v>
      </c>
      <c r="N40" s="24">
        <v>3.571415E-2</v>
      </c>
      <c r="O40" s="24">
        <v>1.4129161999999999E-2</v>
      </c>
      <c r="P40" s="24">
        <v>-2.7971566E-2</v>
      </c>
      <c r="Q40" s="24">
        <v>1.9713639999999998E-3</v>
      </c>
      <c r="R40" s="24">
        <v>1.0205507000000001E-2</v>
      </c>
      <c r="S40" s="24">
        <v>-7.4106455000000002E-4</v>
      </c>
      <c r="T40" s="24">
        <v>-4.7675967000000005E-3</v>
      </c>
      <c r="U40" s="24">
        <v>3.4076929999999998E-2</v>
      </c>
      <c r="V40" s="24">
        <v>2.1982431E-2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43110</v>
      </c>
      <c r="B41" s="24">
        <v>6.3870549999999998E-2</v>
      </c>
      <c r="C41" s="24">
        <v>0.23916077000000002</v>
      </c>
      <c r="D41" s="24">
        <v>6.3176750000000004E-2</v>
      </c>
      <c r="E41" s="24">
        <v>6.6122292999999999E-2</v>
      </c>
      <c r="F41" s="24">
        <v>5.6064844000000003E-2</v>
      </c>
      <c r="G41" s="24">
        <v>9.0814704999999996E-2</v>
      </c>
      <c r="H41" s="24">
        <v>8.8264099999999998E-2</v>
      </c>
      <c r="I41" s="24">
        <v>4.7873140000000002E-2</v>
      </c>
      <c r="J41" s="24">
        <v>-8.2856420000000002E-4</v>
      </c>
      <c r="K41" s="24">
        <v>5.6283355000000007E-2</v>
      </c>
      <c r="L41" s="24">
        <v>9.6177819999999997E-2</v>
      </c>
      <c r="M41" s="24">
        <v>0.13748371000000001</v>
      </c>
      <c r="N41" s="24">
        <v>0.16007196000000001</v>
      </c>
      <c r="O41" s="24">
        <v>5.1375029999999995E-2</v>
      </c>
      <c r="P41" s="24">
        <v>9.3632810000000011E-2</v>
      </c>
      <c r="Q41" s="24">
        <v>0.17914247999999999</v>
      </c>
      <c r="R41" s="24">
        <v>5.1801323999999996E-2</v>
      </c>
      <c r="S41" s="24">
        <v>6.0134769999999997E-2</v>
      </c>
      <c r="T41" s="24">
        <v>7.2972300000000004E-2</v>
      </c>
      <c r="U41" s="24">
        <v>0.11519420999999999</v>
      </c>
      <c r="V41" s="24">
        <v>5.1955580000000001E-2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43140</v>
      </c>
      <c r="B42" s="24">
        <v>-6.9428444000000006E-2</v>
      </c>
      <c r="C42" s="24">
        <v>-2.5323449999999997E-2</v>
      </c>
      <c r="D42" s="24">
        <v>-6.95169E-3</v>
      </c>
      <c r="E42" s="24">
        <v>-7.5543221999999993E-2</v>
      </c>
      <c r="F42" s="24">
        <v>-2.1818219999999999E-2</v>
      </c>
      <c r="G42" s="24">
        <v>-4.8936186E-2</v>
      </c>
      <c r="H42" s="24">
        <v>-5.2631499999999994E-3</v>
      </c>
      <c r="I42" s="24">
        <v>-2.7875602000000003E-2</v>
      </c>
      <c r="J42" s="24">
        <v>1.7380713999999998E-2</v>
      </c>
      <c r="K42" s="24">
        <v>-7.6187969999999994E-2</v>
      </c>
      <c r="L42" s="24">
        <v>2.0089746000000002E-2</v>
      </c>
      <c r="M42" s="24">
        <v>-4.2454900000000004E-2</v>
      </c>
      <c r="N42" s="24">
        <v>-1.0436236999999999E-2</v>
      </c>
      <c r="O42" s="24">
        <v>-3.6512256E-2</v>
      </c>
      <c r="P42" s="24">
        <v>-6.914592E-2</v>
      </c>
      <c r="Q42" s="24">
        <v>-5.7988167E-2</v>
      </c>
      <c r="R42" s="24">
        <v>-4.7188997000000002E-3</v>
      </c>
      <c r="S42" s="24">
        <v>-3.7418008000000003E-3</v>
      </c>
      <c r="T42" s="24">
        <v>-3.9865195999999999E-2</v>
      </c>
      <c r="U42" s="24">
        <v>-6.1889229999999996E-2</v>
      </c>
      <c r="V42" s="24">
        <v>2.2606850000000001E-3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43168</v>
      </c>
      <c r="B43" s="24">
        <v>8.996760999999999E-2</v>
      </c>
      <c r="C43" s="24">
        <v>2.7688265E-2</v>
      </c>
      <c r="D43" s="24">
        <v>-3.8502216000000002E-3</v>
      </c>
      <c r="E43" s="24">
        <v>-2.7329325999999998E-3</v>
      </c>
      <c r="F43" s="24">
        <v>-4.4609307999999995E-3</v>
      </c>
      <c r="G43" s="24">
        <v>4.6234130000000005E-2</v>
      </c>
      <c r="H43" s="24">
        <v>4.0858270000000002E-2</v>
      </c>
      <c r="I43" s="24">
        <v>6.3196062999999997E-2</v>
      </c>
      <c r="J43" s="24">
        <v>3.0393243E-2</v>
      </c>
      <c r="K43" s="24">
        <v>7.9778909999999995E-2</v>
      </c>
      <c r="L43" s="24">
        <v>6.5569997000000005E-2</v>
      </c>
      <c r="M43" s="24">
        <v>0.12185192</v>
      </c>
      <c r="N43" s="24">
        <v>-4.7940611999999997E-3</v>
      </c>
      <c r="O43" s="24">
        <v>-2.4321258000000002E-2</v>
      </c>
      <c r="P43" s="24">
        <v>9.5245250000000004E-2</v>
      </c>
      <c r="Q43" s="24">
        <v>-2.2613049E-2</v>
      </c>
      <c r="R43" s="24">
        <v>-6.2022209999999999E-3</v>
      </c>
      <c r="S43" s="24">
        <v>4.3427230000000004E-2</v>
      </c>
      <c r="T43" s="24">
        <v>-1.2865543E-2</v>
      </c>
      <c r="U43" s="24">
        <v>9.9537010000000009E-2</v>
      </c>
      <c r="V43" s="24">
        <v>6.1654090000000002E-2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43200</v>
      </c>
      <c r="B44" s="24">
        <v>-4.1270790000000002E-2</v>
      </c>
      <c r="C44" s="24">
        <v>-1.6608237999999999E-3</v>
      </c>
      <c r="D44" s="24">
        <v>-2.5298655E-2</v>
      </c>
      <c r="E44" s="24">
        <v>-5.6727942999999996E-2</v>
      </c>
      <c r="F44" s="24">
        <v>-3.3607244000000001E-2</v>
      </c>
      <c r="G44" s="24">
        <v>3.1836509999999998E-2</v>
      </c>
      <c r="H44" s="24">
        <v>2.1745324E-2</v>
      </c>
      <c r="I44" s="24">
        <v>7.8558920000000002E-4</v>
      </c>
      <c r="J44" s="24">
        <v>2.0628451999999999E-2</v>
      </c>
      <c r="K44" s="24">
        <v>-1.9685029999999999E-2</v>
      </c>
      <c r="L44" s="24">
        <v>-6.8928059999999999E-2</v>
      </c>
      <c r="M44" s="24">
        <v>-8.1865789999999994E-2</v>
      </c>
      <c r="N44" s="24">
        <v>-2.1194518000000002E-2</v>
      </c>
      <c r="O44" s="24">
        <v>9.5652340000000006E-3</v>
      </c>
      <c r="P44" s="24">
        <v>-4.1886210000000007E-2</v>
      </c>
      <c r="Q44" s="24">
        <v>9.6400979999999997E-2</v>
      </c>
      <c r="R44" s="24">
        <v>-8.1222653000000006E-3</v>
      </c>
      <c r="S44" s="24">
        <v>-0.11698537999999999</v>
      </c>
      <c r="T44" s="24">
        <v>-1.1848270999999999E-2</v>
      </c>
      <c r="U44" s="24">
        <v>6.1578989999999993E-2</v>
      </c>
      <c r="V44" s="24">
        <v>5.0283312999999996E-2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43230</v>
      </c>
      <c r="B45" s="24">
        <v>-2.2917390000000003E-2</v>
      </c>
      <c r="C45" s="24">
        <v>-1.9962965999999999E-2</v>
      </c>
      <c r="D45" s="24">
        <v>-8.1831340000000002E-2</v>
      </c>
      <c r="E45" s="24">
        <v>-2.0336926000000002E-2</v>
      </c>
      <c r="F45" s="24">
        <v>-3.8253485999999996E-2</v>
      </c>
      <c r="G45" s="24">
        <v>1.3815164999999999E-3</v>
      </c>
      <c r="H45" s="24">
        <v>-8.8170230000000002E-2</v>
      </c>
      <c r="I45" s="24">
        <v>-3.0089020000000001E-2</v>
      </c>
      <c r="J45" s="24">
        <v>-8.2735119999999995E-2</v>
      </c>
      <c r="K45" s="24">
        <v>4.0161609999999999E-3</v>
      </c>
      <c r="L45" s="24">
        <v>-2.2419392999999999E-2</v>
      </c>
      <c r="M45" s="24">
        <v>-1.0980963999999999E-2</v>
      </c>
      <c r="N45" s="24">
        <v>5.9053899999999999E-3</v>
      </c>
      <c r="O45" s="24">
        <v>-1.3781308999999999E-2</v>
      </c>
      <c r="P45" s="24">
        <v>1.0567427000000001E-2</v>
      </c>
      <c r="Q45" s="24">
        <v>-2.6383339999999998E-2</v>
      </c>
      <c r="R45" s="24">
        <v>-7.9842805999999992E-3</v>
      </c>
      <c r="S45" s="24">
        <v>-8.8917259999999998E-2</v>
      </c>
      <c r="T45" s="24">
        <v>-3.8369238E-2</v>
      </c>
      <c r="U45" s="24">
        <v>-0.11403072</v>
      </c>
      <c r="V45" s="24">
        <v>1.0114907999999999E-3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43259</v>
      </c>
      <c r="B46" s="24">
        <v>-1.9017398000000001E-2</v>
      </c>
      <c r="C46" s="24">
        <v>-5.130142E-2</v>
      </c>
      <c r="D46" s="24">
        <v>1.5704631999999999E-3</v>
      </c>
      <c r="E46" s="24">
        <v>-2.6097298000000001E-2</v>
      </c>
      <c r="F46" s="24">
        <v>-4.1382017E-2</v>
      </c>
      <c r="G46" s="24">
        <v>-1.4486133999999999E-2</v>
      </c>
      <c r="H46" s="24">
        <v>1.7580986E-2</v>
      </c>
      <c r="I46" s="24">
        <v>1.5915870999999998E-2</v>
      </c>
      <c r="J46" s="24">
        <v>-7.4958860000000002E-2</v>
      </c>
      <c r="K46" s="24">
        <v>-2.0399987999999997E-2</v>
      </c>
      <c r="L46" s="24">
        <v>-0.18442429000000002</v>
      </c>
      <c r="M46" s="24">
        <v>-8.0681030000000001E-2</v>
      </c>
      <c r="N46" s="24">
        <v>-9.4911869999999995E-2</v>
      </c>
      <c r="O46" s="24">
        <v>-1.4701545E-2</v>
      </c>
      <c r="P46" s="24">
        <v>1.8335462E-2</v>
      </c>
      <c r="Q46" s="24">
        <v>6.6231609999999996E-2</v>
      </c>
      <c r="R46" s="24">
        <v>-1.4225244999999999E-2</v>
      </c>
      <c r="S46" s="24">
        <v>-0.10346746</v>
      </c>
      <c r="T46" s="24">
        <v>3.7406445000000003E-2</v>
      </c>
      <c r="U46" s="24">
        <v>-2.1264731999999998E-2</v>
      </c>
      <c r="V46" s="24">
        <v>4.7490715999999995E-2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43291</v>
      </c>
      <c r="B47" s="24">
        <v>-0.11251915</v>
      </c>
      <c r="C47" s="24">
        <v>-5.5056453000000005E-2</v>
      </c>
      <c r="D47" s="24">
        <v>-6.0329914000000005E-2</v>
      </c>
      <c r="E47" s="24">
        <v>-7.4293017000000003E-2</v>
      </c>
      <c r="F47" s="24">
        <v>-3.9452075999999996E-2</v>
      </c>
      <c r="G47" s="24">
        <v>-7.4338317000000001E-2</v>
      </c>
      <c r="H47" s="24">
        <v>-5.0476669999999994E-2</v>
      </c>
      <c r="I47" s="24">
        <v>-3.5847008E-2</v>
      </c>
      <c r="J47" s="24">
        <v>0.14799822000000001</v>
      </c>
      <c r="K47" s="24">
        <v>-8.7791019999999997E-2</v>
      </c>
      <c r="L47" s="24">
        <v>2.8316974999999999E-3</v>
      </c>
      <c r="M47" s="24">
        <v>-1.1562884000000001E-2</v>
      </c>
      <c r="N47" s="24">
        <v>4.8649310000000003E-3</v>
      </c>
      <c r="O47" s="24">
        <v>5.3805110000000001E-3</v>
      </c>
      <c r="P47" s="24">
        <v>-8.5516089999999989E-2</v>
      </c>
      <c r="Q47" s="24">
        <v>-1.0793209E-2</v>
      </c>
      <c r="R47" s="24">
        <v>-4.5550639999999996E-2</v>
      </c>
      <c r="S47" s="24">
        <v>-6.07059E-2</v>
      </c>
      <c r="T47" s="24">
        <v>-3.2454730000000001E-2</v>
      </c>
      <c r="U47" s="24">
        <v>-0.11492281999999999</v>
      </c>
      <c r="V47" s="24">
        <v>2.1614789999999998E-2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43322</v>
      </c>
      <c r="B48" s="24">
        <v>-4.8753680000000001E-2</v>
      </c>
      <c r="C48" s="24">
        <v>-3.0881463999999997E-2</v>
      </c>
      <c r="D48" s="24">
        <v>1.9974470000000001E-2</v>
      </c>
      <c r="E48" s="24">
        <v>8.0911399999999994E-2</v>
      </c>
      <c r="F48" s="24">
        <v>3.0567645999999998E-3</v>
      </c>
      <c r="G48" s="24">
        <v>-1.2977064E-2</v>
      </c>
      <c r="H48" s="24">
        <v>4.4800042999999998E-2</v>
      </c>
      <c r="I48" s="24">
        <v>2.7815937999999998E-2</v>
      </c>
      <c r="J48" s="24">
        <v>-2.5338829E-2</v>
      </c>
      <c r="K48" s="24">
        <v>-3.4467279999999996E-2</v>
      </c>
      <c r="L48" s="24">
        <v>4.4523478E-3</v>
      </c>
      <c r="M48" s="24">
        <v>-7.3449189999999998E-2</v>
      </c>
      <c r="N48" s="24">
        <v>-4.5723494999999996E-2</v>
      </c>
      <c r="O48" s="24">
        <v>3.8552164999999999E-2</v>
      </c>
      <c r="P48" s="24">
        <v>-3.9406598000000001E-2</v>
      </c>
      <c r="Q48" s="24">
        <v>6.2052490000000002E-2</v>
      </c>
      <c r="R48" s="24">
        <v>3.7941097999999999E-2</v>
      </c>
      <c r="S48" s="24">
        <v>-0.26593559999999999</v>
      </c>
      <c r="T48" s="24">
        <v>2.0540476000000002E-2</v>
      </c>
      <c r="U48" s="24">
        <v>4.3281673999999999E-2</v>
      </c>
      <c r="V48" s="24">
        <v>-3.4625173000000002E-2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43353</v>
      </c>
      <c r="B49" s="24">
        <v>-3.9425789999999995E-2</v>
      </c>
      <c r="C49" s="24">
        <v>-7.4463310000000005E-2</v>
      </c>
      <c r="D49" s="24">
        <v>-7.8749949999999999E-2</v>
      </c>
      <c r="E49" s="24">
        <v>-4.613507E-2</v>
      </c>
      <c r="F49" s="24">
        <v>6.5302850000000003E-3</v>
      </c>
      <c r="G49" s="24">
        <v>-9.5385440000000002E-2</v>
      </c>
      <c r="H49" s="24">
        <v>-2.8177679000000001E-2</v>
      </c>
      <c r="I49" s="24">
        <v>-1.9828439E-2</v>
      </c>
      <c r="J49" s="24">
        <v>-6.4489839999999996E-3</v>
      </c>
      <c r="K49" s="24">
        <v>4.4815539999999996E-3</v>
      </c>
      <c r="L49" s="24">
        <v>-5.0236406000000004E-2</v>
      </c>
      <c r="M49" s="24">
        <v>-9.7482570000000004E-2</v>
      </c>
      <c r="N49" s="24">
        <v>-4.3968559999999997E-2</v>
      </c>
      <c r="O49" s="24">
        <v>-3.7121057999999998E-2</v>
      </c>
      <c r="P49" s="24">
        <v>-8.4942045000000008E-2</v>
      </c>
      <c r="Q49" s="24">
        <v>-1.4477551E-2</v>
      </c>
      <c r="R49" s="24">
        <v>-8.4702969999999999E-3</v>
      </c>
      <c r="S49" s="24">
        <v>-5.0420164999999996E-2</v>
      </c>
      <c r="T49" s="24">
        <v>-1.493007E-2</v>
      </c>
      <c r="U49" s="24">
        <v>0</v>
      </c>
      <c r="V49" s="24">
        <v>-6.7127284999999995E-2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43383</v>
      </c>
      <c r="B50" s="24">
        <v>-1.3999999000000001E-2</v>
      </c>
      <c r="C50" s="24">
        <v>1.7095089000000001E-2</v>
      </c>
      <c r="D50" s="24">
        <v>-4.7942159999999998E-2</v>
      </c>
      <c r="E50" s="24">
        <v>-9.4170329999999997E-2</v>
      </c>
      <c r="F50" s="24">
        <v>-3.1141936999999998E-2</v>
      </c>
      <c r="G50" s="24">
        <v>2.7928114E-2</v>
      </c>
      <c r="H50" s="24">
        <v>-4.3176769999999996E-2</v>
      </c>
      <c r="I50" s="24">
        <v>-6.8343344E-2</v>
      </c>
      <c r="J50" s="24">
        <v>-1.2981712999999999E-2</v>
      </c>
      <c r="K50" s="24">
        <v>-4.5846167E-2</v>
      </c>
      <c r="L50" s="24">
        <v>0.18606101999999999</v>
      </c>
      <c r="M50" s="24">
        <v>-4.708213E-2</v>
      </c>
      <c r="N50" s="24">
        <v>-0.12028288999999999</v>
      </c>
      <c r="O50" s="24">
        <v>-0.12742787</v>
      </c>
      <c r="P50" s="24">
        <v>-6.0126600000000002E-2</v>
      </c>
      <c r="Q50" s="24">
        <v>5.5694580000000002E-3</v>
      </c>
      <c r="R50" s="24">
        <v>1.7918824999999999E-2</v>
      </c>
      <c r="S50" s="24">
        <v>9.7836729999999997E-2</v>
      </c>
      <c r="T50" s="24">
        <v>-3.6439895999999999E-2</v>
      </c>
      <c r="U50" s="24">
        <v>-3.0959724999999997E-2</v>
      </c>
      <c r="V50" s="24">
        <v>1.0581970000000001E-2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43413</v>
      </c>
      <c r="B51" s="24">
        <v>-1.8389462999999998E-2</v>
      </c>
      <c r="C51" s="24">
        <v>1.2458800999999999E-2</v>
      </c>
      <c r="D51" s="24">
        <v>9.1686490000000009E-2</v>
      </c>
      <c r="E51" s="24">
        <v>2.2277235999999999E-2</v>
      </c>
      <c r="F51" s="24">
        <v>7.1429014000000002E-3</v>
      </c>
      <c r="G51" s="24">
        <v>-1.9961237999999999E-2</v>
      </c>
      <c r="H51" s="24">
        <v>-4.6113730000000002E-3</v>
      </c>
      <c r="I51" s="24">
        <v>-2.8169095999999998E-2</v>
      </c>
      <c r="J51" s="24">
        <v>-0.12166047000000001</v>
      </c>
      <c r="K51" s="24">
        <v>-4.2405663000000003E-2</v>
      </c>
      <c r="L51" s="24">
        <v>3.5152196999999996E-2</v>
      </c>
      <c r="M51" s="24">
        <v>7.7018976000000003E-2</v>
      </c>
      <c r="N51" s="24">
        <v>3.2171368999999998E-2</v>
      </c>
      <c r="O51" s="24">
        <v>5.5649280000000002E-2</v>
      </c>
      <c r="P51" s="24">
        <v>8.9787245000000002E-3</v>
      </c>
      <c r="Q51" s="24">
        <v>5.8956980000000006E-2</v>
      </c>
      <c r="R51" s="24">
        <v>-3.0955553E-2</v>
      </c>
      <c r="S51" s="24">
        <v>8.7774389999999994E-2</v>
      </c>
      <c r="T51" s="24">
        <v>1.0709524E-2</v>
      </c>
      <c r="U51" s="24">
        <v>-2.3003160000000002E-2</v>
      </c>
      <c r="V51" s="24">
        <v>-6.9807770000000005E-3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43444</v>
      </c>
      <c r="B52" s="24">
        <v>5.9223174999999996E-3</v>
      </c>
      <c r="C52" s="24">
        <v>-1.6949117E-2</v>
      </c>
      <c r="D52" s="24">
        <v>6.0487390000000002E-2</v>
      </c>
      <c r="E52" s="24">
        <v>7.7135919999999997E-2</v>
      </c>
      <c r="F52" s="24">
        <v>1.9060254000000002E-2</v>
      </c>
      <c r="G52" s="24">
        <v>-2.7948021999999999E-3</v>
      </c>
      <c r="H52" s="24">
        <v>-2.4156153E-2</v>
      </c>
      <c r="I52" s="24">
        <v>-2.2644937E-2</v>
      </c>
      <c r="J52" s="24">
        <v>-6.0131129999999998E-2</v>
      </c>
      <c r="K52" s="24">
        <v>-5.8932304000000003E-3</v>
      </c>
      <c r="L52" s="24">
        <v>-4.6376046999999997E-2</v>
      </c>
      <c r="M52" s="24">
        <v>-4.1249037000000002E-2</v>
      </c>
      <c r="N52" s="24">
        <v>-2.0779133000000002E-2</v>
      </c>
      <c r="O52" s="24">
        <v>-3.1629383999999997E-2</v>
      </c>
      <c r="P52" s="24">
        <v>1.9651531999999999E-2</v>
      </c>
      <c r="Q52" s="24">
        <v>3.1584620000000001E-2</v>
      </c>
      <c r="R52" s="24">
        <v>-1.1105657E-2</v>
      </c>
      <c r="S52" s="24">
        <v>1.7702698999999999E-2</v>
      </c>
      <c r="T52" s="24">
        <v>-9.006625E-2</v>
      </c>
      <c r="U52" s="24">
        <v>2.0274758E-2</v>
      </c>
      <c r="V52" s="24">
        <v>1.1247754E-2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43475</v>
      </c>
      <c r="B53" s="24">
        <v>2.2590160000000002E-4</v>
      </c>
      <c r="C53" s="24">
        <v>5.3263426000000003E-2</v>
      </c>
      <c r="D53" s="24">
        <v>9.6475600000000009E-2</v>
      </c>
      <c r="E53" s="24">
        <v>0.12180149</v>
      </c>
      <c r="F53" s="24">
        <v>5.5231332999999994E-2</v>
      </c>
      <c r="G53" s="24">
        <v>4.0339947000000001E-2</v>
      </c>
      <c r="H53" s="24">
        <v>5.0472140000000006E-2</v>
      </c>
      <c r="I53" s="24">
        <v>1.5578746999999999E-2</v>
      </c>
      <c r="J53" s="24">
        <v>0.11683464</v>
      </c>
      <c r="K53" s="24">
        <v>2.8286934E-2</v>
      </c>
      <c r="L53" s="24">
        <v>0.15743673</v>
      </c>
      <c r="M53" s="24">
        <v>0.12881517000000001</v>
      </c>
      <c r="N53" s="24">
        <v>9.5611810000000002E-3</v>
      </c>
      <c r="O53" s="24">
        <v>9.6552489999999991E-2</v>
      </c>
      <c r="P53" s="24">
        <v>2.17247E-2</v>
      </c>
      <c r="Q53" s="24">
        <v>1.8402576E-2</v>
      </c>
      <c r="R53" s="24">
        <v>-3.7794173E-2</v>
      </c>
      <c r="S53" s="24">
        <v>-3.3910275000000002E-3</v>
      </c>
      <c r="T53" s="24">
        <v>4.6285869999999993E-2</v>
      </c>
      <c r="U53" s="24">
        <v>-1.1873423999999999E-2</v>
      </c>
      <c r="V53" s="24">
        <v>7.0580482E-2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43504</v>
      </c>
      <c r="B54" s="24">
        <v>5.0408005999999998E-2</v>
      </c>
      <c r="C54" s="24">
        <v>3.3685207000000002E-2</v>
      </c>
      <c r="D54" s="24">
        <v>8.6239575999999991E-3</v>
      </c>
      <c r="E54" s="24">
        <v>1.4321803999999998E-3</v>
      </c>
      <c r="F54" s="24">
        <v>-1.5455365E-2</v>
      </c>
      <c r="G54" s="24">
        <v>3.9167404000000003E-2</v>
      </c>
      <c r="H54" s="24">
        <v>4.2706727999999999E-3</v>
      </c>
      <c r="I54" s="24">
        <v>2.9808520999999998E-2</v>
      </c>
      <c r="J54" s="24">
        <v>-4.4995545999999999E-4</v>
      </c>
      <c r="K54" s="24">
        <v>4.6243667999999995E-2</v>
      </c>
      <c r="L54" s="24">
        <v>3.9626360000000003E-3</v>
      </c>
      <c r="M54" s="24">
        <v>-1.3282358999999999E-2</v>
      </c>
      <c r="N54" s="24">
        <v>-1.6150594000000001E-2</v>
      </c>
      <c r="O54" s="24">
        <v>-1.0009170000000001E-2</v>
      </c>
      <c r="P54" s="24">
        <v>5.6064724999999996E-2</v>
      </c>
      <c r="Q54" s="24">
        <v>-3.8974345000000001E-2</v>
      </c>
      <c r="R54" s="24">
        <v>4.0343165E-2</v>
      </c>
      <c r="S54" s="24">
        <v>0.14291536000000002</v>
      </c>
      <c r="T54" s="24">
        <v>-1.9580423999999999E-2</v>
      </c>
      <c r="U54" s="24">
        <v>1.3080478E-2</v>
      </c>
      <c r="V54" s="24">
        <v>6.6578746000000008E-2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43532</v>
      </c>
      <c r="B55" s="24">
        <v>0.11933814999999999</v>
      </c>
      <c r="C55" s="24">
        <v>-4.5622405999999997E-2</v>
      </c>
      <c r="D55" s="24">
        <v>-6.8401519999999993E-2</v>
      </c>
      <c r="E55" s="24">
        <v>-4.4336375999999997E-2</v>
      </c>
      <c r="F55" s="24">
        <v>-3.1395853000000001E-2</v>
      </c>
      <c r="G55" s="24">
        <v>1.4496683999999999E-2</v>
      </c>
      <c r="H55" s="24">
        <v>-1.2757599E-2</v>
      </c>
      <c r="I55" s="24">
        <v>2.7422904999999998E-3</v>
      </c>
      <c r="J55" s="24">
        <v>-5.5367947000000001E-2</v>
      </c>
      <c r="K55" s="24">
        <v>-3.1594038000000005E-2</v>
      </c>
      <c r="L55" s="24">
        <v>-3.2505274000000001E-2</v>
      </c>
      <c r="M55" s="24">
        <v>-4.2411922999999997E-2</v>
      </c>
      <c r="N55" s="24">
        <v>5.33514E-2</v>
      </c>
      <c r="O55" s="24">
        <v>2.4509788000000001E-2</v>
      </c>
      <c r="P55" s="24">
        <v>1.4292955000000001E-2</v>
      </c>
      <c r="Q55" s="24">
        <v>-4.6958327000000001E-2</v>
      </c>
      <c r="R55" s="24">
        <v>-1.3053417000000001E-2</v>
      </c>
      <c r="S55" s="24">
        <v>-4.9519060000000004E-2</v>
      </c>
      <c r="T55" s="24">
        <v>7.1326493999999997E-3</v>
      </c>
      <c r="U55" s="24">
        <v>4.2608139999999996E-2</v>
      </c>
      <c r="V55" s="24">
        <v>-1.8232405E-2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43565</v>
      </c>
      <c r="B56" s="24">
        <v>0.12251901999999999</v>
      </c>
      <c r="C56" s="24">
        <v>1.5934467000000001E-2</v>
      </c>
      <c r="D56" s="24">
        <v>5.2274584999999998E-2</v>
      </c>
      <c r="E56" s="24">
        <v>5.2379490000000001E-2</v>
      </c>
      <c r="F56" s="24">
        <v>4.8182250000000003E-2</v>
      </c>
      <c r="G56" s="24">
        <v>2.6240586999999999E-2</v>
      </c>
      <c r="H56" s="24">
        <v>-1.0271668000000001E-2</v>
      </c>
      <c r="I56" s="24">
        <v>7.9611062999999996E-2</v>
      </c>
      <c r="J56" s="24">
        <v>0.11055516999999999</v>
      </c>
      <c r="K56" s="24">
        <v>4.6136139999999999E-2</v>
      </c>
      <c r="L56" s="24">
        <v>1.3918877000000001E-2</v>
      </c>
      <c r="M56" s="24">
        <v>0.10340845</v>
      </c>
      <c r="N56" s="24">
        <v>0.10129869</v>
      </c>
      <c r="O56" s="24">
        <v>6.0705780000000001E-2</v>
      </c>
      <c r="P56" s="24">
        <v>8.9750049999999998E-2</v>
      </c>
      <c r="Q56" s="24">
        <v>4.3672919999999997E-2</v>
      </c>
      <c r="R56" s="24">
        <v>1.9636631000000002E-2</v>
      </c>
      <c r="S56" s="24">
        <v>-7.6461790000000002E-2</v>
      </c>
      <c r="T56" s="24">
        <v>6.0552479999999999E-2</v>
      </c>
      <c r="U56" s="24">
        <v>4.3343663000000004E-2</v>
      </c>
      <c r="V56" s="24">
        <v>8.0264330000000009E-2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43595</v>
      </c>
      <c r="B57" s="24">
        <v>-0.10818195</v>
      </c>
      <c r="C57" s="24">
        <v>-7.9991044999999997E-2</v>
      </c>
      <c r="D57" s="24">
        <v>-7.8877506E-2</v>
      </c>
      <c r="E57" s="24">
        <v>-4.9772443999999999E-2</v>
      </c>
      <c r="F57" s="24">
        <v>-8.4412870000000015E-2</v>
      </c>
      <c r="G57" s="24">
        <v>-7.4177210000000007E-2</v>
      </c>
      <c r="H57" s="24">
        <v>-3.783065E-2</v>
      </c>
      <c r="I57" s="24">
        <v>-1.3791084E-2</v>
      </c>
      <c r="J57" s="24">
        <v>-4.3338355999999995E-2</v>
      </c>
      <c r="K57" s="24">
        <v>-9.0407960000000009E-2</v>
      </c>
      <c r="L57" s="24">
        <v>-4.7337293999999995E-2</v>
      </c>
      <c r="M57" s="24">
        <v>-1.7801046000000001E-2</v>
      </c>
      <c r="N57" s="24">
        <v>-4.8349085E-2</v>
      </c>
      <c r="O57" s="24">
        <v>-5.3566456000000005E-2</v>
      </c>
      <c r="P57" s="24">
        <v>-7.43534E-2</v>
      </c>
      <c r="Q57" s="24">
        <v>-2.9506385000000003E-2</v>
      </c>
      <c r="R57" s="24">
        <v>-8.0860259999999996E-3</v>
      </c>
      <c r="S57" s="24">
        <v>-0.11323047000000001</v>
      </c>
      <c r="T57" s="24">
        <v>-2.7712821999999998E-2</v>
      </c>
      <c r="U57" s="24">
        <v>-3.3234417000000002E-2</v>
      </c>
      <c r="V57" s="24">
        <v>-2.0687639999999997E-2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43626</v>
      </c>
      <c r="B58" s="24">
        <v>-3.6049008E-2</v>
      </c>
      <c r="C58" s="24">
        <v>-2.5328814999999998E-2</v>
      </c>
      <c r="D58" s="24">
        <v>5.5990100000000001E-2</v>
      </c>
      <c r="E58" s="24">
        <v>4.6393275000000005E-2</v>
      </c>
      <c r="F58" s="24">
        <v>4.6554089999999999E-2</v>
      </c>
      <c r="G58" s="24">
        <v>-4.9220920000000003E-3</v>
      </c>
      <c r="H58" s="24">
        <v>3.2359122999999997E-2</v>
      </c>
      <c r="I58" s="24">
        <v>-3.9668917999999997E-2</v>
      </c>
      <c r="J58" s="24">
        <v>6.0552360000000003E-3</v>
      </c>
      <c r="K58" s="24">
        <v>-4.6753287000000001E-3</v>
      </c>
      <c r="L58" s="24">
        <v>5.0186396000000001E-2</v>
      </c>
      <c r="M58" s="24">
        <v>-4.6197533999999998E-2</v>
      </c>
      <c r="N58" s="24">
        <v>0.14622067999999999</v>
      </c>
      <c r="O58" s="24">
        <v>6.5832614999999997E-2</v>
      </c>
      <c r="P58" s="24">
        <v>-5.5213690000000003E-2</v>
      </c>
      <c r="Q58" s="24">
        <v>1.3267040000000001E-2</v>
      </c>
      <c r="R58" s="24">
        <v>9.7289084999999994E-3</v>
      </c>
      <c r="S58" s="24">
        <v>9.1533180000000006E-2</v>
      </c>
      <c r="T58" s="24">
        <v>-4.1208799999999997E-2</v>
      </c>
      <c r="U58" s="24">
        <v>2.4554730000000001E-3</v>
      </c>
      <c r="V58" s="24">
        <v>8.9251995000000004E-4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43656</v>
      </c>
      <c r="B59" s="24">
        <v>6.1686635000000004E-2</v>
      </c>
      <c r="C59" s="24">
        <v>2.8328657E-2</v>
      </c>
      <c r="D59" s="24">
        <v>4.8428535000000002E-2</v>
      </c>
      <c r="E59" s="24">
        <v>3.2843351E-2</v>
      </c>
      <c r="F59" s="24">
        <v>2.0113707000000002E-2</v>
      </c>
      <c r="G59" s="24">
        <v>4.6417712999999999E-2</v>
      </c>
      <c r="H59" s="24">
        <v>2.8943658000000001E-2</v>
      </c>
      <c r="I59" s="24">
        <v>5.6463479999999996E-2</v>
      </c>
      <c r="J59" s="24">
        <v>-1.8286407000000001E-2</v>
      </c>
      <c r="K59" s="24">
        <v>-4.6973227999999997E-3</v>
      </c>
      <c r="L59" s="24">
        <v>0.1195904</v>
      </c>
      <c r="M59" s="24">
        <v>4.0705323000000002E-2</v>
      </c>
      <c r="N59" s="24">
        <v>4.4629573999999998E-2</v>
      </c>
      <c r="O59" s="24">
        <v>-2.0758092000000002E-2</v>
      </c>
      <c r="P59" s="24">
        <v>4.3738723000000007E-2</v>
      </c>
      <c r="Q59" s="24">
        <v>3.2532809999999995E-2</v>
      </c>
      <c r="R59" s="24">
        <v>4.4872164999999999E-2</v>
      </c>
      <c r="S59" s="24">
        <v>6.8819046000000009E-2</v>
      </c>
      <c r="T59" s="24">
        <v>2.2115946000000001E-2</v>
      </c>
      <c r="U59" s="24">
        <v>-2.4493932999999999E-3</v>
      </c>
      <c r="V59" s="24">
        <v>1.6754865999999999E-3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43686</v>
      </c>
      <c r="B60" s="24">
        <v>-6.2610570000000004E-2</v>
      </c>
      <c r="C60" s="24">
        <v>-7.3798895000000003E-2</v>
      </c>
      <c r="D60" s="24">
        <v>-5.5198549999999999E-2</v>
      </c>
      <c r="E60" s="24">
        <v>-5.7445645000000004E-2</v>
      </c>
      <c r="F60" s="24">
        <v>-9.6359730000000005E-2</v>
      </c>
      <c r="G60" s="24">
        <v>-8.4537210000000002E-2</v>
      </c>
      <c r="H60" s="24">
        <v>-6.0353459999999998E-2</v>
      </c>
      <c r="I60" s="24">
        <v>-4.0787639999999993E-2</v>
      </c>
      <c r="J60" s="24">
        <v>-6.1399460000000003E-2</v>
      </c>
      <c r="K60" s="24">
        <v>-8.8620839999999992E-2</v>
      </c>
      <c r="L60" s="24">
        <v>-5.8634639999999995E-2</v>
      </c>
      <c r="M60" s="24">
        <v>-0.12864750999999999</v>
      </c>
      <c r="N60" s="24">
        <v>-5.9251603999999999E-2</v>
      </c>
      <c r="O60" s="24">
        <v>-6.7972364000000007E-2</v>
      </c>
      <c r="P60" s="24">
        <v>-7.3149977000000005E-2</v>
      </c>
      <c r="Q60" s="24">
        <v>-7.4438989999999997E-2</v>
      </c>
      <c r="R60" s="24">
        <v>-5.1045475E-2</v>
      </c>
      <c r="S60" s="24">
        <v>5.0322056000000004E-2</v>
      </c>
      <c r="T60" s="24">
        <v>1.3071895E-2</v>
      </c>
      <c r="U60" s="24">
        <v>-3.9287983999999998E-2</v>
      </c>
      <c r="V60" s="24">
        <v>-4.0718554999999997E-2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43718</v>
      </c>
      <c r="B61" s="24">
        <v>8.9056610000000008E-2</v>
      </c>
      <c r="C61" s="24">
        <v>-1.6844927999999999E-2</v>
      </c>
      <c r="D61" s="24">
        <v>2.7210950000000001E-2</v>
      </c>
      <c r="E61" s="24">
        <v>1.5680552E-2</v>
      </c>
      <c r="F61" s="24">
        <v>1.8009424E-2</v>
      </c>
      <c r="G61" s="24">
        <v>-1.7533898E-3</v>
      </c>
      <c r="H61" s="24">
        <v>-7.0971249999999999E-4</v>
      </c>
      <c r="I61" s="24">
        <v>5.1612972999999999E-2</v>
      </c>
      <c r="J61" s="24">
        <v>4.8876879999999998E-2</v>
      </c>
      <c r="K61" s="24">
        <v>7.8634499999999996E-2</v>
      </c>
      <c r="L61" s="24">
        <v>-4.5010329999999994E-2</v>
      </c>
      <c r="M61" s="24">
        <v>5.475998E-2</v>
      </c>
      <c r="N61" s="24">
        <v>1.4364719E-2</v>
      </c>
      <c r="O61" s="24">
        <v>-9.2706679999999993E-3</v>
      </c>
      <c r="P61" s="24">
        <v>6.8485619999999997E-2</v>
      </c>
      <c r="Q61" s="24">
        <v>4.1987059999999993E-2</v>
      </c>
      <c r="R61" s="24">
        <v>9.2630386000000006E-3</v>
      </c>
      <c r="S61" s="24">
        <v>-2.5680363000000001E-2</v>
      </c>
      <c r="T61" s="24">
        <v>1.3620137999999999E-2</v>
      </c>
      <c r="U61" s="24">
        <v>0</v>
      </c>
      <c r="V61" s="24">
        <v>-6.0861470000000001E-2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43748</v>
      </c>
      <c r="B62" s="24">
        <v>-1.247406E-2</v>
      </c>
      <c r="C62" s="24">
        <v>3.0459641999999999E-2</v>
      </c>
      <c r="D62" s="24">
        <v>-6.6614747000000002E-2</v>
      </c>
      <c r="E62" s="24">
        <v>-1.8351315999999999E-2</v>
      </c>
      <c r="F62" s="24">
        <v>-3.9571702E-2</v>
      </c>
      <c r="G62" s="24">
        <v>-7.0258379999999995E-3</v>
      </c>
      <c r="H62" s="24">
        <v>-2.6278377000000002E-2</v>
      </c>
      <c r="I62" s="24">
        <v>3.8204074000000005E-2</v>
      </c>
      <c r="J62" s="24">
        <v>2.3534894000000001E-2</v>
      </c>
      <c r="K62" s="24">
        <v>1.3513446E-2</v>
      </c>
      <c r="L62" s="24">
        <v>-1.9995271999999998E-2</v>
      </c>
      <c r="M62" s="24">
        <v>-2.3562311999999998E-2</v>
      </c>
      <c r="N62" s="24">
        <v>5.4465529999999998E-3</v>
      </c>
      <c r="O62" s="24">
        <v>2.1834015999999998E-2</v>
      </c>
      <c r="P62" s="24">
        <v>-2.4850009999999999E-2</v>
      </c>
      <c r="Q62" s="24">
        <v>2.8376580000000003E-3</v>
      </c>
      <c r="R62" s="24">
        <v>-3.5073519000000004E-2</v>
      </c>
      <c r="S62" s="24">
        <v>-3.7765563000000002E-2</v>
      </c>
      <c r="T62" s="24">
        <v>-2.1923661000000001E-2</v>
      </c>
      <c r="U62" s="24">
        <v>2.7476072000000001E-2</v>
      </c>
      <c r="V62" s="24">
        <v>-3.954804E-2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43777</v>
      </c>
      <c r="B63" s="24">
        <v>3.8245677999999998E-2</v>
      </c>
      <c r="C63" s="24">
        <v>-0.11559778</v>
      </c>
      <c r="D63" s="24">
        <v>4.9248814999999994E-2</v>
      </c>
      <c r="E63" s="24">
        <v>5.8456900000000006E-2</v>
      </c>
      <c r="F63" s="24">
        <v>7.5618149999999995E-2</v>
      </c>
      <c r="G63" s="24">
        <v>2.7417421000000001E-2</v>
      </c>
      <c r="H63" s="24">
        <v>5.1057577E-2</v>
      </c>
      <c r="I63" s="24">
        <v>7.8699946000000007E-2</v>
      </c>
      <c r="J63" s="24">
        <v>3.5180450000000002E-2</v>
      </c>
      <c r="K63" s="24">
        <v>7.1929811999999996E-2</v>
      </c>
      <c r="L63" s="24">
        <v>4.4935703E-2</v>
      </c>
      <c r="M63" s="24">
        <v>4.5194270000000002E-2</v>
      </c>
      <c r="N63" s="24">
        <v>3.4669637999999996E-2</v>
      </c>
      <c r="O63" s="24">
        <v>5.0671577000000002E-2</v>
      </c>
      <c r="P63" s="24">
        <v>7.4340939999999994E-2</v>
      </c>
      <c r="Q63" s="24">
        <v>1.4147757999999999E-3</v>
      </c>
      <c r="R63" s="24">
        <v>1.8880247999999999E-2</v>
      </c>
      <c r="S63" s="24">
        <v>5.3965690000000004E-2</v>
      </c>
      <c r="T63" s="24">
        <v>2.8922557999999997E-3</v>
      </c>
      <c r="U63" s="24">
        <v>3.2960296E-2</v>
      </c>
      <c r="V63" s="24">
        <v>1.9723177000000001E-2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43809</v>
      </c>
      <c r="B64" s="24">
        <v>-2.3656666E-2</v>
      </c>
      <c r="C64" s="24">
        <v>-2.5962353000000001E-2</v>
      </c>
      <c r="D64" s="24">
        <v>-2.7843714000000005E-3</v>
      </c>
      <c r="E64" s="24">
        <v>-4.7939420000000003E-2</v>
      </c>
      <c r="F64" s="24">
        <v>-8.1568360000000006E-2</v>
      </c>
      <c r="G64" s="24">
        <v>-1.2051582E-2</v>
      </c>
      <c r="H64" s="24">
        <v>-4.0943804E-2</v>
      </c>
      <c r="I64" s="24">
        <v>-1.7430186E-3</v>
      </c>
      <c r="J64" s="24">
        <v>-2.5988520000000001E-2</v>
      </c>
      <c r="K64" s="24">
        <v>-4.6972156000000001E-2</v>
      </c>
      <c r="L64" s="24">
        <v>3.2310485999999999E-2</v>
      </c>
      <c r="M64" s="24">
        <v>-4.852277E-2</v>
      </c>
      <c r="N64" s="24">
        <v>-2.0942688000000001E-3</v>
      </c>
      <c r="O64" s="24">
        <v>1.4526844E-3</v>
      </c>
      <c r="P64" s="24">
        <v>-1.3086855E-2</v>
      </c>
      <c r="Q64" s="24">
        <v>8.7596180000000003E-3</v>
      </c>
      <c r="R64" s="24">
        <v>-5.1830173000000007E-2</v>
      </c>
      <c r="S64" s="24">
        <v>2.792859E-2</v>
      </c>
      <c r="T64" s="24">
        <v>-2.6676297000000002E-2</v>
      </c>
      <c r="U64" s="24">
        <v>-4.6959695999999995E-2</v>
      </c>
      <c r="V64" s="24">
        <v>3.5290122E-2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43840</v>
      </c>
      <c r="B65" s="24">
        <v>8.4765069999999998E-2</v>
      </c>
      <c r="C65" s="24">
        <v>5.9295059999999997E-2</v>
      </c>
      <c r="D65" s="24">
        <v>4.1776059999999997E-2</v>
      </c>
      <c r="E65" s="24">
        <v>7.6885223000000003E-3</v>
      </c>
      <c r="F65" s="24">
        <v>7.6344250000000002E-2</v>
      </c>
      <c r="G65" s="24">
        <v>7.294631E-2</v>
      </c>
      <c r="H65" s="24">
        <v>4.7827599999999998E-2</v>
      </c>
      <c r="I65" s="24">
        <v>5.0860523999999997E-2</v>
      </c>
      <c r="J65" s="24">
        <v>6.7975399999999991E-2</v>
      </c>
      <c r="K65" s="24">
        <v>9.993529000000001E-2</v>
      </c>
      <c r="L65" s="24">
        <v>5.7261110000000004E-2</v>
      </c>
      <c r="M65" s="24">
        <v>8.8679789999999994E-2</v>
      </c>
      <c r="N65" s="24">
        <v>6.4475060000000001E-2</v>
      </c>
      <c r="O65" s="24">
        <v>3.4036517000000002E-2</v>
      </c>
      <c r="P65" s="24">
        <v>0.11224472000000001</v>
      </c>
      <c r="Q65" s="24">
        <v>-1.1204481000000001E-3</v>
      </c>
      <c r="R65" s="24">
        <v>1.7817616000000001E-2</v>
      </c>
      <c r="S65" s="24">
        <v>8.7122199999999997E-2</v>
      </c>
      <c r="T65" s="24">
        <v>-2.9259263999999997E-2</v>
      </c>
      <c r="U65" s="24">
        <v>1.2748241E-2</v>
      </c>
      <c r="V65" s="24">
        <v>2.3191929999999999E-2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43871</v>
      </c>
      <c r="B66" s="24">
        <v>-5.7611823E-2</v>
      </c>
      <c r="C66" s="24">
        <v>-9.5072509999999999E-2</v>
      </c>
      <c r="D66" s="24">
        <v>-5.8688107000000003E-2</v>
      </c>
      <c r="E66" s="24">
        <v>-4.6212315999999996E-2</v>
      </c>
      <c r="F66" s="24">
        <v>-6.1129210000000003E-2</v>
      </c>
      <c r="G66" s="24">
        <v>-6.2568244999999995E-2</v>
      </c>
      <c r="H66" s="24">
        <v>-6.0055850000000001E-2</v>
      </c>
      <c r="I66" s="24">
        <v>-3.2360077000000001E-2</v>
      </c>
      <c r="J66" s="24">
        <v>-4.3112636000000003E-3</v>
      </c>
      <c r="K66" s="24">
        <v>-2.6638985E-2</v>
      </c>
      <c r="L66" s="24">
        <v>-7.0888224E-2</v>
      </c>
      <c r="M66" s="24">
        <v>-5.1516413999999996E-2</v>
      </c>
      <c r="N66" s="24">
        <v>-8.0321309999999993E-2</v>
      </c>
      <c r="O66" s="24">
        <v>-1.0390281999999999E-2</v>
      </c>
      <c r="P66" s="24">
        <v>-4.286355E-2</v>
      </c>
      <c r="Q66" s="24">
        <v>-2.9164374E-2</v>
      </c>
      <c r="R66" s="24">
        <v>-2.8716385000000001E-2</v>
      </c>
      <c r="S66" s="24">
        <v>-4.3524027E-2</v>
      </c>
      <c r="T66" s="24">
        <v>-1.3635992999999999E-2</v>
      </c>
      <c r="U66" s="24">
        <v>-5.7196735999999998E-2</v>
      </c>
      <c r="V66" s="24">
        <v>-5.8690013999999999E-2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43900</v>
      </c>
      <c r="B67" s="24">
        <v>7.5819609999999996E-2</v>
      </c>
      <c r="C67" s="24">
        <v>-0.15663033499999998</v>
      </c>
      <c r="D67" s="24">
        <v>-0.15851677</v>
      </c>
      <c r="E67" s="24">
        <v>-0.13922113</v>
      </c>
      <c r="F67" s="24">
        <v>-0.19234597999999997</v>
      </c>
      <c r="G67" s="24">
        <v>-0.12474501</v>
      </c>
      <c r="H67" s="24">
        <v>-8.8038679999999994E-2</v>
      </c>
      <c r="I67" s="24">
        <v>-4.9786270000000001E-2</v>
      </c>
      <c r="J67" s="24">
        <v>-0.18337297</v>
      </c>
      <c r="K67" s="24">
        <v>-0.10324484</v>
      </c>
      <c r="L67" s="24">
        <v>-0.23679923999999999</v>
      </c>
      <c r="M67" s="24">
        <v>-0.15374505999999999</v>
      </c>
      <c r="N67" s="24">
        <v>-0.28275107999999999</v>
      </c>
      <c r="O67" s="24">
        <v>-0.15011353</v>
      </c>
      <c r="P67" s="24">
        <v>-2.6398480000000002E-2</v>
      </c>
      <c r="Q67" s="24">
        <v>-0.14523399000000001</v>
      </c>
      <c r="R67" s="24">
        <v>-0.17195356000000001</v>
      </c>
      <c r="S67" s="24">
        <v>-0.13724767999999998</v>
      </c>
      <c r="T67" s="24">
        <v>-0.16681491999999998</v>
      </c>
      <c r="U67" s="24">
        <v>-0.14466667</v>
      </c>
      <c r="V67" s="24">
        <v>-0.14433348000000001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43930</v>
      </c>
      <c r="B68" s="24">
        <v>-9.4603179999999995E-2</v>
      </c>
      <c r="C68" s="24">
        <v>-8.3175124999999989E-2</v>
      </c>
      <c r="D68" s="24">
        <v>-0.25520579999999998</v>
      </c>
      <c r="E68" s="24">
        <v>-0.15853220000000001</v>
      </c>
      <c r="F68" s="24">
        <v>-0.11630774000000001</v>
      </c>
      <c r="G68" s="24">
        <v>-0.19647026000000001</v>
      </c>
      <c r="H68" s="24">
        <v>-5.9877752999999999E-2</v>
      </c>
      <c r="I68" s="24">
        <v>-9.3411030000000006E-2</v>
      </c>
      <c r="J68" s="24">
        <v>-0.25079536000000002</v>
      </c>
      <c r="K68" s="24">
        <v>-0.10562873</v>
      </c>
      <c r="L68" s="24">
        <v>-0.21822620000000001</v>
      </c>
      <c r="M68" s="24">
        <v>-0.21169775000000002</v>
      </c>
      <c r="N68" s="24">
        <v>-9.1324269999999999E-2</v>
      </c>
      <c r="O68" s="24">
        <v>-0.14991659000000002</v>
      </c>
      <c r="P68" s="24">
        <v>-5.7617846E-2</v>
      </c>
      <c r="Q68" s="24">
        <v>9.0835329999999992E-2</v>
      </c>
      <c r="R68" s="24">
        <v>-3.3998013000000001E-2</v>
      </c>
      <c r="S68" s="24">
        <v>-0.15099959999999998</v>
      </c>
      <c r="T68" s="24">
        <v>-7.5208959999999991E-2</v>
      </c>
      <c r="U68" s="24">
        <v>-6.7420063000000002E-2</v>
      </c>
      <c r="V68" s="24">
        <v>-6.4412354999999998E-3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43959</v>
      </c>
      <c r="B69" s="24">
        <v>4.0322539999999997E-2</v>
      </c>
      <c r="C69" s="24">
        <v>4.8053025999999999E-2</v>
      </c>
      <c r="D69" s="24">
        <v>6.6319823E-2</v>
      </c>
      <c r="E69" s="24">
        <v>4.6147226999999999E-2</v>
      </c>
      <c r="F69" s="24">
        <v>1.8802285000000002E-2</v>
      </c>
      <c r="G69" s="24">
        <v>0.10104025</v>
      </c>
      <c r="H69" s="24">
        <v>2.5996565999999999E-2</v>
      </c>
      <c r="I69" s="24">
        <v>8.8441370000000005E-2</v>
      </c>
      <c r="J69" s="24">
        <v>9.200287E-2</v>
      </c>
      <c r="K69" s="24">
        <v>5.8234571999999998E-2</v>
      </c>
      <c r="L69" s="24">
        <v>-8.6939569999999994E-2</v>
      </c>
      <c r="M69" s="24">
        <v>7.2882532999999999E-2</v>
      </c>
      <c r="N69" s="24">
        <v>-5.0240755E-3</v>
      </c>
      <c r="O69" s="24">
        <v>4.9882174000000001E-2</v>
      </c>
      <c r="P69" s="24">
        <v>4.5555709999999999E-2</v>
      </c>
      <c r="Q69" s="24">
        <v>-8.0296399999999993E-3</v>
      </c>
      <c r="R69" s="24">
        <v>3.0935763999999998E-2</v>
      </c>
      <c r="S69" s="24">
        <v>-3.0060053E-2</v>
      </c>
      <c r="T69" s="24">
        <v>-2.0080804999999999E-3</v>
      </c>
      <c r="U69" s="24">
        <v>0.10488928</v>
      </c>
      <c r="V69" s="24">
        <v>-6.8881510000000003E-3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43992</v>
      </c>
      <c r="B70" s="24">
        <v>2.8648495999999999E-2</v>
      </c>
      <c r="C70" s="24">
        <v>0.10434782000000001</v>
      </c>
      <c r="D70" s="24">
        <v>0.16768287999999998</v>
      </c>
      <c r="E70" s="24">
        <v>0.16349659999999999</v>
      </c>
      <c r="F70" s="24">
        <v>0.23923433</v>
      </c>
      <c r="G70" s="24">
        <v>0.14079665999999999</v>
      </c>
      <c r="H70" s="24">
        <v>0.17652023</v>
      </c>
      <c r="I70" s="24">
        <v>8.6081980000000002E-2</v>
      </c>
      <c r="J70" s="24">
        <v>0.11082304000000001</v>
      </c>
      <c r="K70" s="24">
        <v>0.15891099</v>
      </c>
      <c r="L70" s="24">
        <v>0.35695995000000003</v>
      </c>
      <c r="M70" s="24">
        <v>0.1716646</v>
      </c>
      <c r="N70" s="24">
        <v>0.14421998999999999</v>
      </c>
      <c r="O70" s="24">
        <v>8.5671540000000004E-2</v>
      </c>
      <c r="P70" s="24">
        <v>6.9287420000000002E-2</v>
      </c>
      <c r="Q70" s="24">
        <v>4.5570373999999997E-2</v>
      </c>
      <c r="R70" s="24">
        <v>0.12065374000000001</v>
      </c>
      <c r="S70" s="24">
        <v>0.17303705</v>
      </c>
      <c r="T70" s="24">
        <v>8.1488969999999994E-2</v>
      </c>
      <c r="U70" s="24">
        <v>9.6822979999999989E-2</v>
      </c>
      <c r="V70" s="24">
        <v>0.12974298500000001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44022</v>
      </c>
      <c r="B71" s="24">
        <v>0.20810867</v>
      </c>
      <c r="C71" s="24">
        <v>-3.4858583999999998E-2</v>
      </c>
      <c r="D71" s="24">
        <v>2.5573970000000003E-3</v>
      </c>
      <c r="E71" s="24">
        <v>-4.1954039999999998E-2</v>
      </c>
      <c r="F71" s="24">
        <v>-5.4900703000000002E-2</v>
      </c>
      <c r="G71" s="24">
        <v>-3.6219537000000003E-2</v>
      </c>
      <c r="H71" s="24">
        <v>-2.5520324999999998E-3</v>
      </c>
      <c r="I71" s="24">
        <v>4.2222139999999998E-2</v>
      </c>
      <c r="J71" s="24">
        <v>-7.5858060000000005E-2</v>
      </c>
      <c r="K71" s="24">
        <v>-2.6491164999999997E-2</v>
      </c>
      <c r="L71" s="24">
        <v>-1.9426106999999998E-2</v>
      </c>
      <c r="M71" s="24">
        <v>4.7692059999999998E-3</v>
      </c>
      <c r="N71" s="24">
        <v>-2.7326703000000001E-2</v>
      </c>
      <c r="O71" s="24">
        <v>6.3340069999999998E-2</v>
      </c>
      <c r="P71" s="24">
        <v>0.14349318</v>
      </c>
      <c r="Q71" s="24">
        <v>2.5668739999999999E-2</v>
      </c>
      <c r="R71" s="24">
        <v>-4.8119186999999994E-2</v>
      </c>
      <c r="S71" s="24">
        <v>1.648736E-2</v>
      </c>
      <c r="T71" s="24">
        <v>-1.4828622E-2</v>
      </c>
      <c r="U71" s="24">
        <v>-1.8620730000000002E-2</v>
      </c>
      <c r="V71" s="24">
        <v>-8.2387924000000001E-3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44053</v>
      </c>
      <c r="B72" s="24">
        <v>5.5583715000000001E-3</v>
      </c>
      <c r="C72" s="24">
        <v>-1.85256E-2</v>
      </c>
      <c r="D72" s="24">
        <v>3.1561852000000002E-3</v>
      </c>
      <c r="E72" s="24">
        <v>-3.4696817000000005E-2</v>
      </c>
      <c r="F72" s="24">
        <v>6.6922189999999993E-2</v>
      </c>
      <c r="G72" s="24">
        <v>7.7688813000000009E-2</v>
      </c>
      <c r="H72" s="24">
        <v>1.4700889999999999E-3</v>
      </c>
      <c r="I72" s="24">
        <v>7.7706813999999999E-2</v>
      </c>
      <c r="J72" s="24">
        <v>6.2103986999999999E-2</v>
      </c>
      <c r="K72" s="24">
        <v>0.11654973</v>
      </c>
      <c r="L72" s="24">
        <v>1.2341619E-2</v>
      </c>
      <c r="M72" s="24">
        <v>-3.8644790000000005E-2</v>
      </c>
      <c r="N72" s="24">
        <v>9.1369150000000007E-3</v>
      </c>
      <c r="O72" s="24">
        <v>7.4248670000000003E-2</v>
      </c>
      <c r="P72" s="24">
        <v>-3.3212303999999998E-2</v>
      </c>
      <c r="Q72" s="24">
        <v>2.3229122000000001E-2</v>
      </c>
      <c r="R72" s="24">
        <v>-2.1095872000000002E-2</v>
      </c>
      <c r="S72" s="24">
        <v>-0.120366335</v>
      </c>
      <c r="T72" s="24">
        <v>4.6314716000000006E-2</v>
      </c>
      <c r="U72" s="24">
        <v>3.7245274000000002E-2</v>
      </c>
      <c r="V72" s="24">
        <v>1.5737891E-2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44084</v>
      </c>
      <c r="B73" s="24">
        <v>-3.5443664E-2</v>
      </c>
      <c r="C73" s="24">
        <v>-4.8536120000000002E-2</v>
      </c>
      <c r="D73" s="24">
        <v>-8.8620900000000002E-2</v>
      </c>
      <c r="E73" s="24">
        <v>2.2701025000000001E-3</v>
      </c>
      <c r="F73" s="24">
        <v>-4.780322E-2</v>
      </c>
      <c r="G73" s="24">
        <v>-1.9443154000000001E-2</v>
      </c>
      <c r="H73" s="24">
        <v>-7.9999979999999998E-2</v>
      </c>
      <c r="I73" s="24">
        <v>-2.681911E-2</v>
      </c>
      <c r="J73" s="24">
        <v>-1.7303169E-2</v>
      </c>
      <c r="K73" s="24">
        <v>-2.1919012000000002E-2</v>
      </c>
      <c r="L73" s="24">
        <v>-3.0478060000000001E-2</v>
      </c>
      <c r="M73" s="24">
        <v>4.4603466999999994E-2</v>
      </c>
      <c r="N73" s="24">
        <v>1.5090585E-2</v>
      </c>
      <c r="O73" s="24">
        <v>1.9963741E-2</v>
      </c>
      <c r="P73" s="24">
        <v>1.3911724000000001E-4</v>
      </c>
      <c r="Q73" s="24">
        <v>1.9693255E-2</v>
      </c>
      <c r="R73" s="24">
        <v>-2.3539899999999999E-2</v>
      </c>
      <c r="S73" s="24">
        <v>-2.4788976000000001E-3</v>
      </c>
      <c r="T73" s="24">
        <v>2.9985666000000001E-2</v>
      </c>
      <c r="U73" s="24">
        <v>0</v>
      </c>
      <c r="V73" s="24">
        <v>5.2861810000000002E-2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44113</v>
      </c>
      <c r="B74" s="24">
        <v>6.6894770000000006E-2</v>
      </c>
      <c r="C74" s="24">
        <v>-2.6720643000000002E-2</v>
      </c>
      <c r="D74" s="24">
        <v>5.6386710000000007E-2</v>
      </c>
      <c r="E74" s="24">
        <v>9.8149776000000001E-3</v>
      </c>
      <c r="F74" s="24">
        <v>-2.7858377E-2</v>
      </c>
      <c r="G74" s="24">
        <v>-1.1857748E-2</v>
      </c>
      <c r="H74" s="24">
        <v>7.6186657000000005E-2</v>
      </c>
      <c r="I74" s="24">
        <v>5.6471704999999997E-2</v>
      </c>
      <c r="J74" s="24">
        <v>8.7431789999999995E-2</v>
      </c>
      <c r="K74" s="24">
        <v>7.0991873999999996E-2</v>
      </c>
      <c r="L74" s="24">
        <v>-4.1694219999999997E-2</v>
      </c>
      <c r="M74" s="24">
        <v>1.0542989000000001E-2</v>
      </c>
      <c r="N74" s="24">
        <v>3.2051443999999998E-2</v>
      </c>
      <c r="O74" s="24">
        <v>5.5308339999999998E-2</v>
      </c>
      <c r="P74" s="24">
        <v>6.7584394999999992E-2</v>
      </c>
      <c r="Q74" s="24">
        <v>4.5400976999999995E-2</v>
      </c>
      <c r="R74" s="24">
        <v>-1.8398166000000001E-2</v>
      </c>
      <c r="S74" s="24">
        <v>-1.0934471999999999E-2</v>
      </c>
      <c r="T74" s="24">
        <v>-1.8484293999999998E-2</v>
      </c>
      <c r="U74" s="24">
        <v>2.642274E-2</v>
      </c>
      <c r="V74" s="24">
        <v>5.0900340000000002E-2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44145</v>
      </c>
      <c r="B75" s="24">
        <v>5.6663870000000005E-2</v>
      </c>
      <c r="C75" s="24">
        <v>0.13935101</v>
      </c>
      <c r="D75" s="24">
        <v>0.18409586</v>
      </c>
      <c r="E75" s="24">
        <v>0.19439257000000001</v>
      </c>
      <c r="F75" s="24">
        <v>1.373136E-2</v>
      </c>
      <c r="G75" s="24">
        <v>-3.6666989999999998E-3</v>
      </c>
      <c r="H75" s="24">
        <v>2.0014881999999998E-2</v>
      </c>
      <c r="I75" s="24">
        <v>1.2614965000000001E-2</v>
      </c>
      <c r="J75" s="24">
        <v>8.5706349999999987E-2</v>
      </c>
      <c r="K75" s="24">
        <v>4.7117351999999994E-2</v>
      </c>
      <c r="L75" s="24">
        <v>9.5994469999999998E-2</v>
      </c>
      <c r="M75" s="24">
        <v>0.11032866999999999</v>
      </c>
      <c r="N75" s="24">
        <v>-1.6651630000000001E-2</v>
      </c>
      <c r="O75" s="24">
        <v>1.1381269000000001E-2</v>
      </c>
      <c r="P75" s="24">
        <v>3.3476590000000001E-2</v>
      </c>
      <c r="Q75" s="24">
        <v>-2.4025319999999999E-2</v>
      </c>
      <c r="R75" s="24">
        <v>5.8478117000000003E-2</v>
      </c>
      <c r="S75" s="24">
        <v>2.5125623E-2</v>
      </c>
      <c r="T75" s="24">
        <v>1.2241124999999999E-2</v>
      </c>
      <c r="U75" s="24">
        <v>2.5742649999999999E-2</v>
      </c>
      <c r="V75" s="24">
        <v>6.5897702999999997E-3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44175</v>
      </c>
      <c r="B76" s="24">
        <v>1.3685107E-2</v>
      </c>
      <c r="C76" s="24">
        <v>5.6224939999999994E-2</v>
      </c>
      <c r="D76" s="24">
        <v>7.6356889999999997E-2</v>
      </c>
      <c r="E76" s="24">
        <v>2.3474216000000003E-2</v>
      </c>
      <c r="F76" s="24">
        <v>0.15901065</v>
      </c>
      <c r="G76" s="24">
        <v>0.15122115999999999</v>
      </c>
      <c r="H76" s="24">
        <v>5.9229610000000002E-2</v>
      </c>
      <c r="I76" s="24">
        <v>0.10472965000000001</v>
      </c>
      <c r="J76" s="24">
        <v>9.6425769999999994E-2</v>
      </c>
      <c r="K76" s="24">
        <v>0.16028511000000001</v>
      </c>
      <c r="L76" s="24">
        <v>0.17800879999999999</v>
      </c>
      <c r="M76" s="24">
        <v>3.7115334999999999E-2</v>
      </c>
      <c r="N76" s="24">
        <v>0.22900390000000001</v>
      </c>
      <c r="O76" s="24">
        <v>7.39094E-2</v>
      </c>
      <c r="P76" s="24">
        <v>1.2730002000000001E-2</v>
      </c>
      <c r="Q76" s="24">
        <v>4.3404817999999998E-2</v>
      </c>
      <c r="R76" s="24">
        <v>0.10544729</v>
      </c>
      <c r="S76" s="24">
        <v>0.15049016999999998</v>
      </c>
      <c r="T76" s="24">
        <v>0.12558137999999999</v>
      </c>
      <c r="U76" s="24">
        <v>7.2715519999999992E-2</v>
      </c>
      <c r="V76" s="24">
        <v>2.9459952999999997E-2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44204</v>
      </c>
      <c r="B77" s="24">
        <v>0.12293243000000001</v>
      </c>
      <c r="C77" s="24">
        <v>0.12871479999999999</v>
      </c>
      <c r="D77" s="24">
        <v>5.5652856999999993E-2</v>
      </c>
      <c r="E77" s="24">
        <v>2.2412420000000002E-2</v>
      </c>
      <c r="F77" s="24">
        <v>4.5554040000000004E-2</v>
      </c>
      <c r="G77" s="24">
        <v>5.7781696E-2</v>
      </c>
      <c r="H77" s="24">
        <v>-9.2624426000000003E-3</v>
      </c>
      <c r="I77" s="24">
        <v>9.5898040000000004E-2</v>
      </c>
      <c r="J77" s="24">
        <v>6.9754003999999994E-2</v>
      </c>
      <c r="K77" s="24">
        <v>0.16783667000000002</v>
      </c>
      <c r="L77" s="24">
        <v>1.5979528E-2</v>
      </c>
      <c r="M77" s="24">
        <v>4.6855209999999994E-2</v>
      </c>
      <c r="N77" s="24">
        <v>5.9270620000000003E-2</v>
      </c>
      <c r="O77" s="24">
        <v>7.9282283999999995E-2</v>
      </c>
      <c r="P77" s="24">
        <v>7.164812000000001E-2</v>
      </c>
      <c r="Q77" s="24">
        <v>3.2474280000000001E-2</v>
      </c>
      <c r="R77" s="24">
        <v>3.6265611999999996E-2</v>
      </c>
      <c r="S77" s="24">
        <v>0.20290316</v>
      </c>
      <c r="T77" s="24">
        <v>4.6933413E-2</v>
      </c>
      <c r="U77" s="24">
        <v>0.109574795</v>
      </c>
      <c r="V77" s="24">
        <v>1.2620568E-2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44237</v>
      </c>
      <c r="B78" s="24">
        <v>6.8357229999999991E-2</v>
      </c>
      <c r="C78" s="24">
        <v>-1.4930010000000001E-2</v>
      </c>
      <c r="D78" s="24">
        <v>-2.6508927000000002E-2</v>
      </c>
      <c r="E78" s="24">
        <v>-4.2266190000000002E-2</v>
      </c>
      <c r="F78" s="24">
        <v>-7.1812390000000004E-2</v>
      </c>
      <c r="G78" s="24">
        <v>4.1712639999999995E-2</v>
      </c>
      <c r="H78" s="24">
        <v>-3.2202183999999995E-2</v>
      </c>
      <c r="I78" s="24">
        <v>4.4250845999999996E-2</v>
      </c>
      <c r="J78" s="24">
        <v>-5.3005099999999999E-2</v>
      </c>
      <c r="K78" s="24">
        <v>-3.3880710000000001E-2</v>
      </c>
      <c r="L78" s="24">
        <v>-5.3050399999999998E-2</v>
      </c>
      <c r="M78" s="24">
        <v>8.4065799999999996E-2</v>
      </c>
      <c r="N78" s="24">
        <v>-9.1883660000000006E-2</v>
      </c>
      <c r="O78" s="24">
        <v>2.0633460000000003E-2</v>
      </c>
      <c r="P78" s="24">
        <v>0.11234653</v>
      </c>
      <c r="Q78" s="24">
        <v>-2.6743589999999998E-2</v>
      </c>
      <c r="R78" s="24">
        <v>-1.2691676999999998E-2</v>
      </c>
      <c r="S78" s="24">
        <v>4.0511727000000004E-2</v>
      </c>
      <c r="T78" s="24">
        <v>3.8309692999999999E-2</v>
      </c>
      <c r="U78" s="24">
        <v>-3.3659099999999997E-2</v>
      </c>
      <c r="V78" s="24">
        <v>8.5039139999999996E-3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44265</v>
      </c>
      <c r="B79" s="24">
        <v>-0.16202276000000002</v>
      </c>
      <c r="C79" s="24">
        <v>6.0937523999999993E-2</v>
      </c>
      <c r="D79" s="24">
        <v>-4.1055799999999996E-2</v>
      </c>
      <c r="E79" s="24">
        <v>-5.0704239999999998E-2</v>
      </c>
      <c r="F79" s="24">
        <v>5.2632093000000001E-3</v>
      </c>
      <c r="G79" s="24">
        <v>-2.9965459999999999E-2</v>
      </c>
      <c r="H79" s="24">
        <v>0</v>
      </c>
      <c r="I79" s="24">
        <v>-2.4506450000000003E-2</v>
      </c>
      <c r="J79" s="24">
        <v>1.7798543E-2</v>
      </c>
      <c r="K79" s="24">
        <v>-7.3042153999999998E-2</v>
      </c>
      <c r="L79" s="24">
        <v>-9.4397730000000013E-2</v>
      </c>
      <c r="M79" s="24">
        <v>2.4324417000000001E-2</v>
      </c>
      <c r="N79" s="24">
        <v>0.10118054999999999</v>
      </c>
      <c r="O79" s="24">
        <v>1.6455173E-2</v>
      </c>
      <c r="P79" s="24">
        <v>-0.12551290000000001</v>
      </c>
      <c r="Q79" s="24">
        <v>-1.0752738E-2</v>
      </c>
      <c r="R79" s="24">
        <v>3.6988974000000001E-2</v>
      </c>
      <c r="S79" s="24">
        <v>-4.3374357000000002E-2</v>
      </c>
      <c r="T79" s="24">
        <v>1.1791586999999999E-2</v>
      </c>
      <c r="U79" s="24">
        <v>-1.1235892999999999E-2</v>
      </c>
      <c r="V79" s="24">
        <v>7.4953079999999991E-2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44295</v>
      </c>
      <c r="B80" s="24">
        <v>1.2068987E-2</v>
      </c>
      <c r="C80" s="24">
        <v>3.1811475999999998E-2</v>
      </c>
      <c r="D80" s="24">
        <v>-5.3298354000000006E-2</v>
      </c>
      <c r="E80" s="24">
        <v>-2.5717139999999999E-2</v>
      </c>
      <c r="F80" s="24">
        <v>4.7121048000000002E-3</v>
      </c>
      <c r="G80" s="24">
        <v>-9.226382E-3</v>
      </c>
      <c r="H80" s="24">
        <v>-1.1806786E-2</v>
      </c>
      <c r="I80" s="24">
        <v>6.2456370000000004E-2</v>
      </c>
      <c r="J80" s="24">
        <v>3.8426160000000001E-2</v>
      </c>
      <c r="K80" s="24">
        <v>5.9649466999999998E-2</v>
      </c>
      <c r="L80" s="24">
        <v>3.8045167999999997E-2</v>
      </c>
      <c r="M80" s="24">
        <v>9.3362330000000011E-3</v>
      </c>
      <c r="N80" s="24">
        <v>7.0443989999999998E-2</v>
      </c>
      <c r="O80" s="24">
        <v>-3.5846531000000001E-2</v>
      </c>
      <c r="P80" s="24">
        <v>-2.0933627999999999E-2</v>
      </c>
      <c r="Q80" s="24">
        <v>3.0978202999999999E-2</v>
      </c>
      <c r="R80" s="24">
        <v>-4.2656660000000004E-3</v>
      </c>
      <c r="S80" s="24">
        <v>-0.16815424000000001</v>
      </c>
      <c r="T80" s="24">
        <v>-3.7593841999999998E-3</v>
      </c>
      <c r="U80" s="24">
        <v>5.6818130000000001E-2</v>
      </c>
      <c r="V80" s="24">
        <v>5.6362629999999997E-2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44326</v>
      </c>
      <c r="B81" s="24">
        <v>7.3009729999999997E-3</v>
      </c>
      <c r="C81" s="24">
        <v>-5.9377613000000003E-2</v>
      </c>
      <c r="D81" s="24">
        <v>6.9220065999999998E-3</v>
      </c>
      <c r="E81" s="24">
        <v>-1.8612504000000002E-2</v>
      </c>
      <c r="F81" s="24">
        <v>7.8686832999999998E-2</v>
      </c>
      <c r="G81" s="24">
        <v>-3.7042140000000001E-2</v>
      </c>
      <c r="H81" s="24">
        <v>-1.0861754E-2</v>
      </c>
      <c r="I81" s="24">
        <v>3.5632133000000003E-2</v>
      </c>
      <c r="J81" s="24">
        <v>5.2514909999999998E-2</v>
      </c>
      <c r="K81" s="24">
        <v>2.2122502000000002E-2</v>
      </c>
      <c r="L81" s="24">
        <v>0.12932062</v>
      </c>
      <c r="M81" s="24">
        <v>3.5189985999999999E-2</v>
      </c>
      <c r="N81" s="24">
        <v>3.3261776E-2</v>
      </c>
      <c r="O81" s="24">
        <v>1.5351534E-2</v>
      </c>
      <c r="P81" s="24">
        <v>-3.7232697000000002E-2</v>
      </c>
      <c r="Q81" s="24">
        <v>3.9536119000000002E-2</v>
      </c>
      <c r="R81" s="24">
        <v>1.3924240999999999E-2</v>
      </c>
      <c r="S81" s="24">
        <v>3.5193204999999998E-2</v>
      </c>
      <c r="T81" s="24">
        <v>4.150939E-2</v>
      </c>
      <c r="U81" s="24">
        <v>3.2795668E-2</v>
      </c>
      <c r="V81" s="24">
        <v>2.6127576999999999E-2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44357</v>
      </c>
      <c r="B82" s="24">
        <v>8.5368159999999998E-2</v>
      </c>
      <c r="C82" s="24">
        <v>-9.6588429999999989E-2</v>
      </c>
      <c r="D82" s="24">
        <v>3.2636999999999999E-2</v>
      </c>
      <c r="E82" s="24">
        <v>9.7412109999999996E-2</v>
      </c>
      <c r="F82" s="24">
        <v>9.7645759999999998E-2</v>
      </c>
      <c r="G82" s="24">
        <v>-0.11002988</v>
      </c>
      <c r="H82" s="24">
        <v>8.0888269999999998E-3</v>
      </c>
      <c r="I82" s="24">
        <v>6.6592693000000003E-3</v>
      </c>
      <c r="J82" s="24">
        <v>4.7936797000000003E-2</v>
      </c>
      <c r="K82" s="24">
        <v>-6.9645643E-3</v>
      </c>
      <c r="L82" s="24">
        <v>9.5410590000000003E-2</v>
      </c>
      <c r="M82" s="24">
        <v>4.6454550000000004E-2</v>
      </c>
      <c r="N82" s="24">
        <v>3.9113880000000004E-2</v>
      </c>
      <c r="O82" s="24">
        <v>7.1387289999999992E-2</v>
      </c>
      <c r="P82" s="24">
        <v>4.5786858E-2</v>
      </c>
      <c r="Q82" s="24">
        <v>-1.8438935E-2</v>
      </c>
      <c r="R82" s="24">
        <v>2.3373127E-2</v>
      </c>
      <c r="S82" s="24">
        <v>-4.8400164000000001E-3</v>
      </c>
      <c r="T82" s="24">
        <v>7.9359054999999998E-2</v>
      </c>
      <c r="U82" s="24">
        <v>3.3836603E-2</v>
      </c>
      <c r="V82" s="24">
        <v>4.9470543999999998E-2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44386</v>
      </c>
      <c r="B83" s="24">
        <v>-2.8316557000000003E-2</v>
      </c>
      <c r="C83" s="24">
        <v>-4.919714E-2</v>
      </c>
      <c r="D83" s="24">
        <v>-9.2005309999999993E-2</v>
      </c>
      <c r="E83" s="24">
        <v>-5.204052E-2</v>
      </c>
      <c r="F83" s="24">
        <v>-3.6628424999999999E-2</v>
      </c>
      <c r="G83" s="24">
        <v>-5.5194798000000003E-2</v>
      </c>
      <c r="H83" s="24">
        <v>-6.0674190000000003E-2</v>
      </c>
      <c r="I83" s="24">
        <v>1.5277982000000001E-2</v>
      </c>
      <c r="J83" s="24">
        <v>-3.1180441E-2</v>
      </c>
      <c r="K83" s="24">
        <v>-2.6650846000000002E-2</v>
      </c>
      <c r="L83" s="24">
        <v>-5.5514811999999997E-2</v>
      </c>
      <c r="M83" s="24">
        <v>-8.4488629999999995E-2</v>
      </c>
      <c r="N83" s="24">
        <v>-7.9613630000000005E-2</v>
      </c>
      <c r="O83" s="24">
        <v>-2.1628796999999998E-2</v>
      </c>
      <c r="P83" s="24">
        <v>-4.9290599999999997E-2</v>
      </c>
      <c r="Q83" s="24">
        <v>1.6662717000000001E-2</v>
      </c>
      <c r="R83" s="24">
        <v>-4.5026419999999998E-2</v>
      </c>
      <c r="S83" s="24">
        <v>-7.722002E-2</v>
      </c>
      <c r="T83" s="24">
        <v>-2.1542788E-2</v>
      </c>
      <c r="U83" s="24">
        <v>3.5246610000000001E-3</v>
      </c>
      <c r="V83" s="24">
        <v>7.4762105999999998E-3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44418</v>
      </c>
      <c r="B84" s="24">
        <v>-4.3598413000000003E-3</v>
      </c>
      <c r="C84" s="24">
        <v>-2.1200119999999999E-2</v>
      </c>
      <c r="D84" s="24">
        <v>-4.4269562000000002E-3</v>
      </c>
      <c r="E84" s="24">
        <v>-3.9546131999999998E-2</v>
      </c>
      <c r="F84" s="24">
        <v>-1.8323064E-3</v>
      </c>
      <c r="G84" s="24">
        <v>-9.9656339999999996E-2</v>
      </c>
      <c r="H84" s="24">
        <v>-2.1132410000000001E-2</v>
      </c>
      <c r="I84" s="24">
        <v>-1.0549188000000001E-2</v>
      </c>
      <c r="J84" s="24">
        <v>1.9017816E-2</v>
      </c>
      <c r="K84" s="24">
        <v>-1.3302267000000001E-2</v>
      </c>
      <c r="L84" s="24">
        <v>-2.6670098000000003E-2</v>
      </c>
      <c r="M84" s="24">
        <v>-2.1894813000000003E-2</v>
      </c>
      <c r="N84" s="24">
        <v>5.4289100000000003E-3</v>
      </c>
      <c r="O84" s="24">
        <v>2.5039433999999999E-2</v>
      </c>
      <c r="P84" s="24">
        <v>-6.6254972999999995E-2</v>
      </c>
      <c r="Q84" s="24">
        <v>5.1259995E-6</v>
      </c>
      <c r="R84" s="24">
        <v>-6.1014295E-3</v>
      </c>
      <c r="S84" s="24">
        <v>4.3700575999999998E-2</v>
      </c>
      <c r="T84" s="24">
        <v>2.6633499999999997E-2</v>
      </c>
      <c r="U84" s="24">
        <v>3.0105114000000001E-3</v>
      </c>
      <c r="V84" s="24">
        <v>5.3479910000000005E-2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44449</v>
      </c>
      <c r="B85" s="24">
        <v>8.7578297000000006E-3</v>
      </c>
      <c r="C85" s="24">
        <v>1.762116E-2</v>
      </c>
      <c r="D85" s="24">
        <v>5.5830120000000004E-2</v>
      </c>
      <c r="E85" s="24">
        <v>6.8450330000000004E-2</v>
      </c>
      <c r="F85" s="24">
        <v>5.5530070000000001E-2</v>
      </c>
      <c r="G85" s="24">
        <v>4.5038103999999995E-2</v>
      </c>
      <c r="H85" s="24">
        <v>6.8839073000000001E-2</v>
      </c>
      <c r="I85" s="24">
        <v>2.1636962999999999E-2</v>
      </c>
      <c r="J85" s="24">
        <v>2.5635720000000001E-2</v>
      </c>
      <c r="K85" s="24">
        <v>-6.0667334000000003E-2</v>
      </c>
      <c r="L85" s="24">
        <v>-7.9542455999999997E-2</v>
      </c>
      <c r="M85" s="24">
        <v>-1.0041833E-2</v>
      </c>
      <c r="N85" s="24">
        <v>2.5197983E-2</v>
      </c>
      <c r="O85" s="24">
        <v>8.4727169999999991E-2</v>
      </c>
      <c r="P85" s="24">
        <v>-9.5067620000000002E-3</v>
      </c>
      <c r="Q85" s="24">
        <v>2.3371339999999997E-2</v>
      </c>
      <c r="R85" s="24">
        <v>6.0111999999999999E-2</v>
      </c>
      <c r="S85" s="24">
        <v>1.6481041999999998E-2</v>
      </c>
      <c r="T85" s="24">
        <v>5.1539299999999996E-2</v>
      </c>
      <c r="U85" s="24">
        <v>2.0010470999999998E-3</v>
      </c>
      <c r="V85" s="24">
        <v>1.1901854999999999E-2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44477</v>
      </c>
      <c r="B86" s="24">
        <v>-1.644963E-2</v>
      </c>
      <c r="C86" s="24">
        <v>-0.11363638</v>
      </c>
      <c r="D86" s="24">
        <v>9.3589190000000003E-2</v>
      </c>
      <c r="E86" s="24">
        <v>1.0731697E-2</v>
      </c>
      <c r="F86" s="24">
        <v>4.3475628000000003E-4</v>
      </c>
      <c r="G86" s="24">
        <v>1.7531156999999999E-2</v>
      </c>
      <c r="H86" s="24">
        <v>-3.811121E-4</v>
      </c>
      <c r="I86" s="24">
        <v>-6.0313106000000005E-2</v>
      </c>
      <c r="J86" s="24">
        <v>-3.919214E-2</v>
      </c>
      <c r="K86" s="24">
        <v>-6.7695320000000003E-2</v>
      </c>
      <c r="L86" s="24">
        <v>-6.1271667000000002E-2</v>
      </c>
      <c r="M86" s="24">
        <v>1.9019484999999999E-2</v>
      </c>
      <c r="N86" s="24">
        <v>-1.8258452000000001E-2</v>
      </c>
      <c r="O86" s="24">
        <v>-6.0868263000000001E-4</v>
      </c>
      <c r="P86" s="24">
        <v>-3.7835597999999998E-2</v>
      </c>
      <c r="Q86" s="24">
        <v>4.8223257000000005E-2</v>
      </c>
      <c r="R86" s="24">
        <v>2.4826526999999999E-3</v>
      </c>
      <c r="S86" s="24">
        <v>-7.5372458000000003E-2</v>
      </c>
      <c r="T86" s="24">
        <v>-3.124994E-2</v>
      </c>
      <c r="U86" s="24">
        <v>-2.1467805000000003E-2</v>
      </c>
      <c r="V86" s="24">
        <v>2.4003863E-2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44510</v>
      </c>
      <c r="B87" s="24">
        <v>-7.4332356E-3</v>
      </c>
      <c r="C87" s="24">
        <v>0.10663413999999999</v>
      </c>
      <c r="D87" s="24">
        <v>1.7543911999999998E-2</v>
      </c>
      <c r="E87" s="24">
        <v>6.4350129999999992E-2</v>
      </c>
      <c r="F87" s="24">
        <v>-1.2603283E-2</v>
      </c>
      <c r="G87" s="24">
        <v>6.6403390000000007E-2</v>
      </c>
      <c r="H87" s="24">
        <v>-3.2786846000000001E-2</v>
      </c>
      <c r="I87" s="24">
        <v>5.3568600000000001E-2</v>
      </c>
      <c r="J87" s="24">
        <v>1.456821E-2</v>
      </c>
      <c r="K87" s="24">
        <v>-2.9505490000000002E-3</v>
      </c>
      <c r="L87" s="24">
        <v>-6.3115716000000002E-2</v>
      </c>
      <c r="M87" s="24">
        <v>-2.5922835000000002E-2</v>
      </c>
      <c r="N87" s="24">
        <v>7.1537495000000006E-4</v>
      </c>
      <c r="O87" s="24">
        <v>1.5022397E-2</v>
      </c>
      <c r="P87" s="24">
        <v>-1.0842860000000001E-2</v>
      </c>
      <c r="Q87" s="24">
        <v>2.0978212E-2</v>
      </c>
      <c r="R87" s="24">
        <v>-5.4532290000000004E-3</v>
      </c>
      <c r="S87" s="24">
        <v>6.3507079999999994E-2</v>
      </c>
      <c r="T87" s="24">
        <v>7.8981280000000001E-2</v>
      </c>
      <c r="U87" s="24">
        <v>5.051017E-2</v>
      </c>
      <c r="V87" s="24">
        <v>1.9456266999999999E-2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44540</v>
      </c>
      <c r="B88" s="24">
        <v>5.1954149999999998E-2</v>
      </c>
      <c r="C88" s="24">
        <v>-6.9510879999999997E-2</v>
      </c>
      <c r="D88" s="24">
        <v>-1.219517E-2</v>
      </c>
      <c r="E88" s="24">
        <v>-1.8440187E-2</v>
      </c>
      <c r="F88" s="24">
        <v>-8.1425959999999992E-2</v>
      </c>
      <c r="G88" s="24">
        <v>-3.4331798999999996E-2</v>
      </c>
      <c r="H88" s="24">
        <v>-2.8774201999999999E-2</v>
      </c>
      <c r="I88" s="24">
        <v>3.6583543000000003E-2</v>
      </c>
      <c r="J88" s="24">
        <v>-1.3743578999999999E-2</v>
      </c>
      <c r="K88" s="24">
        <v>3.8857339999999997E-2</v>
      </c>
      <c r="L88" s="24">
        <v>8.2155466E-3</v>
      </c>
      <c r="M88" s="24">
        <v>-3.2361090000000002E-2</v>
      </c>
      <c r="N88" s="24">
        <v>-2.4303078999999998E-2</v>
      </c>
      <c r="O88" s="24">
        <v>-2.9599964999999999E-2</v>
      </c>
      <c r="P88" s="24">
        <v>-3.6831260000000005E-2</v>
      </c>
      <c r="Q88" s="24">
        <v>-2.9559135E-2</v>
      </c>
      <c r="R88" s="24">
        <v>-7.507026E-3</v>
      </c>
      <c r="S88" s="24">
        <v>-0.11363644000000001</v>
      </c>
      <c r="T88" s="24">
        <v>8.8872069999999997E-2</v>
      </c>
      <c r="U88" s="24">
        <v>4.3710470000000003E-3</v>
      </c>
      <c r="V88" s="24">
        <v>-8.5766910000000002E-2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44571</v>
      </c>
      <c r="B89" s="24">
        <v>-5.1858370000000001E-2</v>
      </c>
      <c r="C89" s="24">
        <v>-3.6527514000000004E-2</v>
      </c>
      <c r="D89" s="24">
        <v>-1.508236E-3</v>
      </c>
      <c r="E89" s="24">
        <v>-3.9288820000000002E-2</v>
      </c>
      <c r="F89" s="24">
        <v>5.5783509999999994E-2</v>
      </c>
      <c r="G89" s="24">
        <v>0.12793350000000001</v>
      </c>
      <c r="H89" s="24">
        <v>3.8318872000000004E-2</v>
      </c>
      <c r="I89" s="24">
        <v>1.8617511E-2</v>
      </c>
      <c r="J89" s="24">
        <v>6.3945173999999994E-2</v>
      </c>
      <c r="K89" s="24">
        <v>-3.4409999999999996E-2</v>
      </c>
      <c r="L89" s="24">
        <v>-5.3410349999999995E-2</v>
      </c>
      <c r="M89" s="24">
        <v>6.1009170000000001E-2</v>
      </c>
      <c r="N89" s="24">
        <v>1.9981264999999998E-2</v>
      </c>
      <c r="O89" s="24">
        <v>3.8880467000000002E-2</v>
      </c>
      <c r="P89" s="24">
        <v>-5.0212382999999999E-2</v>
      </c>
      <c r="Q89" s="24">
        <v>2.4460554000000002E-2</v>
      </c>
      <c r="R89" s="24">
        <v>2.39954E-2</v>
      </c>
      <c r="S89" s="24">
        <v>7.4957610000000001E-3</v>
      </c>
      <c r="T89" s="24">
        <v>-3.8141189999999998E-2</v>
      </c>
      <c r="U89" s="24">
        <v>3.0275821999999997E-2</v>
      </c>
      <c r="V89" s="24">
        <v>7.8029156000000002E-2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44602</v>
      </c>
      <c r="B90" s="24">
        <v>-4.0492534999999996E-2</v>
      </c>
      <c r="C90" s="24">
        <v>0.11567795</v>
      </c>
      <c r="D90" s="24">
        <v>2.3185850000000001E-2</v>
      </c>
      <c r="E90" s="24">
        <v>4.2471050000000003E-2</v>
      </c>
      <c r="F90" s="24">
        <v>-3.0733943E-2</v>
      </c>
      <c r="G90" s="24">
        <v>8.3517910000000001E-2</v>
      </c>
      <c r="H90" s="24">
        <v>1.5744805000000001E-2</v>
      </c>
      <c r="I90" s="24">
        <v>-5.1290389999999993E-3</v>
      </c>
      <c r="J90" s="24">
        <v>-1.3877809000000001E-2</v>
      </c>
      <c r="K90" s="24">
        <v>-3.5115302000000001E-2</v>
      </c>
      <c r="L90" s="24">
        <v>0.20155619999999999</v>
      </c>
      <c r="M90" s="24">
        <v>7.3957679999999998E-2</v>
      </c>
      <c r="N90" s="24">
        <v>8.4770679999999987E-2</v>
      </c>
      <c r="O90" s="24">
        <v>-4.7961115999999998E-2</v>
      </c>
      <c r="P90" s="24">
        <v>2.2050500000000001E-2</v>
      </c>
      <c r="Q90" s="24">
        <v>7.9425809999999999E-2</v>
      </c>
      <c r="R90" s="24">
        <v>2.7723789999999998E-2</v>
      </c>
      <c r="S90" s="24">
        <v>1.9047617999999999E-2</v>
      </c>
      <c r="T90" s="24">
        <v>3.2376170000000003E-2</v>
      </c>
      <c r="U90" s="24">
        <v>-6.2735852999999994E-2</v>
      </c>
      <c r="V90" s="24">
        <v>5.6625959999999996E-2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44630</v>
      </c>
      <c r="B91" s="24">
        <v>-6.9595279999999995E-2</v>
      </c>
      <c r="C91" s="24">
        <v>1.6331195999999999E-2</v>
      </c>
      <c r="D91" s="24">
        <v>2.5598049999999997E-2</v>
      </c>
      <c r="E91" s="24">
        <v>-6.1728477000000004E-2</v>
      </c>
      <c r="F91" s="24">
        <v>-0.19592994999999999</v>
      </c>
      <c r="G91" s="24">
        <v>8.2043890000000008E-2</v>
      </c>
      <c r="H91" s="24">
        <v>1.5898942999999998E-3</v>
      </c>
      <c r="I91" s="24">
        <v>-6.9294869999999995E-2</v>
      </c>
      <c r="J91" s="24">
        <v>-1.0454357000000001E-2</v>
      </c>
      <c r="K91" s="24">
        <v>-7.4823500000000001E-2</v>
      </c>
      <c r="L91" s="24">
        <v>5.5812597000000005E-2</v>
      </c>
      <c r="M91" s="24">
        <v>3.2188891999999997E-2</v>
      </c>
      <c r="N91" s="24">
        <v>-0.18606228000000002</v>
      </c>
      <c r="O91" s="24">
        <v>-5.7035026999999995E-2</v>
      </c>
      <c r="P91" s="24">
        <v>-0.19086610000000001</v>
      </c>
      <c r="Q91" s="24">
        <v>5.6737659999999995E-2</v>
      </c>
      <c r="R91" s="24">
        <v>-3.2836199000000003E-2</v>
      </c>
      <c r="S91" s="24">
        <v>-9.936057999999999E-2</v>
      </c>
      <c r="T91" s="24">
        <v>7.6923130000000006E-2</v>
      </c>
      <c r="U91" s="24">
        <v>-4.5294465999999999E-2</v>
      </c>
      <c r="V91" s="24">
        <v>4.1583300000000004E-2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44659</v>
      </c>
      <c r="B92" s="24">
        <v>-2.2015989999999999E-2</v>
      </c>
      <c r="C92" s="24">
        <v>6.1285496000000002E-2</v>
      </c>
      <c r="D92" s="24">
        <v>1.4320850000000001E-2</v>
      </c>
      <c r="E92" s="24">
        <v>4.2763948000000005E-3</v>
      </c>
      <c r="F92" s="24">
        <v>7.8281283000000007E-2</v>
      </c>
      <c r="G92" s="24">
        <v>-1.8078864E-2</v>
      </c>
      <c r="H92" s="24">
        <v>2.2222160999999997E-2</v>
      </c>
      <c r="I92" s="24">
        <v>-2.5252520000000001E-2</v>
      </c>
      <c r="J92" s="24">
        <v>8.0048679999999997E-2</v>
      </c>
      <c r="K92" s="24">
        <v>1.1301993999999999E-2</v>
      </c>
      <c r="L92" s="24">
        <v>0.10572421999999999</v>
      </c>
      <c r="M92" s="24">
        <v>3.7611127000000001E-2</v>
      </c>
      <c r="N92" s="24">
        <v>0.13383209000000001</v>
      </c>
      <c r="O92" s="24">
        <v>7.9312800000000003E-2</v>
      </c>
      <c r="P92" s="24">
        <v>3.5616874999999999E-2</v>
      </c>
      <c r="Q92" s="24">
        <v>4.6979784999999996E-2</v>
      </c>
      <c r="R92" s="24">
        <v>2.3629665000000001E-2</v>
      </c>
      <c r="S92" s="24">
        <v>0.2037139</v>
      </c>
      <c r="T92" s="24">
        <v>5.6318640000000003E-2</v>
      </c>
      <c r="U92" s="24">
        <v>-1.0542929000000001E-2</v>
      </c>
      <c r="V92" s="24">
        <v>4.2912005999999996E-2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44691</v>
      </c>
      <c r="B93" s="24">
        <v>-0.12693251</v>
      </c>
      <c r="C93" s="24">
        <v>-0.12253517</v>
      </c>
      <c r="D93" s="24">
        <v>-4.1549025000000003E-2</v>
      </c>
      <c r="E93" s="24">
        <v>-6.3216504999999992E-2</v>
      </c>
      <c r="F93" s="24">
        <v>-0.18831879000000001</v>
      </c>
      <c r="G93" s="24">
        <v>-0.2225886</v>
      </c>
      <c r="H93" s="24">
        <v>-7.2981414999999994E-2</v>
      </c>
      <c r="I93" s="24">
        <v>-9.7442810000000005E-2</v>
      </c>
      <c r="J93" s="24">
        <v>-0.10402554500000001</v>
      </c>
      <c r="K93" s="24">
        <v>-6.6763400000000001E-2</v>
      </c>
      <c r="L93" s="24">
        <v>-0.19968306999999999</v>
      </c>
      <c r="M93" s="24">
        <v>-0.20072859000000001</v>
      </c>
      <c r="N93" s="24">
        <v>-7.9178867E-2</v>
      </c>
      <c r="O93" s="24">
        <v>-0.10488444</v>
      </c>
      <c r="P93" s="24">
        <v>-0.12704378</v>
      </c>
      <c r="Q93" s="24">
        <v>-4.7275600000000001E-2</v>
      </c>
      <c r="R93" s="24">
        <v>-3.7497044E-2</v>
      </c>
      <c r="S93" s="24">
        <v>4.5371055999999998E-3</v>
      </c>
      <c r="T93" s="24">
        <v>-5.7997409999999999E-2</v>
      </c>
      <c r="U93" s="24">
        <v>-0.14011728000000001</v>
      </c>
      <c r="V93" s="24">
        <v>6.1413050000000005E-3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44722</v>
      </c>
      <c r="B94" s="24">
        <v>9.7112180000000006E-2</v>
      </c>
      <c r="C94" s="24">
        <v>0.15614891</v>
      </c>
      <c r="D94" s="24">
        <v>-7.2359439999999994E-3</v>
      </c>
      <c r="E94" s="24">
        <v>-3.5627186000000005E-2</v>
      </c>
      <c r="F94" s="24">
        <v>2.1993876000000002E-2</v>
      </c>
      <c r="G94" s="24">
        <v>7.2087406999999992E-2</v>
      </c>
      <c r="H94" s="24">
        <v>-3.8951277999999999E-2</v>
      </c>
      <c r="I94" s="24">
        <v>1.6111135000000002E-2</v>
      </c>
      <c r="J94" s="24">
        <v>1.0649322999999999E-2</v>
      </c>
      <c r="K94" s="24">
        <v>-1.8195987E-2</v>
      </c>
      <c r="L94" s="24">
        <v>5.5573699999999997E-2</v>
      </c>
      <c r="M94" s="24">
        <v>1.7964839999999999E-2</v>
      </c>
      <c r="N94" s="24">
        <v>3.9803980000000004E-4</v>
      </c>
      <c r="O94" s="24">
        <v>-1.9488393999999999E-2</v>
      </c>
      <c r="P94" s="24">
        <v>0.15743278999999999</v>
      </c>
      <c r="Q94" s="24">
        <v>-5.3315344000000001E-2</v>
      </c>
      <c r="R94" s="24">
        <v>6.0637E-3</v>
      </c>
      <c r="S94" s="24">
        <v>-0.10028374</v>
      </c>
      <c r="T94" s="24">
        <v>-8.2926090000000008E-2</v>
      </c>
      <c r="U94" s="24">
        <v>-3.0359327999999998E-2</v>
      </c>
      <c r="V94" s="24">
        <v>-8.7930439999999999E-2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44750</v>
      </c>
      <c r="B95" s="24">
        <v>6.6950320000000008E-2</v>
      </c>
      <c r="C95" s="24">
        <v>-0.14584838999999999</v>
      </c>
      <c r="D95" s="24">
        <v>-6.1908903000000001E-2</v>
      </c>
      <c r="E95" s="24">
        <v>-5.9060930000000005E-2</v>
      </c>
      <c r="F95" s="24">
        <v>-6.3081082999999996E-2</v>
      </c>
      <c r="G95" s="24">
        <v>-0.13709402000000001</v>
      </c>
      <c r="H95" s="24">
        <v>-3.7794590000000003E-2</v>
      </c>
      <c r="I95" s="24">
        <v>-9.5862920000000004E-2</v>
      </c>
      <c r="J95" s="24">
        <v>-3.0584276000000001E-2</v>
      </c>
      <c r="K95" s="24">
        <v>-7.6508820000000005E-2</v>
      </c>
      <c r="L95" s="24">
        <v>-9.7936449999999994E-2</v>
      </c>
      <c r="M95" s="24">
        <v>-2.8610646999999999E-2</v>
      </c>
      <c r="N95" s="24">
        <v>-9.8779970000000009E-2</v>
      </c>
      <c r="O95" s="24">
        <v>-1.2422204E-3</v>
      </c>
      <c r="P95" s="24">
        <v>3.872776E-2</v>
      </c>
      <c r="Q95" s="24">
        <v>-4.4577180000000001E-2</v>
      </c>
      <c r="R95" s="24">
        <v>-4.5785309999999996E-2</v>
      </c>
      <c r="S95" s="24">
        <v>-4.3882312999999999E-2</v>
      </c>
      <c r="T95" s="24">
        <v>-5.6034446000000002E-2</v>
      </c>
      <c r="U95" s="24">
        <v>-8.7539909999999999E-2</v>
      </c>
      <c r="V95" s="24">
        <v>-7.0786532999999999E-2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44783</v>
      </c>
      <c r="B96" s="24">
        <v>-6.1951637000000004E-2</v>
      </c>
      <c r="C96" s="24">
        <v>0.14370238999999999</v>
      </c>
      <c r="D96" s="24">
        <v>9.9908350000000007E-2</v>
      </c>
      <c r="E96" s="24">
        <v>3.6647199999999998E-2</v>
      </c>
      <c r="F96" s="24">
        <v>3.1892299999999998E-2</v>
      </c>
      <c r="G96" s="24">
        <v>6.0221910000000003E-2</v>
      </c>
      <c r="H96" s="24">
        <v>4.6210766E-2</v>
      </c>
      <c r="I96" s="24">
        <v>5.0393105000000001E-2</v>
      </c>
      <c r="J96" s="24">
        <v>2.6109694999999999E-2</v>
      </c>
      <c r="K96" s="24">
        <v>5.6260823999999994E-2</v>
      </c>
      <c r="L96" s="24">
        <v>0.14052284000000001</v>
      </c>
      <c r="M96" s="24">
        <v>5.2780389999999996E-2</v>
      </c>
      <c r="N96" s="24">
        <v>0.10447108999999999</v>
      </c>
      <c r="O96" s="24">
        <v>8.8308449999999997E-2</v>
      </c>
      <c r="P96" s="24">
        <v>-0.11833572000000001</v>
      </c>
      <c r="Q96" s="24">
        <v>0.11303509</v>
      </c>
      <c r="R96" s="24">
        <v>3.8090467000000003E-2</v>
      </c>
      <c r="S96" s="24">
        <v>0.13174938999999999</v>
      </c>
      <c r="T96" s="24">
        <v>9.9804400000000001E-2</v>
      </c>
      <c r="U96" s="24">
        <v>8.6134429999999998E-2</v>
      </c>
      <c r="V96" s="24">
        <v>9.4316844999999996E-2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44813</v>
      </c>
      <c r="B97" s="24">
        <v>-3.8265288000000001E-2</v>
      </c>
      <c r="C97" s="24">
        <v>4.9519540000000001E-2</v>
      </c>
      <c r="D97" s="24">
        <v>1.5416741000000001E-2</v>
      </c>
      <c r="E97" s="24">
        <v>-1.7299770999999999E-2</v>
      </c>
      <c r="F97" s="24">
        <v>-0.12019228999999999</v>
      </c>
      <c r="G97" s="24">
        <v>-2.4289966E-2</v>
      </c>
      <c r="H97" s="24">
        <v>-1.5459298999999999E-2</v>
      </c>
      <c r="I97" s="24">
        <v>-5.0086380000000007E-2</v>
      </c>
      <c r="J97" s="24">
        <v>-1.0602176000000001E-2</v>
      </c>
      <c r="K97" s="24">
        <v>-9.3049759999999995E-2</v>
      </c>
      <c r="L97" s="24">
        <v>2.5469065E-3</v>
      </c>
      <c r="M97" s="24">
        <v>-8.2363490000000011E-2</v>
      </c>
      <c r="N97" s="24">
        <v>-5.4108200000000002E-2</v>
      </c>
      <c r="O97" s="24">
        <v>4.5716763E-4</v>
      </c>
      <c r="P97" s="24">
        <v>-1.2053131999999999E-2</v>
      </c>
      <c r="Q97" s="24">
        <v>-5.1101922999999994E-2</v>
      </c>
      <c r="R97" s="24">
        <v>2.3132442999999999E-2</v>
      </c>
      <c r="S97" s="24">
        <v>0.19561077000000002</v>
      </c>
      <c r="T97" s="24">
        <v>-8.3629969999999998E-2</v>
      </c>
      <c r="U97" s="24">
        <v>-2.9658258000000003E-2</v>
      </c>
      <c r="V97" s="24">
        <v>-4.6850799999999998E-2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44844</v>
      </c>
      <c r="B98" s="24">
        <v>-0.11788976999999999</v>
      </c>
      <c r="C98" s="24">
        <v>-0.13802814499999999</v>
      </c>
      <c r="D98" s="24">
        <v>-4.9651265E-2</v>
      </c>
      <c r="E98" s="24">
        <v>-0.14619213</v>
      </c>
      <c r="F98" s="24">
        <v>-0.16003126000000001</v>
      </c>
      <c r="G98" s="24">
        <v>-2.5660693999999998E-2</v>
      </c>
      <c r="H98" s="24">
        <v>-9.1520899999999988E-2</v>
      </c>
      <c r="I98" s="24">
        <v>-0.13696968000000001</v>
      </c>
      <c r="J98" s="24">
        <v>-2.6789546000000001E-2</v>
      </c>
      <c r="K98" s="24">
        <v>-0.12802142</v>
      </c>
      <c r="L98" s="24">
        <v>3.0485867999999999E-2</v>
      </c>
      <c r="M98" s="24">
        <v>-8.975612999999999E-2</v>
      </c>
      <c r="N98" s="24">
        <v>-7.7118634999999991E-2</v>
      </c>
      <c r="O98" s="24">
        <v>-6.6712380000000002E-2</v>
      </c>
      <c r="P98" s="24">
        <v>-0.13895785999999999</v>
      </c>
      <c r="Q98" s="24">
        <v>-6.7175627000000005E-3</v>
      </c>
      <c r="R98" s="24">
        <v>-5.0797166999999997E-2</v>
      </c>
      <c r="S98" s="24">
        <v>-5.5865644999999993E-3</v>
      </c>
      <c r="T98" s="24">
        <v>-1.2770235999999999E-2</v>
      </c>
      <c r="U98" s="24">
        <v>-0.17475086000000001</v>
      </c>
      <c r="V98" s="24">
        <v>-2.2722006000000003E-2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44875</v>
      </c>
      <c r="B99" s="24">
        <v>2.3387910000000001E-2</v>
      </c>
      <c r="C99" s="24">
        <v>0.12418306</v>
      </c>
      <c r="D99" s="24">
        <v>2.6338577000000002E-2</v>
      </c>
      <c r="E99" s="24">
        <v>0.12191844</v>
      </c>
      <c r="F99" s="24">
        <v>0.32063197999999998</v>
      </c>
      <c r="G99" s="24">
        <v>0.13128937000000002</v>
      </c>
      <c r="H99" s="24">
        <v>6.7654370000000005E-2</v>
      </c>
      <c r="I99" s="24">
        <v>9.0355869999999991E-2</v>
      </c>
      <c r="J99" s="24">
        <v>0.17000664000000001</v>
      </c>
      <c r="K99" s="24">
        <v>0.19876802000000002</v>
      </c>
      <c r="L99" s="24">
        <v>-8.7519279999999991E-2</v>
      </c>
      <c r="M99" s="24">
        <v>0.15916395</v>
      </c>
      <c r="N99" s="24">
        <v>0.18227731999999999</v>
      </c>
      <c r="O99" s="24">
        <v>7.7356220000000003E-2</v>
      </c>
      <c r="P99" s="24">
        <v>-9.3659759999999998E-3</v>
      </c>
      <c r="Q99" s="24">
        <v>6.4191819999999998E-3</v>
      </c>
      <c r="R99" s="24">
        <v>3.0982375000000003E-2</v>
      </c>
      <c r="S99" s="24">
        <v>0.22512042999999998</v>
      </c>
      <c r="T99" s="24">
        <v>5.0305843000000003E-2</v>
      </c>
      <c r="U99" s="24">
        <v>-0.11755233999999999</v>
      </c>
      <c r="V99" s="24">
        <v>-1.8030881999999998E-2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44904</v>
      </c>
      <c r="B100" s="24">
        <v>6.3336610000000002E-2</v>
      </c>
      <c r="C100" s="24">
        <v>-1.1991262000000001E-2</v>
      </c>
      <c r="D100" s="24">
        <v>-5.4270149999999996E-2</v>
      </c>
      <c r="E100" s="24">
        <v>5.3535820000000005E-2</v>
      </c>
      <c r="F100" s="24">
        <v>4.9261093000000006E-2</v>
      </c>
      <c r="G100" s="24">
        <v>2.9881834999999999E-2</v>
      </c>
      <c r="H100" s="24">
        <v>5.0416230000000006E-2</v>
      </c>
      <c r="I100" s="24">
        <v>6.2473179999999996E-2</v>
      </c>
      <c r="J100" s="24">
        <v>-3.030306E-2</v>
      </c>
      <c r="K100" s="24">
        <v>-5.8239099999999999E-3</v>
      </c>
      <c r="L100" s="24">
        <v>1.1144876E-2</v>
      </c>
      <c r="M100" s="24">
        <v>-3.2362341999999998E-3</v>
      </c>
      <c r="N100" s="24">
        <v>3.029132E-2</v>
      </c>
      <c r="O100" s="24">
        <v>-2.7948199999999999E-2</v>
      </c>
      <c r="P100" s="24">
        <v>0.18157578000000002</v>
      </c>
      <c r="Q100" s="24">
        <v>-0.10159456</v>
      </c>
      <c r="R100" s="24">
        <v>2.4086236999999997E-3</v>
      </c>
      <c r="S100" s="24">
        <v>0.11038327000000001</v>
      </c>
      <c r="T100" s="24">
        <v>-5.7428239999999998E-2</v>
      </c>
      <c r="U100" s="24">
        <v>0.17244530000000002</v>
      </c>
      <c r="V100" s="24">
        <v>-9.325928E-2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44936</v>
      </c>
      <c r="B101" s="24">
        <v>4.6407939999999995E-2</v>
      </c>
      <c r="C101" s="24">
        <v>2.1584034000000002E-2</v>
      </c>
      <c r="D101" s="24">
        <v>-2.4053037000000003E-2</v>
      </c>
      <c r="E101" s="24">
        <v>6.3702344999999994E-2</v>
      </c>
      <c r="F101" s="24">
        <v>0.15471828000000001</v>
      </c>
      <c r="G101" s="24">
        <v>7.1483730000000009E-2</v>
      </c>
      <c r="H101" s="24">
        <v>2.1684407999999999E-2</v>
      </c>
      <c r="I101" s="24">
        <v>2.5670647999999997E-2</v>
      </c>
      <c r="J101" s="24">
        <v>7.9309224999999997E-2</v>
      </c>
      <c r="K101" s="24">
        <v>6.96851E-2</v>
      </c>
      <c r="L101" s="24">
        <v>3.6029220000000001E-2</v>
      </c>
      <c r="M101" s="24">
        <v>8.0735089999999995E-2</v>
      </c>
      <c r="N101" s="24">
        <v>8.8631150000000006E-2</v>
      </c>
      <c r="O101" s="24">
        <v>-1.449275E-2</v>
      </c>
      <c r="P101" s="24">
        <v>0.10309828</v>
      </c>
      <c r="Q101" s="24">
        <v>2.2851229E-3</v>
      </c>
      <c r="R101" s="24">
        <v>4.2066929999999995E-2</v>
      </c>
      <c r="S101" s="24">
        <v>-6.4378980000000003E-4</v>
      </c>
      <c r="T101" s="24">
        <v>2.1820068000000001E-3</v>
      </c>
      <c r="U101" s="24">
        <v>-2.2028446E-2</v>
      </c>
      <c r="V101" s="24">
        <v>3.8205862E-2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44967</v>
      </c>
      <c r="B102" s="24">
        <v>7.5142383999999996E-3</v>
      </c>
      <c r="C102" s="24">
        <v>8.1240770000000004E-2</v>
      </c>
      <c r="D102" s="24">
        <v>7.7348112999999996E-2</v>
      </c>
      <c r="E102" s="24">
        <v>2.005732E-2</v>
      </c>
      <c r="F102" s="24">
        <v>-7.0330977000000003E-2</v>
      </c>
      <c r="G102" s="24">
        <v>-4.6138999999999999E-2</v>
      </c>
      <c r="H102" s="24">
        <v>4.3511389999999997E-4</v>
      </c>
      <c r="I102" s="24">
        <v>4.3943285999999998E-2</v>
      </c>
      <c r="J102" s="24">
        <v>3.3400655000000001E-2</v>
      </c>
      <c r="K102" s="24">
        <v>1.8418908000000001E-2</v>
      </c>
      <c r="L102" s="24">
        <v>-2.4982630999999998E-2</v>
      </c>
      <c r="M102" s="24">
        <v>-5.9695004999999995E-2</v>
      </c>
      <c r="N102" s="24">
        <v>0.10941386</v>
      </c>
      <c r="O102" s="24">
        <v>-4.3168901999999995E-2</v>
      </c>
      <c r="P102" s="24">
        <v>-3.1710087999999997E-2</v>
      </c>
      <c r="Q102" s="24">
        <v>-9.2713829999999997E-2</v>
      </c>
      <c r="R102" s="24">
        <v>-1.5868485000000002E-2</v>
      </c>
      <c r="S102" s="24">
        <v>-0.12933844999999999</v>
      </c>
      <c r="T102" s="24">
        <v>4.9662589999999998E-4</v>
      </c>
      <c r="U102" s="24">
        <v>-4.0160656000000003E-2</v>
      </c>
      <c r="V102" s="24">
        <v>-3.1906604999999998E-2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44995</v>
      </c>
      <c r="B103" s="24">
        <v>-4.6539425999999995E-2</v>
      </c>
      <c r="C103" s="24">
        <v>-1.5027344E-2</v>
      </c>
      <c r="D103" s="24">
        <v>-5.5128155000000005E-2</v>
      </c>
      <c r="E103" s="24">
        <v>-7.5140419999999999E-2</v>
      </c>
      <c r="F103" s="24">
        <v>-1.7164648000000001E-2</v>
      </c>
      <c r="G103" s="24">
        <v>-2.0826340000000002E-2</v>
      </c>
      <c r="H103" s="24">
        <v>-7.0465384000000006E-2</v>
      </c>
      <c r="I103" s="24">
        <v>-3.1403123999999998E-2</v>
      </c>
      <c r="J103" s="24">
        <v>1.1898397999999999E-2</v>
      </c>
      <c r="K103" s="24">
        <v>-7.5384083000000005E-2</v>
      </c>
      <c r="L103" s="24">
        <v>-3.8434148000000001E-2</v>
      </c>
      <c r="M103" s="24">
        <v>-6.0472669999999999E-2</v>
      </c>
      <c r="N103" s="24">
        <v>-3.7143767000000001E-2</v>
      </c>
      <c r="O103" s="24">
        <v>-2.4789274E-2</v>
      </c>
      <c r="P103" s="24">
        <v>-8.9083789999999996E-2</v>
      </c>
      <c r="Q103" s="24">
        <v>3.7650585E-2</v>
      </c>
      <c r="R103" s="24">
        <v>-3.9000988E-2</v>
      </c>
      <c r="S103" s="24">
        <v>0.24872229999999998</v>
      </c>
      <c r="T103" s="24">
        <v>-4.4183372999999998E-2</v>
      </c>
      <c r="U103" s="24">
        <v>-2.4267793000000003E-2</v>
      </c>
      <c r="V103" s="24">
        <v>2.1436214000000002E-3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45026</v>
      </c>
      <c r="B104" s="24">
        <v>3.2656431E-2</v>
      </c>
      <c r="C104" s="24">
        <v>-4.4036093000000005E-2</v>
      </c>
      <c r="D104" s="24">
        <v>6.2415123000000003E-2</v>
      </c>
      <c r="E104" s="24">
        <v>7.2133539999999999E-3</v>
      </c>
      <c r="F104" s="24">
        <v>1.0672688E-2</v>
      </c>
      <c r="G104" s="24">
        <v>4.2881609999999994E-2</v>
      </c>
      <c r="H104" s="24">
        <v>4.0711284E-2</v>
      </c>
      <c r="I104" s="24">
        <v>3.3340930000000005E-2</v>
      </c>
      <c r="J104" s="24">
        <v>3.7030578000000001E-2</v>
      </c>
      <c r="K104" s="24">
        <v>6.0411929999999996E-2</v>
      </c>
      <c r="L104" s="24">
        <v>1.2213229999999999E-2</v>
      </c>
      <c r="M104" s="24">
        <v>3.3045650000000003E-2</v>
      </c>
      <c r="N104" s="24">
        <v>3.0927896E-2</v>
      </c>
      <c r="O104" s="24">
        <v>1.4997481999999999E-2</v>
      </c>
      <c r="P104" s="24">
        <v>5.9918639999999995E-2</v>
      </c>
      <c r="Q104" s="24">
        <v>-8.0529450000000006E-3</v>
      </c>
      <c r="R104" s="24">
        <v>-4.0758847999999995E-3</v>
      </c>
      <c r="S104" s="24">
        <v>-5.8663072999999996E-2</v>
      </c>
      <c r="T104" s="24">
        <v>-9.6952319999999998E-3</v>
      </c>
      <c r="U104" s="24">
        <v>5.4888487E-2</v>
      </c>
      <c r="V104" s="24">
        <v>6.4438460000000003E-2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45056</v>
      </c>
      <c r="B105" s="24">
        <v>-3.4047723000000002E-2</v>
      </c>
      <c r="C105" s="24">
        <v>8.4512119999999996E-2</v>
      </c>
      <c r="D105" s="24">
        <v>3.1502724000000003E-2</v>
      </c>
      <c r="E105" s="24">
        <v>1.4323354E-2</v>
      </c>
      <c r="F105" s="24">
        <v>0.14880001000000001</v>
      </c>
      <c r="G105" s="24">
        <v>2.4671077999999999E-2</v>
      </c>
      <c r="H105" s="24">
        <v>-9.4423890000000007E-3</v>
      </c>
      <c r="I105" s="24">
        <v>-1.9581616E-2</v>
      </c>
      <c r="J105" s="24">
        <v>6.4308642999999999E-2</v>
      </c>
      <c r="K105" s="24">
        <v>-3.2647252000000001E-3</v>
      </c>
      <c r="L105" s="24">
        <v>7.3126197000000004E-2</v>
      </c>
      <c r="M105" s="24">
        <v>-2.6736677E-2</v>
      </c>
      <c r="N105" s="24">
        <v>5.1612854E-2</v>
      </c>
      <c r="O105" s="24">
        <v>4.4577956000000002E-2</v>
      </c>
      <c r="P105" s="24">
        <v>-5.0070642999999998E-2</v>
      </c>
      <c r="Q105" s="24">
        <v>6.3185930000000001E-2</v>
      </c>
      <c r="R105" s="24">
        <v>-1.4794767E-2</v>
      </c>
      <c r="S105" s="24">
        <v>-0.11391306</v>
      </c>
      <c r="T105" s="24">
        <v>5.9440493999999996E-2</v>
      </c>
      <c r="U105" s="24">
        <v>-3.2520294000000002E-3</v>
      </c>
      <c r="V105" s="24">
        <v>2.6626468E-2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45086</v>
      </c>
      <c r="B106" s="24">
        <v>-7.2110175999999998E-2</v>
      </c>
      <c r="C106" s="24">
        <v>1.8999337999999998E-2</v>
      </c>
      <c r="D106" s="24">
        <v>-1.1704087E-2</v>
      </c>
      <c r="E106" s="24">
        <v>-3.6050797000000002E-2</v>
      </c>
      <c r="F106" s="24">
        <v>4.0668487999999996E-2</v>
      </c>
      <c r="G106" s="24">
        <v>-6.1792135000000002E-4</v>
      </c>
      <c r="H106" s="24">
        <v>-6.8330050000000003E-2</v>
      </c>
      <c r="I106" s="24">
        <v>8.034492E-2</v>
      </c>
      <c r="J106" s="24">
        <v>7.8824760000000011E-3</v>
      </c>
      <c r="K106" s="24">
        <v>9.204053999999999E-2</v>
      </c>
      <c r="L106" s="24">
        <v>0.10308731</v>
      </c>
      <c r="M106" s="24">
        <v>1.1613249999999999E-2</v>
      </c>
      <c r="N106" s="24">
        <v>9.5705620000000005E-2</v>
      </c>
      <c r="O106" s="24">
        <v>1.1499763000000001E-2</v>
      </c>
      <c r="P106" s="24">
        <v>-2.3938893999999999E-2</v>
      </c>
      <c r="Q106" s="24">
        <v>-3.5879611999999998E-2</v>
      </c>
      <c r="R106" s="24">
        <v>-9.2064739999999992E-3</v>
      </c>
      <c r="S106" s="24">
        <v>2.682209E-2</v>
      </c>
      <c r="T106" s="24">
        <v>-3.1773090000000004E-2</v>
      </c>
      <c r="U106" s="24">
        <v>7.2593810000000009E-2</v>
      </c>
      <c r="V106" s="24">
        <v>2.2520304000000001E-2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45117</v>
      </c>
      <c r="B107" s="24">
        <v>-1.5243888000000001E-3</v>
      </c>
      <c r="C107" s="24">
        <v>2.3208259999999998E-2</v>
      </c>
      <c r="D107" s="24">
        <v>-2.4296641000000001E-2</v>
      </c>
      <c r="E107" s="24">
        <v>-3.5114287999999999E-3</v>
      </c>
      <c r="F107" s="24">
        <v>2.9443264E-2</v>
      </c>
      <c r="G107" s="24">
        <v>2.3870467999999999E-2</v>
      </c>
      <c r="H107" s="24">
        <v>-9.4246269999999997E-3</v>
      </c>
      <c r="I107" s="24">
        <v>-2.8781474000000001E-2</v>
      </c>
      <c r="J107" s="24">
        <v>-4.7679543000000001E-3</v>
      </c>
      <c r="K107" s="24">
        <v>-5.1889600000000001E-2</v>
      </c>
      <c r="L107" s="24">
        <v>2.2151470000000002E-3</v>
      </c>
      <c r="M107" s="24">
        <v>-3.9467275000000003E-2</v>
      </c>
      <c r="N107" s="24">
        <v>5.6279300000000004E-2</v>
      </c>
      <c r="O107" s="24">
        <v>3.6808371999999999E-2</v>
      </c>
      <c r="P107" s="24">
        <v>-1.2310445000000001E-2</v>
      </c>
      <c r="Q107" s="24">
        <v>-1.8794893999999999E-2</v>
      </c>
      <c r="R107" s="24">
        <v>-3.7437855999999999E-2</v>
      </c>
      <c r="S107" s="24">
        <v>1.3696432000000001E-2</v>
      </c>
      <c r="T107" s="24">
        <v>3.1512617999999999E-2</v>
      </c>
      <c r="U107" s="24">
        <v>4.4106483000000002E-2</v>
      </c>
      <c r="V107" s="24">
        <v>9.6852780000000003E-3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45148</v>
      </c>
      <c r="B108" s="24">
        <v>3.0703901999999998E-2</v>
      </c>
      <c r="C108" s="24">
        <v>-1.667738E-3</v>
      </c>
      <c r="D108" s="24">
        <v>9.1743470000000011E-3</v>
      </c>
      <c r="E108" s="24">
        <v>2.7407408E-3</v>
      </c>
      <c r="F108" s="24">
        <v>5.3562164000000002E-2</v>
      </c>
      <c r="G108" s="24">
        <v>7.0612907000000003E-2</v>
      </c>
      <c r="H108" s="24">
        <v>7.3610424999999993E-2</v>
      </c>
      <c r="I108" s="24">
        <v>-1.2978911000000001E-3</v>
      </c>
      <c r="J108" s="24">
        <v>2.7148724000000003E-3</v>
      </c>
      <c r="K108" s="24">
        <v>1.0123371999999999E-2</v>
      </c>
      <c r="L108" s="24">
        <v>3.7890673000000002E-3</v>
      </c>
      <c r="M108" s="24">
        <v>5.6497216000000003E-2</v>
      </c>
      <c r="N108" s="24">
        <v>1.8128513999999998E-2</v>
      </c>
      <c r="O108" s="24">
        <v>4.8098563999999996E-3</v>
      </c>
      <c r="P108" s="24">
        <v>5.096817E-2</v>
      </c>
      <c r="Q108" s="24">
        <v>4.2816877000000003E-2</v>
      </c>
      <c r="R108" s="24">
        <v>2.4397254E-2</v>
      </c>
      <c r="S108" s="24">
        <v>0.12713658999999999</v>
      </c>
      <c r="T108" s="24">
        <v>3.8696527000000001E-2</v>
      </c>
      <c r="U108" s="24">
        <v>8.6671589999999993E-2</v>
      </c>
      <c r="V108" s="24">
        <v>-2.6378930000000002E-2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45177</v>
      </c>
      <c r="B109" s="24">
        <v>-7.8008533000000005E-2</v>
      </c>
      <c r="C109" s="24">
        <v>-0.1166054</v>
      </c>
      <c r="D109" s="24">
        <v>-1.6450286000000001E-2</v>
      </c>
      <c r="E109" s="24">
        <v>-3.865677E-2</v>
      </c>
      <c r="F109" s="24">
        <v>-0.12685090000000002</v>
      </c>
      <c r="G109" s="24">
        <v>-6.7206740000000001E-2</v>
      </c>
      <c r="H109" s="24">
        <v>-2.0522415999999998E-2</v>
      </c>
      <c r="I109" s="24">
        <v>-2.2092223000000001E-2</v>
      </c>
      <c r="J109" s="24">
        <v>-5.4307994999999998E-2</v>
      </c>
      <c r="K109" s="24">
        <v>-3.2414675000000004E-2</v>
      </c>
      <c r="L109" s="24">
        <v>-3.8062334000000003E-2</v>
      </c>
      <c r="M109" s="24">
        <v>-6.5872609999999998E-2</v>
      </c>
      <c r="N109" s="24">
        <v>-7.0437250000000007E-2</v>
      </c>
      <c r="O109" s="24">
        <v>2.6213884E-2</v>
      </c>
      <c r="P109" s="24">
        <v>-7.0520997000000002E-2</v>
      </c>
      <c r="Q109" s="24">
        <v>-4.1599153999999999E-2</v>
      </c>
      <c r="R109" s="24">
        <v>8.9734789999999995E-3</v>
      </c>
      <c r="S109" s="24">
        <v>0.13431549000000001</v>
      </c>
      <c r="T109" s="24">
        <v>-2.2222220000000001E-2</v>
      </c>
      <c r="U109" s="24">
        <v>3.6193013000000003E-2</v>
      </c>
      <c r="V109" s="24">
        <v>-1.4778316E-2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45209</v>
      </c>
      <c r="B110" s="24">
        <v>2.4955273000000001E-3</v>
      </c>
      <c r="C110" s="24">
        <v>-4.7276855E-2</v>
      </c>
      <c r="D110" s="24">
        <v>-3.6091565999999999E-2</v>
      </c>
      <c r="E110" s="24">
        <v>9.7482204000000003E-3</v>
      </c>
      <c r="F110" s="24">
        <v>1.1305809E-2</v>
      </c>
      <c r="G110" s="24">
        <v>-5.6931495999999998E-2</v>
      </c>
      <c r="H110" s="24">
        <v>-1.1428535E-2</v>
      </c>
      <c r="I110" s="24">
        <v>1.4839411E-2</v>
      </c>
      <c r="J110" s="24">
        <v>-5.3048190000000002E-2</v>
      </c>
      <c r="K110" s="24">
        <v>-5.2435694000000005E-2</v>
      </c>
      <c r="L110" s="24">
        <v>9.8109244999999997E-4</v>
      </c>
      <c r="M110" s="24">
        <v>4.6838521999999997E-3</v>
      </c>
      <c r="N110" s="24">
        <v>-8.8450670000000009E-2</v>
      </c>
      <c r="O110" s="24">
        <v>-9.5513462999999993E-3</v>
      </c>
      <c r="P110" s="24">
        <v>4.5573710000000004E-4</v>
      </c>
      <c r="Q110" s="24">
        <v>-4.7914323999999994E-2</v>
      </c>
      <c r="R110" s="24">
        <v>-7.2855654000000006E-2</v>
      </c>
      <c r="S110" s="24">
        <v>-9.1673135999999992E-3</v>
      </c>
      <c r="T110" s="24">
        <v>-1.0026693E-2</v>
      </c>
      <c r="U110" s="24">
        <v>-0.12354464</v>
      </c>
      <c r="V110" s="24">
        <v>-5.4499984000000001E-2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45240</v>
      </c>
      <c r="B111" s="24">
        <v>-2.9202282E-2</v>
      </c>
      <c r="C111" s="24">
        <v>-2.0246148000000002E-2</v>
      </c>
      <c r="D111" s="24">
        <v>-4.2465744E-2</v>
      </c>
      <c r="E111" s="24">
        <v>-7.6428056000000001E-3</v>
      </c>
      <c r="F111" s="24">
        <v>0.13024032999999999</v>
      </c>
      <c r="G111" s="24">
        <v>-2.3874640000000002E-3</v>
      </c>
      <c r="H111" s="24">
        <v>1.3005853000000001E-2</v>
      </c>
      <c r="I111" s="24">
        <v>9.1663600000000001E-3</v>
      </c>
      <c r="J111" s="24">
        <v>4.9439789999999997E-2</v>
      </c>
      <c r="K111" s="24">
        <v>2.9888987999999998E-2</v>
      </c>
      <c r="L111" s="24">
        <v>5.8477639999999997E-2</v>
      </c>
      <c r="M111" s="24">
        <v>2.0719766999999999E-3</v>
      </c>
      <c r="N111" s="24">
        <v>8.0346109999999998E-2</v>
      </c>
      <c r="O111" s="24">
        <v>-2.2426247999999998E-3</v>
      </c>
      <c r="P111" s="24">
        <v>-3.2111107999999999E-2</v>
      </c>
      <c r="Q111" s="24">
        <v>1.8354176999999999E-2</v>
      </c>
      <c r="R111" s="24">
        <v>-3.1287253000000001E-2</v>
      </c>
      <c r="S111" s="24">
        <v>-0.10948335999999999</v>
      </c>
      <c r="T111" s="24">
        <v>-2.7008652999999999E-3</v>
      </c>
      <c r="U111" s="24">
        <v>-2.7306259000000003E-2</v>
      </c>
      <c r="V111" s="24">
        <v>2.4854539999999998E-2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45268</v>
      </c>
      <c r="B112" s="24">
        <v>-2.7916371999999998E-2</v>
      </c>
      <c r="C112" s="24">
        <v>0.10818481000000001</v>
      </c>
      <c r="D112" s="24">
        <v>3.4811735000000003E-2</v>
      </c>
      <c r="E112" s="24">
        <v>2.5537014E-2</v>
      </c>
      <c r="F112" s="24">
        <v>0.11177052</v>
      </c>
      <c r="G112" s="24">
        <v>4.9059869999999998E-2</v>
      </c>
      <c r="H112" s="24">
        <v>-1.4265776E-3</v>
      </c>
      <c r="I112" s="24">
        <v>4.9956680000000003E-2</v>
      </c>
      <c r="J112" s="24">
        <v>8.3375690000000002E-2</v>
      </c>
      <c r="K112" s="24">
        <v>3.0845760999999999E-2</v>
      </c>
      <c r="L112" s="24">
        <v>4.4752954999999997E-2</v>
      </c>
      <c r="M112" s="24">
        <v>1.3698696999999999E-2</v>
      </c>
      <c r="N112" s="24">
        <v>4.2048097E-2</v>
      </c>
      <c r="O112" s="24">
        <v>6.3385010000000006E-2</v>
      </c>
      <c r="P112" s="24">
        <v>-4.8235296999999996E-2</v>
      </c>
      <c r="Q112" s="24">
        <v>-1.5116274000000001E-2</v>
      </c>
      <c r="R112" s="24">
        <v>-6.1745643999999997E-3</v>
      </c>
      <c r="S112" s="24">
        <v>7.7921149999999996E-3</v>
      </c>
      <c r="T112" s="24">
        <v>-2.9790163000000001E-2</v>
      </c>
      <c r="U112" s="24">
        <v>2.2761703000000001E-2</v>
      </c>
      <c r="V112" s="24">
        <v>3.3281802999999999E-2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45301</v>
      </c>
      <c r="B113" s="24">
        <v>-3.8479566999999999E-2</v>
      </c>
      <c r="C113" s="24">
        <v>-3.4412742000000003E-2</v>
      </c>
      <c r="D113" s="24">
        <v>3.6886572999999999E-2</v>
      </c>
      <c r="E113" s="24">
        <v>3.9693474999999999E-2</v>
      </c>
      <c r="F113" s="24">
        <v>3.1347275000000001E-3</v>
      </c>
      <c r="G113" s="24">
        <v>0.12460338999999999</v>
      </c>
      <c r="H113" s="24">
        <v>4.0451407000000002E-2</v>
      </c>
      <c r="I113" s="24">
        <v>1.9991755E-2</v>
      </c>
      <c r="J113" s="24">
        <v>4.0847062999999996E-2</v>
      </c>
      <c r="K113" s="24">
        <v>1.3940691999999999E-2</v>
      </c>
      <c r="L113" s="24">
        <v>4.0430190000000005E-2</v>
      </c>
      <c r="M113" s="24">
        <v>7.8341959999999999E-3</v>
      </c>
      <c r="N113" s="24">
        <v>8.2436319999999993E-2</v>
      </c>
      <c r="O113" s="24">
        <v>3.8892388E-2</v>
      </c>
      <c r="P113" s="24">
        <v>-2.5639832000000001E-2</v>
      </c>
      <c r="Q113" s="24">
        <v>5.7851195000000001E-2</v>
      </c>
      <c r="R113" s="24">
        <v>2.3555636000000001E-2</v>
      </c>
      <c r="S113" s="24">
        <v>-2.9916703999999999E-2</v>
      </c>
      <c r="T113" s="24">
        <v>6.623446999999999E-2</v>
      </c>
      <c r="U113" s="24">
        <v>1.0988951E-2</v>
      </c>
      <c r="V113" s="24">
        <v>8.0572839999999993E-2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45331</v>
      </c>
      <c r="B114" s="24">
        <v>1.2632847000000001E-2</v>
      </c>
      <c r="C114" s="24">
        <v>-5.8307943000000001E-2</v>
      </c>
      <c r="D114" s="24">
        <v>4.0322541999999999E-3</v>
      </c>
      <c r="E114" s="24">
        <v>5.2510500000000002E-2</v>
      </c>
      <c r="F114" s="24">
        <v>1.6887307000000001E-2</v>
      </c>
      <c r="G114" s="24">
        <v>-8.0265400000000004E-3</v>
      </c>
      <c r="H114" s="24">
        <v>-1.8630623999999998E-2</v>
      </c>
      <c r="I114" s="24">
        <v>6.2827229999999998E-2</v>
      </c>
      <c r="J114" s="24">
        <v>2.8841733999999997E-2</v>
      </c>
      <c r="K114" s="24">
        <v>3.6633015000000005E-2</v>
      </c>
      <c r="L114" s="24">
        <v>-3.1185687E-2</v>
      </c>
      <c r="M114" s="24">
        <v>-1.7674267E-2</v>
      </c>
      <c r="N114" s="24">
        <v>4.5278190000000003E-2</v>
      </c>
      <c r="O114" s="24">
        <v>3.1943082999999997E-2</v>
      </c>
      <c r="P114" s="24">
        <v>-2.0811617000000001E-2</v>
      </c>
      <c r="Q114" s="24">
        <v>-4.4642806000000007E-2</v>
      </c>
      <c r="R114" s="24">
        <v>-1.7792463000000001E-2</v>
      </c>
      <c r="S114" s="24">
        <v>0.12380658999999999</v>
      </c>
      <c r="T114" s="24">
        <v>-4.1482267000000003E-2</v>
      </c>
      <c r="U114" s="24">
        <v>1.0831713999999999E-2</v>
      </c>
      <c r="V114" s="24">
        <v>1.2877583999999999E-2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45359</v>
      </c>
      <c r="B115" s="24">
        <v>6.0600040000000001E-2</v>
      </c>
      <c r="C115" s="24">
        <v>4.9777509999999997E-2</v>
      </c>
      <c r="D115" s="24">
        <v>2.1419048E-2</v>
      </c>
      <c r="E115" s="24">
        <v>1.0925054999999999E-2</v>
      </c>
      <c r="F115" s="24">
        <v>2.917409E-2</v>
      </c>
      <c r="G115" s="24">
        <v>0.10617172</v>
      </c>
      <c r="H115" s="24">
        <v>3.5595655000000004E-2</v>
      </c>
      <c r="I115" s="24">
        <v>3.7909627000000001E-2</v>
      </c>
      <c r="J115" s="24">
        <v>-2.7143299999999999E-2</v>
      </c>
      <c r="K115" s="24">
        <v>4.0835499999999997E-2</v>
      </c>
      <c r="L115" s="24">
        <v>-1.8220424999999998E-2</v>
      </c>
      <c r="M115" s="24">
        <v>1.5384674000000001E-2</v>
      </c>
      <c r="N115" s="24">
        <v>1.0643601000000001E-2</v>
      </c>
      <c r="O115" s="24">
        <v>3.0757070000000001E-2</v>
      </c>
      <c r="P115" s="24">
        <v>3.5069108000000002E-2</v>
      </c>
      <c r="Q115" s="24">
        <v>4.6144842999999998E-2</v>
      </c>
      <c r="R115" s="24">
        <v>-1.4044641999999999E-3</v>
      </c>
      <c r="S115" s="24">
        <v>-3.3713758000000003E-2</v>
      </c>
      <c r="T115" s="24">
        <v>-8.2678200000000004E-3</v>
      </c>
      <c r="U115" s="24">
        <v>3.0233501999999999E-2</v>
      </c>
      <c r="V115" s="24">
        <v>2.3809551999999998E-2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45392</v>
      </c>
      <c r="B116" s="24">
        <v>-2.0175160000000001E-2</v>
      </c>
      <c r="C116" s="24">
        <v>6.3222766E-2</v>
      </c>
      <c r="D116" s="24">
        <v>-5.0240280000000005E-2</v>
      </c>
      <c r="E116" s="24">
        <v>-5.1873206999999998E-2</v>
      </c>
      <c r="F116" s="24">
        <v>5.4513692999999995E-2</v>
      </c>
      <c r="G116" s="24">
        <v>8.6590180000000003E-2</v>
      </c>
      <c r="H116" s="24">
        <v>-3.6663413000000001E-3</v>
      </c>
      <c r="I116" s="24">
        <v>1.6508459999999999E-2</v>
      </c>
      <c r="J116" s="24">
        <v>4.3451785999999999E-2</v>
      </c>
      <c r="K116" s="24">
        <v>-4.4062138000000001E-2</v>
      </c>
      <c r="L116" s="24">
        <v>-7.7327489999999997E-3</v>
      </c>
      <c r="M116" s="24">
        <v>3.0816674000000002E-2</v>
      </c>
      <c r="N116" s="24">
        <v>-1.1021316000000001E-2</v>
      </c>
      <c r="O116" s="24">
        <v>-1.1476277999999999E-3</v>
      </c>
      <c r="P116" s="24">
        <v>3.2597542E-2</v>
      </c>
      <c r="Q116" s="24">
        <v>-2.2892236999999999E-2</v>
      </c>
      <c r="R116" s="24">
        <v>1.5687942999999999E-2</v>
      </c>
      <c r="S116" s="24">
        <v>6.6208840000000005E-2</v>
      </c>
      <c r="T116" s="24">
        <v>3.1877994999999999E-2</v>
      </c>
      <c r="U116" s="24">
        <v>-1.0401189E-2</v>
      </c>
      <c r="V116" s="24">
        <v>1.4450191999999999E-2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45422</v>
      </c>
      <c r="B117" s="24">
        <v>5.5555580000000007E-2</v>
      </c>
      <c r="C117" s="24">
        <v>1.9579409999999998E-2</v>
      </c>
      <c r="D117" s="24">
        <v>-5.7957705999999998E-2</v>
      </c>
      <c r="E117" s="24">
        <v>-3.4954429000000002E-2</v>
      </c>
      <c r="F117" s="24">
        <v>2.1712183999999999E-2</v>
      </c>
      <c r="G117" s="24">
        <v>5.6823850000000002E-2</v>
      </c>
      <c r="H117" s="24">
        <v>4.5078159999999999E-2</v>
      </c>
      <c r="I117" s="24">
        <v>4.0601491999999999E-3</v>
      </c>
      <c r="J117" s="24">
        <v>4.3833256000000003E-4</v>
      </c>
      <c r="K117" s="24">
        <v>2.4151564E-2</v>
      </c>
      <c r="L117" s="24">
        <v>-1.4650880999999999E-2</v>
      </c>
      <c r="M117" s="24">
        <v>5.9541582999999995E-2</v>
      </c>
      <c r="N117" s="24">
        <v>4.4081210000000003E-2</v>
      </c>
      <c r="O117" s="24">
        <v>-1.6277313000000002E-2</v>
      </c>
      <c r="P117" s="24">
        <v>0.12304258000000001</v>
      </c>
      <c r="Q117" s="24">
        <v>-1.7142832E-2</v>
      </c>
      <c r="R117" s="24">
        <v>-2.5756836000000002E-2</v>
      </c>
      <c r="S117" s="24">
        <v>6.4416409999999993E-2</v>
      </c>
      <c r="T117" s="24">
        <v>-2.4177312999999999E-2</v>
      </c>
      <c r="U117" s="24">
        <v>-5.7057022999999998E-2</v>
      </c>
      <c r="V117" s="24">
        <v>-4.5626519999999997E-2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45453</v>
      </c>
      <c r="B118" s="24">
        <v>-3.5333097000000001E-2</v>
      </c>
      <c r="C118" s="24">
        <v>-3.9118528000000007E-3</v>
      </c>
      <c r="D118" s="24">
        <v>-2.9296875E-2</v>
      </c>
      <c r="E118" s="24">
        <v>-3.0314982000000001E-2</v>
      </c>
      <c r="F118" s="24">
        <v>-3.3394097999999997E-2</v>
      </c>
      <c r="G118" s="24">
        <v>-1.3162732E-2</v>
      </c>
      <c r="H118" s="24">
        <v>1.3204217000000001E-2</v>
      </c>
      <c r="I118" s="24">
        <v>4.2660713000000003E-2</v>
      </c>
      <c r="J118" s="24">
        <v>-0.15525048999999999</v>
      </c>
      <c r="K118" s="24">
        <v>-1.0789096E-2</v>
      </c>
      <c r="L118" s="24">
        <v>-9.4906690000000002E-2</v>
      </c>
      <c r="M118" s="24">
        <v>-5.4549750000000001E-2</v>
      </c>
      <c r="N118" s="24">
        <v>-1.2689769E-2</v>
      </c>
      <c r="O118" s="24">
        <v>5.4117202999999996E-2</v>
      </c>
      <c r="P118" s="24">
        <v>-2.7224422000000002E-2</v>
      </c>
      <c r="Q118" s="24">
        <v>-3.4884809999999999E-3</v>
      </c>
      <c r="R118" s="24">
        <v>-3.8873136000000003E-2</v>
      </c>
      <c r="S118" s="24">
        <v>-2.2754848000000001E-2</v>
      </c>
      <c r="T118" s="24">
        <v>-4.0605664E-2</v>
      </c>
      <c r="U118" s="24">
        <v>2.2292972000000001E-2</v>
      </c>
      <c r="V118" s="24">
        <v>-3.1483232999999999E-2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45483</v>
      </c>
      <c r="B119" s="24">
        <v>-3.1084477999999999E-2</v>
      </c>
      <c r="C119" s="24">
        <v>-1.5094518999999999E-2</v>
      </c>
      <c r="D119" s="24">
        <v>5.0781609999999998E-2</v>
      </c>
      <c r="E119" s="24">
        <v>2.2116541999999999E-2</v>
      </c>
      <c r="F119" s="24">
        <v>6.7407009999999989E-2</v>
      </c>
      <c r="G119" s="24">
        <v>2.703154E-2</v>
      </c>
      <c r="H119" s="24">
        <v>1.7782568999999998E-2</v>
      </c>
      <c r="I119" s="24">
        <v>0.1029669</v>
      </c>
      <c r="J119" s="24">
        <v>5.1113249999999999E-2</v>
      </c>
      <c r="K119" s="24">
        <v>7.1985125999999997E-2</v>
      </c>
      <c r="L119" s="24">
        <v>4.0412663999999994E-2</v>
      </c>
      <c r="M119" s="24">
        <v>0.12078034999999999</v>
      </c>
      <c r="N119" s="24">
        <v>2.7173757999999996E-3</v>
      </c>
      <c r="O119" s="24">
        <v>4.7830104999999998E-2</v>
      </c>
      <c r="P119" s="24">
        <v>-2.4165987999999999E-2</v>
      </c>
      <c r="Q119" s="24">
        <v>5.188036E-2</v>
      </c>
      <c r="R119" s="24">
        <v>3.5721064000000004E-3</v>
      </c>
      <c r="S119" s="24">
        <v>6.604314E-2</v>
      </c>
      <c r="T119" s="24">
        <v>2.5950549999999999E-2</v>
      </c>
      <c r="U119" s="24">
        <v>-2.8037429999999999E-2</v>
      </c>
      <c r="V119" s="24">
        <v>5.7053566000000002E-4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45513</v>
      </c>
      <c r="B120" s="24">
        <v>-1.7377614999999999E-2</v>
      </c>
      <c r="C120" s="24">
        <v>-4.7973213000000001E-2</v>
      </c>
      <c r="D120" s="24">
        <v>1.4866114E-2</v>
      </c>
      <c r="E120" s="24">
        <v>3.7500024E-2</v>
      </c>
      <c r="F120" s="24">
        <v>-0.1011191</v>
      </c>
      <c r="G120" s="24">
        <v>-6.5748872999999999E-2</v>
      </c>
      <c r="H120" s="24">
        <v>3.5559416000000003E-2</v>
      </c>
      <c r="I120" s="24">
        <v>-9.4936729999999997E-2</v>
      </c>
      <c r="J120" s="24">
        <v>-7.6961335999999991E-2</v>
      </c>
      <c r="K120" s="24">
        <v>-9.563959000000001E-2</v>
      </c>
      <c r="L120" s="24">
        <v>1.2491345000000001E-2</v>
      </c>
      <c r="M120" s="24">
        <v>-4.9582720000000005E-3</v>
      </c>
      <c r="N120" s="24">
        <v>-2.7397274999999999E-2</v>
      </c>
      <c r="O120" s="24">
        <v>-1.6743064000000002E-2</v>
      </c>
      <c r="P120" s="24">
        <v>-2.7868927000000002E-2</v>
      </c>
      <c r="Q120" s="24">
        <v>1.3937234999999999E-2</v>
      </c>
      <c r="R120" s="24">
        <v>-1.9806920999999998E-2</v>
      </c>
      <c r="S120" s="24">
        <v>-0.1030345</v>
      </c>
      <c r="T120" s="24">
        <v>5.1598787E-2</v>
      </c>
      <c r="U120" s="24">
        <v>-5.1281986000000002E-2</v>
      </c>
      <c r="V120" s="24">
        <v>-9.0376140000000011E-3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45545</v>
      </c>
      <c r="B121" s="24">
        <v>-3.6575555999999995E-2</v>
      </c>
      <c r="C121" s="24">
        <v>-2.8906226E-2</v>
      </c>
      <c r="D121" s="24">
        <v>7.6171993999999993E-2</v>
      </c>
      <c r="E121" s="24">
        <v>9.483098999999999E-2</v>
      </c>
      <c r="F121" s="24">
        <v>4.8021317000000001E-2</v>
      </c>
      <c r="G121" s="24">
        <v>-1.8292724999999999E-2</v>
      </c>
      <c r="H121" s="24">
        <v>6.9514275E-2</v>
      </c>
      <c r="I121" s="24">
        <v>-1.3209044999999999E-2</v>
      </c>
      <c r="J121" s="24">
        <v>-8.3378314999999995E-2</v>
      </c>
      <c r="K121" s="24">
        <v>-1.5107751000000001E-2</v>
      </c>
      <c r="L121" s="24">
        <v>-5.8259369999999998E-3</v>
      </c>
      <c r="M121" s="24">
        <v>3.0351043000000001E-2</v>
      </c>
      <c r="N121" s="24">
        <v>2.7180551999999997E-2</v>
      </c>
      <c r="O121" s="24">
        <v>2.2405504999999999E-2</v>
      </c>
      <c r="P121" s="24">
        <v>-2.6017785000000002E-2</v>
      </c>
      <c r="Q121" s="24">
        <v>1.4891148E-2</v>
      </c>
      <c r="R121" s="24">
        <v>0.10096609000000001</v>
      </c>
      <c r="S121" s="24">
        <v>-4.8255980000000004E-2</v>
      </c>
      <c r="T121" s="24">
        <v>4.5611620000000005E-2</v>
      </c>
      <c r="U121" s="24">
        <v>5.152023E-2</v>
      </c>
      <c r="V121" s="24">
        <v>2.5881170999999998E-2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45575</v>
      </c>
      <c r="B122" s="24">
        <v>0.26616610000000002</v>
      </c>
      <c r="C122" s="24">
        <v>6.9589734E-2</v>
      </c>
      <c r="D122" s="24">
        <v>-1.7695129E-2</v>
      </c>
      <c r="E122" s="24">
        <v>1.9169331000000001E-2</v>
      </c>
      <c r="F122" s="24">
        <v>1.2727976E-3</v>
      </c>
      <c r="G122" s="24">
        <v>0.12396478999999999</v>
      </c>
      <c r="H122" s="24">
        <v>1.60532E-2</v>
      </c>
      <c r="I122" s="24">
        <v>7.1653485000000003E-2</v>
      </c>
      <c r="J122" s="24">
        <v>6.8221927000000002E-2</v>
      </c>
      <c r="K122" s="24">
        <v>3.3126712000000003E-2</v>
      </c>
      <c r="L122" s="24">
        <v>-1.7235457999999999E-2</v>
      </c>
      <c r="M122" s="24">
        <v>8.3534830000000004E-2</v>
      </c>
      <c r="N122" s="24">
        <v>-1.1481821999999999E-2</v>
      </c>
      <c r="O122" s="24">
        <v>1.0519028E-3</v>
      </c>
      <c r="P122" s="24">
        <v>0.29483055000000002</v>
      </c>
      <c r="Q122" s="24">
        <v>3.0474066999999997E-2</v>
      </c>
      <c r="R122" s="24">
        <v>2.8353690000000001E-2</v>
      </c>
      <c r="S122" s="24">
        <v>-6.7511740000000001E-2</v>
      </c>
      <c r="T122" s="24">
        <v>-1.9828141000000001E-2</v>
      </c>
      <c r="U122" s="24">
        <v>4.0160418E-3</v>
      </c>
      <c r="V122" s="24">
        <v>0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0.26616610000000002</v>
      </c>
      <c r="C126" s="24" cm="1">
        <f t="array" ref="C126">MAX(_xlfn._xlws.FILTER(C1:C122, ISNUMBER(C1:C122)))</f>
        <v>0.23916077000000002</v>
      </c>
      <c r="D126" s="24" cm="1">
        <f t="array" ref="D126">MAX(_xlfn._xlws.FILTER(D1:D122, ISNUMBER(D1:D122)))</f>
        <v>0.18409586</v>
      </c>
      <c r="E126" s="24" cm="1">
        <f t="array" ref="E126">MAX(_xlfn._xlws.FILTER(E1:E122, ISNUMBER(E1:E122)))</f>
        <v>0.19439257000000001</v>
      </c>
      <c r="F126" s="24" cm="1">
        <f t="array" ref="F126">MAX(_xlfn._xlws.FILTER(F1:F122, ISNUMBER(F1:F122)))</f>
        <v>0.32063197999999998</v>
      </c>
      <c r="G126" s="24" cm="1">
        <f t="array" ref="G126">MAX(_xlfn._xlws.FILTER(G1:G122, ISNUMBER(G1:G122)))</f>
        <v>0.21930682999999998</v>
      </c>
      <c r="H126" s="24" cm="1">
        <f t="array" ref="H126">MAX(_xlfn._xlws.FILTER(H1:H122, ISNUMBER(H1:H122)))</f>
        <v>0.17652023</v>
      </c>
      <c r="I126" s="24" cm="1">
        <f t="array" ref="I126">MAX(_xlfn._xlws.FILTER(I1:I122, ISNUMBER(I1:I122)))</f>
        <v>0.10969567</v>
      </c>
      <c r="J126" s="24" cm="1">
        <f t="array" ref="J126">MAX(_xlfn._xlws.FILTER(J1:J122, ISNUMBER(J1:J122)))</f>
        <v>0.17000664000000001</v>
      </c>
      <c r="K126" s="24" cm="1">
        <f t="array" ref="K126">MAX(_xlfn._xlws.FILTER(K1:K122, ISNUMBER(K1:K122)))</f>
        <v>0.19876802000000002</v>
      </c>
      <c r="L126" s="24" cm="1">
        <f t="array" ref="L126">MAX(_xlfn._xlws.FILTER(L1:L122, ISNUMBER(L1:L122)))</f>
        <v>0.35695995000000003</v>
      </c>
      <c r="M126" s="24" cm="1">
        <f t="array" ref="M126">MAX(_xlfn._xlws.FILTER(M1:M122, ISNUMBER(M1:M122)))</f>
        <v>0.1716646</v>
      </c>
      <c r="N126" s="24" cm="1">
        <f t="array" ref="N126">MAX(_xlfn._xlws.FILTER(N1:N122, ISNUMBER(N1:N122)))</f>
        <v>0.27689589000000003</v>
      </c>
      <c r="O126" s="24" cm="1">
        <f t="array" ref="O126">MAX(_xlfn._xlws.FILTER(O1:O122, ISNUMBER(O1:O122)))</f>
        <v>9.6552489999999991E-2</v>
      </c>
      <c r="P126" s="24" cm="1">
        <f t="array" ref="P126">MAX(_xlfn._xlws.FILTER(P1:P122, ISNUMBER(P1:P122)))</f>
        <v>0.29483055000000002</v>
      </c>
      <c r="Q126" s="24" cm="1">
        <f t="array" ref="Q126">MAX(_xlfn._xlws.FILTER(Q1:Q122, ISNUMBER(Q1:Q122)))</f>
        <v>0.17914247999999999</v>
      </c>
      <c r="R126" s="24" cm="1">
        <f t="array" ref="R126">MAX(_xlfn._xlws.FILTER(R1:R122, ISNUMBER(R1:R122)))</f>
        <v>0.12065374000000001</v>
      </c>
      <c r="S126" s="24" cm="1">
        <f t="array" ref="S126">MAX(_xlfn._xlws.FILTER(S1:S122, ISNUMBER(S1:S122)))</f>
        <v>0.24872229999999998</v>
      </c>
      <c r="T126" s="24" cm="1">
        <f t="array" ref="T126">MAX(_xlfn._xlws.FILTER(T1:T122, ISNUMBER(T1:T122)))</f>
        <v>0.12558137999999999</v>
      </c>
      <c r="U126" s="24" cm="1">
        <f t="array" ref="U126">MAX(_xlfn._xlws.FILTER(U1:U122, ISNUMBER(U1:U122)))</f>
        <v>0.17244530000000002</v>
      </c>
      <c r="V126" s="24" cm="1">
        <f t="array" ref="V126">MAX(_xlfn._xlws.FILTER(V1:V122, ISNUMBER(V1:V122)))</f>
        <v>0.12989020000000001</v>
      </c>
    </row>
    <row r="127" spans="1:38" x14ac:dyDescent="0.35">
      <c r="A127" t="s">
        <v>85</v>
      </c>
      <c r="B127" s="24" cm="1">
        <f t="array" ref="B127">MIN(_xlfn._xlws.FILTER(B2:B122, ISNUMBER(B2:B122)))</f>
        <v>-0.16202276000000002</v>
      </c>
      <c r="C127" s="24" cm="1">
        <f t="array" ref="C127">MIN(_xlfn._xlws.FILTER(C2:C122, ISNUMBER(C2:C122)))</f>
        <v>-0.15663033499999998</v>
      </c>
      <c r="D127" s="24" cm="1">
        <f t="array" ref="D127">MIN(_xlfn._xlws.FILTER(D2:D122, ISNUMBER(D2:D122)))</f>
        <v>-0.25520579999999998</v>
      </c>
      <c r="E127" s="24" cm="1">
        <f t="array" ref="E127">MIN(_xlfn._xlws.FILTER(E2:E122, ISNUMBER(E2:E122)))</f>
        <v>-0.15853220000000001</v>
      </c>
      <c r="F127" s="24" cm="1">
        <f t="array" ref="F127">MIN(_xlfn._xlws.FILTER(F2:F122, ISNUMBER(F2:F122)))</f>
        <v>-0.19592994999999999</v>
      </c>
      <c r="G127" s="24" cm="1">
        <f t="array" ref="G127">MIN(_xlfn._xlws.FILTER(G2:G122, ISNUMBER(G2:G122)))</f>
        <v>-0.2225886</v>
      </c>
      <c r="H127" s="24" cm="1">
        <f t="array" ref="H127">MIN(_xlfn._xlws.FILTER(H2:H122, ISNUMBER(H2:H122)))</f>
        <v>-0.11497325</v>
      </c>
      <c r="I127" s="24" cm="1">
        <f t="array" ref="I127">MIN(_xlfn._xlws.FILTER(I2:I122, ISNUMBER(I2:I122)))</f>
        <v>-0.13696968000000001</v>
      </c>
      <c r="J127" s="24" cm="1">
        <f t="array" ref="J127">MIN(_xlfn._xlws.FILTER(J2:J122, ISNUMBER(J2:J122)))</f>
        <v>-0.25079536000000002</v>
      </c>
      <c r="K127" s="24" cm="1">
        <f t="array" ref="K127">MIN(_xlfn._xlws.FILTER(K2:K122, ISNUMBER(K2:K122)))</f>
        <v>-0.12802142</v>
      </c>
      <c r="L127" s="24" cm="1">
        <f t="array" ref="L127">MIN(_xlfn._xlws.FILTER(L2:L122, ISNUMBER(L2:L122)))</f>
        <v>-0.23679923999999999</v>
      </c>
      <c r="M127" s="24" cm="1">
        <f t="array" ref="M127">MIN(_xlfn._xlws.FILTER(M2:M122, ISNUMBER(M2:M122)))</f>
        <v>-0.21169775000000002</v>
      </c>
      <c r="N127" s="24" cm="1">
        <f t="array" ref="N127">MIN(_xlfn._xlws.FILTER(N2:N122, ISNUMBER(N2:N122)))</f>
        <v>-0.28275107999999999</v>
      </c>
      <c r="O127" s="24" cm="1">
        <f t="array" ref="O127">MIN(_xlfn._xlws.FILTER(O2:O122, ISNUMBER(O2:O122)))</f>
        <v>-0.15011353</v>
      </c>
      <c r="P127" s="24" cm="1">
        <f t="array" ref="P127">MIN(_xlfn._xlws.FILTER(P2:P122, ISNUMBER(P2:P122)))</f>
        <v>-0.19086610000000001</v>
      </c>
      <c r="Q127" s="24" cm="1">
        <f t="array" ref="Q127">MIN(_xlfn._xlws.FILTER(Q2:Q122, ISNUMBER(Q2:Q122)))</f>
        <v>-0.14523399000000001</v>
      </c>
      <c r="R127" s="24" cm="1">
        <f t="array" ref="R127">MIN(_xlfn._xlws.FILTER(R2:R122, ISNUMBER(R2:R122)))</f>
        <v>-0.17195356000000001</v>
      </c>
      <c r="S127" s="24" cm="1">
        <f t="array" ref="S127">MIN(_xlfn._xlws.FILTER(S2:S122, ISNUMBER(S2:S122)))</f>
        <v>-0.26593559999999999</v>
      </c>
      <c r="T127" s="24" cm="1">
        <f t="array" ref="T127">MIN(_xlfn._xlws.FILTER(T2:T122, ISNUMBER(T2:T122)))</f>
        <v>-0.16681491999999998</v>
      </c>
      <c r="U127" s="24" cm="1">
        <f t="array" ref="U127">MIN(_xlfn._xlws.FILTER(U2:U122, ISNUMBER(U2:U122)))</f>
        <v>-0.17475086000000001</v>
      </c>
      <c r="V127" s="24" cm="1">
        <f t="array" ref="V127">MIN(_xlfn._xlws.FILTER(V2:V122, ISNUMBER(V2:V122)))</f>
        <v>-0.14433348000000001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15</v>
      </c>
      <c r="C129">
        <f>COUNTIF(C2:C122, "&lt;"&amp;Assumption!$E$50)</f>
        <v>26</v>
      </c>
      <c r="D129">
        <f>COUNTIF(D2:D122, "&lt;"&amp;Assumption!$E$50)</f>
        <v>25</v>
      </c>
      <c r="E129">
        <f>COUNTIF(E2:E122, "&lt;"&amp;Assumption!$E$50)</f>
        <v>22</v>
      </c>
      <c r="F129">
        <f>COUNTIF(F2:F122, "&lt;"&amp;Assumption!$E$50)</f>
        <v>26</v>
      </c>
      <c r="G129">
        <f>COUNTIF(G2:G122, "&lt;"&amp;Assumption!$E$50)</f>
        <v>23</v>
      </c>
      <c r="H129">
        <f>COUNTIF(H2:H122, "&lt;"&amp;Assumption!$E$50)</f>
        <v>21</v>
      </c>
      <c r="I129">
        <f>COUNTIF(I2:I122, "&lt;"&amp;Assumption!$E$50)</f>
        <v>14</v>
      </c>
      <c r="J129">
        <f>COUNTIF(J2:J122, "&lt;"&amp;Assumption!$E$50)</f>
        <v>26</v>
      </c>
      <c r="K129">
        <f>COUNTIF(K2:K122, "&lt;"&amp;Assumption!$E$50)</f>
        <v>23</v>
      </c>
      <c r="L129">
        <f>COUNTIF(L2:L122, "&lt;"&amp;Assumption!$E$50)</f>
        <v>33</v>
      </c>
      <c r="M129">
        <f>COUNTIF(M2:M122, "&lt;"&amp;Assumption!$E$50)</f>
        <v>26</v>
      </c>
      <c r="N129">
        <f>COUNTIF(N2:N122, "&lt;"&amp;Assumption!$E$50)</f>
        <v>29</v>
      </c>
      <c r="O129">
        <f>COUNTIF(O2:O122, "&lt;"&amp;Assumption!$E$50)</f>
        <v>14</v>
      </c>
      <c r="P129">
        <f>COUNTIF(P2:P122, "&lt;"&amp;Assumption!$E$50)</f>
        <v>24</v>
      </c>
      <c r="Q129">
        <f>COUNTIF(Q2:Q122, "&lt;"&amp;Assumption!$E$50)</f>
        <v>15</v>
      </c>
      <c r="R129">
        <f>COUNTIF(R2:R122, "&lt;"&amp;Assumption!$E$50)</f>
        <v>7</v>
      </c>
      <c r="S129">
        <f>COUNTIF(S2:S122, "&lt;"&amp;Assumption!$E$50)</f>
        <v>36</v>
      </c>
      <c r="T129">
        <f>COUNTIF(T2:T122, "&lt;"&amp;Assumption!$E$50)</f>
        <v>13</v>
      </c>
      <c r="U129">
        <f>COUNTIF(U2:U122, "&lt;"&amp;Assumption!$E$50)</f>
        <v>22</v>
      </c>
      <c r="V129">
        <f>COUNTIF(V2:V122, "&lt;"&amp;Assumption!$E$50)</f>
        <v>12</v>
      </c>
    </row>
    <row r="130" spans="1:29" x14ac:dyDescent="0.35">
      <c r="A130" t="s">
        <v>86</v>
      </c>
      <c r="B130">
        <f>COUNT(B1:B122)</f>
        <v>99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121</v>
      </c>
      <c r="R130">
        <f t="shared" si="0"/>
        <v>121</v>
      </c>
      <c r="S130">
        <f t="shared" si="0"/>
        <v>121</v>
      </c>
      <c r="T130">
        <f t="shared" si="0"/>
        <v>121</v>
      </c>
      <c r="U130">
        <f t="shared" si="0"/>
        <v>121</v>
      </c>
      <c r="V130">
        <f t="shared" si="0"/>
        <v>108</v>
      </c>
    </row>
    <row r="132" spans="1:29" x14ac:dyDescent="0.35">
      <c r="A132" t="s">
        <v>88</v>
      </c>
      <c r="B132" s="9">
        <f t="shared" ref="B132:V132" si="1">B129/B130</f>
        <v>0.15151515151515152</v>
      </c>
      <c r="C132" s="9">
        <f t="shared" si="1"/>
        <v>0.21487603305785125</v>
      </c>
      <c r="D132" s="9">
        <f t="shared" si="1"/>
        <v>0.20661157024793389</v>
      </c>
      <c r="E132" s="9">
        <f t="shared" si="1"/>
        <v>0.18181818181818182</v>
      </c>
      <c r="F132" s="9">
        <f t="shared" si="1"/>
        <v>0.21487603305785125</v>
      </c>
      <c r="G132" s="9">
        <f t="shared" si="1"/>
        <v>0.19008264462809918</v>
      </c>
      <c r="H132" s="9">
        <f t="shared" si="1"/>
        <v>0.17355371900826447</v>
      </c>
      <c r="I132" s="9">
        <f t="shared" si="1"/>
        <v>0.11570247933884298</v>
      </c>
      <c r="J132" s="9">
        <f t="shared" si="1"/>
        <v>0.21487603305785125</v>
      </c>
      <c r="K132" s="9">
        <f t="shared" si="1"/>
        <v>0.19008264462809918</v>
      </c>
      <c r="L132" s="9">
        <f t="shared" si="1"/>
        <v>0.27272727272727271</v>
      </c>
      <c r="M132" s="9">
        <f t="shared" si="1"/>
        <v>0.21487603305785125</v>
      </c>
      <c r="N132" s="9">
        <f t="shared" si="1"/>
        <v>0.23966942148760331</v>
      </c>
      <c r="O132" s="9">
        <f t="shared" si="1"/>
        <v>0.11570247933884298</v>
      </c>
      <c r="P132" s="9">
        <f t="shared" si="1"/>
        <v>0.19834710743801653</v>
      </c>
      <c r="Q132" s="9">
        <f t="shared" si="1"/>
        <v>0.12396694214876033</v>
      </c>
      <c r="R132" s="9">
        <f t="shared" si="1"/>
        <v>5.7851239669421489E-2</v>
      </c>
      <c r="S132" s="9">
        <f t="shared" si="1"/>
        <v>0.2975206611570248</v>
      </c>
      <c r="T132" s="9">
        <f t="shared" si="1"/>
        <v>0.10743801652892562</v>
      </c>
      <c r="U132" s="9">
        <f t="shared" si="1"/>
        <v>0.18181818181818182</v>
      </c>
      <c r="V132" s="9">
        <f t="shared" si="1"/>
        <v>0.1111111111111111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0.99</v>
      </c>
      <c r="C134" s="9" cm="1">
        <f t="array" ref="C134">_xlfn.PERCENTRANK.EXC(_xlfn._xlws.FILTER(C2:C122, ISNUMBER(C2:C122)),C122)</f>
        <v>0.85199999999999998</v>
      </c>
      <c r="D134" s="9" cm="1">
        <f t="array" ref="D134">_xlfn.PERCENTRANK.EXC(_xlfn._xlws.FILTER(D2:D122, ISNUMBER(D2:D122)),D122)</f>
        <v>0.32700000000000001</v>
      </c>
      <c r="E134" s="9" cm="1">
        <f t="array" ref="E134">_xlfn.PERCENTRANK.EXC(_xlfn._xlws.FILTER(E2:E122, ISNUMBER(E2:E122)),E122)</f>
        <v>0.63100000000000001</v>
      </c>
      <c r="F134" s="9" cm="1">
        <f t="array" ref="F134">_xlfn.PERCENTRANK.EXC(_xlfn._xlws.FILTER(F2:F122, ISNUMBER(F2:F122)),F122)</f>
        <v>0.47499999999999998</v>
      </c>
      <c r="G134" s="9" cm="1">
        <f t="array" ref="G134">_xlfn.PERCENTRANK.EXC(_xlfn._xlws.FILTER(G2:G122, ISNUMBER(G2:G122)),G122)</f>
        <v>0.93400000000000005</v>
      </c>
      <c r="H134" s="9" cm="1">
        <f t="array" ref="H134">_xlfn.PERCENTRANK.EXC(_xlfn._xlws.FILTER(H2:H122, ISNUMBER(H2:H122)),H122)</f>
        <v>0.63900000000000001</v>
      </c>
      <c r="I134" s="9" cm="1">
        <f t="array" ref="I134">_xlfn.PERCENTRANK.EXC(_xlfn._xlws.FILTER(I2:I122, ISNUMBER(I2:I122)),I122)</f>
        <v>0.88500000000000001</v>
      </c>
      <c r="J134" s="9" cm="1">
        <f t="array" ref="J134">_xlfn.PERCENTRANK.EXC(_xlfn._xlws.FILTER(J2:J122, ISNUMBER(J2:J122)),J122)</f>
        <v>0.85199999999999998</v>
      </c>
      <c r="K134" s="9" cm="1">
        <f t="array" ref="K134">_xlfn.PERCENTRANK.EXC(_xlfn._xlws.FILTER(K2:K122, ISNUMBER(K2:K122)),K122)</f>
        <v>0.70399999999999996</v>
      </c>
      <c r="L134" s="9" cm="1">
        <f t="array" ref="L134">_xlfn.PERCENTRANK.EXC(_xlfn._xlws.FILTER(L2:L122, ISNUMBER(L2:L122)),L122)</f>
        <v>0.442</v>
      </c>
      <c r="M134" s="9" cm="1">
        <f t="array" ref="M134">_xlfn.PERCENTRANK.EXC(_xlfn._xlws.FILTER(M2:M122, ISNUMBER(M2:M122)),M122)</f>
        <v>0.86799999999999999</v>
      </c>
      <c r="N134" s="9" cm="1">
        <f t="array" ref="N134">_xlfn.PERCENTRANK.EXC(_xlfn._xlws.FILTER(N2:N122, ISNUMBER(N2:N122)),N122)</f>
        <v>0.41799999999999998</v>
      </c>
      <c r="O134" s="9" cm="1">
        <f t="array" ref="O134">_xlfn.PERCENTRANK.EXC(_xlfn._xlws.FILTER(O2:O122, ISNUMBER(O2:O122)),O122)</f>
        <v>0.41799999999999998</v>
      </c>
      <c r="P134" s="9" cm="1">
        <f t="array" ref="P134">_xlfn.PERCENTRANK.EXC(_xlfn._xlws.FILTER(P2:P122, ISNUMBER(P2:P122)),P122)</f>
        <v>0.99099999999999999</v>
      </c>
      <c r="Q134" s="9" cm="1">
        <f t="array" ref="Q134">_xlfn.PERCENTRANK.EXC(_xlfn._xlws.FILTER(Q2:Q122, ISNUMBER(Q2:Q122)),Q122)</f>
        <v>0.72099999999999997</v>
      </c>
      <c r="R134" s="9" cm="1">
        <f t="array" ref="R134">_xlfn.PERCENTRANK.EXC(_xlfn._xlws.FILTER(R2:R122, ISNUMBER(R2:R122)),R122)</f>
        <v>0.80300000000000005</v>
      </c>
      <c r="S134" s="9" cm="1">
        <f t="array" ref="S134">_xlfn.PERCENTRANK.EXC(_xlfn._xlws.FILTER(S2:S122, ISNUMBER(S2:S122)),S122)</f>
        <v>0.23699999999999999</v>
      </c>
      <c r="T134" s="9" cm="1">
        <f t="array" ref="T134">_xlfn.PERCENTRANK.EXC(_xlfn._xlws.FILTER(T2:T122, ISNUMBER(T2:T122)),T122)</f>
        <v>0.32700000000000001</v>
      </c>
      <c r="U134" s="9" cm="1">
        <f t="array" ref="U134">_xlfn.PERCENTRANK.EXC(_xlfn._xlws.FILTER(U2:U122, ISNUMBER(U2:U122)),U122)</f>
        <v>0.54900000000000004</v>
      </c>
      <c r="V134" s="9" cm="1">
        <f t="array" ref="V134">_xlfn.PERCENTRANK.EXC(_xlfn._xlws.FILTER(V2:V122, ISNUMBER(V2:V122)),V122)</f>
        <v>0.38500000000000001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0.21</v>
      </c>
      <c r="C136" s="9" cm="1">
        <f t="array" ref="C136">_xlfn.PERCENTRANK.EXC(_xlfn._xlws.FILTER(C4:C125, ISNUMBER(C4:C125)),C113)</f>
        <v>0.316</v>
      </c>
      <c r="D136" s="9" cm="1">
        <f t="array" ref="D136">_xlfn.PERCENTRANK.EXC(_xlfn._xlws.FILTER(D4:D125, ISNUMBER(D4:D125)),D113)</f>
        <v>0.75</v>
      </c>
      <c r="E136" s="9" cm="1">
        <f t="array" ref="E136">_xlfn.PERCENTRANK.EXC(_xlfn._xlws.FILTER(E4:E125, ISNUMBER(E4:E125)),E113)</f>
        <v>0.76600000000000001</v>
      </c>
      <c r="F136" s="9" cm="1">
        <f t="array" ref="F136">_xlfn.PERCENTRANK.EXC(_xlfn._xlws.FILTER(F4:F125, ISNUMBER(F4:F125)),F113)</f>
        <v>0.49099999999999999</v>
      </c>
      <c r="G136" s="9" cm="1">
        <f t="array" ref="G136">_xlfn.PERCENTRANK.EXC(_xlfn._xlws.FILTER(G4:G125, ISNUMBER(G4:G125)),G113)</f>
        <v>0.94099999999999995</v>
      </c>
      <c r="H136" s="9" cm="1">
        <f t="array" ref="H136">_xlfn.PERCENTRANK.EXC(_xlfn._xlws.FILTER(H4:H125, ISNUMBER(H4:H125)),H113)</f>
        <v>0.78300000000000003</v>
      </c>
      <c r="I136" s="9" cm="1">
        <f t="array" ref="I136">_xlfn.PERCENTRANK.EXC(_xlfn._xlws.FILTER(I4:I125, ISNUMBER(I4:I125)),I113)</f>
        <v>0.55800000000000005</v>
      </c>
      <c r="J136" s="9" cm="1">
        <f t="array" ref="J136">_xlfn.PERCENTRANK.EXC(_xlfn._xlws.FILTER(J4:J125, ISNUMBER(J4:J125)),J113)</f>
        <v>0.73299999999999998</v>
      </c>
      <c r="K136" s="9" cm="1">
        <f t="array" ref="K136">_xlfn.PERCENTRANK.EXC(_xlfn._xlws.FILTER(K4:K125, ISNUMBER(K4:K125)),K113)</f>
        <v>0.60799999999999998</v>
      </c>
      <c r="L136" s="9" cm="1">
        <f t="array" ref="L136">_xlfn.PERCENTRANK.EXC(_xlfn._xlws.FILTER(L4:L125, ISNUMBER(L4:L125)),L113)</f>
        <v>0.70799999999999996</v>
      </c>
      <c r="M136" s="9" cm="1">
        <f t="array" ref="M136">_xlfn.PERCENTRANK.EXC(_xlfn._xlws.FILTER(M4:M125, ISNUMBER(M4:M125)),M113)</f>
        <v>0.50800000000000001</v>
      </c>
      <c r="N136" s="9" cm="1">
        <f t="array" ref="N136">_xlfn.PERCENTRANK.EXC(_xlfn._xlws.FILTER(N4:N125, ISNUMBER(N4:N125)),N113)</f>
        <v>0.83299999999999996</v>
      </c>
      <c r="O136" s="9" cm="1">
        <f t="array" ref="O136">_xlfn.PERCENTRANK.EXC(_xlfn._xlws.FILTER(O4:O125, ISNUMBER(O4:O125)),O113)</f>
        <v>0.75</v>
      </c>
      <c r="P136" s="9" cm="1">
        <f t="array" ref="P136">_xlfn.PERCENTRANK.EXC(_xlfn._xlws.FILTER(P4:P125, ISNUMBER(P4:P125)),P113)</f>
        <v>0.35</v>
      </c>
      <c r="Q136" s="9" cm="1">
        <f t="array" ref="Q136">_xlfn.PERCENTRANK.EXC(_xlfn._xlws.FILTER(Q4:Q125, ISNUMBER(Q4:Q125)),Q113)</f>
        <v>0.89100000000000001</v>
      </c>
      <c r="R136" s="9" cm="1">
        <f t="array" ref="R136">_xlfn.PERCENTRANK.EXC(_xlfn._xlws.FILTER(R4:R125, ISNUMBER(R4:R125)),R113)</f>
        <v>0.74099999999999999</v>
      </c>
      <c r="S136" s="9" cm="1">
        <f t="array" ref="S136">_xlfn.PERCENTRANK.EXC(_xlfn._xlws.FILTER(S4:S125, ISNUMBER(S4:S125)),S113)</f>
        <v>0.36599999999999999</v>
      </c>
      <c r="T136" s="9" cm="1">
        <f t="array" ref="T136">_xlfn.PERCENTRANK.EXC(_xlfn._xlws.FILTER(T4:T125, ISNUMBER(T4:T125)),T113)</f>
        <v>0.90800000000000003</v>
      </c>
      <c r="U136" s="9" cm="1">
        <f t="array" ref="U136">_xlfn.PERCENTRANK.EXC(_xlfn._xlws.FILTER(U4:U125, ISNUMBER(U4:U125)),U113)</f>
        <v>0.57499999999999996</v>
      </c>
      <c r="V136" s="9" cm="1">
        <f t="array" ref="V136">_xlfn.PERCENTRANK.EXC(_xlfn._xlws.FILTER(V4:V125, ISNUMBER(V4:V125)),V113)</f>
        <v>0.94399999999999995</v>
      </c>
    </row>
    <row r="138" spans="1:29" x14ac:dyDescent="0.35">
      <c r="A138" t="s">
        <v>855</v>
      </c>
      <c r="B138">
        <f>STDEV(B40:B122)</f>
        <v>7.0210416217507732E-2</v>
      </c>
      <c r="C138">
        <f t="shared" ref="C138:V138" si="2">STDEV(C40:C122)</f>
        <v>7.5987381473412691E-2</v>
      </c>
      <c r="D138">
        <f t="shared" si="2"/>
        <v>6.4844567414150386E-2</v>
      </c>
      <c r="E138">
        <f t="shared" si="2"/>
        <v>6.2063215464676663E-2</v>
      </c>
      <c r="F138">
        <f t="shared" si="2"/>
        <v>8.5369269543892609E-2</v>
      </c>
      <c r="G138">
        <f t="shared" si="2"/>
        <v>7.1964437404182402E-2</v>
      </c>
      <c r="H138">
        <f t="shared" si="2"/>
        <v>4.6436914737433589E-2</v>
      </c>
      <c r="I138">
        <f t="shared" si="2"/>
        <v>5.1807373105889384E-2</v>
      </c>
      <c r="J138">
        <f t="shared" si="2"/>
        <v>6.9736132401550646E-2</v>
      </c>
      <c r="K138">
        <f t="shared" si="2"/>
        <v>6.6480674048040547E-2</v>
      </c>
      <c r="L138">
        <f t="shared" si="2"/>
        <v>9.0634074002294965E-2</v>
      </c>
      <c r="M138">
        <f t="shared" si="2"/>
        <v>7.3029799020385658E-2</v>
      </c>
      <c r="N138">
        <f t="shared" si="2"/>
        <v>7.8504420841830749E-2</v>
      </c>
      <c r="O138">
        <f t="shared" si="2"/>
        <v>5.1077466315268522E-2</v>
      </c>
      <c r="P138">
        <f t="shared" si="2"/>
        <v>7.6482939280497361E-2</v>
      </c>
      <c r="Q138">
        <f t="shared" si="2"/>
        <v>4.9057871367220889E-2</v>
      </c>
      <c r="R138">
        <f t="shared" si="2"/>
        <v>4.0547626801351447E-2</v>
      </c>
      <c r="S138">
        <f t="shared" si="2"/>
        <v>9.8225113987827739E-2</v>
      </c>
      <c r="T138">
        <f t="shared" si="2"/>
        <v>4.8949265122487561E-2</v>
      </c>
      <c r="U138">
        <f t="shared" si="2"/>
        <v>6.2425082689417148E-2</v>
      </c>
      <c r="V138">
        <f t="shared" si="2"/>
        <v>4.6788011524383118E-2</v>
      </c>
    </row>
    <row r="139" spans="1:29" x14ac:dyDescent="0.35">
      <c r="A139" t="s">
        <v>856</v>
      </c>
      <c r="B139" s="77">
        <f>B138*SQRT(12)</f>
        <v>0.24321601621856251</v>
      </c>
      <c r="C139" s="77">
        <f t="shared" ref="C139:V139" si="3">C138*SQRT(12)</f>
        <v>0.2632280108921376</v>
      </c>
      <c r="D139" s="77">
        <f t="shared" si="3"/>
        <v>0.22462817071226734</v>
      </c>
      <c r="E139" s="77">
        <f t="shared" si="3"/>
        <v>0.21499328493182887</v>
      </c>
      <c r="F139" s="77">
        <f t="shared" si="3"/>
        <v>0.29572782451012869</v>
      </c>
      <c r="G139" s="77">
        <f t="shared" si="3"/>
        <v>0.24929212384430807</v>
      </c>
      <c r="H139" s="77">
        <f t="shared" si="3"/>
        <v>0.16086219134395788</v>
      </c>
      <c r="I139" s="77">
        <f t="shared" si="3"/>
        <v>0.17946600485215566</v>
      </c>
      <c r="J139" s="77">
        <f t="shared" si="3"/>
        <v>0.24157304888567188</v>
      </c>
      <c r="K139" s="77">
        <f t="shared" si="3"/>
        <v>0.23029581034526386</v>
      </c>
      <c r="L139" s="77">
        <f t="shared" si="3"/>
        <v>0.31396564213786476</v>
      </c>
      <c r="M139" s="77">
        <f t="shared" si="3"/>
        <v>0.25298264473970355</v>
      </c>
      <c r="N139" s="77">
        <f t="shared" si="3"/>
        <v>0.2719472910336399</v>
      </c>
      <c r="O139" s="77">
        <f t="shared" si="3"/>
        <v>0.17693753355986594</v>
      </c>
      <c r="P139" s="77">
        <f t="shared" si="3"/>
        <v>0.26494467349205369</v>
      </c>
      <c r="Q139" s="77">
        <f t="shared" si="3"/>
        <v>0.16994145143841008</v>
      </c>
      <c r="R139" s="77">
        <f t="shared" si="3"/>
        <v>0.14046109949256444</v>
      </c>
      <c r="S139" s="77">
        <f t="shared" si="3"/>
        <v>0.3402617760123241</v>
      </c>
      <c r="T139" s="77">
        <f t="shared" si="3"/>
        <v>0.1695652283706153</v>
      </c>
      <c r="U139" s="77">
        <f t="shared" si="3"/>
        <v>0.21624682976951781</v>
      </c>
      <c r="V139" s="77">
        <f t="shared" si="3"/>
        <v>0.16207842629069943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41922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-19.516324999999998</v>
      </c>
      <c r="D2" s="7" cm="1">
        <f t="array" ref="D2:D122">_xll.FDS(D1,"P_PRICE_RETURNS_PR('52W',2,-10AY,0,AM)")</f>
        <v>-0.66570640000000003</v>
      </c>
      <c r="E2" s="7" cm="1">
        <f t="array" ref="E2:E122">_xll.FDS(E1,"P_PRICE_RETURNS_PR('52W',2,-10AY,0,AM)")</f>
        <v>5.0934195999999998</v>
      </c>
      <c r="F2" s="7" cm="1">
        <f t="array" ref="F2:F122">_xll.FDS(F1,"P_PRICE_RETURNS_PR('52W',2,-10AY,0,AM)")</f>
        <v>-7.6874849999999997</v>
      </c>
      <c r="G2" s="7" cm="1">
        <f t="array" ref="G2:G122">_xll.FDS(G1,"P_PRICE_RETURNS_PR('52W',2,-10AY,0,AM)")</f>
        <v>1.4841795</v>
      </c>
      <c r="H2" s="7" cm="1">
        <f t="array" ref="H2:H122">_xll.FDS(H1,"P_PRICE_RETURNS_PR('52W',2,-10AY,0,AM)")</f>
        <v>-1.7794787999999999</v>
      </c>
      <c r="I2" s="7" cm="1">
        <f t="array" ref="I2:I122">_xll.FDS(I1,"P_PRICE_RETURNS_PR('52W',2,-10AY,0,AM)")</f>
        <v>4.3836830000000004</v>
      </c>
      <c r="J2" s="7" cm="1">
        <f t="array" ref="J2:J122">_xll.FDS(J1,"P_PRICE_RETURNS_PR('52W',2,-10AY,0,AM)")</f>
        <v>4.1819689999999996</v>
      </c>
      <c r="K2" s="7" cm="1">
        <f t="array" ref="K2:K122">_xll.FDS(K1,"P_PRICE_RETURNS_PR('52W',2,-10AY,0,AM)")</f>
        <v>-9.7174940000000003</v>
      </c>
      <c r="L2" s="7" cm="1">
        <f t="array" ref="L2:L122">_xll.FDS(L1,"P_PRICE_RETURNS_PR('52W',2,-10AY,0,AM)")</f>
        <v>-6.2629995000000003</v>
      </c>
      <c r="M2" s="7" cm="1">
        <f t="array" ref="M2:M122">_xll.FDS(M1,"P_PRICE_RETURNS_PR('52W',2,-10AY,0,AM)")</f>
        <v>-1.7239987999999999</v>
      </c>
      <c r="N2" s="7" cm="1">
        <f t="array" ref="N2:N122">_xll.FDS(N1,"P_PRICE_RETURNS_PR('52W',2,-10AY,0,AM)")</f>
        <v>-18.635331999999998</v>
      </c>
      <c r="O2" s="7" cm="1">
        <f t="array" ref="O2:O122">_xll.FDS(O1,"P_PRICE_RETURNS_PR('52W',2,-10AY,0,AM)")</f>
        <v>24.020779000000001</v>
      </c>
      <c r="P2" s="7" cm="1">
        <f t="array" ref="P2:P122">_xll.FDS(P1,"P_PRICE_RETURNS_PR('52W',2,-10AY,0,AM)")</f>
        <v>0.40016173999999999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6.9432615999999996</v>
      </c>
      <c r="S2" s="7" cm="1">
        <f t="array" ref="S2:S122">_xll.FDS(S1,"P_PRICE_RETURNS_PR('52W',2,-10AY,0,AM)")</f>
        <v>-15.965282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17.354548000000001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41953</v>
      </c>
      <c r="B3" s="7" t="e">
        <v>#N/A</v>
      </c>
      <c r="C3" s="7">
        <v>-11.936087000000001</v>
      </c>
      <c r="D3" s="40">
        <v>7.7865719999999996</v>
      </c>
      <c r="E3" s="40">
        <v>13.963997000000001</v>
      </c>
      <c r="F3" s="40">
        <v>-9.4967839999999999</v>
      </c>
      <c r="G3" s="40">
        <v>-1.1031628</v>
      </c>
      <c r="H3" s="40">
        <v>-1.6083479000000001</v>
      </c>
      <c r="I3" s="40">
        <v>14.049351</v>
      </c>
      <c r="J3" s="40">
        <v>8.0769300000000008</v>
      </c>
      <c r="K3" s="40">
        <v>-6.6544055999999996</v>
      </c>
      <c r="L3" s="40">
        <v>-10.836619000000001</v>
      </c>
      <c r="M3" s="40">
        <v>9.0913409999999999</v>
      </c>
      <c r="N3" s="40">
        <v>-30.251335000000001</v>
      </c>
      <c r="O3" s="40">
        <v>36.803269999999998</v>
      </c>
      <c r="P3" s="40">
        <v>7.5354340000000004</v>
      </c>
      <c r="Q3" s="40" t="e">
        <v>#N/A</v>
      </c>
      <c r="R3" s="40">
        <v>11.552059</v>
      </c>
      <c r="S3" s="40">
        <v>-3.8245976000000002</v>
      </c>
      <c r="T3" s="40" t="e">
        <v>#N/A</v>
      </c>
      <c r="U3" s="40">
        <v>15.677524</v>
      </c>
      <c r="V3" s="155" t="e">
        <v>#N/A</v>
      </c>
      <c r="W3" s="24"/>
    </row>
    <row r="4" spans="1:23" x14ac:dyDescent="0.35">
      <c r="A4" s="2">
        <v>41983</v>
      </c>
      <c r="B4" s="7" t="e">
        <v>#N/A</v>
      </c>
      <c r="C4" s="7">
        <v>-12.879341999999999</v>
      </c>
      <c r="D4" s="40">
        <v>18.642842999999999</v>
      </c>
      <c r="E4" s="40">
        <v>21.650791000000002</v>
      </c>
      <c r="F4" s="40">
        <v>-11.301826999999999</v>
      </c>
      <c r="G4" s="40">
        <v>3.4437180000000001</v>
      </c>
      <c r="H4" s="40">
        <v>-12.478458</v>
      </c>
      <c r="I4" s="40">
        <v>7.2357415999999999</v>
      </c>
      <c r="J4" s="40">
        <v>-13.731026999999999</v>
      </c>
      <c r="K4" s="40">
        <v>-10.543101999999999</v>
      </c>
      <c r="L4" s="40">
        <v>-15.781105</v>
      </c>
      <c r="M4" s="40">
        <v>2.0711184</v>
      </c>
      <c r="N4" s="40">
        <v>-34.565883999999997</v>
      </c>
      <c r="O4" s="40">
        <v>23.988997999999999</v>
      </c>
      <c r="P4" s="40">
        <v>-0.25222299999999997</v>
      </c>
      <c r="Q4" s="40" t="e">
        <v>#N/A</v>
      </c>
      <c r="R4" s="40">
        <v>14.051283</v>
      </c>
      <c r="S4" s="40">
        <v>1.0847926000000001</v>
      </c>
      <c r="T4" s="40" t="e">
        <v>#N/A</v>
      </c>
      <c r="U4" s="40">
        <v>3.1273602999999999</v>
      </c>
      <c r="V4" s="155" t="e">
        <v>#N/A</v>
      </c>
      <c r="W4" s="24"/>
    </row>
    <row r="5" spans="1:23" x14ac:dyDescent="0.35">
      <c r="A5" s="2">
        <v>42013</v>
      </c>
      <c r="B5" s="7" t="e">
        <v>#N/A</v>
      </c>
      <c r="C5" s="7">
        <v>-13.268708999999999</v>
      </c>
      <c r="D5" s="40">
        <v>23.412072999999999</v>
      </c>
      <c r="E5" s="40">
        <v>26.455807</v>
      </c>
      <c r="F5" s="40">
        <v>-12.125379000000001</v>
      </c>
      <c r="G5" s="40">
        <v>-1.3097285999999999</v>
      </c>
      <c r="H5" s="40">
        <v>-12.396354000000001</v>
      </c>
      <c r="I5" s="40">
        <v>9.2639449999999997</v>
      </c>
      <c r="J5" s="40">
        <v>-8.4508709999999994</v>
      </c>
      <c r="K5" s="40">
        <v>-6.2238509999999998</v>
      </c>
      <c r="L5" s="40">
        <v>-11.068683999999999</v>
      </c>
      <c r="M5" s="40">
        <v>10.764670000000001</v>
      </c>
      <c r="N5" s="40">
        <v>-46.980423000000002</v>
      </c>
      <c r="O5" s="40">
        <v>28.165303999999999</v>
      </c>
      <c r="P5" s="40">
        <v>15.595781000000001</v>
      </c>
      <c r="Q5" s="40" t="e">
        <v>#N/A</v>
      </c>
      <c r="R5" s="40">
        <v>21.550391999999999</v>
      </c>
      <c r="S5" s="40">
        <v>25.235605</v>
      </c>
      <c r="T5" s="40" t="e">
        <v>#N/A</v>
      </c>
      <c r="U5" s="40">
        <v>2.2184849</v>
      </c>
      <c r="V5" s="155" t="e">
        <v>#N/A</v>
      </c>
      <c r="W5" s="24"/>
    </row>
    <row r="6" spans="1:23" x14ac:dyDescent="0.35">
      <c r="A6" s="2">
        <v>42045</v>
      </c>
      <c r="B6" s="7" t="e">
        <v>#N/A</v>
      </c>
      <c r="C6" s="7">
        <v>-2.4632632999999999</v>
      </c>
      <c r="D6" s="40">
        <v>17.325126999999998</v>
      </c>
      <c r="E6" s="40">
        <v>32.659849999999999</v>
      </c>
      <c r="F6" s="40">
        <v>-18.359821</v>
      </c>
      <c r="G6" s="40">
        <v>-5.5102167</v>
      </c>
      <c r="H6" s="40">
        <v>-5.2277145000000003</v>
      </c>
      <c r="I6" s="40">
        <v>16.655730999999999</v>
      </c>
      <c r="J6" s="40">
        <v>-5.3247213000000002</v>
      </c>
      <c r="K6" s="40">
        <v>-4.3777466</v>
      </c>
      <c r="L6" s="40">
        <v>-12.657094000000001</v>
      </c>
      <c r="M6" s="40">
        <v>21.388197000000002</v>
      </c>
      <c r="N6" s="40">
        <v>-46.867263999999999</v>
      </c>
      <c r="O6" s="40">
        <v>37.987780000000001</v>
      </c>
      <c r="P6" s="40">
        <v>20.500505</v>
      </c>
      <c r="Q6" s="40" t="e">
        <v>#N/A</v>
      </c>
      <c r="R6" s="40">
        <v>23.577082000000001</v>
      </c>
      <c r="S6" s="40">
        <v>15.937291999999999</v>
      </c>
      <c r="T6" s="40" t="e">
        <v>#N/A</v>
      </c>
      <c r="U6" s="40">
        <v>-10.833651</v>
      </c>
      <c r="V6" s="155" t="e">
        <v>#N/A</v>
      </c>
      <c r="W6" s="24"/>
    </row>
    <row r="7" spans="1:23" x14ac:dyDescent="0.35">
      <c r="A7" s="2">
        <v>42073</v>
      </c>
      <c r="B7" s="7" t="e">
        <v>#N/A</v>
      </c>
      <c r="C7" s="7">
        <v>-7.1804522999999998</v>
      </c>
      <c r="D7" s="40">
        <v>1.3607860000000001</v>
      </c>
      <c r="E7" s="40">
        <v>21.036280000000001</v>
      </c>
      <c r="F7" s="40">
        <v>-22.424889</v>
      </c>
      <c r="G7" s="40">
        <v>-11.443626</v>
      </c>
      <c r="H7" s="40">
        <v>-13.033885</v>
      </c>
      <c r="I7" s="40">
        <v>10.531891</v>
      </c>
      <c r="J7" s="40">
        <v>-6.7964909999999996</v>
      </c>
      <c r="K7" s="40">
        <v>-8.0951579999999996</v>
      </c>
      <c r="L7" s="40">
        <v>-20.666891</v>
      </c>
      <c r="M7" s="40">
        <v>0.5298853</v>
      </c>
      <c r="N7" s="40">
        <v>-54.408700000000003</v>
      </c>
      <c r="O7" s="40">
        <v>27.138328999999999</v>
      </c>
      <c r="P7" s="40">
        <v>16.064703000000002</v>
      </c>
      <c r="Q7" s="40" t="e">
        <v>#N/A</v>
      </c>
      <c r="R7" s="40">
        <v>13.490235999999999</v>
      </c>
      <c r="S7" s="40">
        <v>3.9078116000000001</v>
      </c>
      <c r="T7" s="40" t="e">
        <v>#N/A</v>
      </c>
      <c r="U7" s="40">
        <v>-13.8738575</v>
      </c>
      <c r="V7" s="155" t="e">
        <v>#N/A</v>
      </c>
      <c r="W7" s="24"/>
    </row>
    <row r="8" spans="1:23" x14ac:dyDescent="0.35">
      <c r="A8" s="2">
        <v>42104</v>
      </c>
      <c r="B8" s="7" t="e">
        <v>#N/A</v>
      </c>
      <c r="C8" s="7">
        <v>-9.6876739999999995</v>
      </c>
      <c r="D8" s="40">
        <v>2.9886007000000001</v>
      </c>
      <c r="E8" s="40">
        <v>23.843170000000001</v>
      </c>
      <c r="F8" s="40">
        <v>-18.096900000000002</v>
      </c>
      <c r="G8" s="40">
        <v>-11.174637000000001</v>
      </c>
      <c r="H8" s="40">
        <v>-10.688507</v>
      </c>
      <c r="I8" s="40">
        <v>10.998308</v>
      </c>
      <c r="J8" s="40">
        <v>-5.0339936999999999</v>
      </c>
      <c r="K8" s="40">
        <v>-4.8650146000000003</v>
      </c>
      <c r="L8" s="40">
        <v>-24.215579999999999</v>
      </c>
      <c r="M8" s="40">
        <v>7.4985622999999997</v>
      </c>
      <c r="N8" s="40">
        <v>-52.225512999999999</v>
      </c>
      <c r="O8" s="40">
        <v>26.963436000000002</v>
      </c>
      <c r="P8" s="40">
        <v>37.555799999999998</v>
      </c>
      <c r="Q8" s="40" t="e">
        <v>#N/A</v>
      </c>
      <c r="R8" s="40">
        <v>11.389923</v>
      </c>
      <c r="S8" s="40">
        <v>-6.6285667000000004</v>
      </c>
      <c r="T8" s="40" t="e">
        <v>#N/A</v>
      </c>
      <c r="U8" s="40">
        <v>-17.461586</v>
      </c>
      <c r="V8" s="155" t="e">
        <v>#N/A</v>
      </c>
      <c r="W8" s="24"/>
    </row>
    <row r="9" spans="1:23" x14ac:dyDescent="0.35">
      <c r="A9" s="2">
        <v>42132</v>
      </c>
      <c r="B9" s="7" t="e">
        <v>#N/A</v>
      </c>
      <c r="C9" s="7">
        <v>-4.9933139999999998</v>
      </c>
      <c r="D9" s="40">
        <v>-5.9222039999999998</v>
      </c>
      <c r="E9" s="40">
        <v>12.53581</v>
      </c>
      <c r="F9" s="40">
        <v>-8.5542440000000006</v>
      </c>
      <c r="G9" s="40">
        <v>-9.5248640000000009</v>
      </c>
      <c r="H9" s="40">
        <v>-10.579008</v>
      </c>
      <c r="I9" s="40">
        <v>12.746881999999999</v>
      </c>
      <c r="J9" s="40">
        <v>-7.838851</v>
      </c>
      <c r="K9" s="40">
        <v>-3.2666981000000002</v>
      </c>
      <c r="L9" s="40">
        <v>-21.259129000000001</v>
      </c>
      <c r="M9" s="40">
        <v>2.6546954999999999</v>
      </c>
      <c r="N9" s="40">
        <v>-44.116604000000002</v>
      </c>
      <c r="O9" s="40">
        <v>16.266655</v>
      </c>
      <c r="P9" s="40">
        <v>45.649230000000003</v>
      </c>
      <c r="Q9" s="40">
        <v>-3.1878948</v>
      </c>
      <c r="R9" s="40">
        <v>9.5350269999999995</v>
      </c>
      <c r="S9" s="40">
        <v>-13.372479999999999</v>
      </c>
      <c r="T9" s="40">
        <v>-17.869299000000002</v>
      </c>
      <c r="U9" s="40">
        <v>-4.2669889999999997</v>
      </c>
      <c r="V9" s="155" t="e">
        <v>#N/A</v>
      </c>
      <c r="W9" s="24"/>
    </row>
    <row r="10" spans="1:23" x14ac:dyDescent="0.35">
      <c r="A10" s="2">
        <v>42165</v>
      </c>
      <c r="B10" s="7" t="e">
        <v>#N/A</v>
      </c>
      <c r="C10" s="7">
        <v>-13.530886000000001</v>
      </c>
      <c r="D10" s="40">
        <v>-12.274801</v>
      </c>
      <c r="E10" s="40">
        <v>4.6193239999999998</v>
      </c>
      <c r="F10" s="40">
        <v>-19.058154999999999</v>
      </c>
      <c r="G10" s="40">
        <v>-13.850063</v>
      </c>
      <c r="H10" s="40">
        <v>-18.680222000000001</v>
      </c>
      <c r="I10" s="40">
        <v>3.9585948000000002</v>
      </c>
      <c r="J10" s="40">
        <v>-13.416565</v>
      </c>
      <c r="K10" s="40">
        <v>-13.318241</v>
      </c>
      <c r="L10" s="40">
        <v>-29.804499</v>
      </c>
      <c r="M10" s="40">
        <v>-5.5978479999999999</v>
      </c>
      <c r="N10" s="40">
        <v>-50.272880000000001</v>
      </c>
      <c r="O10" s="40">
        <v>-2.3753047</v>
      </c>
      <c r="P10" s="40">
        <v>27.827321999999999</v>
      </c>
      <c r="Q10" s="40">
        <v>-8.3653929999999992</v>
      </c>
      <c r="R10" s="40">
        <v>2.3720621999999998</v>
      </c>
      <c r="S10" s="40">
        <v>-24.794775000000001</v>
      </c>
      <c r="T10" s="40">
        <v>-11.805558</v>
      </c>
      <c r="U10" s="40">
        <v>-12.149929999999999</v>
      </c>
      <c r="V10" s="155" t="e">
        <v>#N/A</v>
      </c>
      <c r="W10" s="24"/>
    </row>
    <row r="11" spans="1:23" x14ac:dyDescent="0.35">
      <c r="A11" s="2">
        <v>42195</v>
      </c>
      <c r="B11" s="7" t="e">
        <v>#N/A</v>
      </c>
      <c r="C11" s="7">
        <v>-18.315052000000001</v>
      </c>
      <c r="D11" s="40">
        <v>-17.525953000000001</v>
      </c>
      <c r="E11" s="40">
        <v>3.0918717</v>
      </c>
      <c r="F11" s="40">
        <v>-18.469166000000001</v>
      </c>
      <c r="G11" s="40">
        <v>-21.255796</v>
      </c>
      <c r="H11" s="40">
        <v>-21.996815000000002</v>
      </c>
      <c r="I11" s="40">
        <v>-4.7524749999999996</v>
      </c>
      <c r="J11" s="40">
        <v>-15.388781</v>
      </c>
      <c r="K11" s="40">
        <v>-15.984964</v>
      </c>
      <c r="L11" s="40">
        <v>-31.965578000000001</v>
      </c>
      <c r="M11" s="40">
        <v>-5.2580476000000003</v>
      </c>
      <c r="N11" s="40">
        <v>-47.621000000000002</v>
      </c>
      <c r="O11" s="40">
        <v>3.4891963000000001</v>
      </c>
      <c r="P11" s="40">
        <v>12.927759</v>
      </c>
      <c r="Q11" s="40">
        <v>-7.6818999999999997</v>
      </c>
      <c r="R11" s="40">
        <v>-2.1811425999999998</v>
      </c>
      <c r="S11" s="40">
        <v>-15.72653</v>
      </c>
      <c r="T11" s="40">
        <v>-8.691573</v>
      </c>
      <c r="U11" s="40">
        <v>-7.0992946999999997</v>
      </c>
      <c r="V11" s="155" t="e">
        <v>#N/A</v>
      </c>
      <c r="W11" s="24"/>
    </row>
    <row r="12" spans="1:23" x14ac:dyDescent="0.35">
      <c r="A12" s="2">
        <v>42226</v>
      </c>
      <c r="B12" s="7" t="e">
        <v>#N/A</v>
      </c>
      <c r="C12" s="7">
        <v>-15.460038000000001</v>
      </c>
      <c r="D12" s="40">
        <v>-19.404024</v>
      </c>
      <c r="E12" s="40">
        <v>3.4459590000000002</v>
      </c>
      <c r="F12" s="40">
        <v>-17.733139000000001</v>
      </c>
      <c r="G12" s="40">
        <v>-26.095217000000002</v>
      </c>
      <c r="H12" s="40">
        <v>-26.351832999999999</v>
      </c>
      <c r="I12" s="40">
        <v>-6.0097990000000001</v>
      </c>
      <c r="J12" s="40">
        <v>-16.119368000000001</v>
      </c>
      <c r="K12" s="40">
        <v>-21.41611</v>
      </c>
      <c r="L12" s="40">
        <v>-40.409312999999997</v>
      </c>
      <c r="M12" s="40">
        <v>-8.6666699999999999</v>
      </c>
      <c r="N12" s="40">
        <v>-47.077632999999999</v>
      </c>
      <c r="O12" s="40">
        <v>6.0095549999999998</v>
      </c>
      <c r="P12" s="40">
        <v>3.3968449000000001</v>
      </c>
      <c r="Q12" s="40">
        <v>-9.4343190000000003</v>
      </c>
      <c r="R12" s="40">
        <v>-6.5894484999999996</v>
      </c>
      <c r="S12" s="40">
        <v>-24.030626000000002</v>
      </c>
      <c r="T12" s="40">
        <v>-9.0364819999999995</v>
      </c>
      <c r="U12" s="40">
        <v>-12.740988</v>
      </c>
      <c r="V12" s="155" t="e">
        <v>#N/A</v>
      </c>
      <c r="W12" s="24"/>
    </row>
    <row r="13" spans="1:23" x14ac:dyDescent="0.35">
      <c r="A13" s="2">
        <v>42257</v>
      </c>
      <c r="B13" s="7" t="e">
        <v>#N/A</v>
      </c>
      <c r="C13" s="7">
        <v>-20.810721999999998</v>
      </c>
      <c r="D13" s="40">
        <v>-32.532393999999996</v>
      </c>
      <c r="E13" s="40">
        <v>-11.268435999999999</v>
      </c>
      <c r="F13" s="40">
        <v>-21.832735</v>
      </c>
      <c r="G13" s="40">
        <v>-35.121200000000002</v>
      </c>
      <c r="H13" s="40">
        <v>-35.877270000000003</v>
      </c>
      <c r="I13" s="40">
        <v>-14.881617</v>
      </c>
      <c r="J13" s="40">
        <v>-25.816756999999999</v>
      </c>
      <c r="K13" s="40">
        <v>-23.140753</v>
      </c>
      <c r="L13" s="40">
        <v>-52.07696</v>
      </c>
      <c r="M13" s="40">
        <v>-20.140378999999999</v>
      </c>
      <c r="N13" s="40">
        <v>-51.1751</v>
      </c>
      <c r="O13" s="40">
        <v>-12.643326</v>
      </c>
      <c r="P13" s="40">
        <v>-10.965484999999999</v>
      </c>
      <c r="Q13" s="40">
        <v>-13.44961</v>
      </c>
      <c r="R13" s="40">
        <v>-11.754405999999999</v>
      </c>
      <c r="S13" s="40">
        <v>-33.817659999999997</v>
      </c>
      <c r="T13" s="40">
        <v>-22.764914999999998</v>
      </c>
      <c r="U13" s="40">
        <v>-28.119558000000001</v>
      </c>
      <c r="V13" s="155" t="e">
        <v>#N/A</v>
      </c>
      <c r="W13" s="24"/>
    </row>
    <row r="14" spans="1:23" x14ac:dyDescent="0.35">
      <c r="A14" s="2">
        <v>42286</v>
      </c>
      <c r="B14" s="7" t="e">
        <v>#N/A</v>
      </c>
      <c r="C14" s="7">
        <v>-13.765979</v>
      </c>
      <c r="D14" s="40">
        <v>-13.707775</v>
      </c>
      <c r="E14" s="40">
        <v>-0.53139924999999999</v>
      </c>
      <c r="F14" s="40">
        <v>-17.32291</v>
      </c>
      <c r="G14" s="40">
        <v>-26.136816</v>
      </c>
      <c r="H14" s="40">
        <v>-24.042546999999999</v>
      </c>
      <c r="I14" s="40">
        <v>-5.4285170000000003</v>
      </c>
      <c r="J14" s="40">
        <v>-17.266262000000001</v>
      </c>
      <c r="K14" s="40">
        <v>-6.2124249999999996</v>
      </c>
      <c r="L14" s="40">
        <v>-44.390957</v>
      </c>
      <c r="M14" s="40">
        <v>-4.9808206999999998</v>
      </c>
      <c r="N14" s="40">
        <v>-40.867733000000001</v>
      </c>
      <c r="O14" s="40">
        <v>-1.4259815</v>
      </c>
      <c r="P14" s="40">
        <v>1.5065432000000001</v>
      </c>
      <c r="Q14" s="40">
        <v>-14.581042</v>
      </c>
      <c r="R14" s="40">
        <v>-9.5654909999999997</v>
      </c>
      <c r="S14" s="40">
        <v>-15.672999000000001</v>
      </c>
      <c r="T14" s="40">
        <v>-19.785463</v>
      </c>
      <c r="U14" s="40">
        <v>-16.729175999999999</v>
      </c>
      <c r="V14" s="155" t="e">
        <v>#N/A</v>
      </c>
      <c r="W14" s="24"/>
    </row>
    <row r="15" spans="1:23" x14ac:dyDescent="0.35">
      <c r="A15" s="2">
        <v>42318</v>
      </c>
      <c r="B15" s="7" t="e">
        <v>#N/A</v>
      </c>
      <c r="C15" s="7">
        <v>-18.221122999999999</v>
      </c>
      <c r="D15" s="40">
        <v>-22.757494000000001</v>
      </c>
      <c r="E15" s="40">
        <v>-10.330105</v>
      </c>
      <c r="F15" s="40">
        <v>-23.240454</v>
      </c>
      <c r="G15" s="40">
        <v>-30.491924000000001</v>
      </c>
      <c r="H15" s="40">
        <v>-29.69904</v>
      </c>
      <c r="I15" s="40">
        <v>-11.147701</v>
      </c>
      <c r="J15" s="40">
        <v>-18.467993</v>
      </c>
      <c r="K15" s="40">
        <v>-7.454091</v>
      </c>
      <c r="L15" s="40">
        <v>-39.573203999999997</v>
      </c>
      <c r="M15" s="40">
        <v>-16.966640000000002</v>
      </c>
      <c r="N15" s="40">
        <v>-37.639015000000001</v>
      </c>
      <c r="O15" s="40">
        <v>-13.989449</v>
      </c>
      <c r="P15" s="40">
        <v>-1.5054285999999999</v>
      </c>
      <c r="Q15" s="40">
        <v>-19.551212</v>
      </c>
      <c r="R15" s="40">
        <v>-10.780048000000001</v>
      </c>
      <c r="S15" s="40">
        <v>-17.109186000000001</v>
      </c>
      <c r="T15" s="40">
        <v>-24.905443000000002</v>
      </c>
      <c r="U15" s="40">
        <v>-19.304293000000001</v>
      </c>
      <c r="V15" s="155" t="e">
        <v>#N/A</v>
      </c>
      <c r="W15" s="24"/>
    </row>
    <row r="16" spans="1:23" x14ac:dyDescent="0.35">
      <c r="A16" s="2">
        <v>42348</v>
      </c>
      <c r="B16" s="7" t="e">
        <v>#N/A</v>
      </c>
      <c r="C16" s="7">
        <v>-19.553345</v>
      </c>
      <c r="D16" s="40">
        <v>-24.614439999999998</v>
      </c>
      <c r="E16" s="40">
        <v>-9.8693960000000001</v>
      </c>
      <c r="F16" s="40">
        <v>-31.657595000000001</v>
      </c>
      <c r="G16" s="40">
        <v>-35.321133000000003</v>
      </c>
      <c r="H16" s="40">
        <v>-21.066248000000002</v>
      </c>
      <c r="I16" s="40">
        <v>-11.465227000000001</v>
      </c>
      <c r="J16" s="40">
        <v>-11.946524</v>
      </c>
      <c r="K16" s="40">
        <v>-8.7697800000000008</v>
      </c>
      <c r="L16" s="40">
        <v>-36.599583000000003</v>
      </c>
      <c r="M16" s="40">
        <v>-26.125532</v>
      </c>
      <c r="N16" s="40">
        <v>-44.939888000000003</v>
      </c>
      <c r="O16" s="40">
        <v>-13.1774845</v>
      </c>
      <c r="P16" s="40">
        <v>-5.5899799999999997</v>
      </c>
      <c r="Q16" s="40">
        <v>-18.757701999999998</v>
      </c>
      <c r="R16" s="40">
        <v>-16.782945999999999</v>
      </c>
      <c r="S16" s="40">
        <v>-31.841349999999998</v>
      </c>
      <c r="T16" s="40">
        <v>-22.652065</v>
      </c>
      <c r="U16" s="40">
        <v>-20.835357999999999</v>
      </c>
      <c r="V16" s="155" t="e">
        <v>#N/A</v>
      </c>
      <c r="W16" s="24"/>
    </row>
    <row r="17" spans="1:23" x14ac:dyDescent="0.35">
      <c r="A17" s="2">
        <v>42377</v>
      </c>
      <c r="B17" s="7" t="e">
        <v>#N/A</v>
      </c>
      <c r="C17" s="7">
        <v>-21.641587999999999</v>
      </c>
      <c r="D17" s="40">
        <v>-23.459154000000002</v>
      </c>
      <c r="E17" s="40">
        <v>-19.305240000000001</v>
      </c>
      <c r="F17" s="40">
        <v>-29.480557999999998</v>
      </c>
      <c r="G17" s="40">
        <v>-39.232872</v>
      </c>
      <c r="H17" s="40">
        <v>-22.98311</v>
      </c>
      <c r="I17" s="40">
        <v>-19.399463999999998</v>
      </c>
      <c r="J17" s="40">
        <v>-21.328044999999999</v>
      </c>
      <c r="K17" s="40">
        <v>-13.912850000000001</v>
      </c>
      <c r="L17" s="40">
        <v>-45.778846999999999</v>
      </c>
      <c r="M17" s="40">
        <v>-35.949714999999998</v>
      </c>
      <c r="N17" s="40">
        <v>-40.339750000000002</v>
      </c>
      <c r="O17" s="40">
        <v>-13.94313</v>
      </c>
      <c r="P17" s="40">
        <v>-20.451222999999999</v>
      </c>
      <c r="Q17" s="40">
        <v>-23.350501999999999</v>
      </c>
      <c r="R17" s="40">
        <v>-18.233198000000002</v>
      </c>
      <c r="S17" s="40">
        <v>-38.441723000000003</v>
      </c>
      <c r="T17" s="40">
        <v>-19.311888</v>
      </c>
      <c r="U17" s="40">
        <v>-23.102170000000001</v>
      </c>
      <c r="V17" s="155" t="e">
        <v>#N/A</v>
      </c>
      <c r="W17" s="24"/>
    </row>
    <row r="18" spans="1:23" x14ac:dyDescent="0.35">
      <c r="A18" s="2">
        <v>42410</v>
      </c>
      <c r="B18" s="7" t="e">
        <v>#N/A</v>
      </c>
      <c r="C18" s="7">
        <v>-17.302596999999999</v>
      </c>
      <c r="D18" s="40">
        <v>-16.276001000000001</v>
      </c>
      <c r="E18" s="40">
        <v>-20.967732999999999</v>
      </c>
      <c r="F18" s="40">
        <v>-23.869264999999999</v>
      </c>
      <c r="G18" s="40">
        <v>-32.282330000000002</v>
      </c>
      <c r="H18" s="40">
        <v>-19.999039</v>
      </c>
      <c r="I18" s="40">
        <v>-19.391124999999999</v>
      </c>
      <c r="J18" s="40">
        <v>-20.198333999999999</v>
      </c>
      <c r="K18" s="40">
        <v>-13.743299499999999</v>
      </c>
      <c r="L18" s="40">
        <v>-39.952213</v>
      </c>
      <c r="M18" s="40">
        <v>-34.996049999999997</v>
      </c>
      <c r="N18" s="40">
        <v>-53.140231999999997</v>
      </c>
      <c r="O18" s="40">
        <v>-22.709358000000002</v>
      </c>
      <c r="P18" s="40">
        <v>-27.141935</v>
      </c>
      <c r="Q18" s="40">
        <v>-23.108906000000001</v>
      </c>
      <c r="R18" s="40">
        <v>-18.196064</v>
      </c>
      <c r="S18" s="40">
        <v>-25.692378999999999</v>
      </c>
      <c r="T18" s="40">
        <v>-19.096142</v>
      </c>
      <c r="U18" s="40">
        <v>-27.169734999999999</v>
      </c>
      <c r="V18" s="155" t="e">
        <v>#N/A</v>
      </c>
      <c r="W18" s="24"/>
    </row>
    <row r="19" spans="1:23" x14ac:dyDescent="0.35">
      <c r="A19" s="2">
        <v>42439</v>
      </c>
      <c r="B19" s="7" t="e">
        <v>#N/A</v>
      </c>
      <c r="C19" s="7">
        <v>-7.3346853000000003</v>
      </c>
      <c r="D19" s="40">
        <v>-11.360943000000001</v>
      </c>
      <c r="E19" s="40">
        <v>-15.136504</v>
      </c>
      <c r="F19" s="40">
        <v>-14.171963999999999</v>
      </c>
      <c r="G19" s="40">
        <v>-11.217487</v>
      </c>
      <c r="H19" s="40">
        <v>-11.600375</v>
      </c>
      <c r="I19" s="40">
        <v>-10.048562</v>
      </c>
      <c r="J19" s="40">
        <v>-7.6419888</v>
      </c>
      <c r="K19" s="40">
        <v>-7.6841889999999999</v>
      </c>
      <c r="L19" s="40">
        <v>-12.168062000000001</v>
      </c>
      <c r="M19" s="40">
        <v>-20.436316999999999</v>
      </c>
      <c r="N19" s="40">
        <v>-35.262180000000001</v>
      </c>
      <c r="O19" s="40">
        <v>-18.603182</v>
      </c>
      <c r="P19" s="40">
        <v>-18.224101999999998</v>
      </c>
      <c r="Q19" s="40">
        <v>-15.325874000000001</v>
      </c>
      <c r="R19" s="40">
        <v>-9.9265810000000005</v>
      </c>
      <c r="S19" s="40">
        <v>-5.2465320000000002</v>
      </c>
      <c r="T19" s="40">
        <v>-9.3125579999999992</v>
      </c>
      <c r="U19" s="40">
        <v>-18.807178</v>
      </c>
      <c r="V19" s="155" t="e">
        <v>#N/A</v>
      </c>
      <c r="W19" s="24"/>
    </row>
    <row r="20" spans="1:23" x14ac:dyDescent="0.35">
      <c r="A20" s="2">
        <v>42468</v>
      </c>
      <c r="B20" s="7" t="e">
        <v>#N/A</v>
      </c>
      <c r="C20" s="7">
        <v>-13.143909000000001</v>
      </c>
      <c r="D20" s="40">
        <v>-14.587277</v>
      </c>
      <c r="E20" s="40">
        <v>-14.771849</v>
      </c>
      <c r="F20" s="40">
        <v>-18.988154999999999</v>
      </c>
      <c r="G20" s="40">
        <v>-13.17088</v>
      </c>
      <c r="H20" s="40">
        <v>-11.546277999999999</v>
      </c>
      <c r="I20" s="40">
        <v>-13.57193</v>
      </c>
      <c r="J20" s="40">
        <v>-14.113056</v>
      </c>
      <c r="K20" s="40">
        <v>-10.347909</v>
      </c>
      <c r="L20" s="40">
        <v>-20.159303999999999</v>
      </c>
      <c r="M20" s="40">
        <v>-24.942976000000002</v>
      </c>
      <c r="N20" s="40">
        <v>-34.174790000000002</v>
      </c>
      <c r="O20" s="40">
        <v>-19.720572000000001</v>
      </c>
      <c r="P20" s="40">
        <v>-29.266518000000001</v>
      </c>
      <c r="Q20" s="40">
        <v>-15.372687000000001</v>
      </c>
      <c r="R20" s="40">
        <v>-11.342126</v>
      </c>
      <c r="S20" s="40">
        <v>-7.6575575000000002</v>
      </c>
      <c r="T20" s="40">
        <v>-11.261134999999999</v>
      </c>
      <c r="U20" s="40">
        <v>-15.049462999999999</v>
      </c>
      <c r="V20" s="155" t="e">
        <v>#N/A</v>
      </c>
      <c r="W20" s="24"/>
    </row>
    <row r="21" spans="1:23" x14ac:dyDescent="0.35">
      <c r="A21" s="2">
        <v>42500</v>
      </c>
      <c r="B21" s="40" t="e">
        <v>#N/A</v>
      </c>
      <c r="C21" s="40">
        <v>-14.589554</v>
      </c>
      <c r="D21" s="40">
        <v>-10.616141000000001</v>
      </c>
      <c r="E21" s="40">
        <v>-12.499535</v>
      </c>
      <c r="F21" s="40">
        <v>-30.173773000000001</v>
      </c>
      <c r="G21" s="40">
        <v>-2.2301256999999999</v>
      </c>
      <c r="H21" s="40">
        <v>-17.989826000000001</v>
      </c>
      <c r="I21" s="40">
        <v>-20.739429999999999</v>
      </c>
      <c r="J21" s="40">
        <v>-12.181234</v>
      </c>
      <c r="K21" s="40">
        <v>-12.954437</v>
      </c>
      <c r="L21" s="40">
        <v>-19.724582999999999</v>
      </c>
      <c r="M21" s="40">
        <v>-25.318467999999999</v>
      </c>
      <c r="N21" s="40">
        <v>-31.726122</v>
      </c>
      <c r="O21" s="40">
        <v>-8.9235249999999997</v>
      </c>
      <c r="P21" s="40">
        <v>-32.320858000000001</v>
      </c>
      <c r="Q21" s="40">
        <v>-19.081227999999999</v>
      </c>
      <c r="R21" s="40">
        <v>-7.9694929999999999</v>
      </c>
      <c r="S21" s="40">
        <v>-12.8909</v>
      </c>
      <c r="T21" s="40">
        <v>-16.563679</v>
      </c>
      <c r="U21" s="40">
        <v>-15.316844</v>
      </c>
      <c r="V21" s="155" t="e">
        <v>#N/A</v>
      </c>
      <c r="W21" s="24"/>
    </row>
    <row r="22" spans="1:23" x14ac:dyDescent="0.35">
      <c r="A22" s="2">
        <v>42531</v>
      </c>
      <c r="B22" s="40" t="e">
        <v>#N/A</v>
      </c>
      <c r="C22" s="40">
        <v>-8.2469940000000008</v>
      </c>
      <c r="D22" s="40">
        <v>-2.8170525999999998</v>
      </c>
      <c r="E22" s="40">
        <v>-0.21733046</v>
      </c>
      <c r="F22" s="40">
        <v>-27.122586999999999</v>
      </c>
      <c r="G22" s="40">
        <v>2.9869914</v>
      </c>
      <c r="H22" s="40">
        <v>-12.582850000000001</v>
      </c>
      <c r="I22" s="40">
        <v>-10.974622</v>
      </c>
      <c r="J22" s="40">
        <v>-13.373113</v>
      </c>
      <c r="K22" s="40">
        <v>-5.8006469999999997</v>
      </c>
      <c r="L22" s="40">
        <v>-16.648764</v>
      </c>
      <c r="M22" s="40">
        <v>-16.334682000000001</v>
      </c>
      <c r="N22" s="40">
        <v>-32.07385</v>
      </c>
      <c r="O22" s="40">
        <v>-5.096203</v>
      </c>
      <c r="P22" s="40">
        <v>-27.533387999999999</v>
      </c>
      <c r="Q22" s="40">
        <v>-16.888786</v>
      </c>
      <c r="R22" s="40">
        <v>-4.9752710000000002</v>
      </c>
      <c r="S22" s="40">
        <v>-8.9434570000000004</v>
      </c>
      <c r="T22" s="40">
        <v>-16.985230999999999</v>
      </c>
      <c r="U22" s="40">
        <v>-12.978744499999999</v>
      </c>
      <c r="V22" s="155" t="e">
        <v>#N/A</v>
      </c>
      <c r="W22" s="24"/>
    </row>
    <row r="23" spans="1:23" x14ac:dyDescent="0.35">
      <c r="A23" s="2">
        <v>42559</v>
      </c>
      <c r="B23" s="40" t="e">
        <v>#N/A</v>
      </c>
      <c r="C23" s="40">
        <v>5.8163999999999998</v>
      </c>
      <c r="D23" s="40">
        <v>7.6815844000000002</v>
      </c>
      <c r="E23" s="40">
        <v>4.7330975999999998</v>
      </c>
      <c r="F23" s="40">
        <v>-22.287279999999999</v>
      </c>
      <c r="G23" s="40">
        <v>14.757441999999999</v>
      </c>
      <c r="H23" s="40">
        <v>-4.3408449999999998</v>
      </c>
      <c r="I23" s="40">
        <v>-3.3413172000000002</v>
      </c>
      <c r="J23" s="40">
        <v>-9.4531899999999993</v>
      </c>
      <c r="K23" s="40">
        <v>2.4896264000000001</v>
      </c>
      <c r="L23" s="40">
        <v>0.65044164999999998</v>
      </c>
      <c r="M23" s="40">
        <v>-9.4700629999999997</v>
      </c>
      <c r="N23" s="40">
        <v>-27.867912</v>
      </c>
      <c r="O23" s="40">
        <v>-4.2027416000000004</v>
      </c>
      <c r="P23" s="40">
        <v>-8.6515249999999995</v>
      </c>
      <c r="Q23" s="40">
        <v>-14.269322000000001</v>
      </c>
      <c r="R23" s="40">
        <v>-0.9930253</v>
      </c>
      <c r="S23" s="40">
        <v>-6.2351045999999997</v>
      </c>
      <c r="T23" s="40">
        <v>-10.244102</v>
      </c>
      <c r="U23" s="40">
        <v>-15.991217000000001</v>
      </c>
      <c r="V23" s="155" t="e">
        <v>#N/A</v>
      </c>
      <c r="W23" s="24"/>
    </row>
    <row r="24" spans="1:23" x14ac:dyDescent="0.35">
      <c r="A24" s="2">
        <v>42592</v>
      </c>
      <c r="B24" s="40" t="e">
        <v>#N/A</v>
      </c>
      <c r="C24" s="40">
        <v>9.2650780000000008</v>
      </c>
      <c r="D24" s="40">
        <v>19.841362</v>
      </c>
      <c r="E24" s="40">
        <v>6.0166240000000002</v>
      </c>
      <c r="F24" s="40">
        <v>-13.289446</v>
      </c>
      <c r="G24" s="40">
        <v>35.080030000000001</v>
      </c>
      <c r="H24" s="40">
        <v>2.8110862000000001</v>
      </c>
      <c r="I24" s="40">
        <v>11.709332</v>
      </c>
      <c r="J24" s="40">
        <v>-6.095415</v>
      </c>
      <c r="K24" s="40">
        <v>15.889859</v>
      </c>
      <c r="L24" s="40">
        <v>25.306583</v>
      </c>
      <c r="M24" s="40">
        <v>-0.40225387000000001</v>
      </c>
      <c r="N24" s="40">
        <v>-27.608436999999999</v>
      </c>
      <c r="O24" s="40">
        <v>-4.6967030000000003</v>
      </c>
      <c r="P24" s="40">
        <v>-9.3305170000000004</v>
      </c>
      <c r="Q24" s="40">
        <v>-4.6098413000000003</v>
      </c>
      <c r="R24" s="40">
        <v>9.0132600000000007</v>
      </c>
      <c r="S24" s="40">
        <v>-3.0132173999999998</v>
      </c>
      <c r="T24" s="40">
        <v>-11.803174</v>
      </c>
      <c r="U24" s="40">
        <v>-14.909637</v>
      </c>
      <c r="V24" s="155" t="e">
        <v>#N/A</v>
      </c>
      <c r="W24" s="24"/>
    </row>
    <row r="25" spans="1:23" x14ac:dyDescent="0.35">
      <c r="A25" s="2">
        <v>42622</v>
      </c>
      <c r="B25" s="40" t="e">
        <v>#N/A</v>
      </c>
      <c r="C25" s="40">
        <v>10.304106000000001</v>
      </c>
      <c r="D25" s="40">
        <v>35.011830000000003</v>
      </c>
      <c r="E25" s="40">
        <v>9.4182849999999991</v>
      </c>
      <c r="F25" s="40">
        <v>-14.505953</v>
      </c>
      <c r="G25" s="40">
        <v>49.121307000000002</v>
      </c>
      <c r="H25" s="40">
        <v>15.503572999999999</v>
      </c>
      <c r="I25" s="40">
        <v>14.509392</v>
      </c>
      <c r="J25" s="40">
        <v>-2.2061348000000001</v>
      </c>
      <c r="K25" s="40">
        <v>20.352709000000001</v>
      </c>
      <c r="L25" s="40">
        <v>43.467606000000004</v>
      </c>
      <c r="M25" s="40">
        <v>6.4663887000000004</v>
      </c>
      <c r="N25" s="40">
        <v>-23.910336999999998</v>
      </c>
      <c r="O25" s="40">
        <v>10.2653265</v>
      </c>
      <c r="P25" s="40">
        <v>10.486269</v>
      </c>
      <c r="Q25" s="40">
        <v>-6.0667095</v>
      </c>
      <c r="R25" s="40">
        <v>3.5085796999999999</v>
      </c>
      <c r="S25" s="40">
        <v>12.905002</v>
      </c>
      <c r="T25" s="40">
        <v>0.59317350000000002</v>
      </c>
      <c r="U25" s="40">
        <v>-4.8745212999999996</v>
      </c>
      <c r="V25" s="155" t="e">
        <v>#N/A</v>
      </c>
      <c r="W25" s="24"/>
    </row>
    <row r="26" spans="1:23" x14ac:dyDescent="0.35">
      <c r="A26" s="2">
        <v>42653</v>
      </c>
      <c r="B26" s="40" t="e">
        <v>#N/A</v>
      </c>
      <c r="C26" s="40">
        <v>6.2956570000000003</v>
      </c>
      <c r="D26" s="40">
        <v>21.094656000000001</v>
      </c>
      <c r="E26" s="40">
        <v>0.20164251</v>
      </c>
      <c r="F26" s="40">
        <v>-14.549917000000001</v>
      </c>
      <c r="G26" s="40">
        <v>34.280205000000002</v>
      </c>
      <c r="H26" s="40">
        <v>0.49412250000000002</v>
      </c>
      <c r="I26" s="40">
        <v>15.602171</v>
      </c>
      <c r="J26" s="40">
        <v>-4.9166083</v>
      </c>
      <c r="K26" s="40">
        <v>11.595321</v>
      </c>
      <c r="L26" s="40">
        <v>44.724262000000003</v>
      </c>
      <c r="M26" s="40">
        <v>-3.2213031999999999</v>
      </c>
      <c r="N26" s="40">
        <v>-27.107668</v>
      </c>
      <c r="O26" s="40">
        <v>2.4130105999999998</v>
      </c>
      <c r="P26" s="40">
        <v>6.9054603999999999</v>
      </c>
      <c r="Q26" s="40">
        <v>-8.1304250000000007</v>
      </c>
      <c r="R26" s="40">
        <v>3.2373786</v>
      </c>
      <c r="S26" s="40">
        <v>-4.7349873000000002</v>
      </c>
      <c r="T26" s="40">
        <v>-5.9162197000000001</v>
      </c>
      <c r="U26" s="40">
        <v>-13.196362000000001</v>
      </c>
      <c r="V26" s="155">
        <v>-20.254023</v>
      </c>
      <c r="W26" s="24"/>
    </row>
    <row r="27" spans="1:23" x14ac:dyDescent="0.35">
      <c r="A27" s="2">
        <v>42684</v>
      </c>
      <c r="B27" s="40" t="e">
        <v>#N/A</v>
      </c>
      <c r="C27" s="40">
        <v>15.430009999999999</v>
      </c>
      <c r="D27" s="40">
        <v>22.508656999999999</v>
      </c>
      <c r="E27" s="40">
        <v>-0.75839760000000001</v>
      </c>
      <c r="F27" s="40">
        <v>-7.9276442999999999</v>
      </c>
      <c r="G27" s="40">
        <v>51.815544000000003</v>
      </c>
      <c r="H27" s="40">
        <v>2.0168542999999999</v>
      </c>
      <c r="I27" s="40">
        <v>12.429929</v>
      </c>
      <c r="J27" s="40">
        <v>-15.497607</v>
      </c>
      <c r="K27" s="40">
        <v>3.3453464999999998</v>
      </c>
      <c r="L27" s="40">
        <v>43.303109999999997</v>
      </c>
      <c r="M27" s="40">
        <v>-1.564765</v>
      </c>
      <c r="N27" s="40">
        <v>-22.711224000000001</v>
      </c>
      <c r="O27" s="40">
        <v>4.0075063999999996</v>
      </c>
      <c r="P27" s="40">
        <v>-0.49572587000000001</v>
      </c>
      <c r="Q27" s="40">
        <v>-7.0718527</v>
      </c>
      <c r="R27" s="40">
        <v>8.2867259999999998</v>
      </c>
      <c r="S27" s="40">
        <v>-16.182154000000001</v>
      </c>
      <c r="T27" s="40">
        <v>2.1838188000000001</v>
      </c>
      <c r="U27" s="40">
        <v>-14.855551999999999</v>
      </c>
      <c r="V27" s="155">
        <v>-1.1724412</v>
      </c>
      <c r="W27" s="24"/>
    </row>
    <row r="28" spans="1:23" x14ac:dyDescent="0.35">
      <c r="A28" s="2">
        <v>42713</v>
      </c>
      <c r="B28" s="40" t="e">
        <v>#N/A</v>
      </c>
      <c r="C28" s="40">
        <v>28.450357</v>
      </c>
      <c r="D28" s="40">
        <v>23.581636</v>
      </c>
      <c r="E28" s="40">
        <v>-0.47563314000000001</v>
      </c>
      <c r="F28" s="40">
        <v>5.283785</v>
      </c>
      <c r="G28" s="40">
        <v>58.158028000000002</v>
      </c>
      <c r="H28" s="40">
        <v>-1.0967016000000001</v>
      </c>
      <c r="I28" s="40">
        <v>22.549973999999999</v>
      </c>
      <c r="J28" s="40">
        <v>-7.4503716999999998</v>
      </c>
      <c r="K28" s="40">
        <v>11.782467</v>
      </c>
      <c r="L28" s="40">
        <v>39.898155000000003</v>
      </c>
      <c r="M28" s="40">
        <v>14.875067</v>
      </c>
      <c r="N28" s="40">
        <v>3.6261082</v>
      </c>
      <c r="O28" s="40">
        <v>6.1461569999999996</v>
      </c>
      <c r="P28" s="40">
        <v>4.3951153999999999</v>
      </c>
      <c r="Q28" s="40">
        <v>4.8777340000000002</v>
      </c>
      <c r="R28" s="40">
        <v>17.606449999999999</v>
      </c>
      <c r="S28" s="40">
        <v>-12.820864</v>
      </c>
      <c r="T28" s="40">
        <v>19.116137999999999</v>
      </c>
      <c r="U28" s="40">
        <v>-7.1311710000000001</v>
      </c>
      <c r="V28" s="155">
        <v>5.7754159999999999</v>
      </c>
      <c r="W28" s="24"/>
    </row>
    <row r="29" spans="1:23" x14ac:dyDescent="0.35">
      <c r="A29" s="2">
        <v>42745</v>
      </c>
      <c r="B29" s="40" t="e">
        <v>#N/A</v>
      </c>
      <c r="C29" s="40">
        <v>26.909184</v>
      </c>
      <c r="D29" s="40">
        <v>23.651398</v>
      </c>
      <c r="E29" s="40">
        <v>11.92094</v>
      </c>
      <c r="F29" s="40">
        <v>17.851818000000002</v>
      </c>
      <c r="G29" s="40">
        <v>80.157430000000005</v>
      </c>
      <c r="H29" s="40">
        <v>4.9363849999999996</v>
      </c>
      <c r="I29" s="40">
        <v>32.856727999999997</v>
      </c>
      <c r="J29" s="40">
        <v>-6.0082674000000003</v>
      </c>
      <c r="K29" s="40">
        <v>17.97335</v>
      </c>
      <c r="L29" s="40">
        <v>88.37876</v>
      </c>
      <c r="M29" s="40">
        <v>35.672794000000003</v>
      </c>
      <c r="N29" s="40">
        <v>13.350581999999999</v>
      </c>
      <c r="O29" s="40">
        <v>6.2474369999999997</v>
      </c>
      <c r="P29" s="40">
        <v>17.529129000000001</v>
      </c>
      <c r="Q29" s="40">
        <v>12.780165999999999</v>
      </c>
      <c r="R29" s="40">
        <v>26.356304000000002</v>
      </c>
      <c r="S29" s="40">
        <v>-9.7761150000000008</v>
      </c>
      <c r="T29" s="40">
        <v>23.235012000000001</v>
      </c>
      <c r="U29" s="40">
        <v>-1.8641591</v>
      </c>
      <c r="V29" s="155">
        <v>17.154228</v>
      </c>
      <c r="W29" s="24"/>
    </row>
    <row r="30" spans="1:23" x14ac:dyDescent="0.35">
      <c r="A30" s="2">
        <v>42776</v>
      </c>
      <c r="B30" s="40" t="e">
        <v>#N/A</v>
      </c>
      <c r="C30" s="40">
        <v>29.594028000000002</v>
      </c>
      <c r="D30" s="40">
        <v>13.320721000000001</v>
      </c>
      <c r="E30" s="40">
        <v>6.8379282999999997</v>
      </c>
      <c r="F30" s="40">
        <v>24.389541999999999</v>
      </c>
      <c r="G30" s="40">
        <v>81.782679999999999</v>
      </c>
      <c r="H30" s="40">
        <v>-0.12894273000000001</v>
      </c>
      <c r="I30" s="40">
        <v>36.327316000000003</v>
      </c>
      <c r="J30" s="40">
        <v>4.4763446</v>
      </c>
      <c r="K30" s="40">
        <v>25.315522999999999</v>
      </c>
      <c r="L30" s="40">
        <v>97.933920000000001</v>
      </c>
      <c r="M30" s="40">
        <v>34.057403999999998</v>
      </c>
      <c r="N30" s="40">
        <v>37.223469999999999</v>
      </c>
      <c r="O30" s="40">
        <v>21.738029999999998</v>
      </c>
      <c r="P30" s="40">
        <v>35.822487000000002</v>
      </c>
      <c r="Q30" s="40">
        <v>15.425992000000001</v>
      </c>
      <c r="R30" s="40">
        <v>21.498536999999999</v>
      </c>
      <c r="S30" s="40">
        <v>-0.16527175999999999</v>
      </c>
      <c r="T30" s="40">
        <v>23.046135</v>
      </c>
      <c r="U30" s="40">
        <v>6.4190149999999999</v>
      </c>
      <c r="V30" s="155">
        <v>25.654530000000001</v>
      </c>
      <c r="W30" s="24"/>
    </row>
    <row r="31" spans="1:23" x14ac:dyDescent="0.35">
      <c r="A31" s="2">
        <v>42804</v>
      </c>
      <c r="B31" s="40" t="e">
        <v>#N/A</v>
      </c>
      <c r="C31" s="40">
        <v>17.163063000000001</v>
      </c>
      <c r="D31" s="40">
        <v>7.7517033</v>
      </c>
      <c r="E31" s="40">
        <v>-1.883167</v>
      </c>
      <c r="F31" s="40">
        <v>16.641594000000001</v>
      </c>
      <c r="G31" s="40">
        <v>33.969284000000002</v>
      </c>
      <c r="H31" s="40">
        <v>-3.1155110000000001</v>
      </c>
      <c r="I31" s="40">
        <v>22.129572</v>
      </c>
      <c r="J31" s="40">
        <v>-4.0786448000000002</v>
      </c>
      <c r="K31" s="40">
        <v>19.156765</v>
      </c>
      <c r="L31" s="40">
        <v>45.819237000000001</v>
      </c>
      <c r="M31" s="40">
        <v>19.250630999999998</v>
      </c>
      <c r="N31" s="40">
        <v>11.269330999999999</v>
      </c>
      <c r="O31" s="40">
        <v>17.377699</v>
      </c>
      <c r="P31" s="40">
        <v>23.851382999999998</v>
      </c>
      <c r="Q31" s="40">
        <v>3.8883686000000002</v>
      </c>
      <c r="R31" s="40">
        <v>11.663734</v>
      </c>
      <c r="S31" s="40">
        <v>-11.03754</v>
      </c>
      <c r="T31" s="40">
        <v>5.1663756000000003</v>
      </c>
      <c r="U31" s="40">
        <v>-4.8152150000000002</v>
      </c>
      <c r="V31" s="155">
        <v>12.961745000000001</v>
      </c>
      <c r="W31" s="24"/>
    </row>
    <row r="32" spans="1:23" x14ac:dyDescent="0.35">
      <c r="A32" s="2">
        <v>42835</v>
      </c>
      <c r="B32" s="40" t="e">
        <v>#N/A</v>
      </c>
      <c r="C32" s="40">
        <v>29.381191000000001</v>
      </c>
      <c r="D32" s="40">
        <v>12.997902</v>
      </c>
      <c r="E32" s="40">
        <v>0.84090229999999999</v>
      </c>
      <c r="F32" s="40">
        <v>16.175471999999999</v>
      </c>
      <c r="G32" s="40">
        <v>37.922499999999999</v>
      </c>
      <c r="H32" s="40">
        <v>-8.3940210000000004</v>
      </c>
      <c r="I32" s="40">
        <v>27.656877999999999</v>
      </c>
      <c r="J32" s="40">
        <v>3.3366441999999998</v>
      </c>
      <c r="K32" s="40">
        <v>17.084620999999999</v>
      </c>
      <c r="L32" s="40">
        <v>42.503189999999996</v>
      </c>
      <c r="M32" s="40">
        <v>9.4854354999999995</v>
      </c>
      <c r="N32" s="40">
        <v>15.749764000000001</v>
      </c>
      <c r="O32" s="40">
        <v>22.538996000000001</v>
      </c>
      <c r="P32" s="40">
        <v>23.064910000000001</v>
      </c>
      <c r="Q32" s="40">
        <v>6.5410732999999999</v>
      </c>
      <c r="R32" s="40">
        <v>15.445662</v>
      </c>
      <c r="S32" s="40">
        <v>-13.872361</v>
      </c>
      <c r="T32" s="40">
        <v>5.9834719999999999</v>
      </c>
      <c r="U32" s="40">
        <v>4.4578075000000004</v>
      </c>
      <c r="V32" s="155">
        <v>16.085242999999998</v>
      </c>
      <c r="W32" s="24"/>
    </row>
    <row r="33" spans="1:23" x14ac:dyDescent="0.35">
      <c r="A33" s="2">
        <v>42865</v>
      </c>
      <c r="B33" s="40" t="e">
        <v>#N/A</v>
      </c>
      <c r="C33" s="40">
        <v>18.887222000000001</v>
      </c>
      <c r="D33" s="40">
        <v>19.078530000000001</v>
      </c>
      <c r="E33" s="40">
        <v>4.4813274999999999</v>
      </c>
      <c r="F33" s="40">
        <v>36.656604999999999</v>
      </c>
      <c r="G33" s="40">
        <v>16.313053</v>
      </c>
      <c r="H33" s="40">
        <v>4.1179420000000002</v>
      </c>
      <c r="I33" s="40">
        <v>39.020465999999999</v>
      </c>
      <c r="J33" s="40">
        <v>2.6163696999999999</v>
      </c>
      <c r="K33" s="40">
        <v>28.873766</v>
      </c>
      <c r="L33" s="40">
        <v>35.813403999999998</v>
      </c>
      <c r="M33" s="40">
        <v>22.129393</v>
      </c>
      <c r="N33" s="40">
        <v>15.513933</v>
      </c>
      <c r="O33" s="40">
        <v>20.293880000000001</v>
      </c>
      <c r="P33" s="40">
        <v>30.207611</v>
      </c>
      <c r="Q33" s="40">
        <v>1.6302585999999999</v>
      </c>
      <c r="R33" s="40">
        <v>11.919176</v>
      </c>
      <c r="S33" s="40">
        <v>2.3530483000000002</v>
      </c>
      <c r="T33" s="40">
        <v>7.0585490000000002</v>
      </c>
      <c r="U33" s="40">
        <v>1.5924096000000001</v>
      </c>
      <c r="V33" s="155">
        <v>7.3157550000000002</v>
      </c>
      <c r="W33" s="24"/>
    </row>
    <row r="34" spans="1:23" x14ac:dyDescent="0.35">
      <c r="A34" s="2">
        <v>42895</v>
      </c>
      <c r="B34" s="40" t="e">
        <v>#N/A</v>
      </c>
      <c r="C34" s="40">
        <v>21.122515</v>
      </c>
      <c r="D34" s="40">
        <v>15.24061</v>
      </c>
      <c r="E34" s="40">
        <v>-3.4663379999999999</v>
      </c>
      <c r="F34" s="40">
        <v>36.651947</v>
      </c>
      <c r="G34" s="40">
        <v>14.722383499999999</v>
      </c>
      <c r="H34" s="40">
        <v>6.0394287000000002</v>
      </c>
      <c r="I34" s="40">
        <v>28.260242000000002</v>
      </c>
      <c r="J34" s="40">
        <v>6.9834230000000002</v>
      </c>
      <c r="K34" s="40">
        <v>30.577099</v>
      </c>
      <c r="L34" s="40">
        <v>22.694503999999998</v>
      </c>
      <c r="M34" s="40">
        <v>13.313627</v>
      </c>
      <c r="N34" s="40">
        <v>11.629092999999999</v>
      </c>
      <c r="O34" s="40">
        <v>17.944013999999999</v>
      </c>
      <c r="P34" s="40">
        <v>31.337357000000001</v>
      </c>
      <c r="Q34" s="40">
        <v>-2.9972493999999998</v>
      </c>
      <c r="R34" s="40">
        <v>9.1247919999999993</v>
      </c>
      <c r="S34" s="40">
        <v>3.9336562000000002</v>
      </c>
      <c r="T34" s="40">
        <v>7.4510455000000002</v>
      </c>
      <c r="U34" s="40">
        <v>-1.0135829999999999</v>
      </c>
      <c r="V34" s="155">
        <v>7.7746269999999997</v>
      </c>
      <c r="W34" s="24"/>
    </row>
    <row r="35" spans="1:23" x14ac:dyDescent="0.35">
      <c r="A35" s="2">
        <v>42926</v>
      </c>
      <c r="B35" s="40">
        <v>11.210547999999999</v>
      </c>
      <c r="C35" s="40">
        <v>17.967690000000001</v>
      </c>
      <c r="D35" s="40">
        <v>10.672152000000001</v>
      </c>
      <c r="E35" s="40">
        <v>-8.3069980000000001</v>
      </c>
      <c r="F35" s="40">
        <v>50.608944000000001</v>
      </c>
      <c r="G35" s="40">
        <v>7.7135324000000001</v>
      </c>
      <c r="H35" s="40">
        <v>1.02427</v>
      </c>
      <c r="I35" s="40">
        <v>28.925191999999999</v>
      </c>
      <c r="J35" s="40">
        <v>12.930679</v>
      </c>
      <c r="K35" s="40">
        <v>30.013811</v>
      </c>
      <c r="L35" s="40">
        <v>16.465281999999998</v>
      </c>
      <c r="M35" s="40">
        <v>8.3253620000000002</v>
      </c>
      <c r="N35" s="40">
        <v>54.590522999999997</v>
      </c>
      <c r="O35" s="40">
        <v>17.325507999999999</v>
      </c>
      <c r="P35" s="40">
        <v>30.787527000000001</v>
      </c>
      <c r="Q35" s="40">
        <v>-6.1491129999999998</v>
      </c>
      <c r="R35" s="40">
        <v>7.7379346</v>
      </c>
      <c r="S35" s="40">
        <v>4.1433454000000003</v>
      </c>
      <c r="T35" s="40">
        <v>5.0639390000000004</v>
      </c>
      <c r="U35" s="40">
        <v>-0.92961190000000005</v>
      </c>
      <c r="V35" s="155">
        <v>21.530760000000001</v>
      </c>
      <c r="W35" s="24"/>
    </row>
    <row r="36" spans="1:23" x14ac:dyDescent="0.35">
      <c r="A36" s="2">
        <v>42957</v>
      </c>
      <c r="B36" s="40">
        <v>13.36205</v>
      </c>
      <c r="C36" s="40">
        <v>19.255935999999998</v>
      </c>
      <c r="D36" s="40">
        <v>0.80231430000000004</v>
      </c>
      <c r="E36" s="40">
        <v>-11.967105</v>
      </c>
      <c r="F36" s="40">
        <v>37.422707000000003</v>
      </c>
      <c r="G36" s="40">
        <v>4.0038109999999998</v>
      </c>
      <c r="H36" s="40">
        <v>-0.27496219999999999</v>
      </c>
      <c r="I36" s="40">
        <v>17.388511999999999</v>
      </c>
      <c r="J36" s="40">
        <v>8.5793970000000002</v>
      </c>
      <c r="K36" s="40">
        <v>16.301953999999999</v>
      </c>
      <c r="L36" s="40">
        <v>12.562298999999999</v>
      </c>
      <c r="M36" s="40">
        <v>0.94767809999999997</v>
      </c>
      <c r="N36" s="40">
        <v>44.086730000000003</v>
      </c>
      <c r="O36" s="40">
        <v>13.098753</v>
      </c>
      <c r="P36" s="40">
        <v>31.503868000000001</v>
      </c>
      <c r="Q36" s="40">
        <v>-12.069815999999999</v>
      </c>
      <c r="R36" s="40">
        <v>1.5186071000000001</v>
      </c>
      <c r="S36" s="40">
        <v>14.350986499999999</v>
      </c>
      <c r="T36" s="40">
        <v>5.5418849999999997</v>
      </c>
      <c r="U36" s="40">
        <v>-2.5013565999999998</v>
      </c>
      <c r="V36" s="155">
        <v>15.563309</v>
      </c>
      <c r="W36" s="24"/>
    </row>
    <row r="37" spans="1:23" x14ac:dyDescent="0.35">
      <c r="A37" s="2">
        <v>42986</v>
      </c>
      <c r="B37" s="40">
        <v>17.651045</v>
      </c>
      <c r="C37" s="40">
        <v>31.451844999999999</v>
      </c>
      <c r="D37" s="40">
        <v>5.6872249999999998</v>
      </c>
      <c r="E37" s="40">
        <v>-3.6230028000000001</v>
      </c>
      <c r="F37" s="40">
        <v>51.201186999999997</v>
      </c>
      <c r="G37" s="40">
        <v>13.508881000000001</v>
      </c>
      <c r="H37" s="40">
        <v>4.0148615999999997</v>
      </c>
      <c r="I37" s="40">
        <v>22.532426999999998</v>
      </c>
      <c r="J37" s="40">
        <v>11.836803</v>
      </c>
      <c r="K37" s="40">
        <v>16.840530000000001</v>
      </c>
      <c r="L37" s="40">
        <v>21.95871</v>
      </c>
      <c r="M37" s="40">
        <v>11.883556</v>
      </c>
      <c r="N37" s="40">
        <v>37.684463999999998</v>
      </c>
      <c r="O37" s="40">
        <v>13.527334</v>
      </c>
      <c r="P37" s="40">
        <v>26.587284</v>
      </c>
      <c r="Q37" s="40">
        <v>-14.592385</v>
      </c>
      <c r="R37" s="40">
        <v>12.383711</v>
      </c>
      <c r="S37" s="40">
        <v>20.942938000000002</v>
      </c>
      <c r="T37" s="40">
        <v>7.2674513000000003</v>
      </c>
      <c r="U37" s="40">
        <v>3.0189395000000001</v>
      </c>
      <c r="V37" s="155">
        <v>21.359801999999998</v>
      </c>
      <c r="W37" s="24"/>
    </row>
    <row r="38" spans="1:23" x14ac:dyDescent="0.35">
      <c r="A38" s="2">
        <v>43018</v>
      </c>
      <c r="B38" s="40">
        <v>20.947849999999999</v>
      </c>
      <c r="C38" s="40">
        <v>38.974069999999998</v>
      </c>
      <c r="D38" s="40">
        <v>3.0677675999999998</v>
      </c>
      <c r="E38" s="40">
        <v>2.8894305</v>
      </c>
      <c r="F38" s="40">
        <v>49.741100000000003</v>
      </c>
      <c r="G38" s="40">
        <v>29.211829999999999</v>
      </c>
      <c r="H38" s="40">
        <v>5.5098057000000003</v>
      </c>
      <c r="I38" s="40">
        <v>18.736279</v>
      </c>
      <c r="J38" s="40">
        <v>4.8970940000000001</v>
      </c>
      <c r="K38" s="40">
        <v>23.590672000000001</v>
      </c>
      <c r="L38" s="40">
        <v>21.90287</v>
      </c>
      <c r="M38" s="40">
        <v>11.682451</v>
      </c>
      <c r="N38" s="40">
        <v>29.446315999999999</v>
      </c>
      <c r="O38" s="40">
        <v>14.065455999999999</v>
      </c>
      <c r="P38" s="40">
        <v>34.417664000000002</v>
      </c>
      <c r="Q38" s="40">
        <v>-15.932828000000001</v>
      </c>
      <c r="R38" s="40">
        <v>17.153502</v>
      </c>
      <c r="S38" s="40">
        <v>9.6142769999999995</v>
      </c>
      <c r="T38" s="40">
        <v>11.822950000000001</v>
      </c>
      <c r="U38" s="40">
        <v>4.1823864000000004</v>
      </c>
      <c r="V38" s="155">
        <v>26.398288999999998</v>
      </c>
      <c r="W38" s="24"/>
    </row>
    <row r="39" spans="1:23" x14ac:dyDescent="0.35">
      <c r="A39" s="2">
        <v>43049</v>
      </c>
      <c r="B39" s="40">
        <v>24.313127999999999</v>
      </c>
      <c r="C39" s="40">
        <v>31.506264000000002</v>
      </c>
      <c r="D39" s="40">
        <v>11.0302925</v>
      </c>
      <c r="E39" s="40">
        <v>11.923944000000001</v>
      </c>
      <c r="F39" s="40">
        <v>52.984119999999997</v>
      </c>
      <c r="G39" s="40">
        <v>24.983131</v>
      </c>
      <c r="H39" s="40">
        <v>13.087415999999999</v>
      </c>
      <c r="I39" s="40">
        <v>28.298283000000001</v>
      </c>
      <c r="J39" s="40">
        <v>14.319277</v>
      </c>
      <c r="K39" s="40">
        <v>41.800370000000001</v>
      </c>
      <c r="L39" s="40">
        <v>18.541359</v>
      </c>
      <c r="M39" s="40">
        <v>17.369997000000001</v>
      </c>
      <c r="N39" s="40">
        <v>26.025068000000001</v>
      </c>
      <c r="O39" s="40">
        <v>25.578762000000001</v>
      </c>
      <c r="P39" s="40">
        <v>49.255848</v>
      </c>
      <c r="Q39" s="40">
        <v>-18.496632000000002</v>
      </c>
      <c r="R39" s="40">
        <v>11.558127000000001</v>
      </c>
      <c r="S39" s="40">
        <v>21.865320000000001</v>
      </c>
      <c r="T39" s="40">
        <v>10.565125999999999</v>
      </c>
      <c r="U39" s="40">
        <v>21.689188000000001</v>
      </c>
      <c r="V39" s="155">
        <v>9.3332529999999991</v>
      </c>
      <c r="W39" s="24"/>
    </row>
    <row r="40" spans="1:23" x14ac:dyDescent="0.35">
      <c r="A40" s="2">
        <v>43077</v>
      </c>
      <c r="B40" s="40">
        <v>20.374452999999999</v>
      </c>
      <c r="C40" s="40">
        <v>12.530732</v>
      </c>
      <c r="D40" s="40">
        <v>11.366676999999999</v>
      </c>
      <c r="E40" s="40">
        <v>11.70032</v>
      </c>
      <c r="F40" s="40">
        <v>47.665764000000003</v>
      </c>
      <c r="G40" s="40">
        <v>21.655857000000001</v>
      </c>
      <c r="H40" s="40">
        <v>15.581727000000001</v>
      </c>
      <c r="I40" s="40">
        <v>17.794573</v>
      </c>
      <c r="J40" s="40">
        <v>11.555445000000001</v>
      </c>
      <c r="K40" s="40">
        <v>36.042273999999999</v>
      </c>
      <c r="L40" s="40">
        <v>20.678256999999999</v>
      </c>
      <c r="M40" s="40">
        <v>17.950939999999999</v>
      </c>
      <c r="N40" s="40">
        <v>13.876427</v>
      </c>
      <c r="O40" s="40">
        <v>28.508721999999999</v>
      </c>
      <c r="P40" s="40">
        <v>42.71022</v>
      </c>
      <c r="Q40" s="40">
        <v>-19.08924</v>
      </c>
      <c r="R40" s="40">
        <v>11.872875000000001</v>
      </c>
      <c r="S40" s="40">
        <v>26.909434999999998</v>
      </c>
      <c r="T40" s="40">
        <v>1.5725851</v>
      </c>
      <c r="U40" s="40">
        <v>27.240407999999999</v>
      </c>
      <c r="V40" s="155">
        <v>2.9093146000000001</v>
      </c>
      <c r="W40" s="24"/>
    </row>
    <row r="41" spans="1:23" x14ac:dyDescent="0.35">
      <c r="A41" s="2">
        <v>43110</v>
      </c>
      <c r="B41" s="40">
        <v>31.329357000000002</v>
      </c>
      <c r="C41" s="40">
        <v>47.137880000000003</v>
      </c>
      <c r="D41" s="40">
        <v>18.463933999999998</v>
      </c>
      <c r="E41" s="40">
        <v>14.043676</v>
      </c>
      <c r="F41" s="40">
        <v>47.259402999999999</v>
      </c>
      <c r="G41" s="40">
        <v>28.423584000000002</v>
      </c>
      <c r="H41" s="40">
        <v>25.381648999999999</v>
      </c>
      <c r="I41" s="40">
        <v>24.973178999999998</v>
      </c>
      <c r="J41" s="40">
        <v>20.449601999999999</v>
      </c>
      <c r="K41" s="40">
        <v>44.43177</v>
      </c>
      <c r="L41" s="40">
        <v>22.333181</v>
      </c>
      <c r="M41" s="40">
        <v>31.099594</v>
      </c>
      <c r="N41" s="40">
        <v>33.401096000000003</v>
      </c>
      <c r="O41" s="40">
        <v>36.519848000000003</v>
      </c>
      <c r="P41" s="40">
        <v>55.609332999999999</v>
      </c>
      <c r="Q41" s="40">
        <v>-9.9779420000000005</v>
      </c>
      <c r="R41" s="40">
        <v>14.173401</v>
      </c>
      <c r="S41" s="40">
        <v>46.552788</v>
      </c>
      <c r="T41" s="40">
        <v>4.6508669999999999</v>
      </c>
      <c r="U41" s="40">
        <v>39.107574</v>
      </c>
      <c r="V41" s="155">
        <v>10.1717</v>
      </c>
      <c r="W41" s="24"/>
    </row>
    <row r="42" spans="1:23" x14ac:dyDescent="0.35">
      <c r="A42" s="2">
        <v>43140</v>
      </c>
      <c r="B42" s="40">
        <v>20.373964000000001</v>
      </c>
      <c r="C42" s="40">
        <v>33.624817</v>
      </c>
      <c r="D42" s="40">
        <v>15.712643</v>
      </c>
      <c r="E42" s="40">
        <v>7.5901509999999996</v>
      </c>
      <c r="F42" s="40">
        <v>32.175660000000001</v>
      </c>
      <c r="G42" s="40">
        <v>16.646194000000001</v>
      </c>
      <c r="H42" s="40">
        <v>22.265411</v>
      </c>
      <c r="I42" s="40">
        <v>16.290414999999999</v>
      </c>
      <c r="J42" s="40">
        <v>12.024153</v>
      </c>
      <c r="K42" s="40">
        <v>25.156079999999999</v>
      </c>
      <c r="L42" s="40">
        <v>17.491364000000001</v>
      </c>
      <c r="M42" s="40">
        <v>23.557209</v>
      </c>
      <c r="N42" s="40">
        <v>42.994846000000003</v>
      </c>
      <c r="O42" s="40">
        <v>21.730495000000001</v>
      </c>
      <c r="P42" s="40">
        <v>38.351260000000003</v>
      </c>
      <c r="Q42" s="40">
        <v>-15.4056015</v>
      </c>
      <c r="R42" s="40">
        <v>12.834358</v>
      </c>
      <c r="S42" s="40">
        <v>23.488354000000001</v>
      </c>
      <c r="T42" s="40">
        <v>1.5177727000000001</v>
      </c>
      <c r="U42" s="40">
        <v>27.264392999999998</v>
      </c>
      <c r="V42" s="155">
        <v>10.324621</v>
      </c>
      <c r="W42" s="24"/>
    </row>
    <row r="43" spans="1:23" x14ac:dyDescent="0.35">
      <c r="A43" s="2">
        <v>43168</v>
      </c>
      <c r="B43" s="40">
        <v>29.881882000000001</v>
      </c>
      <c r="C43" s="40">
        <v>36.272503</v>
      </c>
      <c r="D43" s="40">
        <v>17.665576999999999</v>
      </c>
      <c r="E43" s="40">
        <v>8.2153320000000001</v>
      </c>
      <c r="F43" s="40">
        <v>31.017769000000001</v>
      </c>
      <c r="G43" s="40">
        <v>34.513686999999997</v>
      </c>
      <c r="H43" s="40">
        <v>25.808524999999999</v>
      </c>
      <c r="I43" s="40">
        <v>23.639510999999999</v>
      </c>
      <c r="J43" s="40">
        <v>12.655507999999999</v>
      </c>
      <c r="K43" s="40">
        <v>36.623095999999997</v>
      </c>
      <c r="L43" s="40">
        <v>29.055917999999998</v>
      </c>
      <c r="M43" s="40">
        <v>39.661239999999999</v>
      </c>
      <c r="N43" s="40">
        <v>36.71237</v>
      </c>
      <c r="O43" s="40">
        <v>16.821503</v>
      </c>
      <c r="P43" s="40">
        <v>51.622604000000003</v>
      </c>
      <c r="Q43" s="40">
        <v>-17.402912000000001</v>
      </c>
      <c r="R43" s="40">
        <v>14.596188</v>
      </c>
      <c r="S43" s="40">
        <v>33.013663999999999</v>
      </c>
      <c r="T43" s="40">
        <v>3.8503408000000001</v>
      </c>
      <c r="U43" s="40">
        <v>43.595039999999997</v>
      </c>
      <c r="V43" s="155">
        <v>18.227936</v>
      </c>
      <c r="W43" s="24"/>
    </row>
    <row r="44" spans="1:23" x14ac:dyDescent="0.35">
      <c r="A44" s="2">
        <v>43200</v>
      </c>
      <c r="B44" s="40">
        <v>19.391249999999999</v>
      </c>
      <c r="C44" s="40">
        <v>21.376587000000001</v>
      </c>
      <c r="D44" s="40">
        <v>7.5783490000000002</v>
      </c>
      <c r="E44" s="40">
        <v>-4.2590914</v>
      </c>
      <c r="F44" s="40">
        <v>20.761955</v>
      </c>
      <c r="G44" s="40">
        <v>31.508123000000001</v>
      </c>
      <c r="H44" s="40">
        <v>25.840736</v>
      </c>
      <c r="I44" s="40">
        <v>18.730402000000002</v>
      </c>
      <c r="J44" s="40">
        <v>3.8303018</v>
      </c>
      <c r="K44" s="40">
        <v>29.253197</v>
      </c>
      <c r="L44" s="40">
        <v>17.634070000000001</v>
      </c>
      <c r="M44" s="40">
        <v>28.750277000000001</v>
      </c>
      <c r="N44" s="40">
        <v>27.329326999999999</v>
      </c>
      <c r="O44" s="40">
        <v>10.920525</v>
      </c>
      <c r="P44" s="40">
        <v>39.611020000000003</v>
      </c>
      <c r="Q44" s="40">
        <v>-10.760842999999999</v>
      </c>
      <c r="R44" s="40">
        <v>11.368656</v>
      </c>
      <c r="S44" s="40">
        <v>11.175919</v>
      </c>
      <c r="T44" s="40">
        <v>0.52560569999999995</v>
      </c>
      <c r="U44" s="40">
        <v>44.136417000000002</v>
      </c>
      <c r="V44" s="155">
        <v>20.221150000000002</v>
      </c>
      <c r="W44" s="24"/>
    </row>
    <row r="45" spans="1:23" x14ac:dyDescent="0.35">
      <c r="A45" s="2">
        <v>43230</v>
      </c>
      <c r="B45" s="40">
        <v>25.174092999999999</v>
      </c>
      <c r="C45" s="40">
        <v>26.306332000000001</v>
      </c>
      <c r="D45" s="40">
        <v>-3.0794978</v>
      </c>
      <c r="E45" s="40">
        <v>-7.9407269999999999</v>
      </c>
      <c r="F45" s="40">
        <v>6.3138366000000001</v>
      </c>
      <c r="G45" s="40">
        <v>32.579349999999998</v>
      </c>
      <c r="H45" s="40">
        <v>9.2864039999999992</v>
      </c>
      <c r="I45" s="40">
        <v>11.099052</v>
      </c>
      <c r="J45" s="40">
        <v>-4.6685815000000002</v>
      </c>
      <c r="K45" s="40">
        <v>18.941284</v>
      </c>
      <c r="L45" s="40">
        <v>10.585284</v>
      </c>
      <c r="M45" s="40">
        <v>16.721498</v>
      </c>
      <c r="N45" s="40">
        <v>8.2844499999999996</v>
      </c>
      <c r="O45" s="40">
        <v>7.1318745999999997</v>
      </c>
      <c r="P45" s="40">
        <v>36.264263</v>
      </c>
      <c r="Q45" s="40">
        <v>-7.2887715999999996</v>
      </c>
      <c r="R45" s="40">
        <v>11.957872</v>
      </c>
      <c r="S45" s="40">
        <v>-8.2852730000000001</v>
      </c>
      <c r="T45" s="40">
        <v>-3.2750905000000001</v>
      </c>
      <c r="U45" s="40">
        <v>28.977442</v>
      </c>
      <c r="V45" s="155">
        <v>20.648384</v>
      </c>
      <c r="W45" s="24"/>
    </row>
    <row r="46" spans="1:23" x14ac:dyDescent="0.35">
      <c r="A46" s="2">
        <v>43259</v>
      </c>
      <c r="B46" s="40">
        <v>14.394784</v>
      </c>
      <c r="C46" s="40">
        <v>17.515395999999999</v>
      </c>
      <c r="D46" s="40">
        <v>-4.1865769999999998</v>
      </c>
      <c r="E46" s="40">
        <v>-11.971169</v>
      </c>
      <c r="F46" s="40">
        <v>-0.17662644</v>
      </c>
      <c r="G46" s="40">
        <v>27.842855</v>
      </c>
      <c r="H46" s="40">
        <v>8.2928540000000002</v>
      </c>
      <c r="I46" s="40">
        <v>9.952712</v>
      </c>
      <c r="J46" s="40">
        <v>-13.980311</v>
      </c>
      <c r="K46" s="40">
        <v>10.799181000000001</v>
      </c>
      <c r="L46" s="40">
        <v>-0.27067659999999999</v>
      </c>
      <c r="M46" s="40">
        <v>7.7432990000000004</v>
      </c>
      <c r="N46" s="40">
        <v>-2.2500752999999998E-2</v>
      </c>
      <c r="O46" s="40">
        <v>3.8910269999999998</v>
      </c>
      <c r="P46" s="40">
        <v>29.511892</v>
      </c>
      <c r="Q46" s="40">
        <v>6.2013984000000004</v>
      </c>
      <c r="R46" s="40">
        <v>9.6645240000000001</v>
      </c>
      <c r="S46" s="40">
        <v>-20.778423</v>
      </c>
      <c r="T46" s="40">
        <v>-1.1279284999999999</v>
      </c>
      <c r="U46" s="40">
        <v>20.798815000000001</v>
      </c>
      <c r="V46" s="155">
        <v>28.261292000000001</v>
      </c>
      <c r="W46" s="24"/>
    </row>
    <row r="47" spans="1:23" x14ac:dyDescent="0.35">
      <c r="A47" s="2">
        <v>43291</v>
      </c>
      <c r="B47" s="40">
        <v>-2.0138620999999999</v>
      </c>
      <c r="C47" s="40">
        <v>10.333384000000001</v>
      </c>
      <c r="D47" s="40">
        <v>-10.424816</v>
      </c>
      <c r="E47" s="40">
        <v>-14.788448000000001</v>
      </c>
      <c r="F47" s="40">
        <v>-3.7277043000000001</v>
      </c>
      <c r="G47" s="40">
        <v>19.477070000000001</v>
      </c>
      <c r="H47" s="40">
        <v>5.8704853000000004</v>
      </c>
      <c r="I47" s="40">
        <v>4.9687029999999996</v>
      </c>
      <c r="J47" s="40">
        <v>-5.7048264</v>
      </c>
      <c r="K47" s="40">
        <v>2.4218440000000001</v>
      </c>
      <c r="L47" s="40">
        <v>-0.16636252000000001</v>
      </c>
      <c r="M47" s="40">
        <v>11.633597999999999</v>
      </c>
      <c r="N47" s="40">
        <v>-8.9756970000000003</v>
      </c>
      <c r="O47" s="40">
        <v>3.3578515000000002</v>
      </c>
      <c r="P47" s="40">
        <v>20.503056000000001</v>
      </c>
      <c r="Q47" s="40">
        <v>6.8278670000000004</v>
      </c>
      <c r="R47" s="40">
        <v>4.7252536000000003</v>
      </c>
      <c r="S47" s="40">
        <v>-25.980377000000001</v>
      </c>
      <c r="T47" s="40">
        <v>-3.5823762000000001</v>
      </c>
      <c r="U47" s="40">
        <v>7.1359754000000004</v>
      </c>
      <c r="V47" s="155">
        <v>23.188210000000002</v>
      </c>
      <c r="W47" s="24"/>
    </row>
    <row r="48" spans="1:23" x14ac:dyDescent="0.35">
      <c r="A48" s="2">
        <v>43322</v>
      </c>
      <c r="B48" s="40">
        <v>-10.123581</v>
      </c>
      <c r="C48" s="40">
        <v>1.6682505999999999</v>
      </c>
      <c r="D48" s="40">
        <v>-7.4611606999999998</v>
      </c>
      <c r="E48" s="40">
        <v>-6.6385746000000001</v>
      </c>
      <c r="F48" s="40">
        <v>-7.8522444</v>
      </c>
      <c r="G48" s="40">
        <v>11.627615</v>
      </c>
      <c r="H48" s="40">
        <v>10.578405</v>
      </c>
      <c r="I48" s="40">
        <v>6.7784310000000003</v>
      </c>
      <c r="J48" s="40">
        <v>-8.6398419999999998</v>
      </c>
      <c r="K48" s="40">
        <v>1.2658834000000001</v>
      </c>
      <c r="L48" s="40">
        <v>-7.5873429999999997</v>
      </c>
      <c r="M48" s="40">
        <v>-2.6522337999999999</v>
      </c>
      <c r="N48" s="40">
        <v>-11.439448000000001</v>
      </c>
      <c r="O48" s="40">
        <v>8.1248280000000008</v>
      </c>
      <c r="P48" s="40">
        <v>7.7679872999999997</v>
      </c>
      <c r="Q48" s="40">
        <v>8.9327570000000005</v>
      </c>
      <c r="R48" s="40">
        <v>8.5464839999999995</v>
      </c>
      <c r="S48" s="40">
        <v>-49.305390000000003</v>
      </c>
      <c r="T48" s="40">
        <v>-6.4466476000000004</v>
      </c>
      <c r="U48" s="40">
        <v>15.409183499999999</v>
      </c>
      <c r="V48" s="155">
        <v>22.143184999999999</v>
      </c>
      <c r="W48" s="24"/>
    </row>
    <row r="49" spans="1:23" x14ac:dyDescent="0.35">
      <c r="A49" s="2">
        <v>43353</v>
      </c>
      <c r="B49" s="40">
        <v>-18.523962000000001</v>
      </c>
      <c r="C49" s="40">
        <v>-11.115812999999999</v>
      </c>
      <c r="D49" s="40">
        <v>-16.361273000000001</v>
      </c>
      <c r="E49" s="40">
        <v>-13.452303000000001</v>
      </c>
      <c r="F49" s="40">
        <v>-13.969994</v>
      </c>
      <c r="G49" s="40">
        <v>-5.3461790000000002</v>
      </c>
      <c r="H49" s="40">
        <v>3.7762522999999999</v>
      </c>
      <c r="I49" s="40">
        <v>0.52393674999999995</v>
      </c>
      <c r="J49" s="40">
        <v>-9.6840200000000003</v>
      </c>
      <c r="K49" s="40">
        <v>-0.60617330000000003</v>
      </c>
      <c r="L49" s="40">
        <v>-21.253902</v>
      </c>
      <c r="M49" s="40">
        <v>-15.988481500000001</v>
      </c>
      <c r="N49" s="40">
        <v>-14.581853000000001</v>
      </c>
      <c r="O49" s="40">
        <v>0.36239623999999998</v>
      </c>
      <c r="P49" s="40">
        <v>-5.9369744999999998</v>
      </c>
      <c r="Q49" s="40">
        <v>14.609575</v>
      </c>
      <c r="R49" s="40">
        <v>3.4176826</v>
      </c>
      <c r="S49" s="40">
        <v>-54.217055999999999</v>
      </c>
      <c r="T49" s="40">
        <v>-8.6908700000000003</v>
      </c>
      <c r="U49" s="40">
        <v>10.039509000000001</v>
      </c>
      <c r="V49" s="155">
        <v>10.147643</v>
      </c>
      <c r="W49" s="24"/>
    </row>
    <row r="50" spans="1:23" x14ac:dyDescent="0.35">
      <c r="A50" s="2">
        <v>43383</v>
      </c>
      <c r="B50" s="40">
        <v>-20.460021999999999</v>
      </c>
      <c r="C50" s="40">
        <v>-14.443522</v>
      </c>
      <c r="D50" s="40">
        <v>-19.835875999999999</v>
      </c>
      <c r="E50" s="40">
        <v>-24.013794000000001</v>
      </c>
      <c r="F50" s="40">
        <v>-15.9727335</v>
      </c>
      <c r="G50" s="40">
        <v>-8.4161459999999995</v>
      </c>
      <c r="H50" s="40">
        <v>-0.30753613000000002</v>
      </c>
      <c r="I50" s="40">
        <v>-4.8725604999999996</v>
      </c>
      <c r="J50" s="40">
        <v>-5.313599</v>
      </c>
      <c r="K50" s="40">
        <v>-10.127031000000001</v>
      </c>
      <c r="L50" s="40">
        <v>-8.5653839999999999</v>
      </c>
      <c r="M50" s="40">
        <v>-18.138646999999999</v>
      </c>
      <c r="N50" s="40">
        <v>-18.940622000000001</v>
      </c>
      <c r="O50" s="40">
        <v>-11.702824</v>
      </c>
      <c r="P50" s="40">
        <v>-17.579348</v>
      </c>
      <c r="Q50" s="40">
        <v>17.750084000000001</v>
      </c>
      <c r="R50" s="40">
        <v>0.87114570000000002</v>
      </c>
      <c r="S50" s="40">
        <v>-42.511040000000001</v>
      </c>
      <c r="T50" s="40">
        <v>-11.502087</v>
      </c>
      <c r="U50" s="40">
        <v>4.3803929999999998</v>
      </c>
      <c r="V50" s="155">
        <v>14.478683</v>
      </c>
      <c r="W50" s="24"/>
    </row>
    <row r="51" spans="1:23" x14ac:dyDescent="0.35">
      <c r="A51" s="2">
        <v>43413</v>
      </c>
      <c r="B51" s="40">
        <v>-23.534578</v>
      </c>
      <c r="C51" s="40">
        <v>-11.989694999999999</v>
      </c>
      <c r="D51" s="40">
        <v>-13.198995999999999</v>
      </c>
      <c r="E51" s="40">
        <v>-22.898409999999998</v>
      </c>
      <c r="F51" s="40">
        <v>-14.361691</v>
      </c>
      <c r="G51" s="40">
        <v>-13.261818999999999</v>
      </c>
      <c r="H51" s="40">
        <v>0.15670060999999999</v>
      </c>
      <c r="I51" s="40">
        <v>-9.3716559999999998</v>
      </c>
      <c r="J51" s="40">
        <v>-13.851832999999999</v>
      </c>
      <c r="K51" s="40">
        <v>-18.131239000000001</v>
      </c>
      <c r="L51" s="40">
        <v>2.3190974999999998</v>
      </c>
      <c r="M51" s="40">
        <v>-11.452031</v>
      </c>
      <c r="N51" s="40">
        <v>-13.2887</v>
      </c>
      <c r="O51" s="40">
        <v>-9.2533469999999998</v>
      </c>
      <c r="P51" s="40">
        <v>-18.15362</v>
      </c>
      <c r="Q51" s="40">
        <v>36.906289999999998</v>
      </c>
      <c r="R51" s="40">
        <v>-2.0263909999999998</v>
      </c>
      <c r="S51" s="40">
        <v>-38.625304999999997</v>
      </c>
      <c r="T51" s="40">
        <v>-5.9945525999999996</v>
      </c>
      <c r="U51" s="40">
        <v>-3.5588920000000002</v>
      </c>
      <c r="V51" s="155">
        <v>15.598667000000001</v>
      </c>
      <c r="W51" s="24"/>
    </row>
    <row r="52" spans="1:23" x14ac:dyDescent="0.35">
      <c r="A52" s="2">
        <v>43444</v>
      </c>
      <c r="B52" s="40">
        <v>-21.710373000000001</v>
      </c>
      <c r="C52" s="40">
        <v>-1.1470496999999999</v>
      </c>
      <c r="D52" s="40">
        <v>-8.2544439999999994</v>
      </c>
      <c r="E52" s="40">
        <v>-15.788656</v>
      </c>
      <c r="F52" s="40">
        <v>-11.640988999999999</v>
      </c>
      <c r="G52" s="40">
        <v>-8.2309009999999994</v>
      </c>
      <c r="H52" s="40">
        <v>-4.2828083000000001</v>
      </c>
      <c r="I52" s="40">
        <v>-8.2012060000000009</v>
      </c>
      <c r="J52" s="40">
        <v>-17.834408</v>
      </c>
      <c r="K52" s="40">
        <v>-18.362390000000001</v>
      </c>
      <c r="L52" s="40">
        <v>-0.92530250000000003</v>
      </c>
      <c r="M52" s="40">
        <v>-17.038709999999998</v>
      </c>
      <c r="N52" s="40">
        <v>-17.011928999999999</v>
      </c>
      <c r="O52" s="40">
        <v>-13.048088</v>
      </c>
      <c r="P52" s="40">
        <v>-14.551365000000001</v>
      </c>
      <c r="Q52" s="40">
        <v>40.537726999999997</v>
      </c>
      <c r="R52" s="40">
        <v>-3.1337856999999998</v>
      </c>
      <c r="S52" s="40">
        <v>-36.751289999999997</v>
      </c>
      <c r="T52" s="40">
        <v>-13.590515</v>
      </c>
      <c r="U52" s="40">
        <v>-5.553585</v>
      </c>
      <c r="V52" s="155">
        <v>15.093064</v>
      </c>
      <c r="W52" s="24"/>
    </row>
    <row r="53" spans="1:23" x14ac:dyDescent="0.35">
      <c r="A53" s="2">
        <v>43475</v>
      </c>
      <c r="B53" s="40">
        <v>-26.39395</v>
      </c>
      <c r="C53" s="40">
        <v>-15.976839999999999</v>
      </c>
      <c r="D53" s="40">
        <v>-5.3809585999999996</v>
      </c>
      <c r="E53" s="40">
        <v>-11.390644</v>
      </c>
      <c r="F53" s="40">
        <v>-11.710732999999999</v>
      </c>
      <c r="G53" s="40">
        <v>-12.477283999999999</v>
      </c>
      <c r="H53" s="40">
        <v>-7.6067742999999997</v>
      </c>
      <c r="I53" s="40">
        <v>-11.030364000000001</v>
      </c>
      <c r="J53" s="40">
        <v>-8.1585230000000006</v>
      </c>
      <c r="K53" s="40">
        <v>-20.526164999999999</v>
      </c>
      <c r="L53" s="40">
        <v>4.6113970000000002</v>
      </c>
      <c r="M53" s="40">
        <v>-17.670940000000002</v>
      </c>
      <c r="N53" s="40">
        <v>-27.779007</v>
      </c>
      <c r="O53" s="40">
        <v>-9.3117710000000002</v>
      </c>
      <c r="P53" s="40">
        <v>-20.169746</v>
      </c>
      <c r="Q53" s="40">
        <v>21.379709999999999</v>
      </c>
      <c r="R53" s="40">
        <v>-11.548704000000001</v>
      </c>
      <c r="S53" s="40">
        <v>-40.541297999999998</v>
      </c>
      <c r="T53" s="40">
        <v>-15.739649999999999</v>
      </c>
      <c r="U53" s="40">
        <v>-16.315014000000001</v>
      </c>
      <c r="V53" s="155">
        <v>17.130780000000001</v>
      </c>
      <c r="W53" s="24"/>
    </row>
    <row r="54" spans="1:23" x14ac:dyDescent="0.35">
      <c r="A54" s="2">
        <v>43504</v>
      </c>
      <c r="B54" s="40">
        <v>-18.884003</v>
      </c>
      <c r="C54" s="40">
        <v>-11.142707</v>
      </c>
      <c r="D54" s="40">
        <v>-1.5537441000000001</v>
      </c>
      <c r="E54" s="40">
        <v>-3.1923531999999999</v>
      </c>
      <c r="F54" s="40">
        <v>-9.5903989999999997</v>
      </c>
      <c r="G54" s="40">
        <v>-4.2981030000000002</v>
      </c>
      <c r="H54" s="40">
        <v>-6.0307145000000002</v>
      </c>
      <c r="I54" s="40">
        <v>-3.8232446000000002</v>
      </c>
      <c r="J54" s="40">
        <v>-8.3110330000000001</v>
      </c>
      <c r="K54" s="40">
        <v>-7.8521369999999999</v>
      </c>
      <c r="L54" s="40">
        <v>5.0756097000000002</v>
      </c>
      <c r="M54" s="40">
        <v>-12.714338</v>
      </c>
      <c r="N54" s="40">
        <v>-27.571069999999999</v>
      </c>
      <c r="O54" s="40">
        <v>-3.937459</v>
      </c>
      <c r="P54" s="40">
        <v>-8.8222389999999997</v>
      </c>
      <c r="Q54" s="40">
        <v>24.141586</v>
      </c>
      <c r="R54" s="40">
        <v>-7.5548770000000003</v>
      </c>
      <c r="S54" s="40">
        <v>-30.416429999999998</v>
      </c>
      <c r="T54" s="40">
        <v>-13.75773</v>
      </c>
      <c r="U54" s="40">
        <v>-8.5690500000000007</v>
      </c>
      <c r="V54" s="155">
        <v>26.453900000000001</v>
      </c>
      <c r="W54" s="24"/>
    </row>
    <row r="55" spans="1:23" x14ac:dyDescent="0.35">
      <c r="A55" s="2">
        <v>43532</v>
      </c>
      <c r="B55" s="40">
        <v>-13.109583000000001</v>
      </c>
      <c r="C55" s="40">
        <v>-15.516126999999999</v>
      </c>
      <c r="D55" s="40">
        <v>-9.5843679999999996</v>
      </c>
      <c r="E55" s="40">
        <v>-6.6611824000000004</v>
      </c>
      <c r="F55" s="40">
        <v>-11.962718000000001</v>
      </c>
      <c r="G55" s="40">
        <v>-6.8276880000000002</v>
      </c>
      <c r="H55" s="40">
        <v>-10.07868</v>
      </c>
      <c r="I55" s="40">
        <v>-9.8112159999999999</v>
      </c>
      <c r="J55" s="40">
        <v>-16.473133000000001</v>
      </c>
      <c r="K55" s="40">
        <v>-16.933506000000001</v>
      </c>
      <c r="L55" s="40">
        <v>-4.5681357</v>
      </c>
      <c r="M55" s="40">
        <v>-26.837289999999999</v>
      </c>
      <c r="N55" s="40">
        <v>-22.811062</v>
      </c>
      <c r="O55" s="40">
        <v>-0.86039900000000002</v>
      </c>
      <c r="P55" s="40">
        <v>-13.929259999999999</v>
      </c>
      <c r="Q55" s="40">
        <v>21.762550000000001</v>
      </c>
      <c r="R55" s="40">
        <v>-8.3635990000000007</v>
      </c>
      <c r="S55" s="40">
        <v>-37.086179999999999</v>
      </c>
      <c r="T55" s="40">
        <v>-10.628026999999999</v>
      </c>
      <c r="U55" s="40">
        <v>-13.440758000000001</v>
      </c>
      <c r="V55" s="155">
        <v>19.018995</v>
      </c>
      <c r="W55" s="24"/>
    </row>
    <row r="56" spans="1:23" x14ac:dyDescent="0.35">
      <c r="A56" s="2">
        <v>43565</v>
      </c>
      <c r="B56" s="40">
        <v>-9.9611279999999996E-2</v>
      </c>
      <c r="C56" s="40">
        <v>-15.788144000000001</v>
      </c>
      <c r="D56" s="40">
        <v>-2.9715419999999999</v>
      </c>
      <c r="E56" s="40">
        <v>2.6227236</v>
      </c>
      <c r="F56" s="40">
        <v>-6.2233210000000003</v>
      </c>
      <c r="G56" s="40">
        <v>-7.7733220000000003</v>
      </c>
      <c r="H56" s="40">
        <v>-14.298534</v>
      </c>
      <c r="I56" s="40">
        <v>-4.1088104000000003</v>
      </c>
      <c r="J56" s="40">
        <v>-9.9897500000000008</v>
      </c>
      <c r="K56" s="40">
        <v>-13.857275</v>
      </c>
      <c r="L56" s="40">
        <v>1.7992854</v>
      </c>
      <c r="M56" s="40">
        <v>-12.971776999999999</v>
      </c>
      <c r="N56" s="40">
        <v>-14.489913</v>
      </c>
      <c r="O56" s="40">
        <v>2.8029918999999999</v>
      </c>
      <c r="P56" s="40">
        <v>-4.6022233999999997</v>
      </c>
      <c r="Q56" s="40">
        <v>14.938378</v>
      </c>
      <c r="R56" s="40">
        <v>-5.6117414999999999</v>
      </c>
      <c r="S56" s="40">
        <v>-35.013103000000001</v>
      </c>
      <c r="T56" s="40">
        <v>-5.7845890000000004</v>
      </c>
      <c r="U56" s="40">
        <v>-15.778357</v>
      </c>
      <c r="V56" s="155">
        <v>18.558465999999999</v>
      </c>
      <c r="W56" s="24"/>
    </row>
    <row r="57" spans="1:23" x14ac:dyDescent="0.35">
      <c r="A57" s="2">
        <v>43595</v>
      </c>
      <c r="B57" s="40">
        <v>-8.8173630000000003</v>
      </c>
      <c r="C57" s="40">
        <v>-20.946193999999998</v>
      </c>
      <c r="D57" s="40">
        <v>-2.6594042999999998</v>
      </c>
      <c r="E57" s="40">
        <v>-0.46073794000000001</v>
      </c>
      <c r="F57" s="40">
        <v>-10.724163000000001</v>
      </c>
      <c r="G57" s="40">
        <v>-14.732246999999999</v>
      </c>
      <c r="H57" s="40">
        <v>-9.5671949999999999</v>
      </c>
      <c r="I57" s="40">
        <v>-2.4975002000000002</v>
      </c>
      <c r="J57" s="40">
        <v>-6.1237810000000001</v>
      </c>
      <c r="K57" s="40">
        <v>-21.958684999999999</v>
      </c>
      <c r="L57" s="40">
        <v>-0.79548954999999999</v>
      </c>
      <c r="M57" s="40">
        <v>-13.571911999999999</v>
      </c>
      <c r="N57" s="40">
        <v>-19.101984000000002</v>
      </c>
      <c r="O57" s="40">
        <v>-1.3441920000000001</v>
      </c>
      <c r="P57" s="40">
        <v>-12.618762</v>
      </c>
      <c r="Q57" s="40">
        <v>14.569699999999999</v>
      </c>
      <c r="R57" s="40">
        <v>-5.6214212999999997</v>
      </c>
      <c r="S57" s="40">
        <v>-36.747352999999997</v>
      </c>
      <c r="T57" s="40">
        <v>-4.7405423999999998</v>
      </c>
      <c r="U57" s="40">
        <v>-8.0977329999999998</v>
      </c>
      <c r="V57" s="155">
        <v>15.988457</v>
      </c>
      <c r="W57" s="24"/>
    </row>
    <row r="58" spans="1:23" x14ac:dyDescent="0.35">
      <c r="A58" s="2">
        <v>43626</v>
      </c>
      <c r="B58" s="40">
        <v>-10.400461999999999</v>
      </c>
      <c r="C58" s="40">
        <v>-18.781929999999999</v>
      </c>
      <c r="D58" s="40">
        <v>2.6295185000000001</v>
      </c>
      <c r="E58" s="40">
        <v>6.9482803000000004</v>
      </c>
      <c r="F58" s="40">
        <v>-2.5346934999999999</v>
      </c>
      <c r="G58" s="40">
        <v>-13.904750999999999</v>
      </c>
      <c r="H58" s="40">
        <v>-8.2538660000000004</v>
      </c>
      <c r="I58" s="40">
        <v>-7.8322469999999997</v>
      </c>
      <c r="J58" s="40">
        <v>2.0977855000000001</v>
      </c>
      <c r="K58" s="40">
        <v>-20.705956</v>
      </c>
      <c r="L58" s="40">
        <v>27.74192</v>
      </c>
      <c r="M58" s="40">
        <v>-10.330004000000001</v>
      </c>
      <c r="N58" s="40">
        <v>2.4507759999999998</v>
      </c>
      <c r="O58" s="40">
        <v>6.7195176999999999</v>
      </c>
      <c r="P58" s="40">
        <v>-18.929863000000001</v>
      </c>
      <c r="Q58" s="40">
        <v>8.8784930000000006</v>
      </c>
      <c r="R58" s="40">
        <v>-3.3280313000000001</v>
      </c>
      <c r="S58" s="40">
        <v>-22.989560000000001</v>
      </c>
      <c r="T58" s="40">
        <v>-11.959351</v>
      </c>
      <c r="U58" s="40">
        <v>-5.8704320000000001</v>
      </c>
      <c r="V58" s="155">
        <v>10.828638</v>
      </c>
      <c r="W58" s="24"/>
    </row>
    <row r="59" spans="1:23" x14ac:dyDescent="0.35">
      <c r="A59" s="2">
        <v>43656</v>
      </c>
      <c r="B59" s="40">
        <v>7.1872590000000001</v>
      </c>
      <c r="C59" s="40">
        <v>-11.614960999999999</v>
      </c>
      <c r="D59" s="40">
        <v>14.507985</v>
      </c>
      <c r="E59" s="40">
        <v>19.325911999999999</v>
      </c>
      <c r="F59" s="40">
        <v>3.5093665000000001</v>
      </c>
      <c r="G59" s="40">
        <v>-2.6733099999999999</v>
      </c>
      <c r="H59" s="40">
        <v>-0.58000090000000004</v>
      </c>
      <c r="I59" s="40">
        <v>0.99213123000000003</v>
      </c>
      <c r="J59" s="40">
        <v>-12.690811999999999</v>
      </c>
      <c r="K59" s="40">
        <v>-13.483010999999999</v>
      </c>
      <c r="L59" s="40">
        <v>42.614789999999999</v>
      </c>
      <c r="M59" s="40">
        <v>-5.5882810000000003</v>
      </c>
      <c r="N59" s="40">
        <v>6.5049887000000002</v>
      </c>
      <c r="O59" s="40">
        <v>3.9449453000000001</v>
      </c>
      <c r="P59" s="40">
        <v>-7.4712633999999998</v>
      </c>
      <c r="Q59" s="40">
        <v>13.647233999999999</v>
      </c>
      <c r="R59" s="40">
        <v>5.8305024999999997</v>
      </c>
      <c r="S59" s="40">
        <v>-12.370120999999999</v>
      </c>
      <c r="T59" s="40">
        <v>-6.9937468000000003</v>
      </c>
      <c r="U59" s="40">
        <v>6.0913205000000001</v>
      </c>
      <c r="V59" s="155">
        <v>8.6655619999999995</v>
      </c>
      <c r="W59" s="24"/>
    </row>
    <row r="60" spans="1:23" x14ac:dyDescent="0.35">
      <c r="A60" s="2">
        <v>43686</v>
      </c>
      <c r="B60" s="40">
        <v>4.2523026000000002</v>
      </c>
      <c r="C60" s="40">
        <v>-17.142605</v>
      </c>
      <c r="D60" s="40">
        <v>4.2443632999999998</v>
      </c>
      <c r="E60" s="40">
        <v>2.4248599999999998</v>
      </c>
      <c r="F60" s="40">
        <v>-10.602808</v>
      </c>
      <c r="G60" s="40">
        <v>-11.051083</v>
      </c>
      <c r="H60" s="40">
        <v>-11.934715000000001</v>
      </c>
      <c r="I60" s="40">
        <v>-6.7729892999999999</v>
      </c>
      <c r="J60" s="40">
        <v>-18.832773</v>
      </c>
      <c r="K60" s="40">
        <v>-20.413982000000001</v>
      </c>
      <c r="L60" s="40">
        <v>27.767503999999999</v>
      </c>
      <c r="M60" s="40">
        <v>-15.454388</v>
      </c>
      <c r="N60" s="40">
        <v>2.4539947999999998</v>
      </c>
      <c r="O60" s="40">
        <v>-7.8396616000000003</v>
      </c>
      <c r="P60" s="40">
        <v>-11.462248000000001</v>
      </c>
      <c r="Q60" s="40">
        <v>-2.7074218000000001</v>
      </c>
      <c r="R60" s="40">
        <v>-4.1707276999999996</v>
      </c>
      <c r="S60" s="40">
        <v>7.1714044000000001</v>
      </c>
      <c r="T60" s="40">
        <v>-7.7330170000000003</v>
      </c>
      <c r="U60" s="40">
        <v>-3.263557</v>
      </c>
      <c r="V60" s="155">
        <v>7.6608299999999998</v>
      </c>
      <c r="W60" s="24"/>
    </row>
    <row r="61" spans="1:23" x14ac:dyDescent="0.35">
      <c r="A61" s="2">
        <v>43718</v>
      </c>
      <c r="B61" s="40">
        <v>19.753933</v>
      </c>
      <c r="C61" s="40">
        <v>-10.270441</v>
      </c>
      <c r="D61" s="40">
        <v>18.268501000000001</v>
      </c>
      <c r="E61" s="40">
        <v>10.795283</v>
      </c>
      <c r="F61" s="40">
        <v>-5.6863250000000001</v>
      </c>
      <c r="G61" s="40">
        <v>-0.38614870000000001</v>
      </c>
      <c r="H61" s="40">
        <v>-8.0588639999999998</v>
      </c>
      <c r="I61" s="40">
        <v>1.1208773000000001</v>
      </c>
      <c r="J61" s="40">
        <v>-11.239147000000001</v>
      </c>
      <c r="K61" s="40">
        <v>-12.306822</v>
      </c>
      <c r="L61" s="40">
        <v>34.392975</v>
      </c>
      <c r="M61" s="40">
        <v>3.7644506</v>
      </c>
      <c r="N61" s="40">
        <v>11.40151</v>
      </c>
      <c r="O61" s="40">
        <v>-4.0185810000000002</v>
      </c>
      <c r="P61" s="40">
        <v>4.247725</v>
      </c>
      <c r="Q61" s="40">
        <v>4.71617</v>
      </c>
      <c r="R61" s="40">
        <v>-1.5122533</v>
      </c>
      <c r="S61" s="40">
        <v>28.650210999999999</v>
      </c>
      <c r="T61" s="40">
        <v>-4.9985410000000003</v>
      </c>
      <c r="U61" s="40">
        <v>-2.3051797999999999</v>
      </c>
      <c r="V61" s="155">
        <v>8.7049369999999993</v>
      </c>
      <c r="W61" s="24"/>
    </row>
    <row r="62" spans="1:23" x14ac:dyDescent="0.35">
      <c r="A62" s="2">
        <v>43748</v>
      </c>
      <c r="B62" s="40">
        <v>19.939267999999998</v>
      </c>
      <c r="C62" s="40">
        <v>-9.0914070000000002</v>
      </c>
      <c r="D62" s="40">
        <v>15.948926999999999</v>
      </c>
      <c r="E62" s="40">
        <v>20.068989999999999</v>
      </c>
      <c r="F62" s="40">
        <v>-6.5069319999999999</v>
      </c>
      <c r="G62" s="40">
        <v>-3.7734508999999998</v>
      </c>
      <c r="H62" s="40">
        <v>-6.4350962999999997</v>
      </c>
      <c r="I62" s="40">
        <v>12.685394000000001</v>
      </c>
      <c r="J62" s="40">
        <v>-7.9552649999999998</v>
      </c>
      <c r="K62" s="40">
        <v>-6.8512680000000001</v>
      </c>
      <c r="L62" s="40">
        <v>11.044669000000001</v>
      </c>
      <c r="M62" s="40">
        <v>6.3255549999999996</v>
      </c>
      <c r="N62" s="40">
        <v>27.323055</v>
      </c>
      <c r="O62" s="40">
        <v>12.39996</v>
      </c>
      <c r="P62" s="40">
        <v>8.1604840000000003</v>
      </c>
      <c r="Q62" s="40">
        <v>4.4316890000000004</v>
      </c>
      <c r="R62" s="40">
        <v>-6.6394805999999997</v>
      </c>
      <c r="S62" s="40">
        <v>12.759613999999999</v>
      </c>
      <c r="T62" s="40">
        <v>-3.567326</v>
      </c>
      <c r="U62" s="40">
        <v>3.5860777000000001</v>
      </c>
      <c r="V62" s="155">
        <v>3.3126115999999999</v>
      </c>
      <c r="W62" s="24"/>
    </row>
    <row r="63" spans="1:23" x14ac:dyDescent="0.35">
      <c r="A63" s="2">
        <v>43777</v>
      </c>
      <c r="B63" s="40">
        <v>24.780035000000002</v>
      </c>
      <c r="C63" s="40">
        <v>-22.197319</v>
      </c>
      <c r="D63" s="40">
        <v>8.4219930000000005</v>
      </c>
      <c r="E63" s="40">
        <v>21.584724000000001</v>
      </c>
      <c r="F63" s="40">
        <v>-1.8043815999999999</v>
      </c>
      <c r="G63" s="40">
        <v>-0.11051893</v>
      </c>
      <c r="H63" s="40">
        <v>-2.6201487000000001</v>
      </c>
      <c r="I63" s="40">
        <v>22.596954</v>
      </c>
      <c r="J63" s="40">
        <v>8.8116880000000002</v>
      </c>
      <c r="K63" s="40">
        <v>2.0202518</v>
      </c>
      <c r="L63" s="40">
        <v>12.808895</v>
      </c>
      <c r="M63" s="40">
        <v>1.0032654000000001</v>
      </c>
      <c r="N63" s="40">
        <v>27.300571000000001</v>
      </c>
      <c r="O63" s="40">
        <v>11.620331</v>
      </c>
      <c r="P63" s="40">
        <v>11.930059999999999</v>
      </c>
      <c r="Q63" s="40">
        <v>-2.3925304000000001</v>
      </c>
      <c r="R63" s="40">
        <v>-2.6092171999999998</v>
      </c>
      <c r="S63" s="40">
        <v>7.9659700000000004</v>
      </c>
      <c r="T63" s="40">
        <v>-6.0552000000000001</v>
      </c>
      <c r="U63" s="40">
        <v>7.4121117999999999</v>
      </c>
      <c r="V63" s="155">
        <v>5.2400710000000004</v>
      </c>
      <c r="W63" s="24"/>
    </row>
    <row r="64" spans="1:23" x14ac:dyDescent="0.35">
      <c r="A64" s="2">
        <v>43809</v>
      </c>
      <c r="B64" s="40">
        <v>23.129010000000001</v>
      </c>
      <c r="C64" s="40">
        <v>-21.317689999999999</v>
      </c>
      <c r="D64" s="40">
        <v>4.7926545000000003</v>
      </c>
      <c r="E64" s="40">
        <v>9.8827119999999997</v>
      </c>
      <c r="F64" s="40">
        <v>-10.010165000000001</v>
      </c>
      <c r="G64" s="40">
        <v>-5.7935714999999999E-2</v>
      </c>
      <c r="H64" s="40">
        <v>-2.9019415</v>
      </c>
      <c r="I64" s="40">
        <v>27.75197</v>
      </c>
      <c r="J64" s="40">
        <v>12.421500999999999</v>
      </c>
      <c r="K64" s="40">
        <v>-3.8146973000000001E-2</v>
      </c>
      <c r="L64" s="40">
        <v>21.343433000000001</v>
      </c>
      <c r="M64" s="40">
        <v>2.4009228</v>
      </c>
      <c r="N64" s="40">
        <v>30.066597000000002</v>
      </c>
      <c r="O64" s="40">
        <v>15.691746</v>
      </c>
      <c r="P64" s="40">
        <v>11.469471</v>
      </c>
      <c r="Q64" s="40">
        <v>-3.4280837000000002</v>
      </c>
      <c r="R64" s="40">
        <v>-5.8806419999999999</v>
      </c>
      <c r="S64" s="40">
        <v>10.352791</v>
      </c>
      <c r="T64" s="40">
        <v>2.3527979999999999</v>
      </c>
      <c r="U64" s="40">
        <v>2.3024439999999999</v>
      </c>
      <c r="V64" s="155">
        <v>8.6131689999999992</v>
      </c>
      <c r="W64" s="24"/>
    </row>
    <row r="65" spans="1:23" x14ac:dyDescent="0.35">
      <c r="A65" s="2">
        <v>43840</v>
      </c>
      <c r="B65" s="40">
        <v>33.535885</v>
      </c>
      <c r="C65" s="40">
        <v>-20.867104000000001</v>
      </c>
      <c r="D65" s="40">
        <v>-0.4351139</v>
      </c>
      <c r="E65" s="40">
        <v>-1.2948691999999999</v>
      </c>
      <c r="F65" s="40">
        <v>-8.2096630000000008</v>
      </c>
      <c r="G65" s="40">
        <v>3.0744552999999999</v>
      </c>
      <c r="H65" s="40">
        <v>-3.1463741999999999</v>
      </c>
      <c r="I65" s="40">
        <v>32.190143999999997</v>
      </c>
      <c r="J65" s="40">
        <v>7.5032829999999997</v>
      </c>
      <c r="K65" s="40">
        <v>6.9269299999999996</v>
      </c>
      <c r="L65" s="40">
        <v>10.841227</v>
      </c>
      <c r="M65" s="40">
        <v>-1.2399792999999999</v>
      </c>
      <c r="N65" s="40">
        <v>37.141407000000001</v>
      </c>
      <c r="O65" s="40">
        <v>9.0959909999999997</v>
      </c>
      <c r="P65" s="40">
        <v>21.345127000000002</v>
      </c>
      <c r="Q65" s="40">
        <v>-5.2793922000000002</v>
      </c>
      <c r="R65" s="40">
        <v>-0.44090748000000002</v>
      </c>
      <c r="S65" s="40">
        <v>20.375156</v>
      </c>
      <c r="T65" s="40">
        <v>-5.0374090000000002</v>
      </c>
      <c r="U65" s="40">
        <v>4.8515677000000004</v>
      </c>
      <c r="V65" s="155">
        <v>3.8054823999999998</v>
      </c>
      <c r="W65" s="24"/>
    </row>
    <row r="66" spans="1:23" x14ac:dyDescent="0.35">
      <c r="A66" s="2">
        <v>43871</v>
      </c>
      <c r="B66" s="40">
        <v>19.803583</v>
      </c>
      <c r="C66" s="40">
        <v>-30.724036999999999</v>
      </c>
      <c r="D66" s="40">
        <v>-7.0797324000000001</v>
      </c>
      <c r="E66" s="40">
        <v>-5.9908986000000004</v>
      </c>
      <c r="F66" s="40">
        <v>-12.467897000000001</v>
      </c>
      <c r="G66" s="40">
        <v>-7.0166469999999999</v>
      </c>
      <c r="H66" s="40">
        <v>-9.3501329999999996</v>
      </c>
      <c r="I66" s="40">
        <v>24.209928999999999</v>
      </c>
      <c r="J66" s="40">
        <v>7.0879935999999999</v>
      </c>
      <c r="K66" s="40">
        <v>-0.52173734000000005</v>
      </c>
      <c r="L66" s="40">
        <v>2.5774002</v>
      </c>
      <c r="M66" s="40">
        <v>-5.0667999999999997</v>
      </c>
      <c r="N66" s="40">
        <v>28.196490000000001</v>
      </c>
      <c r="O66" s="40">
        <v>9.0539930000000002</v>
      </c>
      <c r="P66" s="40">
        <v>9.9779610000000005</v>
      </c>
      <c r="Q66" s="40">
        <v>-4.3124969999999996</v>
      </c>
      <c r="R66" s="40">
        <v>-7.1301994000000004</v>
      </c>
      <c r="S66" s="40">
        <v>0.73882340000000002</v>
      </c>
      <c r="T66" s="40">
        <v>-4.4616404000000003</v>
      </c>
      <c r="U66" s="40">
        <v>-2.4219632</v>
      </c>
      <c r="V66" s="155">
        <v>-8.3863734999999995</v>
      </c>
      <c r="W66" s="24"/>
    </row>
    <row r="67" spans="1:23" x14ac:dyDescent="0.35">
      <c r="A67" s="2">
        <v>43900</v>
      </c>
      <c r="B67" s="40">
        <v>15.145754999999999</v>
      </c>
      <c r="C67" s="40">
        <v>-38.781834000000003</v>
      </c>
      <c r="D67" s="40">
        <v>-16.068076999999999</v>
      </c>
      <c r="E67" s="40">
        <v>-15.324759500000001</v>
      </c>
      <c r="F67" s="40">
        <v>-27.012855999999999</v>
      </c>
      <c r="G67" s="40">
        <v>-19.778787999999999</v>
      </c>
      <c r="H67" s="40">
        <v>-16.262536999999998</v>
      </c>
      <c r="I67" s="40">
        <v>17.703223999999999</v>
      </c>
      <c r="J67" s="40">
        <v>-7.4232635</v>
      </c>
      <c r="K67" s="40">
        <v>-7.8819749999999997</v>
      </c>
      <c r="L67" s="40">
        <v>-19.082605000000001</v>
      </c>
      <c r="M67" s="40">
        <v>-16.104126000000001</v>
      </c>
      <c r="N67" s="40">
        <v>-12.708335999999999</v>
      </c>
      <c r="O67" s="40">
        <v>-9.5337925000000006</v>
      </c>
      <c r="P67" s="40">
        <v>5.5658580000000004</v>
      </c>
      <c r="Q67" s="40">
        <v>-14.179593000000001</v>
      </c>
      <c r="R67" s="40">
        <v>-22.014945999999998</v>
      </c>
      <c r="S67" s="40">
        <v>-8.5593039999999991</v>
      </c>
      <c r="T67" s="40">
        <v>-20.962603000000001</v>
      </c>
      <c r="U67" s="40">
        <v>-19.949072000000001</v>
      </c>
      <c r="V67" s="155">
        <v>-20.153504999999999</v>
      </c>
      <c r="W67" s="24"/>
    </row>
    <row r="68" spans="1:23" x14ac:dyDescent="0.35">
      <c r="A68" s="2">
        <v>43930</v>
      </c>
      <c r="B68" s="40">
        <v>-6.6912229999999999</v>
      </c>
      <c r="C68" s="40">
        <v>-44.716811999999997</v>
      </c>
      <c r="D68" s="40">
        <v>-40.593445000000003</v>
      </c>
      <c r="E68" s="40">
        <v>-31.810020000000002</v>
      </c>
      <c r="F68" s="40">
        <v>-37.632637000000003</v>
      </c>
      <c r="G68" s="40">
        <v>-37.630206999999999</v>
      </c>
      <c r="H68" s="40">
        <v>-20.618994000000001</v>
      </c>
      <c r="I68" s="40">
        <v>-0.51629543</v>
      </c>
      <c r="J68" s="40">
        <v>-37.492072999999998</v>
      </c>
      <c r="K68" s="40">
        <v>-20.658349999999999</v>
      </c>
      <c r="L68" s="40">
        <v>-37.357264999999998</v>
      </c>
      <c r="M68" s="40">
        <v>-38.451500000000003</v>
      </c>
      <c r="N68" s="40">
        <v>-27.290175999999999</v>
      </c>
      <c r="O68" s="40">
        <v>-27.660655999999999</v>
      </c>
      <c r="P68" s="40">
        <v>-8.5127299999999995</v>
      </c>
      <c r="Q68" s="40">
        <v>-9.7689990000000009</v>
      </c>
      <c r="R68" s="40">
        <v>-26.117086</v>
      </c>
      <c r="S68" s="40">
        <v>-16.616201</v>
      </c>
      <c r="T68" s="40">
        <v>-30.465872000000001</v>
      </c>
      <c r="U68" s="40">
        <v>-28.869606000000001</v>
      </c>
      <c r="V68" s="155">
        <v>-26.153421000000002</v>
      </c>
      <c r="W68" s="24"/>
    </row>
    <row r="69" spans="1:23" x14ac:dyDescent="0.35">
      <c r="A69" s="2">
        <v>43959</v>
      </c>
      <c r="B69" s="40">
        <v>9.6233730000000008</v>
      </c>
      <c r="C69" s="40">
        <v>-37.278861999999997</v>
      </c>
      <c r="D69" s="40">
        <v>-31.985164999999999</v>
      </c>
      <c r="E69" s="40">
        <v>-26.559526000000002</v>
      </c>
      <c r="F69" s="40">
        <v>-31.152837999999999</v>
      </c>
      <c r="G69" s="40">
        <v>-26.723217000000002</v>
      </c>
      <c r="H69" s="40">
        <v>-16.117059999999999</v>
      </c>
      <c r="I69" s="40">
        <v>7.7328324000000004</v>
      </c>
      <c r="J69" s="40">
        <v>-28.453440000000001</v>
      </c>
      <c r="K69" s="40">
        <v>-10.980988</v>
      </c>
      <c r="L69" s="40">
        <v>-41.167605999999999</v>
      </c>
      <c r="M69" s="40">
        <v>-33.823369999999997</v>
      </c>
      <c r="N69" s="40">
        <v>-24.603731</v>
      </c>
      <c r="O69" s="40">
        <v>-20.42606</v>
      </c>
      <c r="P69" s="40">
        <v>2.0635365999999999</v>
      </c>
      <c r="Q69" s="40">
        <v>-9.2843</v>
      </c>
      <c r="R69" s="40">
        <v>-23.457533000000002</v>
      </c>
      <c r="S69" s="40">
        <v>-6.2095345999999996</v>
      </c>
      <c r="T69" s="40">
        <v>-29.884153000000001</v>
      </c>
      <c r="U69" s="40">
        <v>-17.871689</v>
      </c>
      <c r="V69" s="155">
        <v>-26.403320000000001</v>
      </c>
      <c r="W69" s="24"/>
    </row>
    <row r="70" spans="1:23" x14ac:dyDescent="0.35">
      <c r="A70" s="2">
        <v>43992</v>
      </c>
      <c r="B70" s="40">
        <v>15.610433</v>
      </c>
      <c r="C70" s="40">
        <v>-28.691714999999999</v>
      </c>
      <c r="D70" s="40">
        <v>-23.955190000000002</v>
      </c>
      <c r="E70" s="40">
        <v>-17.118621999999998</v>
      </c>
      <c r="F70" s="40">
        <v>-18.923939000000001</v>
      </c>
      <c r="G70" s="40">
        <v>-14.361613999999999</v>
      </c>
      <c r="H70" s="40">
        <v>-3.3390342999999998</v>
      </c>
      <c r="I70" s="40">
        <v>23.369907000000001</v>
      </c>
      <c r="J70" s="40">
        <v>-21.286238000000001</v>
      </c>
      <c r="K70" s="40">
        <v>6.6829204999999998</v>
      </c>
      <c r="L70" s="40">
        <v>-22.735363</v>
      </c>
      <c r="M70" s="40">
        <v>-19.574338999999998</v>
      </c>
      <c r="N70" s="40">
        <v>-24.828588</v>
      </c>
      <c r="O70" s="40">
        <v>-18.075679999999998</v>
      </c>
      <c r="P70" s="40">
        <v>16.704214</v>
      </c>
      <c r="Q70" s="40">
        <v>-5.3935585000000001</v>
      </c>
      <c r="R70" s="40">
        <v>-14.774763</v>
      </c>
      <c r="S70" s="40">
        <v>-1.1898696</v>
      </c>
      <c r="T70" s="40">
        <v>-20.205193999999999</v>
      </c>
      <c r="U70" s="40">
        <v>-10.526573000000001</v>
      </c>
      <c r="V70" s="155">
        <v>-15.940170999999999</v>
      </c>
      <c r="W70" s="24"/>
    </row>
    <row r="71" spans="1:23" x14ac:dyDescent="0.35">
      <c r="A71" s="2">
        <v>44022</v>
      </c>
      <c r="B71" s="40">
        <v>31.554770999999999</v>
      </c>
      <c r="C71" s="40">
        <v>-33.073360000000001</v>
      </c>
      <c r="D71" s="40">
        <v>-27.282328</v>
      </c>
      <c r="E71" s="40">
        <v>-23.120802000000001</v>
      </c>
      <c r="F71" s="40">
        <v>-24.885887</v>
      </c>
      <c r="G71" s="40">
        <v>-21.124613</v>
      </c>
      <c r="H71" s="40">
        <v>-6.2977970000000001</v>
      </c>
      <c r="I71" s="40">
        <v>21.706866999999999</v>
      </c>
      <c r="J71" s="40">
        <v>-25.902329999999999</v>
      </c>
      <c r="K71" s="40">
        <v>4.3469069999999999</v>
      </c>
      <c r="L71" s="40">
        <v>-32.329099999999997</v>
      </c>
      <c r="M71" s="40">
        <v>-22.351472999999999</v>
      </c>
      <c r="N71" s="40">
        <v>-30.006551999999999</v>
      </c>
      <c r="O71" s="40">
        <v>-11.039936000000001</v>
      </c>
      <c r="P71" s="40">
        <v>27.858139000000001</v>
      </c>
      <c r="Q71" s="40">
        <v>-6.0224650000000004</v>
      </c>
      <c r="R71" s="40">
        <v>-22.359627</v>
      </c>
      <c r="S71" s="40">
        <v>-6.0278295999999996</v>
      </c>
      <c r="T71" s="40">
        <v>-23.089386000000001</v>
      </c>
      <c r="U71" s="40">
        <v>-11.977035000000001</v>
      </c>
      <c r="V71" s="155">
        <v>-16.772169999999999</v>
      </c>
      <c r="W71" s="24"/>
    </row>
    <row r="72" spans="1:23" x14ac:dyDescent="0.35">
      <c r="A72" s="2">
        <v>44053</v>
      </c>
      <c r="B72" s="40">
        <v>41.121707999999998</v>
      </c>
      <c r="C72" s="40">
        <v>-29.079353000000001</v>
      </c>
      <c r="D72" s="40">
        <v>-22.790993</v>
      </c>
      <c r="E72" s="40">
        <v>-21.265298999999999</v>
      </c>
      <c r="F72" s="40">
        <v>-11.313259</v>
      </c>
      <c r="G72" s="40">
        <v>-7.1473779999999998</v>
      </c>
      <c r="H72" s="40">
        <v>-0.13270973999999999</v>
      </c>
      <c r="I72" s="40">
        <v>36.741672999999999</v>
      </c>
      <c r="J72" s="40">
        <v>-16.152381999999999</v>
      </c>
      <c r="K72" s="40">
        <v>27.837599000000001</v>
      </c>
      <c r="L72" s="40">
        <v>-27.226901999999999</v>
      </c>
      <c r="M72" s="40">
        <v>-14.331091000000001</v>
      </c>
      <c r="N72" s="40">
        <v>-24.918312</v>
      </c>
      <c r="O72" s="40">
        <v>2.5347590000000002</v>
      </c>
      <c r="P72" s="40">
        <v>33.367503999999997</v>
      </c>
      <c r="Q72" s="40">
        <v>3.8943409999999998</v>
      </c>
      <c r="R72" s="40">
        <v>-19.909244999999999</v>
      </c>
      <c r="S72" s="40">
        <v>-21.299302999999998</v>
      </c>
      <c r="T72" s="40">
        <v>-20.565636000000001</v>
      </c>
      <c r="U72" s="40">
        <v>-4.9648523000000004</v>
      </c>
      <c r="V72" s="155">
        <v>-11.873972</v>
      </c>
      <c r="W72" s="24"/>
    </row>
    <row r="73" spans="1:23" x14ac:dyDescent="0.35">
      <c r="A73" s="2">
        <v>44084</v>
      </c>
      <c r="B73" s="40">
        <v>24.988758000000001</v>
      </c>
      <c r="C73" s="40">
        <v>-31.365417000000001</v>
      </c>
      <c r="D73" s="40">
        <v>-31.497347000000001</v>
      </c>
      <c r="E73" s="40">
        <v>-22.304856999999998</v>
      </c>
      <c r="F73" s="40">
        <v>-17.046714999999999</v>
      </c>
      <c r="G73" s="40">
        <v>-8.7927999999999997</v>
      </c>
      <c r="H73" s="40">
        <v>-8.0568369999999998</v>
      </c>
      <c r="I73" s="40">
        <v>26.543129</v>
      </c>
      <c r="J73" s="40">
        <v>-21.442837000000001</v>
      </c>
      <c r="K73" s="40">
        <v>15.920185999999999</v>
      </c>
      <c r="L73" s="40">
        <v>-26.119506999999999</v>
      </c>
      <c r="M73" s="40">
        <v>-15.156013</v>
      </c>
      <c r="N73" s="40">
        <v>-24.864584000000001</v>
      </c>
      <c r="O73" s="40">
        <v>5.5603385000000003</v>
      </c>
      <c r="P73" s="40">
        <v>24.836552000000001</v>
      </c>
      <c r="Q73" s="40">
        <v>1.6714692</v>
      </c>
      <c r="R73" s="40">
        <v>-22.512352</v>
      </c>
      <c r="S73" s="40">
        <v>-19.425196</v>
      </c>
      <c r="T73" s="40">
        <v>-19.283121000000001</v>
      </c>
      <c r="U73" s="40">
        <v>-4.9648523000000004</v>
      </c>
      <c r="V73" s="155">
        <v>-1.2025177</v>
      </c>
      <c r="W73" s="24"/>
    </row>
    <row r="74" spans="1:23" x14ac:dyDescent="0.35">
      <c r="A74" s="2">
        <v>44113</v>
      </c>
      <c r="B74" s="40">
        <v>37.888824</v>
      </c>
      <c r="C74" s="40">
        <v>-34.447322999999997</v>
      </c>
      <c r="D74" s="40">
        <v>-21.981638</v>
      </c>
      <c r="E74" s="40">
        <v>-18.920725000000001</v>
      </c>
      <c r="F74" s="40">
        <v>-15.871900999999999</v>
      </c>
      <c r="G74" s="40">
        <v>-8.6169829999999994</v>
      </c>
      <c r="H74" s="40">
        <v>2.2148132</v>
      </c>
      <c r="I74" s="40">
        <v>30.132888999999999</v>
      </c>
      <c r="J74" s="40">
        <v>-14.835000000000001</v>
      </c>
      <c r="K74" s="40">
        <v>23.885249999999999</v>
      </c>
      <c r="L74" s="40">
        <v>-27.685092999999998</v>
      </c>
      <c r="M74" s="40">
        <v>-10.415518</v>
      </c>
      <c r="N74" s="40">
        <v>-21.515930000000001</v>
      </c>
      <c r="O74" s="40">
        <v>9.4527359999999998</v>
      </c>
      <c r="P74" s="40">
        <v>38.544654999999999</v>
      </c>
      <c r="Q74" s="40">
        <v>7.5077534000000004</v>
      </c>
      <c r="R74" s="40">
        <v>-21.596605</v>
      </c>
      <c r="S74" s="40">
        <v>-17.144573000000001</v>
      </c>
      <c r="T74" s="40">
        <v>-17.991215</v>
      </c>
      <c r="U74" s="40">
        <v>-4.5875906999999998</v>
      </c>
      <c r="V74" s="155">
        <v>7.6544999999999996</v>
      </c>
      <c r="W74" s="24"/>
    </row>
    <row r="75" spans="1:23" x14ac:dyDescent="0.35">
      <c r="A75" s="2">
        <v>44145</v>
      </c>
      <c r="B75" s="40">
        <v>37.429763999999999</v>
      </c>
      <c r="C75" s="40">
        <v>-16.48639</v>
      </c>
      <c r="D75" s="40">
        <v>-12.506092000000001</v>
      </c>
      <c r="E75" s="40">
        <v>-9.8110079999999993</v>
      </c>
      <c r="F75" s="40">
        <v>-20.866029999999999</v>
      </c>
      <c r="G75" s="40">
        <v>-11.982632000000001</v>
      </c>
      <c r="H75" s="40">
        <v>-1.3828993000000001</v>
      </c>
      <c r="I75" s="40">
        <v>20.880794999999999</v>
      </c>
      <c r="J75" s="40">
        <v>-12.465066</v>
      </c>
      <c r="K75" s="40">
        <v>19.658840000000001</v>
      </c>
      <c r="L75" s="40">
        <v>-24.225239999999999</v>
      </c>
      <c r="M75" s="40">
        <v>-6.7205725000000003</v>
      </c>
      <c r="N75" s="40">
        <v>-26.701885000000001</v>
      </c>
      <c r="O75" s="40">
        <v>4.9416184000000003</v>
      </c>
      <c r="P75" s="40">
        <v>31.471325</v>
      </c>
      <c r="Q75" s="40">
        <v>3.2941937000000001</v>
      </c>
      <c r="R75" s="40">
        <v>-18.109715000000001</v>
      </c>
      <c r="S75" s="40">
        <v>-19.444721000000001</v>
      </c>
      <c r="T75" s="40">
        <v>-18.244202000000001</v>
      </c>
      <c r="U75" s="40">
        <v>-5.7256460000000002</v>
      </c>
      <c r="V75" s="155">
        <v>6.7092179999999999</v>
      </c>
      <c r="W75" s="24"/>
    </row>
    <row r="76" spans="1:23" x14ac:dyDescent="0.35">
      <c r="A76" s="2">
        <v>44175</v>
      </c>
      <c r="B76" s="40">
        <v>42.685974000000002</v>
      </c>
      <c r="C76" s="40">
        <v>-9.4396830000000005</v>
      </c>
      <c r="D76" s="40">
        <v>-5.5623769999999997</v>
      </c>
      <c r="E76" s="40">
        <v>-3.0459820999999998</v>
      </c>
      <c r="F76" s="40">
        <v>-0.13725161999999999</v>
      </c>
      <c r="G76" s="40">
        <v>2.5635004000000001</v>
      </c>
      <c r="H76" s="40">
        <v>8.9176540000000006</v>
      </c>
      <c r="I76" s="40">
        <v>33.773780000000002</v>
      </c>
      <c r="J76" s="40">
        <v>-1.4636218999999999</v>
      </c>
      <c r="K76" s="40">
        <v>45.681334999999997</v>
      </c>
      <c r="L76" s="40">
        <v>-13.530545999999999</v>
      </c>
      <c r="M76" s="40">
        <v>1.6750932000000001</v>
      </c>
      <c r="N76" s="40">
        <v>-9.7272759999999998</v>
      </c>
      <c r="O76" s="40">
        <v>12.534307999999999</v>
      </c>
      <c r="P76" s="40">
        <v>34.910538000000003</v>
      </c>
      <c r="Q76" s="40">
        <v>6.8417669999999999</v>
      </c>
      <c r="R76" s="40">
        <v>-4.5261917</v>
      </c>
      <c r="S76" s="40">
        <v>-9.8399819999999991</v>
      </c>
      <c r="T76" s="40">
        <v>-5.4550885999999998</v>
      </c>
      <c r="U76" s="40">
        <v>6.1125875000000001</v>
      </c>
      <c r="V76" s="155">
        <v>6.1082960000000002</v>
      </c>
      <c r="W76" s="24"/>
    </row>
    <row r="77" spans="1:23" x14ac:dyDescent="0.35">
      <c r="A77" s="2">
        <v>44204</v>
      </c>
      <c r="B77" s="40">
        <v>48.904513999999999</v>
      </c>
      <c r="C77" s="40">
        <v>-2.8289257999999999</v>
      </c>
      <c r="D77" s="40">
        <v>-2.8132617</v>
      </c>
      <c r="E77" s="40">
        <v>-1.7155944999999999</v>
      </c>
      <c r="F77" s="40">
        <v>-0.48636794</v>
      </c>
      <c r="G77" s="40">
        <v>0.83839892999999999</v>
      </c>
      <c r="H77" s="40">
        <v>3.5619139999999998</v>
      </c>
      <c r="I77" s="40">
        <v>41.190303999999998</v>
      </c>
      <c r="J77" s="40">
        <v>-0.70018170000000002</v>
      </c>
      <c r="K77" s="40">
        <v>57.975684999999999</v>
      </c>
      <c r="L77" s="40">
        <v>-18.214804000000001</v>
      </c>
      <c r="M77" s="40">
        <v>-2.6758074999999999</v>
      </c>
      <c r="N77" s="40">
        <v>-10.258746</v>
      </c>
      <c r="O77" s="40">
        <v>19.573868000000001</v>
      </c>
      <c r="P77" s="40">
        <v>32.253883000000002</v>
      </c>
      <c r="Q77" s="40">
        <v>10.901630000000001</v>
      </c>
      <c r="R77" s="40">
        <v>-1.4641523000000001</v>
      </c>
      <c r="S77" s="40">
        <v>4.4168589999999996</v>
      </c>
      <c r="T77" s="40">
        <v>1.8040776000000001</v>
      </c>
      <c r="U77" s="40">
        <v>16.624307999999999</v>
      </c>
      <c r="V77" s="155">
        <v>7.2019339999999996</v>
      </c>
      <c r="W77" s="24"/>
    </row>
    <row r="78" spans="1:23" x14ac:dyDescent="0.35">
      <c r="A78" s="2">
        <v>44237</v>
      </c>
      <c r="B78" s="40">
        <v>67.450310000000002</v>
      </c>
      <c r="C78" s="40">
        <v>5.0409199999999998</v>
      </c>
      <c r="D78" s="40">
        <v>-1.0330439</v>
      </c>
      <c r="E78" s="40">
        <v>-1.2223542000000001</v>
      </c>
      <c r="F78" s="40">
        <v>-4.0977534999999996</v>
      </c>
      <c r="G78" s="40">
        <v>12.361931999999999</v>
      </c>
      <c r="H78" s="40">
        <v>6.0350894999999998</v>
      </c>
      <c r="I78" s="40">
        <v>50.552199999999999</v>
      </c>
      <c r="J78" s="40">
        <v>-6.1264459999999996</v>
      </c>
      <c r="K78" s="40">
        <v>53.523792</v>
      </c>
      <c r="L78" s="40">
        <v>-15.311527</v>
      </c>
      <c r="M78" s="40">
        <v>11.744666</v>
      </c>
      <c r="N78" s="40">
        <v>-11.298018000000001</v>
      </c>
      <c r="O78" s="40">
        <v>21.14066</v>
      </c>
      <c r="P78" s="40">
        <v>51.06503</v>
      </c>
      <c r="Q78" s="40">
        <v>10.710489000000001</v>
      </c>
      <c r="R78" s="40">
        <v>-1.1919975</v>
      </c>
      <c r="S78" s="40">
        <v>8.5273629999999994</v>
      </c>
      <c r="T78" s="40">
        <v>7.3355674999999998</v>
      </c>
      <c r="U78" s="40">
        <v>19.160233999999999</v>
      </c>
      <c r="V78" s="155">
        <v>12.508118</v>
      </c>
      <c r="W78" s="24"/>
    </row>
    <row r="79" spans="1:23" x14ac:dyDescent="0.35">
      <c r="A79" s="2">
        <v>44265</v>
      </c>
      <c r="B79" s="40">
        <v>30.430364999999998</v>
      </c>
      <c r="C79" s="40">
        <v>32.138800000000003</v>
      </c>
      <c r="D79" s="40">
        <v>12.781572000000001</v>
      </c>
      <c r="E79" s="40">
        <v>8.9352850000000004</v>
      </c>
      <c r="F79" s="40">
        <v>19.366693000000001</v>
      </c>
      <c r="G79" s="40">
        <v>24.529361999999999</v>
      </c>
      <c r="H79" s="40">
        <v>16.271484000000001</v>
      </c>
      <c r="I79" s="40">
        <v>54.557563999999999</v>
      </c>
      <c r="J79" s="40">
        <v>16.99879</v>
      </c>
      <c r="K79" s="40">
        <v>58.694457999999997</v>
      </c>
      <c r="L79" s="40">
        <v>0.49004555</v>
      </c>
      <c r="M79" s="40">
        <v>35.258057000000001</v>
      </c>
      <c r="N79" s="40">
        <v>36.182699999999997</v>
      </c>
      <c r="O79" s="40">
        <v>44.882930000000002</v>
      </c>
      <c r="P79" s="40">
        <v>35.686337000000002</v>
      </c>
      <c r="Q79" s="40">
        <v>28.128696000000001</v>
      </c>
      <c r="R79" s="40">
        <v>23.740423</v>
      </c>
      <c r="S79" s="40">
        <v>20.335875999999999</v>
      </c>
      <c r="T79" s="40">
        <v>30.344653999999998</v>
      </c>
      <c r="U79" s="40">
        <v>37.749054000000001</v>
      </c>
      <c r="V79" s="155">
        <v>41.341231999999998</v>
      </c>
      <c r="W79" s="24"/>
    </row>
    <row r="80" spans="1:23" x14ac:dyDescent="0.35">
      <c r="A80" s="2">
        <v>44295</v>
      </c>
      <c r="B80" s="40">
        <v>45.797432000000001</v>
      </c>
      <c r="C80" s="40">
        <v>48.711419999999997</v>
      </c>
      <c r="D80" s="40">
        <v>43.355705</v>
      </c>
      <c r="E80" s="40">
        <v>26.129352999999998</v>
      </c>
      <c r="F80" s="40">
        <v>35.713706999999999</v>
      </c>
      <c r="G80" s="40">
        <v>53.548026999999998</v>
      </c>
      <c r="H80" s="40">
        <v>22.216760000000001</v>
      </c>
      <c r="I80" s="40">
        <v>81.130229999999997</v>
      </c>
      <c r="J80" s="40">
        <v>62.164771999999999</v>
      </c>
      <c r="K80" s="40">
        <v>88.020920000000004</v>
      </c>
      <c r="L80" s="40">
        <v>33.431435</v>
      </c>
      <c r="M80" s="40">
        <v>73.183400000000006</v>
      </c>
      <c r="N80" s="40">
        <v>60.426819999999999</v>
      </c>
      <c r="O80" s="40">
        <v>64.32432</v>
      </c>
      <c r="P80" s="40">
        <v>40.968204</v>
      </c>
      <c r="Q80" s="40">
        <v>21.097909999999999</v>
      </c>
      <c r="R80" s="40">
        <v>29.398250000000001</v>
      </c>
      <c r="S80" s="40">
        <v>17.904413000000002</v>
      </c>
      <c r="T80" s="40">
        <v>40.415084999999998</v>
      </c>
      <c r="U80" s="40">
        <v>56.099986999999999</v>
      </c>
      <c r="V80" s="155">
        <v>50.275539999999999</v>
      </c>
      <c r="W80" s="24"/>
    </row>
    <row r="81" spans="1:23" x14ac:dyDescent="0.35">
      <c r="A81" s="2">
        <v>44326</v>
      </c>
      <c r="B81" s="40">
        <v>41.16957</v>
      </c>
      <c r="C81" s="40">
        <v>33.467759999999998</v>
      </c>
      <c r="D81" s="40">
        <v>35.370277000000002</v>
      </c>
      <c r="E81" s="40">
        <v>18.321549999999998</v>
      </c>
      <c r="F81" s="40">
        <v>43.690871999999999</v>
      </c>
      <c r="G81" s="40">
        <v>34.291460000000001</v>
      </c>
      <c r="H81" s="40">
        <v>17.826187000000001</v>
      </c>
      <c r="I81" s="40">
        <v>72.342094000000003</v>
      </c>
      <c r="J81" s="40">
        <v>56.300724000000002</v>
      </c>
      <c r="K81" s="40">
        <v>81.60472</v>
      </c>
      <c r="L81" s="40">
        <v>65.034930000000003</v>
      </c>
      <c r="M81" s="40">
        <v>67.099130000000002</v>
      </c>
      <c r="N81" s="40">
        <v>66.599909999999994</v>
      </c>
      <c r="O81" s="40">
        <v>58.919704000000003</v>
      </c>
      <c r="P81" s="40">
        <v>29.806173000000001</v>
      </c>
      <c r="Q81" s="40">
        <v>26.904655000000002</v>
      </c>
      <c r="R81" s="40">
        <v>25.444305</v>
      </c>
      <c r="S81" s="40">
        <v>25.836504000000001</v>
      </c>
      <c r="T81" s="40">
        <v>46.537909999999997</v>
      </c>
      <c r="U81" s="40">
        <v>45.914493999999998</v>
      </c>
      <c r="V81" s="155">
        <v>55.271434999999997</v>
      </c>
      <c r="W81" s="24"/>
    </row>
    <row r="82" spans="1:23" x14ac:dyDescent="0.35">
      <c r="A82" s="2">
        <v>44357</v>
      </c>
      <c r="B82" s="40">
        <v>48.953673999999999</v>
      </c>
      <c r="C82" s="40">
        <v>9.1832750000000001</v>
      </c>
      <c r="D82" s="40">
        <v>19.714307999999999</v>
      </c>
      <c r="E82" s="40">
        <v>11.601089999999999</v>
      </c>
      <c r="F82" s="40">
        <v>27.273499999999999</v>
      </c>
      <c r="G82" s="40">
        <v>4.7648429999999999</v>
      </c>
      <c r="H82" s="40">
        <v>0.95812079999999999</v>
      </c>
      <c r="I82" s="40">
        <v>59.739113000000003</v>
      </c>
      <c r="J82" s="40">
        <v>47.452210000000001</v>
      </c>
      <c r="K82" s="40">
        <v>55.611538000000003</v>
      </c>
      <c r="L82" s="40">
        <v>33.225025000000002</v>
      </c>
      <c r="M82" s="40">
        <v>49.242054000000003</v>
      </c>
      <c r="N82" s="40">
        <v>51.296329999999998</v>
      </c>
      <c r="O82" s="40">
        <v>56.828749999999999</v>
      </c>
      <c r="P82" s="40">
        <v>26.953303999999999</v>
      </c>
      <c r="Q82" s="40">
        <v>19.135618000000001</v>
      </c>
      <c r="R82" s="40">
        <v>14.554857999999999</v>
      </c>
      <c r="S82" s="40">
        <v>6.754899</v>
      </c>
      <c r="T82" s="40">
        <v>46.249305999999997</v>
      </c>
      <c r="U82" s="40">
        <v>37.53519</v>
      </c>
      <c r="V82" s="155">
        <v>44.238819999999997</v>
      </c>
      <c r="W82" s="24"/>
    </row>
    <row r="83" spans="1:23" x14ac:dyDescent="0.35">
      <c r="A83" s="2">
        <v>44386</v>
      </c>
      <c r="B83" s="40">
        <v>19.012619000000001</v>
      </c>
      <c r="C83" s="40">
        <v>6.7539930000000004</v>
      </c>
      <c r="D83" s="40">
        <v>8.0815429999999999</v>
      </c>
      <c r="E83" s="40">
        <v>9.9842790000000008</v>
      </c>
      <c r="F83" s="40">
        <v>29.887318</v>
      </c>
      <c r="G83" s="40">
        <v>3.3869862999999998</v>
      </c>
      <c r="H83" s="40">
        <v>-4.0075719999999997</v>
      </c>
      <c r="I83" s="40">
        <v>53.571975999999999</v>
      </c>
      <c r="J83" s="40">
        <v>54.727849999999997</v>
      </c>
      <c r="K83" s="40">
        <v>54.554412999999997</v>
      </c>
      <c r="L83" s="40">
        <v>29.712092999999999</v>
      </c>
      <c r="M83" s="40">
        <v>35.019325000000002</v>
      </c>
      <c r="N83" s="40">
        <v>45.979120000000002</v>
      </c>
      <c r="O83" s="40">
        <v>44.320414999999997</v>
      </c>
      <c r="P83" s="40">
        <v>4.5936465000000002</v>
      </c>
      <c r="Q83" s="40">
        <v>18.333828</v>
      </c>
      <c r="R83" s="40">
        <v>13.6387825</v>
      </c>
      <c r="S83" s="40">
        <v>-4.7481656000000001</v>
      </c>
      <c r="T83" s="40">
        <v>45.035890000000002</v>
      </c>
      <c r="U83" s="40">
        <v>40.836692999999997</v>
      </c>
      <c r="V83" s="155">
        <v>46.118533999999997</v>
      </c>
      <c r="W83" s="24"/>
    </row>
    <row r="84" spans="1:23" x14ac:dyDescent="0.35">
      <c r="A84" s="2">
        <v>44418</v>
      </c>
      <c r="B84" s="40">
        <v>18.621994000000001</v>
      </c>
      <c r="C84" s="40">
        <v>7.2680949999999998</v>
      </c>
      <c r="D84" s="40">
        <v>7.6030730000000002</v>
      </c>
      <c r="E84" s="40">
        <v>9.8713990000000003</v>
      </c>
      <c r="F84" s="40">
        <v>21.373856</v>
      </c>
      <c r="G84" s="40">
        <v>-14.198547</v>
      </c>
      <c r="H84" s="40">
        <v>-7.0705833</v>
      </c>
      <c r="I84" s="40">
        <v>42.866219999999998</v>
      </c>
      <c r="J84" s="40">
        <v>48.309919999999998</v>
      </c>
      <c r="K84" s="40">
        <v>37.491753000000003</v>
      </c>
      <c r="L84" s="40">
        <v>23.376823000000002</v>
      </c>
      <c r="M84" s="40">
        <v>38.353549999999998</v>
      </c>
      <c r="N84" s="40">
        <v>42.637219999999999</v>
      </c>
      <c r="O84" s="40">
        <v>37.686993000000001</v>
      </c>
      <c r="P84" s="40">
        <v>1.9425273000000001</v>
      </c>
      <c r="Q84" s="40">
        <v>15.40929</v>
      </c>
      <c r="R84" s="40">
        <v>16.687466000000001</v>
      </c>
      <c r="S84" s="40">
        <v>14.989483</v>
      </c>
      <c r="T84" s="40">
        <v>42.520380000000003</v>
      </c>
      <c r="U84" s="40">
        <v>35.996913999999997</v>
      </c>
      <c r="V84" s="155">
        <v>51.968789999999998</v>
      </c>
      <c r="W84" s="24"/>
    </row>
    <row r="85" spans="1:23" x14ac:dyDescent="0.35">
      <c r="A85" s="2">
        <v>44449</v>
      </c>
      <c r="B85" s="40">
        <v>24.057924</v>
      </c>
      <c r="C85" s="40">
        <v>14.726675</v>
      </c>
      <c r="D85" s="40">
        <v>24.657844999999998</v>
      </c>
      <c r="E85" s="40">
        <v>17.126238000000001</v>
      </c>
      <c r="F85" s="40">
        <v>34.545444000000003</v>
      </c>
      <c r="G85" s="40">
        <v>-8.5562590000000007</v>
      </c>
      <c r="H85" s="40">
        <v>7.9636810000000002</v>
      </c>
      <c r="I85" s="40">
        <v>49.979709999999997</v>
      </c>
      <c r="J85" s="40">
        <v>54.790329999999997</v>
      </c>
      <c r="K85" s="40">
        <v>32.044792000000001</v>
      </c>
      <c r="L85" s="40">
        <v>17.133130000000001</v>
      </c>
      <c r="M85" s="40">
        <v>31.115997</v>
      </c>
      <c r="N85" s="40">
        <v>44.057465000000001</v>
      </c>
      <c r="O85" s="40">
        <v>46.429560000000002</v>
      </c>
      <c r="P85" s="40">
        <v>0.95933676000000001</v>
      </c>
      <c r="Q85" s="40">
        <v>15.825582000000001</v>
      </c>
      <c r="R85" s="40">
        <v>26.683914000000001</v>
      </c>
      <c r="S85" s="40">
        <v>17.175090000000001</v>
      </c>
      <c r="T85" s="40">
        <v>45.502791999999999</v>
      </c>
      <c r="U85" s="40">
        <v>36.269030000000001</v>
      </c>
      <c r="V85" s="155">
        <v>46.056699999999999</v>
      </c>
      <c r="W85" s="24"/>
    </row>
    <row r="86" spans="1:23" x14ac:dyDescent="0.35">
      <c r="A86" s="2">
        <v>44477</v>
      </c>
      <c r="B86" s="40">
        <v>15.412950500000001</v>
      </c>
      <c r="C86" s="40">
        <v>5.8908940000000003</v>
      </c>
      <c r="D86" s="40">
        <v>30.110883999999999</v>
      </c>
      <c r="E86" s="40">
        <v>17.276405</v>
      </c>
      <c r="F86" s="40">
        <v>37.762165000000003</v>
      </c>
      <c r="G86" s="40">
        <v>-4.9964430000000002</v>
      </c>
      <c r="H86" s="40">
        <v>1.9065261</v>
      </c>
      <c r="I86" s="40">
        <v>34.493374000000003</v>
      </c>
      <c r="J86" s="40">
        <v>38.584457</v>
      </c>
      <c r="K86" s="40">
        <v>16.015255</v>
      </c>
      <c r="L86" s="40">
        <v>15.699017</v>
      </c>
      <c r="M86" s="40">
        <v>34.353386</v>
      </c>
      <c r="N86" s="40">
        <v>38.476500000000001</v>
      </c>
      <c r="O86" s="40">
        <v>40.147675</v>
      </c>
      <c r="P86" s="40">
        <v>-8.5214850000000002</v>
      </c>
      <c r="Q86" s="40">
        <v>17.069603000000001</v>
      </c>
      <c r="R86" s="40">
        <v>28.598331000000002</v>
      </c>
      <c r="S86" s="40">
        <v>11.788081999999999</v>
      </c>
      <c r="T86" s="40">
        <v>40.825653000000003</v>
      </c>
      <c r="U86" s="40">
        <v>30.514061000000002</v>
      </c>
      <c r="V86" s="155">
        <v>42.741847999999997</v>
      </c>
      <c r="W86" s="24"/>
    </row>
    <row r="87" spans="1:23" x14ac:dyDescent="0.35">
      <c r="A87" s="2">
        <v>44510</v>
      </c>
      <c r="B87" s="40">
        <v>7.4292182999999996</v>
      </c>
      <c r="C87" s="40">
        <v>1.4811396999999999</v>
      </c>
      <c r="D87" s="40">
        <v>10.8963375</v>
      </c>
      <c r="E87" s="40">
        <v>4.468572</v>
      </c>
      <c r="F87" s="40">
        <v>34.864319999999999</v>
      </c>
      <c r="G87" s="40">
        <v>0.7857442</v>
      </c>
      <c r="H87" s="40">
        <v>-4.9088120000000002</v>
      </c>
      <c r="I87" s="40">
        <v>38.795789999999997</v>
      </c>
      <c r="J87" s="40">
        <v>27.804829000000002</v>
      </c>
      <c r="K87" s="40">
        <v>9.4496249999999993</v>
      </c>
      <c r="L87" s="40">
        <v>-1.9171357</v>
      </c>
      <c r="M87" s="40">
        <v>15.991235</v>
      </c>
      <c r="N87" s="40">
        <v>39.455190000000002</v>
      </c>
      <c r="O87" s="40">
        <v>39.170001999999997</v>
      </c>
      <c r="P87" s="40">
        <v>-12.912029</v>
      </c>
      <c r="Q87" s="40">
        <v>21.493566999999999</v>
      </c>
      <c r="R87" s="40">
        <v>21.564377</v>
      </c>
      <c r="S87" s="40">
        <v>13.642383000000001</v>
      </c>
      <c r="T87" s="40">
        <v>53.079033000000003</v>
      </c>
      <c r="U87" s="40">
        <v>33.047879999999999</v>
      </c>
      <c r="V87" s="155">
        <v>44.137703000000002</v>
      </c>
      <c r="W87" s="24"/>
    </row>
    <row r="88" spans="1:23" x14ac:dyDescent="0.35">
      <c r="A88" s="2">
        <v>44540</v>
      </c>
      <c r="B88" s="40">
        <v>11.484933</v>
      </c>
      <c r="C88" s="40">
        <v>-10.599446</v>
      </c>
      <c r="D88" s="40">
        <v>1.7728686</v>
      </c>
      <c r="E88" s="40">
        <v>0.19026994999999999</v>
      </c>
      <c r="F88" s="40">
        <v>6.8867326000000002</v>
      </c>
      <c r="G88" s="40">
        <v>-15.45884</v>
      </c>
      <c r="H88" s="40">
        <v>-12.809258</v>
      </c>
      <c r="I88" s="40">
        <v>30.23405</v>
      </c>
      <c r="J88" s="40">
        <v>14.962935</v>
      </c>
      <c r="K88" s="40">
        <v>-2.0046412999999998</v>
      </c>
      <c r="L88" s="40">
        <v>-16.054386000000001</v>
      </c>
      <c r="M88" s="40">
        <v>8.2209699999999994</v>
      </c>
      <c r="N88" s="40">
        <v>10.712433000000001</v>
      </c>
      <c r="O88" s="40">
        <v>25.756025000000001</v>
      </c>
      <c r="P88" s="40">
        <v>-17.173970000000001</v>
      </c>
      <c r="Q88" s="40">
        <v>12.997699000000001</v>
      </c>
      <c r="R88" s="40">
        <v>9.1429600000000004</v>
      </c>
      <c r="S88" s="40">
        <v>-12.447346</v>
      </c>
      <c r="T88" s="40">
        <v>48.086559999999999</v>
      </c>
      <c r="U88" s="40">
        <v>24.571155999999998</v>
      </c>
      <c r="V88" s="155">
        <v>28.004456000000001</v>
      </c>
      <c r="W88" s="24"/>
    </row>
    <row r="89" spans="1:23" x14ac:dyDescent="0.35">
      <c r="A89" s="2">
        <v>44571</v>
      </c>
      <c r="B89" s="40">
        <v>-5.8683395000000003</v>
      </c>
      <c r="C89" s="40">
        <v>-23.687564999999999</v>
      </c>
      <c r="D89" s="40">
        <v>-3.7379026</v>
      </c>
      <c r="E89" s="40">
        <v>-5.8560667000000004</v>
      </c>
      <c r="F89" s="40">
        <v>7.9324839999999996</v>
      </c>
      <c r="G89" s="40">
        <v>-9.8520869999999992</v>
      </c>
      <c r="H89" s="40">
        <v>-8.6218299999999992</v>
      </c>
      <c r="I89" s="40">
        <v>21.050215000000001</v>
      </c>
      <c r="J89" s="40">
        <v>14.338684000000001</v>
      </c>
      <c r="K89" s="40">
        <v>-18.975543999999999</v>
      </c>
      <c r="L89" s="40">
        <v>-21.787745000000001</v>
      </c>
      <c r="M89" s="40">
        <v>9.6841699999999999</v>
      </c>
      <c r="N89" s="40">
        <v>6.6060065999999997</v>
      </c>
      <c r="O89" s="40">
        <v>21.048487000000002</v>
      </c>
      <c r="P89" s="40">
        <v>-26.592372999999998</v>
      </c>
      <c r="Q89" s="40">
        <v>12.120628</v>
      </c>
      <c r="R89" s="40">
        <v>7.8506229999999997</v>
      </c>
      <c r="S89" s="40">
        <v>-26.669972999999999</v>
      </c>
      <c r="T89" s="40">
        <v>36.05294</v>
      </c>
      <c r="U89" s="40">
        <v>15.668321000000001</v>
      </c>
      <c r="V89" s="155">
        <v>36.272705000000002</v>
      </c>
      <c r="W89" s="24"/>
    </row>
    <row r="90" spans="1:23" x14ac:dyDescent="0.35">
      <c r="A90" s="2">
        <v>44602</v>
      </c>
      <c r="B90" s="40">
        <v>-15.458959999999999</v>
      </c>
      <c r="C90" s="40">
        <v>-13.569497999999999</v>
      </c>
      <c r="D90" s="40">
        <v>1.1760949999999999</v>
      </c>
      <c r="E90" s="40">
        <v>2.4734854999999998</v>
      </c>
      <c r="F90" s="40">
        <v>12.709225</v>
      </c>
      <c r="G90" s="40">
        <v>-6.2343539999999997</v>
      </c>
      <c r="H90" s="40">
        <v>-4.0947437000000004</v>
      </c>
      <c r="I90" s="40">
        <v>15.326071000000001</v>
      </c>
      <c r="J90" s="40">
        <v>19.062840999999999</v>
      </c>
      <c r="K90" s="40">
        <v>-19.079082</v>
      </c>
      <c r="L90" s="40">
        <v>-0.75879096999999995</v>
      </c>
      <c r="M90" s="40">
        <v>8.6614489999999993</v>
      </c>
      <c r="N90" s="40">
        <v>27.343882000000001</v>
      </c>
      <c r="O90" s="40">
        <v>12.913073000000001</v>
      </c>
      <c r="P90" s="40">
        <v>-32.551319999999997</v>
      </c>
      <c r="Q90" s="40">
        <v>24.351500999999999</v>
      </c>
      <c r="R90" s="40">
        <v>12.2654915</v>
      </c>
      <c r="S90" s="40">
        <v>-28.182661</v>
      </c>
      <c r="T90" s="40">
        <v>35.275469999999999</v>
      </c>
      <c r="U90" s="40">
        <v>12.18791</v>
      </c>
      <c r="V90" s="155">
        <v>42.775120000000001</v>
      </c>
      <c r="W90" s="24"/>
    </row>
    <row r="91" spans="1:23" x14ac:dyDescent="0.35">
      <c r="A91" s="2">
        <v>44630</v>
      </c>
      <c r="B91" s="40">
        <v>-6.1342239999999997</v>
      </c>
      <c r="C91" s="40">
        <v>-17.203410000000002</v>
      </c>
      <c r="D91" s="40">
        <v>8.2085969999999993</v>
      </c>
      <c r="E91" s="40">
        <v>1.2834668</v>
      </c>
      <c r="F91" s="40">
        <v>-9.8483680000000007</v>
      </c>
      <c r="G91" s="40">
        <v>4.5927167000000004</v>
      </c>
      <c r="H91" s="40">
        <v>-3.9422630999999999</v>
      </c>
      <c r="I91" s="40">
        <v>10.031021000000001</v>
      </c>
      <c r="J91" s="40">
        <v>15.757799</v>
      </c>
      <c r="K91" s="40">
        <v>-19.234584999999999</v>
      </c>
      <c r="L91" s="40">
        <v>15.702116</v>
      </c>
      <c r="M91" s="40">
        <v>9.4957239999999992</v>
      </c>
      <c r="N91" s="40">
        <v>-5.8737459999999997</v>
      </c>
      <c r="O91" s="40">
        <v>4.7494053999999997</v>
      </c>
      <c r="P91" s="40">
        <v>-37.591970000000003</v>
      </c>
      <c r="Q91" s="40">
        <v>32.835259999999998</v>
      </c>
      <c r="R91" s="40">
        <v>4.7061324000000004</v>
      </c>
      <c r="S91" s="40">
        <v>-32.385753999999999</v>
      </c>
      <c r="T91" s="40">
        <v>43.983505000000001</v>
      </c>
      <c r="U91" s="40">
        <v>8.3235259999999993</v>
      </c>
      <c r="V91" s="155">
        <v>38.342939999999999</v>
      </c>
      <c r="W91" s="24"/>
    </row>
    <row r="92" spans="1:23" x14ac:dyDescent="0.35">
      <c r="A92" s="2">
        <v>44659</v>
      </c>
      <c r="B92" s="40">
        <v>-10.234869</v>
      </c>
      <c r="C92" s="40">
        <v>-14.54556</v>
      </c>
      <c r="D92" s="40">
        <v>15.830601</v>
      </c>
      <c r="E92" s="40">
        <v>4.3661713999999998</v>
      </c>
      <c r="F92" s="40">
        <v>-2.6892781000000001</v>
      </c>
      <c r="G92" s="40">
        <v>2.1713971999999999</v>
      </c>
      <c r="H92" s="40">
        <v>-0.30961037000000002</v>
      </c>
      <c r="I92" s="40">
        <v>0.56782960000000005</v>
      </c>
      <c r="J92" s="40">
        <v>18.584574</v>
      </c>
      <c r="K92" s="40">
        <v>-23.280875999999999</v>
      </c>
      <c r="L92" s="40">
        <v>20.446348</v>
      </c>
      <c r="M92" s="40">
        <v>11.598098999999999</v>
      </c>
      <c r="N92" s="40">
        <v>1.3346313999999999</v>
      </c>
      <c r="O92" s="40">
        <v>16.533982999999999</v>
      </c>
      <c r="P92" s="40">
        <v>-34.970190000000002</v>
      </c>
      <c r="Q92" s="40">
        <v>34.401012000000001</v>
      </c>
      <c r="R92" s="40">
        <v>8.1580399999999997</v>
      </c>
      <c r="S92" s="40">
        <v>-3.7295699999999998</v>
      </c>
      <c r="T92" s="40">
        <v>50.957442999999998</v>
      </c>
      <c r="U92" s="40">
        <v>1.4736056</v>
      </c>
      <c r="V92" s="155">
        <v>36.694206000000001</v>
      </c>
      <c r="W92" s="24"/>
    </row>
    <row r="93" spans="1:23" x14ac:dyDescent="0.35">
      <c r="A93" s="2">
        <v>44691</v>
      </c>
      <c r="B93" s="40">
        <v>-21.382819999999999</v>
      </c>
      <c r="C93" s="40">
        <v>-20.556426999999999</v>
      </c>
      <c r="D93" s="40">
        <v>10.356522</v>
      </c>
      <c r="E93" s="40">
        <v>-0.34354924999999997</v>
      </c>
      <c r="F93" s="40">
        <v>-27.196175</v>
      </c>
      <c r="G93" s="40">
        <v>-16.315066999999999</v>
      </c>
      <c r="H93" s="40">
        <v>-6.8747939999999996</v>
      </c>
      <c r="I93" s="40">
        <v>-12.023764999999999</v>
      </c>
      <c r="J93" s="40">
        <v>2.4909138999999998</v>
      </c>
      <c r="K93" s="40">
        <v>-29.622661999999998</v>
      </c>
      <c r="L93" s="40">
        <v>-12.659293</v>
      </c>
      <c r="M93" s="40">
        <v>-13.089937000000001</v>
      </c>
      <c r="N93" s="40">
        <v>-11.149376999999999</v>
      </c>
      <c r="O93" s="40">
        <v>3.3749699999999998</v>
      </c>
      <c r="P93" s="40">
        <v>-40.145249999999997</v>
      </c>
      <c r="Q93" s="40">
        <v>23.631703999999999</v>
      </c>
      <c r="R93" s="40">
        <v>2.1805286000000002</v>
      </c>
      <c r="S93" s="40">
        <v>-5.0569240000000004</v>
      </c>
      <c r="T93" s="40">
        <v>38.080480000000001</v>
      </c>
      <c r="U93" s="40">
        <v>-15.560752000000001</v>
      </c>
      <c r="V93" s="155">
        <v>33.921169999999996</v>
      </c>
      <c r="W93" s="24"/>
    </row>
    <row r="94" spans="1:23" x14ac:dyDescent="0.35">
      <c r="A94" s="2">
        <v>44722</v>
      </c>
      <c r="B94" s="40">
        <v>-20.532167000000001</v>
      </c>
      <c r="C94" s="40">
        <v>1.6686201000000001</v>
      </c>
      <c r="D94" s="40">
        <v>6.0953616999999998</v>
      </c>
      <c r="E94" s="40">
        <v>-12.424898000000001</v>
      </c>
      <c r="F94" s="40">
        <v>-32.213963</v>
      </c>
      <c r="G94" s="40">
        <v>0.80963373000000005</v>
      </c>
      <c r="H94" s="40">
        <v>-11.220264</v>
      </c>
      <c r="I94" s="40">
        <v>-11.197728</v>
      </c>
      <c r="J94" s="40">
        <v>-1.1559069</v>
      </c>
      <c r="K94" s="40">
        <v>-30.41864</v>
      </c>
      <c r="L94" s="40">
        <v>-15.835625</v>
      </c>
      <c r="M94" s="40">
        <v>-15.456068</v>
      </c>
      <c r="N94" s="40">
        <v>-14.459825</v>
      </c>
      <c r="O94" s="40">
        <v>-5.3933499999999999</v>
      </c>
      <c r="P94" s="40">
        <v>-33.755282999999999</v>
      </c>
      <c r="Q94" s="40">
        <v>19.238890000000001</v>
      </c>
      <c r="R94" s="40">
        <v>0.45223236</v>
      </c>
      <c r="S94" s="40">
        <v>-14.162713</v>
      </c>
      <c r="T94" s="40">
        <v>17.319631999999999</v>
      </c>
      <c r="U94" s="40">
        <v>-20.804006999999999</v>
      </c>
      <c r="V94" s="155">
        <v>16.387664999999998</v>
      </c>
      <c r="W94" s="24"/>
    </row>
    <row r="95" spans="1:23" x14ac:dyDescent="0.35">
      <c r="A95" s="2">
        <v>44750</v>
      </c>
      <c r="B95" s="40">
        <v>-11.769093</v>
      </c>
      <c r="C95" s="40">
        <v>-6.6879929999999996</v>
      </c>
      <c r="D95" s="40">
        <v>11.309301</v>
      </c>
      <c r="E95" s="40">
        <v>-13.520802</v>
      </c>
      <c r="F95" s="40">
        <v>-33.434919999999998</v>
      </c>
      <c r="G95" s="40">
        <v>-6.1552286</v>
      </c>
      <c r="H95" s="40">
        <v>-7.9196634000000001</v>
      </c>
      <c r="I95" s="40">
        <v>-19.849437999999999</v>
      </c>
      <c r="J95" s="40">
        <v>0.22448301000000001</v>
      </c>
      <c r="K95" s="40">
        <v>-33.488833999999997</v>
      </c>
      <c r="L95" s="40">
        <v>-18.582885999999998</v>
      </c>
      <c r="M95" s="40">
        <v>-8.6700735000000009</v>
      </c>
      <c r="N95" s="40">
        <v>-14.413558999999999</v>
      </c>
      <c r="O95" s="40">
        <v>-2.4760306000000001</v>
      </c>
      <c r="P95" s="40">
        <v>-25.730377000000001</v>
      </c>
      <c r="Q95" s="40">
        <v>12.582743000000001</v>
      </c>
      <c r="R95" s="40">
        <v>0.91987850000000004</v>
      </c>
      <c r="S95" s="40">
        <v>-10.395109</v>
      </c>
      <c r="T95" s="40">
        <v>14.4849415</v>
      </c>
      <c r="U95" s="40">
        <v>-28.350131999999999</v>
      </c>
      <c r="V95" s="155">
        <v>7.6494454999999997</v>
      </c>
      <c r="W95" s="24"/>
    </row>
    <row r="96" spans="1:23" x14ac:dyDescent="0.35">
      <c r="A96" s="2">
        <v>44783</v>
      </c>
      <c r="B96" s="40">
        <v>-17.788309999999999</v>
      </c>
      <c r="C96" s="40">
        <v>6.7211746999999997</v>
      </c>
      <c r="D96" s="40">
        <v>21.099281000000001</v>
      </c>
      <c r="E96" s="40">
        <v>-6.1775327000000004</v>
      </c>
      <c r="F96" s="40">
        <v>-31.847888999999999</v>
      </c>
      <c r="G96" s="40">
        <v>8.4205629999999996</v>
      </c>
      <c r="H96" s="40">
        <v>-2.8012693</v>
      </c>
      <c r="I96" s="40">
        <v>-16.048002</v>
      </c>
      <c r="J96" s="40">
        <v>-0.40674806000000002</v>
      </c>
      <c r="K96" s="40">
        <v>-29.328543</v>
      </c>
      <c r="L96" s="40">
        <v>-5.8079660000000004</v>
      </c>
      <c r="M96" s="40">
        <v>-3.4473419999999999</v>
      </c>
      <c r="N96" s="40">
        <v>-7.9902705999999997</v>
      </c>
      <c r="O96" s="40">
        <v>2.5391219999999999</v>
      </c>
      <c r="P96" s="40">
        <v>-31.659199000000001</v>
      </c>
      <c r="Q96" s="40">
        <v>24.72204</v>
      </c>
      <c r="R96" s="40">
        <v>4.8352838</v>
      </c>
      <c r="S96" s="40">
        <v>-3.5586060000000002</v>
      </c>
      <c r="T96" s="40">
        <v>21.250893000000001</v>
      </c>
      <c r="U96" s="40">
        <v>-22.022879</v>
      </c>
      <c r="V96" s="155">
        <v>11.507595</v>
      </c>
      <c r="W96" s="24"/>
    </row>
    <row r="97" spans="1:23" x14ac:dyDescent="0.35">
      <c r="A97" s="2">
        <v>44813</v>
      </c>
      <c r="B97" s="40">
        <v>-21.134096</v>
      </c>
      <c r="C97" s="40">
        <v>12.211919</v>
      </c>
      <c r="D97" s="40">
        <v>16.464043</v>
      </c>
      <c r="E97" s="40">
        <v>-13.707399000000001</v>
      </c>
      <c r="F97" s="40">
        <v>-42.995429999999999</v>
      </c>
      <c r="G97" s="40">
        <v>2.6146053999999999</v>
      </c>
      <c r="H97" s="40">
        <v>-10.467255</v>
      </c>
      <c r="I97" s="40">
        <v>-21.326022999999999</v>
      </c>
      <c r="J97" s="40">
        <v>-3.6558926</v>
      </c>
      <c r="K97" s="40">
        <v>-31.789332999999999</v>
      </c>
      <c r="L97" s="40">
        <v>1.0733724</v>
      </c>
      <c r="M97" s="40">
        <v>-11.120850000000001</v>
      </c>
      <c r="N97" s="40">
        <v>-14.234553999999999</v>
      </c>
      <c r="O97" s="40">
        <v>-5.4460945000000001</v>
      </c>
      <c r="P97" s="40">
        <v>-32.080523999999997</v>
      </c>
      <c r="Q97" s="40">
        <v>15.528428999999999</v>
      </c>
      <c r="R97" s="40">
        <v>1.5652657000000001</v>
      </c>
      <c r="S97" s="40">
        <v>12.500132000000001</v>
      </c>
      <c r="T97" s="40">
        <v>5.5259466000000002</v>
      </c>
      <c r="U97" s="40">
        <v>-24.486654000000001</v>
      </c>
      <c r="V97" s="155">
        <v>5.0332784999999998</v>
      </c>
      <c r="W97" s="24"/>
    </row>
    <row r="98" spans="1:23" x14ac:dyDescent="0.35">
      <c r="A98" s="2">
        <v>44844</v>
      </c>
      <c r="B98" s="40">
        <v>-29.70438</v>
      </c>
      <c r="C98" s="40">
        <v>7.0375443000000004</v>
      </c>
      <c r="D98" s="40">
        <v>1.2093544000000001</v>
      </c>
      <c r="E98" s="40">
        <v>-27.104986</v>
      </c>
      <c r="F98" s="40">
        <v>-52.305219999999998</v>
      </c>
      <c r="G98" s="40">
        <v>-3.0689776000000002</v>
      </c>
      <c r="H98" s="40">
        <v>-18.630355999999999</v>
      </c>
      <c r="I98" s="40">
        <v>-28.309529999999999</v>
      </c>
      <c r="J98" s="40">
        <v>-2.6854157000000001</v>
      </c>
      <c r="K98" s="40">
        <v>-36.180121999999997</v>
      </c>
      <c r="L98" s="40">
        <v>12.620449000000001</v>
      </c>
      <c r="M98" s="40">
        <v>-20.05462</v>
      </c>
      <c r="N98" s="40">
        <v>-20.197559999999999</v>
      </c>
      <c r="O98" s="40">
        <v>-11.682356</v>
      </c>
      <c r="P98" s="40">
        <v>-38.998950000000001</v>
      </c>
      <c r="Q98" s="40">
        <v>9.58432</v>
      </c>
      <c r="R98" s="40">
        <v>-4.1990756999999999</v>
      </c>
      <c r="S98" s="40">
        <v>21.998417</v>
      </c>
      <c r="T98" s="40">
        <v>7.6804519999999998</v>
      </c>
      <c r="U98" s="40">
        <v>-36.315514</v>
      </c>
      <c r="V98" s="155">
        <v>0.24055243000000001</v>
      </c>
      <c r="W98" s="24"/>
    </row>
    <row r="99" spans="1:23" x14ac:dyDescent="0.35">
      <c r="A99" s="2">
        <v>44875</v>
      </c>
      <c r="B99" s="40">
        <v>-27.521563</v>
      </c>
      <c r="C99" s="40">
        <v>8.7349300000000003</v>
      </c>
      <c r="D99" s="40">
        <v>2.0841121999999999</v>
      </c>
      <c r="E99" s="40">
        <v>-23.162251999999999</v>
      </c>
      <c r="F99" s="40">
        <v>-36.208779999999997</v>
      </c>
      <c r="G99" s="40">
        <v>2.8288484</v>
      </c>
      <c r="H99" s="40">
        <v>-10.180444</v>
      </c>
      <c r="I99" s="40">
        <v>-25.806325999999999</v>
      </c>
      <c r="J99" s="40">
        <v>12.223815999999999</v>
      </c>
      <c r="K99" s="40">
        <v>-23.268366</v>
      </c>
      <c r="L99" s="40">
        <v>9.6869709999999998</v>
      </c>
      <c r="M99" s="40">
        <v>-4.8639956</v>
      </c>
      <c r="N99" s="40">
        <v>-5.7188271999999998</v>
      </c>
      <c r="O99" s="40">
        <v>-6.2586545999999998</v>
      </c>
      <c r="P99" s="40">
        <v>-38.907874999999997</v>
      </c>
      <c r="Q99" s="40">
        <v>8.0216650000000005</v>
      </c>
      <c r="R99" s="40">
        <v>-0.68936944</v>
      </c>
      <c r="S99" s="40">
        <v>40.537610000000001</v>
      </c>
      <c r="T99" s="40">
        <v>4.8187017000000001</v>
      </c>
      <c r="U99" s="40">
        <v>-46.503872000000001</v>
      </c>
      <c r="V99" s="155">
        <v>-3.4454584000000001</v>
      </c>
      <c r="W99" s="24"/>
    </row>
    <row r="100" spans="1:23" x14ac:dyDescent="0.35">
      <c r="A100" s="2">
        <v>44904</v>
      </c>
      <c r="B100" s="40">
        <v>-26.851241999999999</v>
      </c>
      <c r="C100" s="40">
        <v>15.776884000000001</v>
      </c>
      <c r="D100" s="40">
        <v>-2.4717033000000002</v>
      </c>
      <c r="E100" s="40">
        <v>-17.451609000000001</v>
      </c>
      <c r="F100" s="40">
        <v>-26.887862999999999</v>
      </c>
      <c r="G100" s="40">
        <v>8.9451309999999999</v>
      </c>
      <c r="H100" s="40">
        <v>-2.8962789999999998</v>
      </c>
      <c r="I100" s="40">
        <v>-23.736578000000002</v>
      </c>
      <c r="J100" s="40">
        <v>10.661781</v>
      </c>
      <c r="K100" s="40">
        <v>-26.586787999999999</v>
      </c>
      <c r="L100" s="40">
        <v>10.763824</v>
      </c>
      <c r="M100" s="40">
        <v>-3.1932830000000001</v>
      </c>
      <c r="N100" s="40">
        <v>0.32836199999999999</v>
      </c>
      <c r="O100" s="40">
        <v>-5.7299376000000004</v>
      </c>
      <c r="P100" s="40">
        <v>-25.054687999999999</v>
      </c>
      <c r="Q100" s="40">
        <v>3.2544136E-3</v>
      </c>
      <c r="R100" s="40">
        <v>0.30280351999999999</v>
      </c>
      <c r="S100" s="40">
        <v>77.935749999999999</v>
      </c>
      <c r="T100" s="40">
        <v>-8.8166829999999994</v>
      </c>
      <c r="U100" s="40">
        <v>-38.060856000000001</v>
      </c>
      <c r="V100" s="155">
        <v>-4.1161656000000004</v>
      </c>
      <c r="W100" s="24"/>
    </row>
    <row r="101" spans="1:23" x14ac:dyDescent="0.35">
      <c r="A101" s="2">
        <v>44936</v>
      </c>
      <c r="B101" s="40">
        <v>-19.144321000000001</v>
      </c>
      <c r="C101" s="40">
        <v>22.420287999999999</v>
      </c>
      <c r="D101" s="40">
        <v>-4.470885</v>
      </c>
      <c r="E101" s="40">
        <v>-8.6866260000000004</v>
      </c>
      <c r="F101" s="40">
        <v>-20.304929999999999</v>
      </c>
      <c r="G101" s="40">
        <v>4.1781306000000002</v>
      </c>
      <c r="H101" s="40">
        <v>-4.4131574999999996</v>
      </c>
      <c r="I101" s="40">
        <v>-23.4267</v>
      </c>
      <c r="J101" s="40">
        <v>11.932921</v>
      </c>
      <c r="K101" s="40">
        <v>-18.652343999999999</v>
      </c>
      <c r="L101" s="40">
        <v>20.399666</v>
      </c>
      <c r="M101" s="40">
        <v>-0.17852783</v>
      </c>
      <c r="N101" s="40">
        <v>6.2572599999999996</v>
      </c>
      <c r="O101" s="40">
        <v>-10.923308</v>
      </c>
      <c r="P101" s="40">
        <v>-12.9573345</v>
      </c>
      <c r="Q101" s="40">
        <v>-2.1614015000000002</v>
      </c>
      <c r="R101" s="40">
        <v>2.0729422999999998</v>
      </c>
      <c r="S101" s="40">
        <v>74.634739999999994</v>
      </c>
      <c r="T101" s="40">
        <v>-5.4608639999999999</v>
      </c>
      <c r="U101" s="40">
        <v>-40.722008000000002</v>
      </c>
      <c r="V101" s="155">
        <v>-7.7743172999999999</v>
      </c>
      <c r="W101" s="24"/>
    </row>
    <row r="102" spans="1:23" x14ac:dyDescent="0.35">
      <c r="A102" s="2">
        <v>44967</v>
      </c>
      <c r="B102" s="40">
        <v>-15.098882</v>
      </c>
      <c r="C102" s="40">
        <v>18.641590000000001</v>
      </c>
      <c r="D102" s="40">
        <v>0.5859375</v>
      </c>
      <c r="E102" s="40">
        <v>-10.649925</v>
      </c>
      <c r="F102" s="40">
        <v>-23.560683999999998</v>
      </c>
      <c r="G102" s="40">
        <v>-8.2881210000000003</v>
      </c>
      <c r="H102" s="40">
        <v>-5.8538620000000003</v>
      </c>
      <c r="I102" s="40">
        <v>-19.649685000000002</v>
      </c>
      <c r="J102" s="40">
        <v>17.299402000000001</v>
      </c>
      <c r="K102" s="40">
        <v>-14.138979000000001</v>
      </c>
      <c r="L102" s="40">
        <v>-2.3002326000000002</v>
      </c>
      <c r="M102" s="40">
        <v>-12.601184999999999</v>
      </c>
      <c r="N102" s="40">
        <v>8.6711519999999993</v>
      </c>
      <c r="O102" s="40">
        <v>-10.474926</v>
      </c>
      <c r="P102" s="40">
        <v>-17.535847</v>
      </c>
      <c r="Q102" s="40">
        <v>-17.764050000000001</v>
      </c>
      <c r="R102" s="40">
        <v>-2.2566079999999999</v>
      </c>
      <c r="S102" s="40">
        <v>49.205756999999998</v>
      </c>
      <c r="T102" s="40">
        <v>-8.380217</v>
      </c>
      <c r="U102" s="40">
        <v>-39.294220000000003</v>
      </c>
      <c r="V102" s="155">
        <v>-15.501708000000001</v>
      </c>
      <c r="W102" s="24"/>
    </row>
    <row r="103" spans="1:23" x14ac:dyDescent="0.35">
      <c r="A103" s="2">
        <v>44995</v>
      </c>
      <c r="B103" s="40">
        <v>-12.994999</v>
      </c>
      <c r="C103" s="40">
        <v>14.980936</v>
      </c>
      <c r="D103" s="40">
        <v>-7.3313179999999996</v>
      </c>
      <c r="E103" s="40">
        <v>-11.927122000000001</v>
      </c>
      <c r="F103" s="40">
        <v>-6.566268</v>
      </c>
      <c r="G103" s="40">
        <v>-17.007196</v>
      </c>
      <c r="H103" s="40">
        <v>-12.626827</v>
      </c>
      <c r="I103" s="40">
        <v>-16.378397</v>
      </c>
      <c r="J103" s="40">
        <v>19.949065999999998</v>
      </c>
      <c r="K103" s="40">
        <v>-14.191001999999999</v>
      </c>
      <c r="L103" s="40">
        <v>-11.021364</v>
      </c>
      <c r="M103" s="40">
        <v>-20.447147000000001</v>
      </c>
      <c r="N103" s="40">
        <v>28.553688000000001</v>
      </c>
      <c r="O103" s="40">
        <v>-7.4135119999999999</v>
      </c>
      <c r="P103" s="40">
        <v>-7.1625414000000003</v>
      </c>
      <c r="Q103" s="40">
        <v>-19.249409</v>
      </c>
      <c r="R103" s="40">
        <v>-2.8796374999999999</v>
      </c>
      <c r="S103" s="40">
        <v>106.871414</v>
      </c>
      <c r="T103" s="40">
        <v>-18.683409999999999</v>
      </c>
      <c r="U103" s="40">
        <v>-37.957214</v>
      </c>
      <c r="V103" s="155">
        <v>-18.701243999999999</v>
      </c>
      <c r="W103" s="24"/>
    </row>
    <row r="104" spans="1:23" x14ac:dyDescent="0.35">
      <c r="A104" s="2">
        <v>45026</v>
      </c>
      <c r="B104" s="40">
        <v>-8.1311409999999995</v>
      </c>
      <c r="C104" s="40">
        <v>3.5702824999999998</v>
      </c>
      <c r="D104" s="40">
        <v>-2.9373944000000001</v>
      </c>
      <c r="E104" s="40">
        <v>-11.669551999999999</v>
      </c>
      <c r="F104" s="40">
        <v>-12.424600999999999</v>
      </c>
      <c r="G104" s="40">
        <v>-11.8547735</v>
      </c>
      <c r="H104" s="40">
        <v>-11.046493999999999</v>
      </c>
      <c r="I104" s="40">
        <v>-11.351775999999999</v>
      </c>
      <c r="J104" s="40">
        <v>15.171528</v>
      </c>
      <c r="K104" s="40">
        <v>-10.024029000000001</v>
      </c>
      <c r="L104" s="40">
        <v>-18.546284</v>
      </c>
      <c r="M104" s="40">
        <v>-20.797173999999998</v>
      </c>
      <c r="N104" s="40">
        <v>16.886413999999998</v>
      </c>
      <c r="O104" s="40">
        <v>-12.930661000000001</v>
      </c>
      <c r="P104" s="40">
        <v>-4.9840270000000002</v>
      </c>
      <c r="Q104" s="40">
        <v>-23.493939999999998</v>
      </c>
      <c r="R104" s="40">
        <v>-5.5083035999999996</v>
      </c>
      <c r="S104" s="40">
        <v>61.779068000000002</v>
      </c>
      <c r="T104" s="40">
        <v>-23.765236000000002</v>
      </c>
      <c r="U104" s="40">
        <v>-33.854412000000004</v>
      </c>
      <c r="V104" s="155">
        <v>-17.023175999999999</v>
      </c>
      <c r="W104" s="24"/>
    </row>
    <row r="105" spans="1:23" x14ac:dyDescent="0.35">
      <c r="A105" s="2">
        <v>45056</v>
      </c>
      <c r="B105" s="40">
        <v>1.6426921000000001</v>
      </c>
      <c r="C105" s="40">
        <v>28.008806</v>
      </c>
      <c r="D105" s="40">
        <v>4.4605730000000001</v>
      </c>
      <c r="E105" s="40">
        <v>-4.3582260000000002</v>
      </c>
      <c r="F105" s="40">
        <v>23.948442</v>
      </c>
      <c r="G105" s="40">
        <v>16.180277</v>
      </c>
      <c r="H105" s="40">
        <v>-4.9495100000000001</v>
      </c>
      <c r="I105" s="40">
        <v>-3.7043393</v>
      </c>
      <c r="J105" s="40">
        <v>36.809764999999999</v>
      </c>
      <c r="K105" s="40">
        <v>-3.9019287</v>
      </c>
      <c r="L105" s="40">
        <v>9.21936</v>
      </c>
      <c r="M105" s="40">
        <v>-3.5556494999999999</v>
      </c>
      <c r="N105" s="40">
        <v>33.48874</v>
      </c>
      <c r="O105" s="40">
        <v>1.6077995</v>
      </c>
      <c r="P105" s="40">
        <v>3.3940196</v>
      </c>
      <c r="Q105" s="40">
        <v>-14.623612</v>
      </c>
      <c r="R105" s="40">
        <v>-3.2795548000000001</v>
      </c>
      <c r="S105" s="40">
        <v>42.702843000000001</v>
      </c>
      <c r="T105" s="40">
        <v>-14.261174</v>
      </c>
      <c r="U105" s="40">
        <v>-23.326194999999998</v>
      </c>
      <c r="V105" s="155">
        <v>-15.333766000000001</v>
      </c>
      <c r="W105" s="24"/>
    </row>
    <row r="106" spans="1:23" x14ac:dyDescent="0.35">
      <c r="A106" s="2">
        <v>45086</v>
      </c>
      <c r="B106" s="40">
        <v>-13.346714</v>
      </c>
      <c r="C106" s="40">
        <v>10.509682</v>
      </c>
      <c r="D106" s="40">
        <v>1.7164588000000001</v>
      </c>
      <c r="E106" s="40">
        <v>-6.69353</v>
      </c>
      <c r="F106" s="40">
        <v>23.107051999999999</v>
      </c>
      <c r="G106" s="40">
        <v>7.4563622000000001</v>
      </c>
      <c r="H106" s="40">
        <v>-8.9082419999999995</v>
      </c>
      <c r="I106" s="40">
        <v>1.3486624</v>
      </c>
      <c r="J106" s="40">
        <v>31.685555000000001</v>
      </c>
      <c r="K106" s="40">
        <v>4.1653989999999999</v>
      </c>
      <c r="L106" s="40">
        <v>10.691202000000001</v>
      </c>
      <c r="M106" s="40">
        <v>-6.0286759999999999</v>
      </c>
      <c r="N106" s="40">
        <v>42.133892000000003</v>
      </c>
      <c r="O106" s="40">
        <v>3.5837412</v>
      </c>
      <c r="P106" s="40">
        <v>-12.595404</v>
      </c>
      <c r="Q106" s="40">
        <v>-13.40931</v>
      </c>
      <c r="R106" s="40">
        <v>-5.2536306000000002</v>
      </c>
      <c r="S106" s="40">
        <v>62.109734000000003</v>
      </c>
      <c r="T106" s="40">
        <v>-8.9743379999999995</v>
      </c>
      <c r="U106" s="40">
        <v>-16.676022</v>
      </c>
      <c r="V106" s="155">
        <v>-5.3572474000000003</v>
      </c>
      <c r="W106" s="24"/>
    </row>
    <row r="107" spans="1:23" x14ac:dyDescent="0.35">
      <c r="A107" s="2">
        <v>45117</v>
      </c>
      <c r="B107" s="40">
        <v>-19.552081999999999</v>
      </c>
      <c r="C107" s="40">
        <v>35.154045000000004</v>
      </c>
      <c r="D107" s="40">
        <v>8.1598640000000007</v>
      </c>
      <c r="E107" s="40">
        <v>1.2436152</v>
      </c>
      <c r="F107" s="40">
        <v>38.677345000000003</v>
      </c>
      <c r="G107" s="40">
        <v>28.503571999999998</v>
      </c>
      <c r="H107" s="40">
        <v>-5.1383375999999998</v>
      </c>
      <c r="I107" s="40">
        <v>9.9792120000000004</v>
      </c>
      <c r="J107" s="40">
        <v>40.068604000000001</v>
      </c>
      <c r="K107" s="40">
        <v>9.7374325000000006</v>
      </c>
      <c r="L107" s="40">
        <v>26.807486999999998</v>
      </c>
      <c r="M107" s="40">
        <v>-5.2285966999999998</v>
      </c>
      <c r="N107" s="40">
        <v>71.361649999999997</v>
      </c>
      <c r="O107" s="40">
        <v>8.8124040000000008</v>
      </c>
      <c r="P107" s="40">
        <v>-17.092196999999999</v>
      </c>
      <c r="Q107" s="40">
        <v>-10.704845000000001</v>
      </c>
      <c r="R107" s="40">
        <v>-3.9143205000000001</v>
      </c>
      <c r="S107" s="40">
        <v>72.670760000000001</v>
      </c>
      <c r="T107" s="40">
        <v>-1.0835052000000001</v>
      </c>
      <c r="U107" s="40">
        <v>-2.9484750000000002</v>
      </c>
      <c r="V107" s="155">
        <v>3.1394481999999999</v>
      </c>
      <c r="W107" s="24"/>
    </row>
    <row r="108" spans="1:23" x14ac:dyDescent="0.35">
      <c r="A108" s="2">
        <v>45148</v>
      </c>
      <c r="B108" s="40">
        <v>-11.605853</v>
      </c>
      <c r="C108" s="40">
        <v>17.975294000000002</v>
      </c>
      <c r="D108" s="40">
        <v>-0.76249239999999996</v>
      </c>
      <c r="E108" s="40">
        <v>-2.0678399999999999</v>
      </c>
      <c r="F108" s="40">
        <v>41.589607000000001</v>
      </c>
      <c r="G108" s="40">
        <v>29.763020000000001</v>
      </c>
      <c r="H108" s="40">
        <v>-2.6539505000000001</v>
      </c>
      <c r="I108" s="40">
        <v>4.5670270000000004</v>
      </c>
      <c r="J108" s="40">
        <v>36.875107</v>
      </c>
      <c r="K108" s="40">
        <v>4.9441100000000002</v>
      </c>
      <c r="L108" s="40">
        <v>11.604929</v>
      </c>
      <c r="M108" s="40">
        <v>-4.8940063</v>
      </c>
      <c r="N108" s="40">
        <v>57.965384999999998</v>
      </c>
      <c r="O108" s="40">
        <v>0.46396254999999997</v>
      </c>
      <c r="P108" s="40">
        <v>-1.1716008</v>
      </c>
      <c r="Q108" s="40">
        <v>-16.338211000000001</v>
      </c>
      <c r="R108" s="40">
        <v>-5.1817599999999997</v>
      </c>
      <c r="S108" s="40">
        <v>71.966980000000007</v>
      </c>
      <c r="T108" s="40">
        <v>-6.579542</v>
      </c>
      <c r="U108" s="40">
        <v>-2.9004812000000002</v>
      </c>
      <c r="V108" s="155">
        <v>-8.2361400000000007</v>
      </c>
      <c r="W108" s="24"/>
    </row>
    <row r="109" spans="1:23" x14ac:dyDescent="0.35">
      <c r="A109" s="2">
        <v>45177</v>
      </c>
      <c r="B109" s="40">
        <v>-14.119709</v>
      </c>
      <c r="C109" s="40">
        <v>-1.8392265000000001</v>
      </c>
      <c r="D109" s="40">
        <v>-3.2815634999999999</v>
      </c>
      <c r="E109" s="40">
        <v>-3.0083834999999999</v>
      </c>
      <c r="F109" s="40">
        <v>47.423088</v>
      </c>
      <c r="G109" s="40">
        <v>27.875471000000001</v>
      </c>
      <c r="H109" s="40">
        <v>-2.7619539999999998</v>
      </c>
      <c r="I109" s="40">
        <v>9.4169979999999995</v>
      </c>
      <c r="J109" s="40">
        <v>33.052956000000002</v>
      </c>
      <c r="K109" s="40">
        <v>14.376806999999999</v>
      </c>
      <c r="L109" s="40">
        <v>10.560095</v>
      </c>
      <c r="M109" s="40">
        <v>3.5810469999999997E-2</v>
      </c>
      <c r="N109" s="40">
        <v>60.544539999999998</v>
      </c>
      <c r="O109" s="40">
        <v>3.0033349999999999</v>
      </c>
      <c r="P109" s="40">
        <v>-5.1972630000000004</v>
      </c>
      <c r="Q109" s="40">
        <v>-14.615715</v>
      </c>
      <c r="R109" s="40">
        <v>-5.6603612999999999</v>
      </c>
      <c r="S109" s="40">
        <v>68.115070000000003</v>
      </c>
      <c r="T109" s="40">
        <v>-0.51243304999999995</v>
      </c>
      <c r="U109" s="40">
        <v>5.0148605999999996</v>
      </c>
      <c r="V109" s="155">
        <v>-4.8616169999999999</v>
      </c>
      <c r="W109" s="24"/>
    </row>
    <row r="110" spans="1:23" x14ac:dyDescent="0.35">
      <c r="A110" s="2">
        <v>45209</v>
      </c>
      <c r="B110" s="40">
        <v>-3.6936939</v>
      </c>
      <c r="C110" s="40">
        <v>9.7561599999999995</v>
      </c>
      <c r="D110" s="40">
        <v>-2.5053800000000002</v>
      </c>
      <c r="E110" s="40">
        <v>13.301504</v>
      </c>
      <c r="F110" s="40">
        <v>69.180909999999997</v>
      </c>
      <c r="G110" s="40">
        <v>20.073879999999999</v>
      </c>
      <c r="H110" s="40">
        <v>5.3834080000000002</v>
      </c>
      <c r="I110" s="40">
        <v>26.58428</v>
      </c>
      <c r="J110" s="40">
        <v>27.29881</v>
      </c>
      <c r="K110" s="40">
        <v>21.665310000000002</v>
      </c>
      <c r="L110" s="40">
        <v>4.0182114000000002</v>
      </c>
      <c r="M110" s="40">
        <v>6.8599342999999999</v>
      </c>
      <c r="N110" s="40">
        <v>53.332210000000003</v>
      </c>
      <c r="O110" s="40">
        <v>9.3619350000000008</v>
      </c>
      <c r="P110" s="40">
        <v>8.0341699999999996</v>
      </c>
      <c r="Q110" s="40">
        <v>-19.005030000000001</v>
      </c>
      <c r="R110" s="40">
        <v>-8.6669149999999995</v>
      </c>
      <c r="S110" s="40">
        <v>62.563290000000002</v>
      </c>
      <c r="T110" s="40">
        <v>-4.2241809999999998E-2</v>
      </c>
      <c r="U110" s="40">
        <v>10.122930999999999</v>
      </c>
      <c r="V110" s="155">
        <v>-8.2326530000000009</v>
      </c>
      <c r="W110" s="24"/>
    </row>
    <row r="111" spans="1:23" x14ac:dyDescent="0.35">
      <c r="A111" s="2">
        <v>45240</v>
      </c>
      <c r="B111" s="40">
        <v>-8.6427150000000008</v>
      </c>
      <c r="C111" s="40">
        <v>-4.3447374999999999</v>
      </c>
      <c r="D111" s="40">
        <v>-9.0412855000000008</v>
      </c>
      <c r="E111" s="40">
        <v>0.21722316999999999</v>
      </c>
      <c r="F111" s="40">
        <v>44.790604000000002</v>
      </c>
      <c r="G111" s="40">
        <v>5.8855769999999996</v>
      </c>
      <c r="H111" s="40">
        <v>-1.0699034E-2</v>
      </c>
      <c r="I111" s="40">
        <v>17.158639999999998</v>
      </c>
      <c r="J111" s="40">
        <v>14.180922499999999</v>
      </c>
      <c r="K111" s="40">
        <v>4.5254469999999998</v>
      </c>
      <c r="L111" s="40">
        <v>20.661116</v>
      </c>
      <c r="M111" s="40">
        <v>-7.6219140000000003</v>
      </c>
      <c r="N111" s="40">
        <v>40.112520000000004</v>
      </c>
      <c r="O111" s="40">
        <v>1.2818932999999999</v>
      </c>
      <c r="P111" s="40">
        <v>5.5536985000000003</v>
      </c>
      <c r="Q111" s="40">
        <v>-18.044519999999999</v>
      </c>
      <c r="R111" s="40">
        <v>-14.183289</v>
      </c>
      <c r="S111" s="40">
        <v>18.164158</v>
      </c>
      <c r="T111" s="40">
        <v>-5.0868989999999998</v>
      </c>
      <c r="U111" s="40">
        <v>21.384965999999999</v>
      </c>
      <c r="V111" s="155">
        <v>-4.2249084000000003</v>
      </c>
      <c r="W111" s="24"/>
    </row>
    <row r="112" spans="1:23" x14ac:dyDescent="0.35">
      <c r="A112" s="2">
        <v>45268</v>
      </c>
      <c r="B112" s="40">
        <v>-16.76389</v>
      </c>
      <c r="C112" s="40">
        <v>7.6465607000000002</v>
      </c>
      <c r="D112" s="40">
        <v>-2.0851373999999998</v>
      </c>
      <c r="E112" s="40">
        <v>-3.7959814000000001</v>
      </c>
      <c r="F112" s="40">
        <v>52.801547999999997</v>
      </c>
      <c r="G112" s="40">
        <v>7.2422385</v>
      </c>
      <c r="H112" s="40">
        <v>-4.9874599999999996</v>
      </c>
      <c r="I112" s="40">
        <v>15.661597</v>
      </c>
      <c r="J112" s="40">
        <v>25.018560000000001</v>
      </c>
      <c r="K112" s="40">
        <v>9.1708300000000005</v>
      </c>
      <c r="L112" s="40">
        <v>24.546824999999998</v>
      </c>
      <c r="M112" s="40">
        <v>-7.7426614999999996</v>
      </c>
      <c r="N112" s="40">
        <v>40.756393000000003</v>
      </c>
      <c r="O112" s="40">
        <v>9.3413939999999993</v>
      </c>
      <c r="P112" s="40">
        <v>-15.530597999999999</v>
      </c>
      <c r="Q112" s="40">
        <v>-10.382915000000001</v>
      </c>
      <c r="R112" s="40">
        <v>-14.779477999999999</v>
      </c>
      <c r="S112" s="40">
        <v>10.607302000000001</v>
      </c>
      <c r="T112" s="40">
        <v>-2.8187275000000001</v>
      </c>
      <c r="U112" s="40">
        <v>6.1357974999999998</v>
      </c>
      <c r="V112" s="155">
        <v>9.4034309999999994</v>
      </c>
      <c r="W112" s="24"/>
    </row>
    <row r="113" spans="1:23" x14ac:dyDescent="0.35">
      <c r="A113" s="2">
        <v>45301</v>
      </c>
      <c r="B113" s="40">
        <v>-23.257916999999999</v>
      </c>
      <c r="C113" s="40">
        <v>1.4092803</v>
      </c>
      <c r="D113" s="40">
        <v>5.7410480000000002</v>
      </c>
      <c r="E113" s="40">
        <v>-4.6480300000000003</v>
      </c>
      <c r="F113" s="40">
        <v>33.277009999999997</v>
      </c>
      <c r="G113" s="40">
        <v>13.204442999999999</v>
      </c>
      <c r="H113" s="40">
        <v>-3.1995952000000001</v>
      </c>
      <c r="I113" s="40">
        <v>15.137423</v>
      </c>
      <c r="J113" s="40">
        <v>23.020530000000001</v>
      </c>
      <c r="K113" s="40">
        <v>2.7327775999999999</v>
      </c>
      <c r="L113" s="40">
        <v>25.201214</v>
      </c>
      <c r="M113" s="40">
        <v>-12.389642</v>
      </c>
      <c r="N113" s="40">
        <v>40.904975999999998</v>
      </c>
      <c r="O113" s="40">
        <v>16.800212999999999</v>
      </c>
      <c r="P113" s="40">
        <v>-24.898827000000001</v>
      </c>
      <c r="Q113" s="40">
        <v>-5.1747855999999999</v>
      </c>
      <c r="R113" s="40">
        <v>-16.429490000000001</v>
      </c>
      <c r="S113" s="40">
        <v>4.1052220000000004</v>
      </c>
      <c r="T113" s="40">
        <v>3.9401890000000002</v>
      </c>
      <c r="U113" s="40">
        <v>9.4629049999999992</v>
      </c>
      <c r="V113" s="155">
        <v>13.594877</v>
      </c>
      <c r="W113" s="24"/>
    </row>
    <row r="114" spans="1:23" x14ac:dyDescent="0.35">
      <c r="A114" s="2">
        <v>45331</v>
      </c>
      <c r="B114" s="40">
        <v>-24.001663000000001</v>
      </c>
      <c r="C114" s="40">
        <v>-11.040926000000001</v>
      </c>
      <c r="D114" s="40">
        <v>-1.6230165999999999</v>
      </c>
      <c r="E114" s="40">
        <v>-0.74310900000000002</v>
      </c>
      <c r="F114" s="40">
        <v>42.696249999999999</v>
      </c>
      <c r="G114" s="40">
        <v>16.128302000000001</v>
      </c>
      <c r="H114" s="40">
        <v>-4.7958910000000001</v>
      </c>
      <c r="I114" s="40">
        <v>16.596900000000002</v>
      </c>
      <c r="J114" s="40">
        <v>22.958220000000001</v>
      </c>
      <c r="K114" s="40">
        <v>4.1699650000000004</v>
      </c>
      <c r="L114" s="40">
        <v>25.701976999999999</v>
      </c>
      <c r="M114" s="40">
        <v>-9.7706320000000009</v>
      </c>
      <c r="N114" s="40">
        <v>32.040439999999997</v>
      </c>
      <c r="O114" s="40">
        <v>26.188075999999999</v>
      </c>
      <c r="P114" s="40">
        <v>-26.043022000000001</v>
      </c>
      <c r="Q114" s="40">
        <v>0.23808480000000001</v>
      </c>
      <c r="R114" s="40">
        <v>-16.822737</v>
      </c>
      <c r="S114" s="40">
        <v>34.099685999999998</v>
      </c>
      <c r="T114" s="40">
        <v>0.42660236000000001</v>
      </c>
      <c r="U114" s="40">
        <v>15.181816</v>
      </c>
      <c r="V114" s="155">
        <v>19.265246999999999</v>
      </c>
      <c r="W114" s="24"/>
    </row>
    <row r="115" spans="1:23" x14ac:dyDescent="0.35">
      <c r="A115" s="2">
        <v>45359</v>
      </c>
      <c r="B115" s="40">
        <v>-14.893162</v>
      </c>
      <c r="C115" s="40">
        <v>-6.5163080000000004</v>
      </c>
      <c r="D115" s="40">
        <v>5.9535622999999998</v>
      </c>
      <c r="E115" s="40">
        <v>5.6558846999999997</v>
      </c>
      <c r="F115" s="40">
        <v>48.196444999999997</v>
      </c>
      <c r="G115" s="40">
        <v>30.754052999999999</v>
      </c>
      <c r="H115" s="40">
        <v>4.1334270000000002</v>
      </c>
      <c r="I115" s="40">
        <v>21.881067000000002</v>
      </c>
      <c r="J115" s="40">
        <v>12.935983999999999</v>
      </c>
      <c r="K115" s="40">
        <v>14.890039</v>
      </c>
      <c r="L115" s="40">
        <v>21.748042999999999</v>
      </c>
      <c r="M115" s="40">
        <v>-0.93814730000000002</v>
      </c>
      <c r="N115" s="40">
        <v>36.444102999999998</v>
      </c>
      <c r="O115" s="40">
        <v>30.198596999999999</v>
      </c>
      <c r="P115" s="40">
        <v>-16.645627999999999</v>
      </c>
      <c r="Q115" s="40">
        <v>-0.19689798</v>
      </c>
      <c r="R115" s="40">
        <v>-14.025795</v>
      </c>
      <c r="S115" s="40">
        <v>2.5264859999999998</v>
      </c>
      <c r="T115" s="40">
        <v>1.5624642</v>
      </c>
      <c r="U115" s="40">
        <v>20.887851999999999</v>
      </c>
      <c r="V115" s="155">
        <v>21.111630999999999</v>
      </c>
      <c r="W115" s="24"/>
    </row>
    <row r="116" spans="1:23" x14ac:dyDescent="0.35">
      <c r="A116" s="2">
        <v>45392</v>
      </c>
      <c r="B116" s="40">
        <v>-18.590354999999999</v>
      </c>
      <c r="C116" s="40">
        <v>4.6935796999999999</v>
      </c>
      <c r="D116" s="40">
        <v>-4.7673759999999996</v>
      </c>
      <c r="E116" s="40">
        <v>1.2324214</v>
      </c>
      <c r="F116" s="40">
        <v>59.275689999999997</v>
      </c>
      <c r="G116" s="40">
        <v>38.570892000000001</v>
      </c>
      <c r="H116" s="40">
        <v>1.2791276</v>
      </c>
      <c r="I116" s="40">
        <v>23.562313</v>
      </c>
      <c r="J116" s="40">
        <v>18.481434</v>
      </c>
      <c r="K116" s="40">
        <v>6.1166166999999998</v>
      </c>
      <c r="L116" s="40">
        <v>24.516928</v>
      </c>
      <c r="M116" s="40">
        <v>-1.2981415000000001</v>
      </c>
      <c r="N116" s="40">
        <v>33.677959999999999</v>
      </c>
      <c r="O116" s="40">
        <v>31.026244999999999</v>
      </c>
      <c r="P116" s="40">
        <v>-15.926904</v>
      </c>
      <c r="Q116" s="40">
        <v>-0.8392155</v>
      </c>
      <c r="R116" s="40">
        <v>-11.609845999999999</v>
      </c>
      <c r="S116" s="40">
        <v>17.774629999999998</v>
      </c>
      <c r="T116" s="40">
        <v>7.6582429999999997</v>
      </c>
      <c r="U116" s="40">
        <v>14.183878999999999</v>
      </c>
      <c r="V116" s="155">
        <v>15.717161000000001</v>
      </c>
      <c r="W116" s="24"/>
    </row>
    <row r="117" spans="1:23" x14ac:dyDescent="0.35">
      <c r="A117" s="2">
        <v>45422</v>
      </c>
      <c r="B117" s="40">
        <v>-11.038667</v>
      </c>
      <c r="C117" s="40">
        <v>-1.574713</v>
      </c>
      <c r="D117" s="40">
        <v>-13.026738</v>
      </c>
      <c r="E117" s="40">
        <v>-3.6856412999999999</v>
      </c>
      <c r="F117" s="40">
        <v>41.655540000000002</v>
      </c>
      <c r="G117" s="40">
        <v>42.919074999999999</v>
      </c>
      <c r="H117" s="40">
        <v>6.8535566000000001</v>
      </c>
      <c r="I117" s="40">
        <v>26.541889999999999</v>
      </c>
      <c r="J117" s="40">
        <v>11.371219999999999</v>
      </c>
      <c r="K117" s="40">
        <v>9.0354679999999998</v>
      </c>
      <c r="L117" s="40">
        <v>14.331984500000001</v>
      </c>
      <c r="M117" s="40">
        <v>7.4516176999999999</v>
      </c>
      <c r="N117" s="40">
        <v>32.720554</v>
      </c>
      <c r="O117" s="40">
        <v>23.392880000000002</v>
      </c>
      <c r="P117" s="40">
        <v>-0.60558915000000002</v>
      </c>
      <c r="Q117" s="40">
        <v>-8.3312810000000006</v>
      </c>
      <c r="R117" s="40">
        <v>-12.593341000000001</v>
      </c>
      <c r="S117" s="40">
        <v>41.477370000000001</v>
      </c>
      <c r="T117" s="40">
        <v>-0.83882210000000001</v>
      </c>
      <c r="U117" s="40">
        <v>8.0201740000000008</v>
      </c>
      <c r="V117" s="155">
        <v>7.5731039999999998</v>
      </c>
      <c r="W117" s="24"/>
    </row>
    <row r="118" spans="1:23" x14ac:dyDescent="0.35">
      <c r="A118" s="2">
        <v>45453</v>
      </c>
      <c r="B118" s="40">
        <v>-7.5126704999999996</v>
      </c>
      <c r="C118" s="40">
        <v>-3.7877082999999998</v>
      </c>
      <c r="D118" s="40">
        <v>-14.574963</v>
      </c>
      <c r="E118" s="40">
        <v>-3.1125367000000002</v>
      </c>
      <c r="F118" s="40">
        <v>31.574165000000001</v>
      </c>
      <c r="G118" s="40">
        <v>41.125084000000001</v>
      </c>
      <c r="H118" s="40">
        <v>16.204761999999999</v>
      </c>
      <c r="I118" s="40">
        <v>22.127903</v>
      </c>
      <c r="J118" s="40">
        <v>-6.6550073999999997</v>
      </c>
      <c r="K118" s="40">
        <v>-1.2316286999999999</v>
      </c>
      <c r="L118" s="40">
        <v>-6.1895550000000004</v>
      </c>
      <c r="M118" s="40">
        <v>0.42393207999999999</v>
      </c>
      <c r="N118" s="40">
        <v>19.590843</v>
      </c>
      <c r="O118" s="40">
        <v>28.591787</v>
      </c>
      <c r="P118" s="40">
        <v>-0.94016193999999997</v>
      </c>
      <c r="Q118" s="40">
        <v>-5.2515270000000003</v>
      </c>
      <c r="R118" s="40">
        <v>-15.210504</v>
      </c>
      <c r="S118" s="40">
        <v>34.646571999999999</v>
      </c>
      <c r="T118" s="40">
        <v>-1.7434179999999999</v>
      </c>
      <c r="U118" s="40">
        <v>2.9544234</v>
      </c>
      <c r="V118" s="155">
        <v>1.8917084</v>
      </c>
      <c r="W118" s="24"/>
    </row>
    <row r="119" spans="1:23" x14ac:dyDescent="0.35">
      <c r="A119" s="2">
        <v>45483</v>
      </c>
      <c r="B119" s="40">
        <v>-10.250783</v>
      </c>
      <c r="C119" s="40">
        <v>-7.3893126999999996</v>
      </c>
      <c r="D119" s="40">
        <v>-8.0016850000000002</v>
      </c>
      <c r="E119" s="40">
        <v>-0.62075853000000003</v>
      </c>
      <c r="F119" s="40">
        <v>36.426341999999998</v>
      </c>
      <c r="G119" s="40">
        <v>41.560780000000001</v>
      </c>
      <c r="H119" s="40">
        <v>19.396447999999999</v>
      </c>
      <c r="I119" s="40">
        <v>38.694879999999998</v>
      </c>
      <c r="J119" s="40">
        <v>-1.4137805000000001</v>
      </c>
      <c r="K119" s="40">
        <v>11.672878000000001</v>
      </c>
      <c r="L119" s="40">
        <v>-2.6141524</v>
      </c>
      <c r="M119" s="40">
        <v>17.177855999999998</v>
      </c>
      <c r="N119" s="40">
        <v>13.526630000000001</v>
      </c>
      <c r="O119" s="40">
        <v>29.958773000000001</v>
      </c>
      <c r="P119" s="40">
        <v>-2.1292089999999999</v>
      </c>
      <c r="Q119" s="40">
        <v>1.5731215000000001</v>
      </c>
      <c r="R119" s="40">
        <v>-11.598044</v>
      </c>
      <c r="S119" s="40">
        <v>41.599654999999998</v>
      </c>
      <c r="T119" s="40">
        <v>-2.2732258000000001</v>
      </c>
      <c r="U119" s="40">
        <v>-4.1593494</v>
      </c>
      <c r="V119" s="155">
        <v>0.97191333999999996</v>
      </c>
      <c r="W119" s="24"/>
    </row>
    <row r="120" spans="1:23" x14ac:dyDescent="0.35">
      <c r="A120" s="2">
        <v>45513</v>
      </c>
      <c r="B120" s="40">
        <v>-14.437509</v>
      </c>
      <c r="C120" s="40">
        <v>-10.850853000000001</v>
      </c>
      <c r="D120" s="40">
        <v>-7.3624970000000003</v>
      </c>
      <c r="E120" s="40">
        <v>2.4242043</v>
      </c>
      <c r="F120" s="40">
        <v>18.086874000000002</v>
      </c>
      <c r="G120" s="40">
        <v>23.160957</v>
      </c>
      <c r="H120" s="40">
        <v>14.950335000000001</v>
      </c>
      <c r="I120" s="40">
        <v>24.852478000000001</v>
      </c>
      <c r="J120" s="40">
        <v>-9.5930459999999993</v>
      </c>
      <c r="K120" s="40">
        <v>-0.67286489999999999</v>
      </c>
      <c r="L120" s="40">
        <v>-1.3041735000000001</v>
      </c>
      <c r="M120" s="40">
        <v>11.884701</v>
      </c>
      <c r="N120" s="40">
        <v>7.4653745000000002</v>
      </c>
      <c r="O120" s="40">
        <v>26.968596999999999</v>
      </c>
      <c r="P120" s="40">
        <v>-8.8337420000000009</v>
      </c>
      <c r="Q120" s="40">
        <v>-0.75728300000000004</v>
      </c>
      <c r="R120" s="40">
        <v>-15.129889</v>
      </c>
      <c r="S120" s="40">
        <v>9.0915199999999992</v>
      </c>
      <c r="T120" s="40">
        <v>-1.123929</v>
      </c>
      <c r="U120" s="40">
        <v>-17.104220999999999</v>
      </c>
      <c r="V120" s="155">
        <v>3.8187503999999999</v>
      </c>
      <c r="W120" s="24"/>
    </row>
    <row r="121" spans="1:23" x14ac:dyDescent="0.35">
      <c r="A121" s="2">
        <v>45545</v>
      </c>
      <c r="B121" s="40">
        <v>-10.592454999999999</v>
      </c>
      <c r="C121" s="40">
        <v>-2.9173493000000001</v>
      </c>
      <c r="D121" s="40">
        <v>1.2296556999999999</v>
      </c>
      <c r="E121" s="40">
        <v>17.101824000000001</v>
      </c>
      <c r="F121" s="40">
        <v>39.708210000000001</v>
      </c>
      <c r="G121" s="40">
        <v>30.008198</v>
      </c>
      <c r="H121" s="40">
        <v>25.751090999999999</v>
      </c>
      <c r="I121" s="40">
        <v>26.832533000000002</v>
      </c>
      <c r="J121" s="40">
        <v>-12.037182</v>
      </c>
      <c r="K121" s="40">
        <v>1.7687082000000001</v>
      </c>
      <c r="L121" s="40">
        <v>1.5220046</v>
      </c>
      <c r="M121" s="40">
        <v>21.729994000000001</v>
      </c>
      <c r="N121" s="40">
        <v>19.839168999999998</v>
      </c>
      <c r="O121" s="40">
        <v>26.699245000000001</v>
      </c>
      <c r="P121" s="40">
        <v>-5.1363525000000001</v>
      </c>
      <c r="Q121" s="40">
        <v>4.5813319999999997</v>
      </c>
      <c r="R121" s="40">
        <v>-7.7005150000000002</v>
      </c>
      <c r="S121" s="40">
        <v>-5.4530086999999998</v>
      </c>
      <c r="T121" s="40">
        <v>5.8047532999999998</v>
      </c>
      <c r="U121" s="40">
        <v>-15.088683</v>
      </c>
      <c r="V121" s="155">
        <v>7.0116043000000001</v>
      </c>
      <c r="W121" s="24"/>
    </row>
    <row r="122" spans="1:23" x14ac:dyDescent="0.35">
      <c r="A122" s="2">
        <v>45575</v>
      </c>
      <c r="B122">
        <v>12.923002</v>
      </c>
      <c r="C122">
        <v>8.9913609999999995</v>
      </c>
      <c r="D122">
        <v>3.161645</v>
      </c>
      <c r="E122">
        <v>18.194412</v>
      </c>
      <c r="F122">
        <v>38.322197000000003</v>
      </c>
      <c r="G122">
        <v>54.945957</v>
      </c>
      <c r="H122">
        <v>29.246925000000001</v>
      </c>
      <c r="I122">
        <v>33.933033000000002</v>
      </c>
      <c r="J122">
        <v>-0.77234506999999997</v>
      </c>
      <c r="K122">
        <v>10.958147</v>
      </c>
      <c r="L122">
        <v>-0.32554864999999999</v>
      </c>
      <c r="M122">
        <v>31.283771999999999</v>
      </c>
      <c r="N122">
        <v>29.958057</v>
      </c>
      <c r="O122">
        <v>28.055609</v>
      </c>
      <c r="P122">
        <v>22.776389999999999</v>
      </c>
      <c r="Q122">
        <v>13.191867</v>
      </c>
      <c r="R122">
        <v>2.3751259999999998</v>
      </c>
      <c r="S122">
        <v>-11.020332</v>
      </c>
      <c r="T122">
        <v>4.7572136</v>
      </c>
      <c r="U122">
        <v>-2.7305603000000001</v>
      </c>
      <c r="V122" s="1">
        <v>13.179898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-29.70438</v>
      </c>
      <c r="C126" s="40" cm="1">
        <f t="array" ref="C126">MIN(_xlfn._xlws.FILTER(C2:C122, ISNUMBER(C2:C122)))</f>
        <v>-44.716811999999997</v>
      </c>
      <c r="D126" s="40" cm="1">
        <f t="array" ref="D126">MIN(_xlfn._xlws.FILTER(D2:D122, ISNUMBER(D2:D122)))</f>
        <v>-40.593445000000003</v>
      </c>
      <c r="E126" s="40" cm="1">
        <f t="array" ref="E126">MIN(_xlfn._xlws.FILTER(E2:E122, ISNUMBER(E2:E122)))</f>
        <v>-31.810020000000002</v>
      </c>
      <c r="F126" s="40" cm="1">
        <f t="array" ref="F126">MIN(_xlfn._xlws.FILTER(F2:F122, ISNUMBER(F2:F122)))</f>
        <v>-52.305219999999998</v>
      </c>
      <c r="G126" s="40" cm="1">
        <f t="array" ref="G126">MIN(_xlfn._xlws.FILTER(G2:G122, ISNUMBER(G2:G122)))</f>
        <v>-39.232872</v>
      </c>
      <c r="H126" s="40" cm="1">
        <f t="array" ref="H126">MIN(_xlfn._xlws.FILTER(H2:H122, ISNUMBER(H2:H122)))</f>
        <v>-35.877270000000003</v>
      </c>
      <c r="I126" s="40" cm="1">
        <f t="array" ref="I126">MIN(_xlfn._xlws.FILTER(I2:I122, ISNUMBER(I2:I122)))</f>
        <v>-28.309529999999999</v>
      </c>
      <c r="J126" s="40" cm="1">
        <f t="array" ref="J126">MIN(_xlfn._xlws.FILTER(J2:J122, ISNUMBER(J2:J122)))</f>
        <v>-37.492072999999998</v>
      </c>
      <c r="K126" s="40" cm="1">
        <f t="array" ref="K126">MIN(_xlfn._xlws.FILTER(K2:K122, ISNUMBER(K2:K122)))</f>
        <v>-36.180121999999997</v>
      </c>
      <c r="L126" s="40" cm="1">
        <f t="array" ref="L126">MIN(_xlfn._xlws.FILTER(L2:L122, ISNUMBER(L2:L122)))</f>
        <v>-52.07696</v>
      </c>
      <c r="M126" s="40" cm="1">
        <f t="array" ref="M126">MIN(_xlfn._xlws.FILTER(M2:M122, ISNUMBER(M2:M122)))</f>
        <v>-38.451500000000003</v>
      </c>
      <c r="N126" s="40" cm="1">
        <f t="array" ref="N126">MIN(_xlfn._xlws.FILTER(N2:N122, ISNUMBER(N2:N122)))</f>
        <v>-54.408700000000003</v>
      </c>
      <c r="O126" s="40" cm="1">
        <f t="array" ref="O126">MIN(_xlfn._xlws.FILTER(O2:O122, ISNUMBER(O2:O122)))</f>
        <v>-27.660655999999999</v>
      </c>
      <c r="P126" s="40" cm="1">
        <f t="array" ref="P126">MIN(_xlfn._xlws.FILTER(P2:P122, ISNUMBER(P2:P122)))</f>
        <v>-40.145249999999997</v>
      </c>
      <c r="Q126" s="40" cm="1">
        <f t="array" ref="Q126">MIN(_xlfn._xlws.FILTER(Q2:Q122, ISNUMBER(Q2:Q122)))</f>
        <v>-23.493939999999998</v>
      </c>
      <c r="R126" s="40" cm="1">
        <f t="array" ref="R126">MIN(_xlfn._xlws.FILTER(R2:R122, ISNUMBER(R2:R122)))</f>
        <v>-26.117086</v>
      </c>
      <c r="S126" s="40" cm="1">
        <f t="array" ref="S126">MIN(_xlfn._xlws.FILTER(S2:S122, ISNUMBER(S2:S122)))</f>
        <v>-54.217055999999999</v>
      </c>
      <c r="T126" s="40" cm="1">
        <f t="array" ref="T126">MIN(_xlfn._xlws.FILTER(T2:T122, ISNUMBER(T2:T122)))</f>
        <v>-30.465872000000001</v>
      </c>
      <c r="U126" s="40" cm="1">
        <f t="array" ref="U126">MIN(_xlfn._xlws.FILTER(U2:U122, ISNUMBER(U2:U122)))</f>
        <v>-46.503872000000001</v>
      </c>
      <c r="V126" s="155" cm="1">
        <f t="array" ref="V126">MIN(_xlfn._xlws.FILTER(V2:V122, ISNUMBER(V2:V122)))</f>
        <v>-26.403320000000001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67.450310000000002</v>
      </c>
      <c r="C127" s="42" cm="1">
        <f t="array" ref="C127">MAX(_xlfn._xlws.FILTER(C1:C122, ISNUMBER(C1:C122)))</f>
        <v>48.711419999999997</v>
      </c>
      <c r="D127" s="42" cm="1">
        <f t="array" ref="D127">MAX(_xlfn._xlws.FILTER(D1:D122, ISNUMBER(D1:D122)))</f>
        <v>43.355705</v>
      </c>
      <c r="E127" s="42" cm="1">
        <f t="array" ref="E127">MAX(_xlfn._xlws.FILTER(E1:E122, ISNUMBER(E1:E122)))</f>
        <v>32.659849999999999</v>
      </c>
      <c r="F127" s="42" cm="1">
        <f t="array" ref="F127">MAX(_xlfn._xlws.FILTER(F1:F122, ISNUMBER(F1:F122)))</f>
        <v>69.180909999999997</v>
      </c>
      <c r="G127" s="42" cm="1">
        <f t="array" ref="G127">MAX(_xlfn._xlws.FILTER(G1:G122, ISNUMBER(G1:G122)))</f>
        <v>81.782679999999999</v>
      </c>
      <c r="H127" s="42" cm="1">
        <f t="array" ref="H127">MAX(_xlfn._xlws.FILTER(H1:H122, ISNUMBER(H1:H122)))</f>
        <v>29.246925000000001</v>
      </c>
      <c r="I127" s="42" cm="1">
        <f t="array" ref="I127">MAX(_xlfn._xlws.FILTER(I1:I122, ISNUMBER(I1:I122)))</f>
        <v>81.130229999999997</v>
      </c>
      <c r="J127" s="42" cm="1">
        <f t="array" ref="J127">MAX(_xlfn._xlws.FILTER(J1:J122, ISNUMBER(J1:J122)))</f>
        <v>62.164771999999999</v>
      </c>
      <c r="K127" s="42" cm="1">
        <f t="array" ref="K127">MAX(_xlfn._xlws.FILTER(K1:K122, ISNUMBER(K1:K122)))</f>
        <v>88.020920000000004</v>
      </c>
      <c r="L127" s="42" cm="1">
        <f t="array" ref="L127">MAX(_xlfn._xlws.FILTER(L1:L122, ISNUMBER(L1:L122)))</f>
        <v>97.933920000000001</v>
      </c>
      <c r="M127" s="42" cm="1">
        <f t="array" ref="M127">MAX(_xlfn._xlws.FILTER(M1:M122, ISNUMBER(M1:M122)))</f>
        <v>73.183400000000006</v>
      </c>
      <c r="N127" s="42" cm="1">
        <f t="array" ref="N127">MAX(_xlfn._xlws.FILTER(N1:N122, ISNUMBER(N1:N122)))</f>
        <v>71.361649999999997</v>
      </c>
      <c r="O127" s="42" cm="1">
        <f t="array" ref="O127">MAX(_xlfn._xlws.FILTER(O1:O122, ISNUMBER(O1:O122)))</f>
        <v>64.32432</v>
      </c>
      <c r="P127" s="42" cm="1">
        <f t="array" ref="P127">MAX(_xlfn._xlws.FILTER(P1:P122, ISNUMBER(P1:P122)))</f>
        <v>55.609332999999999</v>
      </c>
      <c r="Q127" s="42" cm="1">
        <f t="array" ref="Q127">MAX(_xlfn._xlws.FILTER(Q1:Q122, ISNUMBER(Q1:Q122)))</f>
        <v>40.537726999999997</v>
      </c>
      <c r="R127" s="42" cm="1">
        <f t="array" ref="R127">MAX(_xlfn._xlws.FILTER(R1:R122, ISNUMBER(R1:R122)))</f>
        <v>29.398250000000001</v>
      </c>
      <c r="S127" s="42" cm="1">
        <f t="array" ref="S127">MAX(_xlfn._xlws.FILTER(S1:S122, ISNUMBER(S1:S122)))</f>
        <v>106.871414</v>
      </c>
      <c r="T127" s="42" cm="1">
        <f t="array" ref="T127">MAX(_xlfn._xlws.FILTER(T1:T122, ISNUMBER(T1:T122)))</f>
        <v>53.079033000000003</v>
      </c>
      <c r="U127" s="42" cm="1">
        <f t="array" ref="U127">MAX(_xlfn._xlws.FILTER(U1:U122, ISNUMBER(U1:U122)))</f>
        <v>56.099986999999999</v>
      </c>
      <c r="V127" s="156" cm="1">
        <f t="array" ref="V127">MAX(_xlfn._xlws.FILTER(V1:V122, ISNUMBER(V1:V122)))</f>
        <v>55.271434999999997</v>
      </c>
    </row>
    <row r="128" spans="1:23" x14ac:dyDescent="0.35">
      <c r="A128" s="2" t="s">
        <v>397</v>
      </c>
      <c r="B128" s="40" cm="1">
        <f t="array" ref="B128">MEDIAN(_xlfn._xlws.FILTER(B1:B122, ISNUMBER(B1:B122)))</f>
        <v>-1.0567366899999999</v>
      </c>
      <c r="C128" s="40" cm="1">
        <f t="array" ref="C128">MEDIAN(_xlfn._xlws.FILTER(C1:C122, ISNUMBER(C1:C122)))</f>
        <v>-2.9173493000000001</v>
      </c>
      <c r="D128" s="40" cm="1">
        <f t="array" ref="D128">MEDIAN(_xlfn._xlws.FILTER(D1:D122, ISNUMBER(D1:D122)))</f>
        <v>1.1760949999999999</v>
      </c>
      <c r="E128" s="40" cm="1">
        <f t="array" ref="E128">MEDIAN(_xlfn._xlws.FILTER(E1:E122, ISNUMBER(E1:E122)))</f>
        <v>-0.74310900000000002</v>
      </c>
      <c r="F128" s="40" cm="1">
        <f t="array" ref="F128">MEDIAN(_xlfn._xlws.FILTER(F1:F122, ISNUMBER(F1:F122)))</f>
        <v>-6.566268</v>
      </c>
      <c r="G128" s="40" cm="1">
        <f t="array" ref="G128">MEDIAN(_xlfn._xlws.FILTER(G1:G122, ISNUMBER(G1:G122)))</f>
        <v>2.1713971999999999</v>
      </c>
      <c r="H128" s="40" cm="1">
        <f t="array" ref="H128">MEDIAN(_xlfn._xlws.FILTER(H1:H122, ISNUMBER(H1:H122)))</f>
        <v>-3.1995952000000001</v>
      </c>
      <c r="I128" s="40" cm="1">
        <f t="array" ref="I128">MEDIAN(_xlfn._xlws.FILTER(I1:I122, ISNUMBER(I1:I122)))</f>
        <v>12.746881999999999</v>
      </c>
      <c r="J128" s="40" cm="1">
        <f t="array" ref="J128">MEDIAN(_xlfn._xlws.FILTER(J1:J122, ISNUMBER(J1:J122)))</f>
        <v>-1.4137805000000001</v>
      </c>
      <c r="K128" s="40" cm="1">
        <f t="array" ref="K128">MEDIAN(_xlfn._xlws.FILTER(K1:K122, ISNUMBER(K1:K122)))</f>
        <v>1.2658834000000001</v>
      </c>
      <c r="L128" s="40" cm="1">
        <f t="array" ref="L128">MEDIAN(_xlfn._xlws.FILTER(L1:L122, ISNUMBER(L1:L122)))</f>
        <v>1.7992854</v>
      </c>
      <c r="M128" s="40" cm="1">
        <f t="array" ref="M128">MEDIAN(_xlfn._xlws.FILTER(M1:M122, ISNUMBER(M1:M122)))</f>
        <v>-1.2981415000000001</v>
      </c>
      <c r="N128" s="40" cm="1">
        <f t="array" ref="N128">MEDIAN(_xlfn._xlws.FILTER(N1:N122, ISNUMBER(N1:N122)))</f>
        <v>2.4507759999999998</v>
      </c>
      <c r="O128" s="40" cm="1">
        <f t="array" ref="O128">MEDIAN(_xlfn._xlws.FILTER(O1:O122, ISNUMBER(O1:O122)))</f>
        <v>7.1318745999999997</v>
      </c>
      <c r="P128" s="40" cm="1">
        <f t="array" ref="P128">MEDIAN(_xlfn._xlws.FILTER(P1:P122, ISNUMBER(P1:P122)))</f>
        <v>0.95933676000000001</v>
      </c>
      <c r="Q128" s="40" cm="1">
        <f t="array" ref="Q128">MEDIAN(_xlfn._xlws.FILTER(Q1:Q122, ISNUMBER(Q1:Q122)))</f>
        <v>-0.79824925000000002</v>
      </c>
      <c r="R128" s="40" cm="1">
        <f t="array" ref="R128">MEDIAN(_xlfn._xlws.FILTER(R1:R122, ISNUMBER(R1:R122)))</f>
        <v>-0.68936944</v>
      </c>
      <c r="S128" s="40" cm="1">
        <f t="array" ref="S128">MEDIAN(_xlfn._xlws.FILTER(S1:S122, ISNUMBER(S1:S122)))</f>
        <v>-3.0132173999999998</v>
      </c>
      <c r="T128" s="40" cm="1">
        <f t="array" ref="T128">MEDIAN(_xlfn._xlws.FILTER(T1:T122, ISNUMBER(T1:T122)))</f>
        <v>-2.5459766500000001</v>
      </c>
      <c r="U128" s="40" cm="1">
        <f t="array" ref="U128">MEDIAN(_xlfn._xlws.FILTER(U1:U122, ISNUMBER(U1:U122)))</f>
        <v>-2.9004812000000002</v>
      </c>
      <c r="V128" s="155" cm="1">
        <f t="array" ref="V128">MEDIAN(_xlfn._xlws.FILTER(V1:V122, ISNUMBER(V1:V122)))</f>
        <v>10.147643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35</v>
      </c>
      <c r="C130">
        <f>COUNTIF(C2:C122, "&lt;"&amp;Assumption!$F$50)</f>
        <v>48</v>
      </c>
      <c r="D130">
        <f>COUNTIF(D2:D122, "&lt;"&amp;Assumption!$F$50)</f>
        <v>27</v>
      </c>
      <c r="E130">
        <f>COUNTIF(E2:E122, "&lt;"&amp;Assumption!$F$50)</f>
        <v>32</v>
      </c>
      <c r="F130">
        <f>COUNTIF(F2:F122, "&lt;"&amp;Assumption!$F$50)</f>
        <v>52</v>
      </c>
      <c r="G130">
        <f>COUNTIF(G2:G122, "&lt;"&amp;Assumption!$F$50)</f>
        <v>29</v>
      </c>
      <c r="H130">
        <f>COUNTIF(H2:H122, "&lt;"&amp;Assumption!$F$50)</f>
        <v>31</v>
      </c>
      <c r="I130">
        <f>COUNTIF(I2:I122, "&lt;"&amp;Assumption!$F$50)</f>
        <v>22</v>
      </c>
      <c r="J130">
        <f>COUNTIF(J2:J122, "&lt;"&amp;Assumption!$F$50)</f>
        <v>30</v>
      </c>
      <c r="K130">
        <f>COUNTIF(K2:K122, "&lt;"&amp;Assumption!$F$50)</f>
        <v>38</v>
      </c>
      <c r="L130">
        <f>COUNTIF(L2:L122, "&lt;"&amp;Assumption!$F$50)</f>
        <v>40</v>
      </c>
      <c r="M130">
        <f>COUNTIF(M2:M122, "&lt;"&amp;Assumption!$F$50)</f>
        <v>36</v>
      </c>
      <c r="N130">
        <f>COUNTIF(N2:N122, "&lt;"&amp;Assumption!$F$50)</f>
        <v>52</v>
      </c>
      <c r="O130">
        <f>COUNTIF(O2:O122, "&lt;"&amp;Assumption!$F$50)</f>
        <v>17</v>
      </c>
      <c r="P130">
        <f>COUNTIF(P2:P122, "&lt;"&amp;Assumption!$F$50)</f>
        <v>38</v>
      </c>
      <c r="Q130">
        <f>COUNTIF(Q2:Q122, "&lt;"&amp;Assumption!$F$50)</f>
        <v>31</v>
      </c>
      <c r="R130">
        <f>COUNTIF(R2:R122, "&lt;"&amp;Assumption!$F$50)</f>
        <v>26</v>
      </c>
      <c r="S130">
        <f>COUNTIF(S2:S122, "&lt;"&amp;Assumption!$F$50)</f>
        <v>42</v>
      </c>
      <c r="T130">
        <f>COUNTIF(T2:T122, "&lt;"&amp;Assumption!$F$50)</f>
        <v>31</v>
      </c>
      <c r="U130">
        <f>COUNTIF(U2:U122, "&lt;"&amp;Assumption!$F$50)</f>
        <v>43</v>
      </c>
      <c r="V130" s="1">
        <f>COUNTIF(V2:V122, "&lt;"&amp;Assumption!$F$50)</f>
        <v>11</v>
      </c>
    </row>
    <row r="131" spans="1:22" x14ac:dyDescent="0.35">
      <c r="A131" s="2" t="s">
        <v>86</v>
      </c>
      <c r="B131">
        <f>COUNT(B1:B122)</f>
        <v>88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114</v>
      </c>
      <c r="R131">
        <f t="shared" si="0"/>
        <v>121</v>
      </c>
      <c r="S131">
        <f t="shared" si="0"/>
        <v>121</v>
      </c>
      <c r="T131">
        <f t="shared" si="0"/>
        <v>114</v>
      </c>
      <c r="U131">
        <f t="shared" si="0"/>
        <v>121</v>
      </c>
      <c r="V131" s="1">
        <f t="shared" si="0"/>
        <v>97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0.39772727272727271</v>
      </c>
      <c r="C133" s="9">
        <f t="shared" ref="C133:V133" si="1">C130/C131</f>
        <v>0.39669421487603307</v>
      </c>
      <c r="D133" s="9">
        <f t="shared" si="1"/>
        <v>0.2231404958677686</v>
      </c>
      <c r="E133" s="9">
        <f t="shared" si="1"/>
        <v>0.26446280991735538</v>
      </c>
      <c r="F133" s="9">
        <f t="shared" si="1"/>
        <v>0.42975206611570249</v>
      </c>
      <c r="G133" s="9">
        <f t="shared" si="1"/>
        <v>0.23966942148760331</v>
      </c>
      <c r="H133" s="9">
        <f t="shared" si="1"/>
        <v>0.256198347107438</v>
      </c>
      <c r="I133" s="9">
        <f t="shared" si="1"/>
        <v>0.18181818181818182</v>
      </c>
      <c r="J133" s="9">
        <f t="shared" si="1"/>
        <v>0.24793388429752067</v>
      </c>
      <c r="K133" s="9">
        <f t="shared" si="1"/>
        <v>0.31404958677685951</v>
      </c>
      <c r="L133" s="9">
        <f t="shared" si="1"/>
        <v>0.33057851239669422</v>
      </c>
      <c r="M133" s="9">
        <f t="shared" si="1"/>
        <v>0.2975206611570248</v>
      </c>
      <c r="N133" s="9">
        <f t="shared" si="1"/>
        <v>0.42975206611570249</v>
      </c>
      <c r="O133" s="9">
        <f t="shared" si="1"/>
        <v>0.14049586776859505</v>
      </c>
      <c r="P133" s="9">
        <f t="shared" si="1"/>
        <v>0.31404958677685951</v>
      </c>
      <c r="Q133" s="9">
        <f t="shared" si="1"/>
        <v>0.27192982456140352</v>
      </c>
      <c r="R133" s="9">
        <f t="shared" si="1"/>
        <v>0.21487603305785125</v>
      </c>
      <c r="S133" s="9">
        <f t="shared" si="1"/>
        <v>0.34710743801652894</v>
      </c>
      <c r="T133" s="9">
        <f t="shared" si="1"/>
        <v>0.27192982456140352</v>
      </c>
      <c r="U133" s="9">
        <f t="shared" si="1"/>
        <v>0.35537190082644626</v>
      </c>
      <c r="V133" s="48">
        <f t="shared" si="1"/>
        <v>0.1134020618556701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0.25800000000000001</v>
      </c>
      <c r="C136" s="40" cm="1">
        <f t="array" ref="C136">_xlfn.PERCENTRANK.EXC(_xlfn._xlws.FILTER(C2:C122, ISNUMBER(C2:C122)),C120)</f>
        <v>0.377</v>
      </c>
      <c r="D136" s="40" cm="1">
        <f t="array" ref="D136">_xlfn.PERCENTRANK.EXC(_xlfn._xlws.FILTER(D2:D122, ISNUMBER(D2:D122)),D120)</f>
        <v>0.27</v>
      </c>
      <c r="E136" s="40" cm="1">
        <f t="array" ref="E136">_xlfn.PERCENTRANK.EXC(_xlfn._xlws.FILTER(E2:E122, ISNUMBER(E2:E122)),E120)</f>
        <v>0.61399999999999999</v>
      </c>
      <c r="F136" s="40" cm="1">
        <f t="array" ref="F136">_xlfn.PERCENTRANK.EXC(_xlfn._xlws.FILTER(F2:F122, ISNUMBER(F2:F122)),F120)</f>
        <v>0.67200000000000004</v>
      </c>
      <c r="G136" s="40" cm="1">
        <f t="array" ref="G136">_xlfn.PERCENTRANK.EXC(_xlfn._xlws.FILTER(G2:G122, ISNUMBER(G2:G122)),G120)</f>
        <v>0.754</v>
      </c>
      <c r="H136" s="40" cm="1">
        <f t="array" ref="H136">_xlfn.PERCENTRANK.EXC(_xlfn._xlws.FILTER(H2:H122, ISNUMBER(H2:H122)),H120)</f>
        <v>0.88500000000000001</v>
      </c>
      <c r="I136" s="40" cm="1">
        <f t="array" ref="I136">_xlfn.PERCENTRANK.EXC(_xlfn._xlws.FILTER(I2:I122, ISNUMBER(I2:I122)),I120)</f>
        <v>0.73699999999999999</v>
      </c>
      <c r="J136" s="40" cm="1">
        <f t="array" ref="J136">_xlfn.PERCENTRANK.EXC(_xlfn._xlws.FILTER(J2:J122, ISNUMBER(J2:J122)),J120)</f>
        <v>0.27</v>
      </c>
      <c r="K136" s="40" cm="1">
        <f t="array" ref="K136">_xlfn.PERCENTRANK.EXC(_xlfn._xlws.FILTER(K2:K122, ISNUMBER(K2:K122)),K120)</f>
        <v>0.46700000000000003</v>
      </c>
      <c r="L136" s="40" cm="1">
        <f t="array" ref="L136">_xlfn.PERCENTRANK.EXC(_xlfn._xlws.FILTER(L2:L122, ISNUMBER(L2:L122)),L120)</f>
        <v>0.40899999999999997</v>
      </c>
      <c r="M136" s="40" cm="1">
        <f t="array" ref="M136">_xlfn.PERCENTRANK.EXC(_xlfn._xlws.FILTER(M2:M122, ISNUMBER(M2:M122)),M120)</f>
        <v>0.77800000000000002</v>
      </c>
      <c r="N136" s="40" cm="1">
        <f t="array" ref="N136">_xlfn.PERCENTRANK.EXC(_xlfn._xlws.FILTER(N2:N122, ISNUMBER(N2:N122)),N120)</f>
        <v>0.54900000000000004</v>
      </c>
      <c r="O136" s="40" cm="1">
        <f t="array" ref="O136">_xlfn.PERCENTRANK.EXC(_xlfn._xlws.FILTER(O2:O122, ISNUMBER(O2:O122)),O120)</f>
        <v>0.82699999999999996</v>
      </c>
      <c r="P136" s="40" cm="1">
        <f t="array" ref="P136">_xlfn.PERCENTRANK.EXC(_xlfn._xlws.FILTER(P2:P122, ISNUMBER(P2:P122)),P120)</f>
        <v>0.32700000000000001</v>
      </c>
      <c r="Q136" s="40" cm="1">
        <f t="array" ref="Q136">_xlfn.PERCENTRANK.EXC(_xlfn._xlws.FILTER(Q2:Q122, ISNUMBER(Q2:Q122)),Q120)</f>
        <v>0.504</v>
      </c>
      <c r="R136" s="40" cm="1">
        <f t="array" ref="R136">_xlfn.PERCENTRANK.EXC(_xlfn._xlws.FILTER(R2:R122, ISNUMBER(R2:R122)),R120)</f>
        <v>0.122</v>
      </c>
      <c r="S136" s="40" cm="1">
        <f t="array" ref="S136">_xlfn.PERCENTRANK.EXC(_xlfn._xlws.FILTER(S2:S122, ISNUMBER(S2:S122)),S120)</f>
        <v>0.63100000000000001</v>
      </c>
      <c r="T136" s="40" cm="1">
        <f t="array" ref="T136">_xlfn.PERCENTRANK.EXC(_xlfn._xlws.FILTER(T2:T122, ISNUMBER(T2:T122)),T120)</f>
        <v>0.53</v>
      </c>
      <c r="U136" s="40" cm="1">
        <f t="array" ref="U136">_xlfn.PERCENTRANK.EXC(_xlfn._xlws.FILTER(U2:U122, ISNUMBER(U2:U122)),U120)</f>
        <v>0.188</v>
      </c>
      <c r="V136" s="155" cm="1">
        <f t="array" ref="V136">_xlfn.PERCENTRANK.EXC(_xlfn._xlws.FILTER(V2:V122, ISNUMBER(V2:V122)),V120)</f>
        <v>0.30599999999999999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0.34799999999999998</v>
      </c>
      <c r="C137" s="40" cm="1">
        <f t="array" ref="C137">_xlfn.PERCENTRANK.EXC(_xlfn._xlws.FILTER(C2:C122, ISNUMBER(C2:C122)),C121)</f>
        <v>0.5</v>
      </c>
      <c r="D137" s="40" cm="1">
        <f t="array" ref="D137">_xlfn.PERCENTRANK.EXC(_xlfn._xlws.FILTER(D2:D122, ISNUMBER(D2:D122)),D121)</f>
        <v>0.51600000000000001</v>
      </c>
      <c r="E137" s="40" cm="1">
        <f t="array" ref="E137">_xlfn.PERCENTRANK.EXC(_xlfn._xlws.FILTER(E2:E122, ISNUMBER(E2:E122)),E121)</f>
        <v>0.88500000000000001</v>
      </c>
      <c r="F137" s="40" cm="1">
        <f t="array" ref="F137">_xlfn.PERCENTRANK.EXC(_xlfn._xlws.FILTER(F2:F122, ISNUMBER(F2:F122)),F121)</f>
        <v>0.86</v>
      </c>
      <c r="G137" s="40" cm="1">
        <f t="array" ref="G137">_xlfn.PERCENTRANK.EXC(_xlfn._xlws.FILTER(G2:G122, ISNUMBER(G2:G122)),G121)</f>
        <v>0.82699999999999996</v>
      </c>
      <c r="H137" s="40" cm="1">
        <f t="array" ref="H137">_xlfn.PERCENTRANK.EXC(_xlfn._xlws.FILTER(H2:H122, ISNUMBER(H2:H122)),H121)</f>
        <v>0.96699999999999997</v>
      </c>
      <c r="I137" s="40" cm="1">
        <f t="array" ref="I137">_xlfn.PERCENTRANK.EXC(_xlfn._xlws.FILTER(I2:I122, ISNUMBER(I2:I122)),I121)</f>
        <v>0.77800000000000002</v>
      </c>
      <c r="J137" s="40" cm="1">
        <f t="array" ref="J137">_xlfn.PERCENTRANK.EXC(_xlfn._xlws.FILTER(J2:J122, ISNUMBER(J2:J122)),J121)</f>
        <v>0.22900000000000001</v>
      </c>
      <c r="K137" s="40" cm="1">
        <f t="array" ref="K137">_xlfn.PERCENTRANK.EXC(_xlfn._xlws.FILTER(K2:K122, ISNUMBER(K2:K122)),K121)</f>
        <v>0.50800000000000001</v>
      </c>
      <c r="L137" s="40" cm="1">
        <f t="array" ref="L137">_xlfn.PERCENTRANK.EXC(_xlfn._xlws.FILTER(L2:L122, ISNUMBER(L2:L122)),L121)</f>
        <v>0.49099999999999999</v>
      </c>
      <c r="M137" s="40" cm="1">
        <f t="array" ref="M137">_xlfn.PERCENTRANK.EXC(_xlfn._xlws.FILTER(M2:M122, ISNUMBER(M2:M122)),M121)</f>
        <v>0.86</v>
      </c>
      <c r="N137" s="40" cm="1">
        <f t="array" ref="N137">_xlfn.PERCENTRANK.EXC(_xlfn._xlws.FILTER(N2:N122, ISNUMBER(N2:N122)),N121)</f>
        <v>0.66300000000000003</v>
      </c>
      <c r="O137" s="40" cm="1">
        <f t="array" ref="O137">_xlfn.PERCENTRANK.EXC(_xlfn._xlws.FILTER(O2:O122, ISNUMBER(O2:O122)),O121)</f>
        <v>0.81100000000000005</v>
      </c>
      <c r="P137" s="40" cm="1">
        <f t="array" ref="P137">_xlfn.PERCENTRANK.EXC(_xlfn._xlws.FILTER(P2:P122, ISNUMBER(P2:P122)),P121)</f>
        <v>0.40899999999999997</v>
      </c>
      <c r="Q137" s="40" cm="1">
        <f t="array" ref="Q137">_xlfn.PERCENTRANK.EXC(_xlfn._xlws.FILTER(Q2:Q122, ISNUMBER(Q2:Q122)),Q121)</f>
        <v>0.6</v>
      </c>
      <c r="R137" s="40" cm="1">
        <f t="array" ref="R137">_xlfn.PERCENTRANK.EXC(_xlfn._xlws.FILTER(R2:R122, ISNUMBER(R2:R122)),R121)</f>
        <v>0.26200000000000001</v>
      </c>
      <c r="S137" s="40" cm="1">
        <f t="array" ref="S137">_xlfn.PERCENTRANK.EXC(_xlfn._xlws.FILTER(S2:S122, ISNUMBER(S2:S122)),S121)</f>
        <v>0.434</v>
      </c>
      <c r="T137" s="40" cm="1">
        <f t="array" ref="T137">_xlfn.PERCENTRANK.EXC(_xlfn._xlws.FILTER(T2:T122, ISNUMBER(T2:T122)),T121)</f>
        <v>0.73</v>
      </c>
      <c r="U137" s="40" cm="1">
        <f t="array" ref="U137">_xlfn.PERCENTRANK.EXC(_xlfn._xlws.FILTER(U2:U122, ISNUMBER(U2:U122)),U121)</f>
        <v>0.254</v>
      </c>
      <c r="V137" s="155" cm="1">
        <f t="array" ref="V137">_xlfn.PERCENTRANK.EXC(_xlfn._xlws.FILTER(V2:V122, ISNUMBER(V2:V122)),V121)</f>
        <v>0.36699999999999999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0.59499999999999997</v>
      </c>
      <c r="C138" s="40" cm="1">
        <f t="array" ref="C138">_xlfn.PERCENTRANK.EXC(_xlfn._xlws.FILTER(C2:C122, ISNUMBER(C2:C122)),C122)</f>
        <v>0.68</v>
      </c>
      <c r="D138" s="40" cm="1">
        <f t="array" ref="D138">_xlfn.PERCENTRANK.EXC(_xlfn._xlws.FILTER(D2:D122, ISNUMBER(D2:D122)),D122)</f>
        <v>0.58099999999999996</v>
      </c>
      <c r="E138" s="40" cm="1">
        <f t="array" ref="E138">_xlfn.PERCENTRANK.EXC(_xlfn._xlws.FILTER(E2:E122, ISNUMBER(E2:E122)),E122)</f>
        <v>0.90900000000000003</v>
      </c>
      <c r="F138" s="40" cm="1">
        <f t="array" ref="F138">_xlfn.PERCENTRANK.EXC(_xlfn._xlws.FILTER(F2:F122, ISNUMBER(F2:F122)),F122)</f>
        <v>0.84399999999999997</v>
      </c>
      <c r="G138" s="40" cm="1">
        <f t="array" ref="G138">_xlfn.PERCENTRANK.EXC(_xlfn._xlws.FILTER(G2:G122, ISNUMBER(G2:G122)),G122)</f>
        <v>0.96699999999999997</v>
      </c>
      <c r="H138" s="40" cm="1">
        <f t="array" ref="H138">_xlfn.PERCENTRANK.EXC(_xlfn._xlws.FILTER(H2:H122, ISNUMBER(H2:H122)),H122)</f>
        <v>0.99099999999999999</v>
      </c>
      <c r="I138" s="40" cm="1">
        <f t="array" ref="I138">_xlfn.PERCENTRANK.EXC(_xlfn._xlws.FILTER(I2:I122, ISNUMBER(I2:I122)),I122)</f>
        <v>0.86799999999999999</v>
      </c>
      <c r="J138" s="40" cm="1">
        <f t="array" ref="J138">_xlfn.PERCENTRANK.EXC(_xlfn._xlws.FILTER(J2:J122, ISNUMBER(J2:J122)),J122)</f>
        <v>0.51600000000000001</v>
      </c>
      <c r="K138" s="40" cm="1">
        <f t="array" ref="K138">_xlfn.PERCENTRANK.EXC(_xlfn._xlws.FILTER(K2:K122, ISNUMBER(K2:K122)),K122)</f>
        <v>0.66300000000000003</v>
      </c>
      <c r="L138" s="40" cm="1">
        <f t="array" ref="L138">_xlfn.PERCENTRANK.EXC(_xlfn._xlws.FILTER(L2:L122, ISNUMBER(L2:L122)),L122)</f>
        <v>0.442</v>
      </c>
      <c r="M138" s="40" cm="1">
        <f t="array" ref="M138">_xlfn.PERCENTRANK.EXC(_xlfn._xlws.FILTER(M2:M122, ISNUMBER(M2:M122)),M122)</f>
        <v>0.90900000000000003</v>
      </c>
      <c r="N138" s="40" cm="1">
        <f t="array" ref="N138">_xlfn.PERCENTRANK.EXC(_xlfn._xlws.FILTER(N2:N122, ISNUMBER(N2:N122)),N122)</f>
        <v>0.73699999999999999</v>
      </c>
      <c r="O138" s="40" cm="1">
        <f t="array" ref="O138">_xlfn.PERCENTRANK.EXC(_xlfn._xlws.FILTER(O2:O122, ISNUMBER(O2:O122)),O122)</f>
        <v>0.84399999999999997</v>
      </c>
      <c r="P138" s="40" cm="1">
        <f t="array" ref="P138">_xlfn.PERCENTRANK.EXC(_xlfn._xlws.FILTER(P2:P122, ISNUMBER(P2:P122)),P122)</f>
        <v>0.72899999999999998</v>
      </c>
      <c r="Q138" s="40" cm="1">
        <f t="array" ref="Q138">_xlfn.PERCENTRANK.EXC(_xlfn._xlws.FILTER(Q2:Q122, ISNUMBER(Q2:Q122)),Q122)</f>
        <v>0.75600000000000001</v>
      </c>
      <c r="R138" s="40" cm="1">
        <f t="array" ref="R138">_xlfn.PERCENTRANK.EXC(_xlfn._xlws.FILTER(R2:R122, ISNUMBER(R2:R122)),R122)</f>
        <v>0.59</v>
      </c>
      <c r="S138" s="40" cm="1">
        <f t="array" ref="S138">_xlfn.PERCENTRANK.EXC(_xlfn._xlws.FILTER(S2:S122, ISNUMBER(S2:S122)),S122)</f>
        <v>0.33600000000000002</v>
      </c>
      <c r="T138" s="40" cm="1">
        <f t="array" ref="T138">_xlfn.PERCENTRANK.EXC(_xlfn._xlws.FILTER(T2:T122, ISNUMBER(T2:T122)),T122)</f>
        <v>0.67800000000000005</v>
      </c>
      <c r="U138" s="40" cm="1">
        <f t="array" ref="U138">_xlfn.PERCENTRANK.EXC(_xlfn._xlws.FILTER(U2:U122, ISNUMBER(U2:U122)),U122)</f>
        <v>0.50800000000000001</v>
      </c>
      <c r="V138" s="155" cm="1">
        <f t="array" ref="V138">_xlfn.PERCENTRANK.EXC(_xlfn._xlws.FILTER(V2:V122, ISNUMBER(V2:V122)),V122)</f>
        <v>0.57099999999999995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0.40033333333333337</v>
      </c>
      <c r="C140" s="40">
        <f t="shared" si="2"/>
        <v>0.51900000000000002</v>
      </c>
      <c r="D140" s="40">
        <f t="shared" si="2"/>
        <v>0.45566666666666666</v>
      </c>
      <c r="E140" s="40">
        <f t="shared" si="2"/>
        <v>0.80266666666666675</v>
      </c>
      <c r="F140" s="40">
        <f t="shared" si="2"/>
        <v>0.79199999999999993</v>
      </c>
      <c r="G140" s="40">
        <f t="shared" si="2"/>
        <v>0.84933333333333338</v>
      </c>
      <c r="H140" s="40">
        <f t="shared" si="2"/>
        <v>0.94766666666666666</v>
      </c>
      <c r="I140" s="40">
        <f t="shared" si="2"/>
        <v>0.79433333333333334</v>
      </c>
      <c r="J140" s="40">
        <f t="shared" si="2"/>
        <v>0.33833333333333337</v>
      </c>
      <c r="K140" s="40">
        <f t="shared" si="2"/>
        <v>0.54600000000000004</v>
      </c>
      <c r="L140" s="40">
        <f t="shared" si="2"/>
        <v>0.44733333333333331</v>
      </c>
      <c r="M140" s="40">
        <f t="shared" si="2"/>
        <v>0.84899999999999987</v>
      </c>
      <c r="N140" s="40">
        <f t="shared" si="2"/>
        <v>0.64966666666666673</v>
      </c>
      <c r="O140" s="40">
        <f t="shared" si="2"/>
        <v>0.82733333333333325</v>
      </c>
      <c r="P140" s="40">
        <f t="shared" si="2"/>
        <v>0.48833333333333329</v>
      </c>
      <c r="Q140" s="40">
        <f t="shared" si="2"/>
        <v>0.62</v>
      </c>
      <c r="R140" s="40">
        <f t="shared" si="2"/>
        <v>0.32466666666666666</v>
      </c>
      <c r="S140" s="40">
        <f t="shared" si="2"/>
        <v>0.46700000000000003</v>
      </c>
      <c r="T140" s="40">
        <f t="shared" si="2"/>
        <v>0.64600000000000002</v>
      </c>
      <c r="U140" s="40">
        <f t="shared" si="2"/>
        <v>0.31666666666666665</v>
      </c>
      <c r="V140" s="155">
        <f t="shared" si="2"/>
        <v>0.41466666666666668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31.5746107392056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17.637359747727199</v>
      </c>
      <c r="C18">
        <v>26.205026253371699</v>
      </c>
      <c r="D18">
        <v>63.732476729636801</v>
      </c>
      <c r="E18">
        <v>33.758710237438798</v>
      </c>
      <c r="F18">
        <v>16.918160023137599</v>
      </c>
      <c r="G18">
        <v>2.4380741293947201</v>
      </c>
      <c r="H18">
        <v>15.6987955176462</v>
      </c>
      <c r="I18">
        <v>12.9785143592628</v>
      </c>
      <c r="J18">
        <v>25.549637614778302</v>
      </c>
      <c r="K18">
        <v>35.905345237675</v>
      </c>
      <c r="L18">
        <v>20.1300195767834</v>
      </c>
      <c r="M18">
        <v>31.878251402102201</v>
      </c>
      <c r="N18">
        <v>0.58009613271990101</v>
      </c>
      <c r="O18">
        <v>36.314788517051497</v>
      </c>
      <c r="P18">
        <v>17.637359747727199</v>
      </c>
      <c r="Q18">
        <v>7.7374565221448997</v>
      </c>
      <c r="R18">
        <v>48.124032373832399</v>
      </c>
      <c r="S18">
        <v>22.565966124749401</v>
      </c>
      <c r="T18">
        <v>7.0205933343722702</v>
      </c>
      <c r="U18">
        <v>1.1160182198058499</v>
      </c>
      <c r="V18">
        <v>2.35315851118074</v>
      </c>
    </row>
    <row r="19" spans="1:22" x14ac:dyDescent="0.35">
      <c r="A19" s="2">
        <v>44196</v>
      </c>
      <c r="B19">
        <v>17.494770758291999</v>
      </c>
      <c r="C19">
        <v>1.4578222001172401</v>
      </c>
      <c r="D19">
        <v>51.526922636626097</v>
      </c>
      <c r="E19">
        <v>25.625710924974001</v>
      </c>
      <c r="F19">
        <v>12.725119300051601</v>
      </c>
      <c r="G19">
        <v>2.41140994722734</v>
      </c>
      <c r="H19">
        <v>16.388226203584999</v>
      </c>
      <c r="I19">
        <v>15.9424367037871</v>
      </c>
      <c r="J19">
        <v>22.575311410807998</v>
      </c>
      <c r="K19">
        <v>42.804390136078098</v>
      </c>
      <c r="L19">
        <v>14.9311682629718</v>
      </c>
      <c r="M19">
        <v>34.374878451198398</v>
      </c>
      <c r="N19">
        <v>0.55741767368310902</v>
      </c>
      <c r="O19">
        <v>33.710485444905601</v>
      </c>
      <c r="P19">
        <v>17.494770758291999</v>
      </c>
      <c r="Q19">
        <v>7.7846531590948196</v>
      </c>
      <c r="R19">
        <v>34.710630730839803</v>
      </c>
      <c r="S19">
        <v>23.281428346518499</v>
      </c>
      <c r="T19">
        <v>5.1277339664560504</v>
      </c>
      <c r="U19">
        <v>1.03737378869621</v>
      </c>
      <c r="V19">
        <v>1.93303149869795</v>
      </c>
    </row>
    <row r="20" spans="1:22" x14ac:dyDescent="0.35">
      <c r="A20" s="2">
        <v>44561</v>
      </c>
      <c r="B20">
        <v>21.2753163279978</v>
      </c>
      <c r="C20">
        <v>14.1863075902305</v>
      </c>
      <c r="D20">
        <v>58.7717056192432</v>
      </c>
      <c r="E20">
        <v>24.890007164849699</v>
      </c>
      <c r="F20">
        <v>16.795925418676902</v>
      </c>
      <c r="G20">
        <v>2.9485498529663099</v>
      </c>
      <c r="H20">
        <v>16.0082662014755</v>
      </c>
      <c r="I20">
        <v>24.304723994153001</v>
      </c>
      <c r="J20">
        <v>28.403052286901701</v>
      </c>
      <c r="K20">
        <v>51.305490581132602</v>
      </c>
      <c r="L20">
        <v>18.5635369281671</v>
      </c>
      <c r="M20">
        <v>36.851318559632603</v>
      </c>
      <c r="N20">
        <v>0.62188546902171704</v>
      </c>
      <c r="O20">
        <v>47.011569051685299</v>
      </c>
      <c r="P20">
        <v>21.2753163279978</v>
      </c>
      <c r="Q20">
        <v>9.3577310145755703</v>
      </c>
      <c r="R20">
        <v>40.272341500770501</v>
      </c>
      <c r="S20">
        <v>19.758357121676902</v>
      </c>
      <c r="T20">
        <v>7.5479683625438199</v>
      </c>
      <c r="U20">
        <v>1.2888433362276701</v>
      </c>
      <c r="V20">
        <v>3.0736788284368299</v>
      </c>
    </row>
    <row r="21" spans="1:22" x14ac:dyDescent="0.35">
      <c r="A21" s="2">
        <v>44925</v>
      </c>
      <c r="B21">
        <v>20.370848408864902</v>
      </c>
      <c r="C21">
        <v>26.3880518116564</v>
      </c>
      <c r="D21">
        <v>64.972794174404996</v>
      </c>
      <c r="E21">
        <v>26.836878670313801</v>
      </c>
      <c r="F21">
        <v>17.088924383662398</v>
      </c>
      <c r="G21">
        <v>3.1160966422401799</v>
      </c>
      <c r="H21">
        <v>16.703810759888899</v>
      </c>
      <c r="I21">
        <v>19.759995147648699</v>
      </c>
      <c r="J21">
        <v>32.531987150168902</v>
      </c>
      <c r="K21">
        <v>35.397817678300299</v>
      </c>
      <c r="L21">
        <v>21.063409778194099</v>
      </c>
      <c r="M21">
        <v>38.614845738362</v>
      </c>
      <c r="N21">
        <v>0.86953187662514597</v>
      </c>
      <c r="O21">
        <v>46.016169243230301</v>
      </c>
      <c r="P21">
        <v>20.370848408864902</v>
      </c>
      <c r="Q21">
        <v>9.9739874595000497</v>
      </c>
      <c r="R21">
        <v>42.481578636413097</v>
      </c>
      <c r="S21">
        <v>36.400828896181601</v>
      </c>
      <c r="T21">
        <v>11.391861362325301</v>
      </c>
      <c r="U21">
        <v>1.1112749342120101</v>
      </c>
      <c r="V21">
        <v>3.6292260169251702</v>
      </c>
    </row>
    <row r="22" spans="1:22" x14ac:dyDescent="0.35">
      <c r="A22" s="2">
        <v>45289</v>
      </c>
      <c r="B22">
        <v>19.111296642109</v>
      </c>
      <c r="C22">
        <v>20.432107405119599</v>
      </c>
      <c r="D22">
        <v>67.989157024735405</v>
      </c>
      <c r="E22">
        <v>30.8315679687197</v>
      </c>
      <c r="F22">
        <v>23.395588724849102</v>
      </c>
      <c r="G22">
        <v>2.9600669733735399</v>
      </c>
      <c r="H22">
        <v>16.249616110621002</v>
      </c>
      <c r="I22">
        <v>19.097602852730699</v>
      </c>
      <c r="J22">
        <v>39.442384325893897</v>
      </c>
      <c r="K22">
        <v>41.690301887921102</v>
      </c>
      <c r="L22">
        <v>24.0427741588571</v>
      </c>
      <c r="M22">
        <v>33.920219289970902</v>
      </c>
      <c r="N22">
        <v>1.21959709581891</v>
      </c>
      <c r="O22">
        <v>54.705303005816802</v>
      </c>
      <c r="P22">
        <v>19.111296642109</v>
      </c>
      <c r="Q22">
        <v>9.6132080179228101</v>
      </c>
      <c r="R22">
        <v>40.181607467413002</v>
      </c>
      <c r="S22">
        <v>47.716878960200098</v>
      </c>
      <c r="T22">
        <v>11.0560462161177</v>
      </c>
      <c r="U22">
        <v>0.88605728697089203</v>
      </c>
      <c r="V22">
        <v>3.0115037376498499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7.2169155222421066E-2</v>
      </c>
      <c r="C26" s="50" cm="1">
        <f t="array" ref="C26">(C22/INDEX(C3:C22,MATCH(TRUE,INDEX(ISNUMBER(C3:C22),0),0)))^(1/C24)-1</f>
        <v>2.1185121040589117E-2</v>
      </c>
      <c r="D26" s="50" cm="1">
        <f t="array" ref="D26">(D22/INDEX(D3:D22,MATCH(TRUE,INDEX(ISNUMBER(D3:D22),0),0)))^(1/D24)-1</f>
        <v>4.2935760209013241E-2</v>
      </c>
      <c r="E26" s="50" cm="1">
        <f t="array" ref="E26">(E22/INDEX(E3:E22,MATCH(TRUE,INDEX(ISNUMBER(E3:E22),0),0)))^(1/E24)-1</f>
        <v>6.5968962435704714E-2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1.6222352047230215E-2</v>
      </c>
      <c r="H26" s="50" cm="1">
        <f t="array" ref="H26">(H22/INDEX(H3:H22,MATCH(TRUE,INDEX(ISNUMBER(H3:H22),0),0)))^(1/H24)-1</f>
        <v>2.3807424866461258E-2</v>
      </c>
      <c r="I26" s="50" cm="1">
        <f t="array" ref="I26">(I22/INDEX(I3:I22,MATCH(TRUE,INDEX(ISNUMBER(I3:I22),0),0)))^(1/I24)-1</f>
        <v>3.7644175693682058E-2</v>
      </c>
      <c r="J26" s="50" cm="1">
        <f t="array" ref="J26">(J22/INDEX(J3:J22,MATCH(TRUE,INDEX(ISNUMBER(J3:J22),0),0)))^(1/J24)-1</f>
        <v>5.803877206746777E-2</v>
      </c>
      <c r="K26" s="50" cm="1">
        <f t="array" ref="K26">(K22/INDEX(K3:K22,MATCH(TRUE,INDEX(ISNUMBER(K3:K22),0),0)))^(1/K24)-1</f>
        <v>2.4558906920942647E-2</v>
      </c>
      <c r="L26" s="50" cm="1">
        <f t="array" ref="L26">(L22/INDEX(L3:L22,MATCH(TRUE,INDEX(ISNUMBER(L3:L22),0),0)))^(1/L24)-1</f>
        <v>2.0687579449468974E-2</v>
      </c>
      <c r="M26" s="50" cm="1">
        <f t="array" ref="M26">(M22/INDEX(M3:M22,MATCH(TRUE,INDEX(ISNUMBER(M3:M22),0),0)))^(1/M24)-1</f>
        <v>2.3841978697412891E-2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6.0169965942033388E-2</v>
      </c>
      <c r="P26" s="50" cm="1">
        <f t="array" ref="P26">(P22/INDEX(P3:P22,MATCH(TRUE,INDEX(ISNUMBER(P3:P22),0),0)))^(1/P24)-1</f>
        <v>7.2169155222421066E-2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1.2617045604423671E-2</v>
      </c>
      <c r="S26" s="50" cm="1">
        <f t="array" ref="S26">(S22/INDEX(S3:S22,MATCH(TRUE,INDEX(ISNUMBER(S3:S22),0),0)))^(1/S24)-1</f>
        <v>8.200571631078879E-2</v>
      </c>
      <c r="T26" s="50" cm="1">
        <f t="array" ref="T26">(T22/INDEX(T3:T22,MATCH(TRUE,INDEX(ISNUMBER(T3:T22),0),0)))^(1/T24)-1</f>
        <v>8.3481705833627906E-3</v>
      </c>
      <c r="U26" s="50" cm="1">
        <f t="array" ref="U26">(U22/INDEX(U3:U22,MATCH(TRUE,INDEX(ISNUMBER(U3:U22),0),0)))^(1/U24)-1</f>
        <v>-4.4922818987835234E-2</v>
      </c>
      <c r="V26" s="50" cm="1">
        <f t="array" ref="V26">(V22/INDEX(V3:V22,MATCH(TRUE,INDEX(ISNUMBER(V3:V22),0),0)))^(1/V24)-1</f>
        <v>-1.602635124967311E-2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7.0941999999999998</v>
      </c>
      <c r="E3" cm="1">
        <f t="array" ref="E3">_xll.FDSB(B3,"FG_PRICE_CHANGE(0,-1AY)")</f>
        <v>-2.7225614</v>
      </c>
      <c r="F3" cm="1">
        <f t="array" ref="F3">_xll.FDSB(B3,"FG_PRICE_CHANGE(0,-1AM)")</f>
        <v>-0.56416390000000005</v>
      </c>
      <c r="G3" cm="1">
        <f t="array" ref="G3">_xll.FDSB(B3,"FG_PRICE_CHANGE(0,-3AM)")</f>
        <v>-2.7072250000000002</v>
      </c>
      <c r="H3" cm="1">
        <f t="array" ref="H3">_xll.FDSB(B3,"FG_PRICE_CHANGE(0,-6AM)")</f>
        <v>-2.2157252000000001</v>
      </c>
      <c r="I3" cm="1">
        <f t="array" ref="I3">_xll.FDS(B3,"STD(FG_PRICE_CHANGE(0,-1AY,AM))")</f>
        <v>0.79557302134447705</v>
      </c>
      <c r="J3" cm="1">
        <f t="array" ref="J3">_xll.FDS(B3,"STD(FG_PRICE_CHANGE(0,-3AY,M))")*SQRT(12)</f>
        <v>6.2871495692094577</v>
      </c>
      <c r="L3">
        <f t="shared" ref="L3:L23" si="0">(1-(_xlfn.PERCENTRANK.EXC($F$3:$F$23,F3)))*100</f>
        <v>68.199999999999989</v>
      </c>
      <c r="M3">
        <f t="shared" ref="M3:M23" si="1">(1-(_xlfn.PERCENTRANK.EXC($G$3:$G$23,G3)))*100</f>
        <v>77.3</v>
      </c>
      <c r="N3">
        <f t="shared" ref="N3:N23" si="2">(1-(_xlfn.PERCENTRANK.EXC($H$3:$H$23,H3)))*100</f>
        <v>77.3</v>
      </c>
      <c r="O3">
        <f>SUMPRODUCT($L$1:$N$1,L3:N3)</f>
        <v>75.48</v>
      </c>
      <c r="P3">
        <f t="shared" ref="P3:P23" si="3">100- (_xlfn.PERCENTRANK.EXC($J$3:$J$23,J3)*100)</f>
        <v>63.7</v>
      </c>
      <c r="Q3">
        <f>VLOOKUP(A3,CAD!$A$3:$J$23, 10, FALSE)</f>
        <v>59</v>
      </c>
      <c r="S3">
        <f>SUMPRODUCT($O$1:$Q$1,O3:Q3)</f>
        <v>68.650000000000006</v>
      </c>
      <c r="U3" cm="1">
        <f t="array" ref="U3">_xlfn.PERCENTRANK.EXC(_xlfn._xlws.FILTER(S$3:S$23, ISNUMBER(S$3:S$23)),S3)*100</f>
        <v>86.3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930.76</v>
      </c>
      <c r="E4" cm="1">
        <f t="array" ref="E4">_xll.FDSB(B4,"FG_PRICE_CHANGE(0,-1AY)")</f>
        <v>0.35148859999999998</v>
      </c>
      <c r="F4" cm="1">
        <f t="array" ref="F4">_xll.FDSB(B4,"FG_PRICE_CHANGE(0,-1AM)")</f>
        <v>-2.0561934000000002</v>
      </c>
      <c r="G4" cm="1">
        <f t="array" ref="G4">_xll.FDSB(B4,"FG_PRICE_CHANGE(0,-3AM)")</f>
        <v>1.233387</v>
      </c>
      <c r="H4" cm="1">
        <f t="array" ref="H4">_xll.FDSB(B4,"FG_PRICE_CHANGE(0,-6AM)")</f>
        <v>-2.4513959999999999</v>
      </c>
      <c r="I4" cm="1">
        <f t="array" ref="I4">_xll.FDS(B4,"STD(FG_PRICE_CHANGE(0,-1AY,AM))")</f>
        <v>3.2427535490408999</v>
      </c>
      <c r="J4" cm="1">
        <f t="array" ref="J4">_xll.FDS(B4,"STD(FG_PRICE_CHANGE(0,-3AY,M))")*SQRT(12)</f>
        <v>15.381318578964523</v>
      </c>
      <c r="L4">
        <f t="shared" si="0"/>
        <v>86.4</v>
      </c>
      <c r="M4">
        <f t="shared" si="1"/>
        <v>18.200000000000006</v>
      </c>
      <c r="N4">
        <f t="shared" si="2"/>
        <v>81.899999999999991</v>
      </c>
      <c r="O4">
        <f t="shared" ref="O4:O23" si="4">SUMPRODUCT($L$1:$N$1,L4:N4)</f>
        <v>57.32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33.19</v>
      </c>
      <c r="U4" cm="1">
        <f t="array" ref="U4">_xlfn.PERCENTRANK.EXC(_xlfn._xlws.FILTER(S$3:S$23, ISNUMBER(S$3:S$23)),S4)*100</f>
        <v>18.099999999999998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15665</v>
      </c>
      <c r="E5" cm="1">
        <f t="array" ref="E5">_xll.FDSB(B5,"FG_PRICE_CHANGE(0,-1AY)")</f>
        <v>-0.44486523</v>
      </c>
      <c r="F5" cm="1">
        <f t="array" ref="F5">_xll.FDSB(B5,"FG_PRICE_CHANGE(0,-1AM)")</f>
        <v>1.3915896000000001</v>
      </c>
      <c r="G5" cm="1">
        <f t="array" ref="G5">_xll.FDSB(B5,"FG_PRICE_CHANGE(0,-3AM)")</f>
        <v>-3.5406409999999999</v>
      </c>
      <c r="H5" cm="1">
        <f t="array" ref="H5">_xll.FDSB(B5,"FG_PRICE_CHANGE(0,-6AM)")</f>
        <v>-1.1360049000000001</v>
      </c>
      <c r="I5" cm="1">
        <f t="array" ref="I5">_xll.FDS(B5,"STD(FG_PRICE_CHANGE(0,-1AY,AM))")</f>
        <v>1.5722895826651</v>
      </c>
      <c r="J5" cm="1">
        <f t="array" ref="J5">_xll.FDS(B5,"STD(FG_PRICE_CHANGE(0,-3AY,M))")*SQRT(12)</f>
        <v>6.2138020811265315</v>
      </c>
      <c r="L5">
        <f t="shared" si="0"/>
        <v>9.0999999999999979</v>
      </c>
      <c r="M5">
        <f t="shared" si="1"/>
        <v>86.4</v>
      </c>
      <c r="N5">
        <f t="shared" si="2"/>
        <v>63.7</v>
      </c>
      <c r="O5">
        <f t="shared" si="4"/>
        <v>61.860000000000007</v>
      </c>
      <c r="P5">
        <f t="shared" si="3"/>
        <v>68.2</v>
      </c>
      <c r="Q5">
        <f>VLOOKUP(A5,CAD!$A$3:$J$23, 10, FALSE)</f>
        <v>36.299999999999997</v>
      </c>
      <c r="S5">
        <f t="shared" si="5"/>
        <v>58.65</v>
      </c>
      <c r="U5" cm="1">
        <f t="array" ref="U5">_xlfn.PERCENTRANK.EXC(_xlfn._xlws.FILTER(S$3:S$23, ISNUMBER(S$3:S$23)),S5)*100</f>
        <v>63.6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57.36</v>
      </c>
      <c r="E6" cm="1">
        <f t="array" ref="E6">_xll.FDSB(B6,"FG_PRICE_CHANGE(0,-1AY)")</f>
        <v>0.85451600000000005</v>
      </c>
      <c r="F6" cm="1">
        <f t="array" ref="F6">_xll.FDSB(B6,"FG_PRICE_CHANGE(0,-1AM)")</f>
        <v>1.7382025999999999</v>
      </c>
      <c r="G6" cm="1">
        <f t="array" ref="G6">_xll.FDSB(B6,"FG_PRICE_CHANGE(0,-3AM)")</f>
        <v>-1.6916036999999999</v>
      </c>
      <c r="H6" cm="1">
        <f t="array" ref="H6">_xll.FDSB(B6,"FG_PRICE_CHANGE(0,-6AM)")</f>
        <v>1.5131353999999999</v>
      </c>
      <c r="I6" cm="1">
        <f t="array" ref="I6">_xll.FDS(B6,"STD(FG_PRICE_CHANGE(0,-1AY,AM))")</f>
        <v>1.5342172054046701</v>
      </c>
      <c r="J6" cm="1">
        <f t="array" ref="J6">_xll.FDS(B6,"STD(FG_PRICE_CHANGE(0,-3AY,M))")*SQRT(12)</f>
        <v>6.3528447575154363</v>
      </c>
      <c r="L6">
        <f t="shared" si="0"/>
        <v>4.6000000000000041</v>
      </c>
      <c r="M6">
        <f t="shared" si="1"/>
        <v>59.099999999999994</v>
      </c>
      <c r="N6">
        <f t="shared" si="2"/>
        <v>22.799999999999997</v>
      </c>
      <c r="O6">
        <f t="shared" si="4"/>
        <v>33.68</v>
      </c>
      <c r="P6">
        <f t="shared" si="3"/>
        <v>54.6</v>
      </c>
      <c r="Q6">
        <f>VLOOKUP(A6,CAD!$A$3:$J$23, 10, FALSE)</f>
        <v>13.600000000000001</v>
      </c>
      <c r="S6">
        <f t="shared" si="5"/>
        <v>35.94</v>
      </c>
      <c r="U6" cm="1">
        <f t="array" ref="U6">_xlfn.PERCENTRANK.EXC(_xlfn._xlws.FILTER(S$3:S$23, ISNUMBER(S$3:S$23)),S6)*100</f>
        <v>27.200000000000003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3.9400499999999998</v>
      </c>
      <c r="E7" cm="1">
        <f t="array" ref="E7">_xll.FDSB(B7,"FG_PRICE_CHANGE(0,-1AY)")</f>
        <v>-8.1112920000000006</v>
      </c>
      <c r="F7" cm="1">
        <f t="array" ref="F7">_xll.FDSB(B7,"FG_PRICE_CHANGE(0,-1AM)")</f>
        <v>1.3517618</v>
      </c>
      <c r="G7" cm="1">
        <f t="array" ref="G7">_xll.FDSB(B7,"FG_PRICE_CHANGE(0,-3AM)")</f>
        <v>0.13978481000000001</v>
      </c>
      <c r="H7" cm="1">
        <f t="array" ref="H7">_xll.FDSB(B7,"FG_PRICE_CHANGE(0,-6AM)")</f>
        <v>-0.70438385000000003</v>
      </c>
      <c r="I7" cm="1">
        <f t="array" ref="I7">_xll.FDS(B7,"STD(FG_PRICE_CHANGE(0,-1AY,AM))")</f>
        <v>1.75860361244779</v>
      </c>
      <c r="J7" cm="1">
        <f t="array" ref="J7">_xll.FDS(B7,"STD(FG_PRICE_CHANGE(0,-3AY,M))")*SQRT(12)</f>
        <v>11.179563181106452</v>
      </c>
      <c r="L7">
        <f t="shared" si="0"/>
        <v>13.700000000000001</v>
      </c>
      <c r="M7">
        <f t="shared" si="1"/>
        <v>27.3</v>
      </c>
      <c r="N7">
        <f t="shared" si="2"/>
        <v>59.099999999999994</v>
      </c>
      <c r="O7">
        <f t="shared" si="4"/>
        <v>37.300000000000004</v>
      </c>
      <c r="P7">
        <f t="shared" si="3"/>
        <v>22.799999999999997</v>
      </c>
      <c r="Q7">
        <f>VLOOKUP(A7,CAD!$A$3:$J$23, 10, FALSE)</f>
        <v>50</v>
      </c>
      <c r="S7">
        <f t="shared" si="5"/>
        <v>35.49</v>
      </c>
      <c r="U7" cm="1">
        <f t="array" ref="U7">_xlfn.PERCENTRANK.EXC(_xlfn._xlws.FILTER(S$3:S$23, ISNUMBER(S$3:S$23)),S7)*100</f>
        <v>22.7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3.7679999999999998</v>
      </c>
      <c r="E8" cm="1">
        <f t="array" ref="E8">_xll.FDSB(B8,"FG_PRICE_CHANGE(0,-1AY)")</f>
        <v>-1.4090061</v>
      </c>
      <c r="F8" cm="1">
        <f t="array" ref="F8">_xll.FDSB(B8,"FG_PRICE_CHANGE(0,-1AM)")</f>
        <v>-1.491487</v>
      </c>
      <c r="G8" cm="1">
        <f t="array" ref="G8">_xll.FDSB(B8,"FG_PRICE_CHANGE(0,-3AM)")</f>
        <v>-0.42809844000000002</v>
      </c>
      <c r="H8" cm="1">
        <f t="array" ref="H8">_xll.FDSB(B8,"FG_PRICE_CHANGE(0,-6AM)")</f>
        <v>1.5797734000000001</v>
      </c>
      <c r="I8" cm="1">
        <f t="array" ref="I8">_xll.FDS(B8,"STD(FG_PRICE_CHANGE(0,-1AY,AM))")</f>
        <v>2.2881899986480199</v>
      </c>
      <c r="J8" cm="1">
        <f t="array" ref="J8">_xll.FDS(B8,"STD(FG_PRICE_CHANGE(0,-3AY,M))")*SQRT(12)</f>
        <v>7.7181959728510856</v>
      </c>
      <c r="L8">
        <f t="shared" si="0"/>
        <v>81.899999999999991</v>
      </c>
      <c r="M8">
        <f t="shared" si="1"/>
        <v>45.499999999999993</v>
      </c>
      <c r="N8">
        <f t="shared" si="2"/>
        <v>18.200000000000006</v>
      </c>
      <c r="O8">
        <f t="shared" si="4"/>
        <v>41.86</v>
      </c>
      <c r="P8">
        <f t="shared" si="3"/>
        <v>45.499999999999993</v>
      </c>
      <c r="Q8">
        <f>VLOOKUP(A8,CAD!$A$3:$J$23, 10, FALSE)</f>
        <v>54.500000000000007</v>
      </c>
      <c r="S8">
        <f t="shared" si="5"/>
        <v>45.480000000000004</v>
      </c>
      <c r="U8" cm="1">
        <f t="array" ref="U8">_xlfn.PERCENTRANK.EXC(_xlfn._xlws.FILTER(S$3:S$23, ISNUMBER(S$3:S$23)),S8)*100</f>
        <v>36.299999999999997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4.2915000000000001</v>
      </c>
      <c r="E9" cm="1">
        <f t="array" ref="E9">_xll.FDSB(B9,"FG_PRICE_CHANGE(0,-1AY)")</f>
        <v>-9.2706149999999994</v>
      </c>
      <c r="F9" cm="1">
        <f t="array" ref="F9">_xll.FDSB(B9,"FG_PRICE_CHANGE(0,-1AM)")</f>
        <v>-1.174444</v>
      </c>
      <c r="G9" cm="1">
        <f t="array" ref="G9">_xll.FDSB(B9,"FG_PRICE_CHANGE(0,-3AM)")</f>
        <v>-8.7012</v>
      </c>
      <c r="H9" cm="1">
        <f t="array" ref="H9">_xll.FDSB(B9,"FG_PRICE_CHANGE(0,-6AM)")</f>
        <v>-9.6050500000000003</v>
      </c>
      <c r="I9" cm="1">
        <f t="array" ref="I9">_xll.FDS(B9,"STD(FG_PRICE_CHANGE(0,-1AY,AM))")</f>
        <v>2.0202971332945698</v>
      </c>
      <c r="J9" cm="1">
        <f t="array" ref="J9">_xll.FDS(B9,"STD(FG_PRICE_CHANGE(0,-3AY,M))")*SQRT(12)</f>
        <v>8.9239017442917614</v>
      </c>
      <c r="L9">
        <f t="shared" si="0"/>
        <v>77.3</v>
      </c>
      <c r="M9">
        <f t="shared" si="1"/>
        <v>95.5</v>
      </c>
      <c r="N9">
        <f t="shared" si="2"/>
        <v>95.5</v>
      </c>
      <c r="O9">
        <f t="shared" si="4"/>
        <v>91.860000000000014</v>
      </c>
      <c r="P9">
        <f t="shared" si="3"/>
        <v>41</v>
      </c>
      <c r="Q9">
        <f>VLOOKUP(A9,CAD!$A$3:$J$23, 10, FALSE)</f>
        <v>72.7</v>
      </c>
      <c r="S9">
        <f t="shared" si="5"/>
        <v>72.77000000000001</v>
      </c>
      <c r="U9" cm="1">
        <f t="array" ref="U9">_xlfn.PERCENTRANK.EXC(_xlfn._xlws.FILTER(S$3:S$23, ISNUMBER(S$3:S$23)),S9)*100</f>
        <v>95.399999999999991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32.195</v>
      </c>
      <c r="E10" cm="1">
        <f t="array" ref="E10">_xll.FDSB(B10,"FG_PRICE_CHANGE(0,-1AY)")</f>
        <v>-0.17673373000000001</v>
      </c>
      <c r="F10" cm="1">
        <f t="array" ref="F10">_xll.FDSB(B10,"FG_PRICE_CHANGE(0,-1AM)")</f>
        <v>2.3305415999999999E-2</v>
      </c>
      <c r="G10" cm="1">
        <f t="array" ref="G10">_xll.FDSB(B10,"FG_PRICE_CHANGE(0,-3AM)")</f>
        <v>-1.2483953999999999</v>
      </c>
      <c r="H10" cm="1">
        <f t="array" ref="H10">_xll.FDSB(B10,"FG_PRICE_CHANGE(0,-6AM)")</f>
        <v>0.57795050000000003</v>
      </c>
      <c r="I10" cm="1">
        <f t="array" ref="I10">_xll.FDS(B10,"STD(FG_PRICE_CHANGE(0,-1AY,AM))")</f>
        <v>1.2384647231598001</v>
      </c>
      <c r="J10" cm="1">
        <f t="array" ref="J10">_xll.FDS(B10,"STD(FG_PRICE_CHANGE(0,-3AY,M))")*SQRT(12)</f>
        <v>6.1483541269728814</v>
      </c>
      <c r="L10">
        <f t="shared" si="0"/>
        <v>41</v>
      </c>
      <c r="M10">
        <f t="shared" si="1"/>
        <v>54.6</v>
      </c>
      <c r="N10">
        <f t="shared" si="2"/>
        <v>31.899999999999995</v>
      </c>
      <c r="O10">
        <f t="shared" si="4"/>
        <v>42.800000000000004</v>
      </c>
      <c r="P10">
        <f t="shared" si="3"/>
        <v>72.8</v>
      </c>
      <c r="Q10">
        <f>VLOOKUP(A10,CAD!$A$3:$J$23, 10, FALSE)</f>
        <v>90.9</v>
      </c>
      <c r="S10">
        <f t="shared" si="5"/>
        <v>61.42</v>
      </c>
      <c r="U10" cm="1">
        <f t="array" ref="U10">_xlfn.PERCENTRANK.EXC(_xlfn._xlws.FILTER(S$3:S$23, ISNUMBER(S$3:S$23)),S10)*100</f>
        <v>68.100000000000009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19.513000000000002</v>
      </c>
      <c r="E11" cm="1">
        <f t="array" ref="E11">_xll.FDSB(B11,"FG_PRICE_CHANGE(0,-1AY)")</f>
        <v>8.1441990000000004</v>
      </c>
      <c r="F11" cm="1">
        <f t="array" ref="F11">_xll.FDSB(B11,"FG_PRICE_CHANGE(0,-1AM)")</f>
        <v>-2.7607439999999999</v>
      </c>
      <c r="G11" cm="1">
        <f t="array" ref="G11">_xll.FDSB(B11,"FG_PRICE_CHANGE(0,-3AM)")</f>
        <v>9.3594069999999991</v>
      </c>
      <c r="H11" cm="1">
        <f t="array" ref="H11">_xll.FDSB(B11,"FG_PRICE_CHANGE(0,-6AM)")</f>
        <v>18.364619999999999</v>
      </c>
      <c r="I11" cm="1">
        <f t="array" ref="I11">_xll.FDS(B11,"STD(FG_PRICE_CHANGE(0,-1AY,AM))")</f>
        <v>4.2028111623448003</v>
      </c>
      <c r="J11" cm="1">
        <f t="array" ref="J11">_xll.FDS(B11,"STD(FG_PRICE_CHANGE(0,-3AY,M))")*SQRT(12)</f>
        <v>9.6862263819981376</v>
      </c>
      <c r="L11">
        <f t="shared" si="0"/>
        <v>95.5</v>
      </c>
      <c r="M11">
        <f t="shared" si="1"/>
        <v>4.6000000000000041</v>
      </c>
      <c r="N11">
        <f t="shared" si="2"/>
        <v>4.6000000000000041</v>
      </c>
      <c r="O11">
        <f t="shared" si="4"/>
        <v>22.780000000000008</v>
      </c>
      <c r="P11">
        <f t="shared" si="3"/>
        <v>36.4</v>
      </c>
      <c r="Q11">
        <f>VLOOKUP(A11,CAD!$A$3:$J$23, 10, FALSE)</f>
        <v>40.9</v>
      </c>
      <c r="S11">
        <f t="shared" si="5"/>
        <v>30.490000000000002</v>
      </c>
      <c r="U11" cm="1">
        <f t="array" ref="U11">_xlfn.PERCENTRANK.EXC(_xlfn._xlws.FILTER(S$3:S$23, ISNUMBER(S$3:S$23)),S11)*100</f>
        <v>13.600000000000001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1350.3</v>
      </c>
      <c r="E12" cm="1">
        <f t="array" ref="E12">_xll.FDSB(B12,"FG_PRICE_CHANGE(0,-1AY)")</f>
        <v>5.1867961999999997E-2</v>
      </c>
      <c r="F12" cm="1">
        <f t="array" ref="F12">_xll.FDSB(B12,"FG_PRICE_CHANGE(0,-1AM)")</f>
        <v>0.50239562999999998</v>
      </c>
      <c r="G12" cm="1">
        <f t="array" ref="G12">_xll.FDSB(B12,"FG_PRICE_CHANGE(0,-3AM)")</f>
        <v>-2.4842857999999999</v>
      </c>
      <c r="H12" cm="1">
        <f t="array" ref="H12">_xll.FDSB(B12,"FG_PRICE_CHANGE(0,-6AM)")</f>
        <v>-0.33582450000000003</v>
      </c>
      <c r="I12" cm="1">
        <f t="array" ref="I12">_xll.FDS(B12,"STD(FG_PRICE_CHANGE(0,-1AY,AM))")</f>
        <v>1.3870772954852599</v>
      </c>
      <c r="J12" cm="1">
        <f t="array" ref="J12">_xll.FDS(B12,"STD(FG_PRICE_CHANGE(0,-3AY,M))")*SQRT(12)</f>
        <v>10.638123524266994</v>
      </c>
      <c r="L12">
        <f t="shared" si="0"/>
        <v>27.3</v>
      </c>
      <c r="M12">
        <f t="shared" si="1"/>
        <v>68.199999999999989</v>
      </c>
      <c r="N12">
        <f t="shared" si="2"/>
        <v>50</v>
      </c>
      <c r="O12">
        <f t="shared" si="4"/>
        <v>52.739999999999995</v>
      </c>
      <c r="P12">
        <f t="shared" si="3"/>
        <v>31.899999999999991</v>
      </c>
      <c r="Q12">
        <f>VLOOKUP(A12,CAD!$A$3:$J$23, 10, FALSE)</f>
        <v>81.8</v>
      </c>
      <c r="S12">
        <f t="shared" si="5"/>
        <v>52.3</v>
      </c>
      <c r="U12" cm="1">
        <f t="array" ref="U12">_xlfn.PERCENTRANK.EXC(_xlfn._xlws.FILTER(S$3:S$23, ISNUMBER(S$3:S$23)),S12)*100</f>
        <v>50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5.58195</v>
      </c>
      <c r="E13" cm="1">
        <f t="array" ref="E13">_xll.FDSB(B13,"FG_PRICE_CHANGE(0,-1AY)")</f>
        <v>9.9371670000000005</v>
      </c>
      <c r="F13" cm="1">
        <f t="array" ref="F13">_xll.FDSB(B13,"FG_PRICE_CHANGE(0,-1AM)")</f>
        <v>-0.83584784999999995</v>
      </c>
      <c r="G13" cm="1">
        <f t="array" ref="G13">_xll.FDSB(B13,"FG_PRICE_CHANGE(0,-3AM)")</f>
        <v>3.3751845</v>
      </c>
      <c r="H13" cm="1">
        <f t="array" ref="H13">_xll.FDSB(B13,"FG_PRICE_CHANGE(0,-6AM)")</f>
        <v>10.18784</v>
      </c>
      <c r="I13" cm="1">
        <f t="array" ref="I13">_xll.FDS(B13,"STD(FG_PRICE_CHANGE(0,-1AY,AM))")</f>
        <v>1.8186630236418899</v>
      </c>
      <c r="J13" cm="1">
        <f t="array" ref="J13">_xll.FDS(B13,"STD(FG_PRICE_CHANGE(0,-3AY,M))")*SQRT(12)</f>
        <v>12.309905290859861</v>
      </c>
      <c r="L13">
        <f t="shared" si="0"/>
        <v>72.8</v>
      </c>
      <c r="M13">
        <f t="shared" si="1"/>
        <v>13.700000000000001</v>
      </c>
      <c r="N13">
        <f t="shared" si="2"/>
        <v>9.0999999999999979</v>
      </c>
      <c r="O13">
        <f t="shared" si="4"/>
        <v>23.68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22.740000000000002</v>
      </c>
      <c r="U13" cm="1">
        <f t="array" ref="U13">_xlfn.PERCENTRANK.EXC(_xlfn._xlws.FILTER(S$3:S$23, ISNUMBER(S$3:S$23)),S13)*100</f>
        <v>9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17.545000000000002</v>
      </c>
      <c r="E14" cm="1">
        <f t="array" ref="E14">_xll.FDSB(B14,"FG_PRICE_CHANGE(0,-1AY)")</f>
        <v>-8.026999</v>
      </c>
      <c r="F14" cm="1">
        <f t="array" ref="F14">_xll.FDSB(B14,"FG_PRICE_CHANGE(0,-1AM)")</f>
        <v>-2.1335899999999999</v>
      </c>
      <c r="G14" cm="1">
        <f t="array" ref="G14">_xll.FDSB(B14,"FG_PRICE_CHANGE(0,-3AM)")</f>
        <v>-3.1799674000000002</v>
      </c>
      <c r="H14" cm="1">
        <f t="array" ref="H14">_xll.FDSB(B14,"FG_PRICE_CHANGE(0,-6AM)")</f>
        <v>-6.3892245000000001</v>
      </c>
      <c r="I14" cm="1">
        <f t="array" ref="I14">_xll.FDS(B14,"STD(FG_PRICE_CHANGE(0,-1AY,AM))")</f>
        <v>1.7203164386646299</v>
      </c>
      <c r="J14" cm="1">
        <f t="array" ref="J14">_xll.FDS(B14,"STD(FG_PRICE_CHANGE(0,-3AY,M))")*SQRT(12)</f>
        <v>13.520979664830906</v>
      </c>
      <c r="L14">
        <f t="shared" si="0"/>
        <v>91</v>
      </c>
      <c r="M14">
        <f t="shared" si="1"/>
        <v>81.899999999999991</v>
      </c>
      <c r="N14">
        <f t="shared" si="2"/>
        <v>86.4</v>
      </c>
      <c r="O14">
        <f t="shared" si="4"/>
        <v>85.52</v>
      </c>
      <c r="P14">
        <f t="shared" si="3"/>
        <v>13.700000000000003</v>
      </c>
      <c r="Q14">
        <f>VLOOKUP(A14,CAD!$A$3:$J$23, 10, FALSE)</f>
        <v>22.7</v>
      </c>
      <c r="S14">
        <f t="shared" si="5"/>
        <v>51.41</v>
      </c>
      <c r="U14" cm="1">
        <f t="array" ref="U14">_xlfn.PERCENTRANK.EXC(_xlfn._xlws.FILTER(S$3:S$23, ISNUMBER(S$3:S$23)),S14)*100</f>
        <v>45.4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0.91549939999999996</v>
      </c>
      <c r="E15" cm="1">
        <f t="array" ref="E15">_xll.FDSB(B15,"FG_PRICE_CHANGE(0,-1AY)")</f>
        <v>-2.9799519999999999</v>
      </c>
      <c r="F15" cm="1">
        <f t="array" ref="F15">_xll.FDSB(B15,"FG_PRICE_CHANGE(0,-1AM)")</f>
        <v>0.86972713000000001</v>
      </c>
      <c r="G15" cm="1">
        <f t="array" ref="G15">_xll.FDSB(B15,"FG_PRICE_CHANGE(0,-3AM)")</f>
        <v>-0.90634820000000005</v>
      </c>
      <c r="H15" cm="1">
        <f t="array" ref="H15">_xll.FDSB(B15,"FG_PRICE_CHANGE(0,-6AM)")</f>
        <v>-1.5517711999999999</v>
      </c>
      <c r="I15" cm="1">
        <f t="array" ref="I15">_xll.FDS(B15,"STD(FG_PRICE_CHANGE(0,-1AY,AM))")</f>
        <v>1.21308000708563</v>
      </c>
      <c r="J15" cm="1">
        <f t="array" ref="J15">_xll.FDS(B15,"STD(FG_PRICE_CHANGE(0,-3AY,M))")*SQRT(12)</f>
        <v>7.5230849582827322</v>
      </c>
      <c r="L15">
        <f t="shared" si="0"/>
        <v>18.200000000000006</v>
      </c>
      <c r="M15">
        <f t="shared" si="1"/>
        <v>50</v>
      </c>
      <c r="N15">
        <f t="shared" si="2"/>
        <v>68.199999999999989</v>
      </c>
      <c r="O15">
        <f t="shared" si="4"/>
        <v>50.92</v>
      </c>
      <c r="P15">
        <f t="shared" si="3"/>
        <v>50</v>
      </c>
      <c r="Q15">
        <f>VLOOKUP(A15,CAD!$A$3:$J$23, 10, FALSE)</f>
        <v>4.5</v>
      </c>
      <c r="S15">
        <f t="shared" si="5"/>
        <v>41.36</v>
      </c>
      <c r="U15" cm="1">
        <f t="array" ref="U15">_xlfn.PERCENTRANK.EXC(_xlfn._xlws.FILTER(S$3:S$23, ISNUMBER(S$3:S$23)),S15)*100</f>
        <v>31.8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83.976249999999993</v>
      </c>
      <c r="E16" cm="1">
        <f t="array" ref="E16">_xll.FDSB(B16,"FG_PRICE_CHANGE(0,-1AY)")</f>
        <v>0.86781980000000003</v>
      </c>
      <c r="F16" cm="1">
        <f t="array" ref="F16">_xll.FDSB(B16,"FG_PRICE_CHANGE(0,-1AM)")</f>
        <v>0</v>
      </c>
      <c r="G16" cm="1">
        <f t="array" ref="G16">_xll.FDSB(B16,"FG_PRICE_CHANGE(0,-3AM)")</f>
        <v>0.53346159999999998</v>
      </c>
      <c r="H16" cm="1">
        <f t="array" ref="H16">_xll.FDSB(B16,"FG_PRICE_CHANGE(0,-6AM)")</f>
        <v>0.93905925999999995</v>
      </c>
      <c r="I16" cm="1">
        <f t="array" ref="I16">_xll.FDS(B16,"STD(FG_PRICE_CHANGE(0,-1AY,AM))")</f>
        <v>0.278799073399433</v>
      </c>
      <c r="J16" cm="1">
        <f t="array" ref="J16">_xll.FDS(B16,"STD(FG_PRICE_CHANGE(0,-3AY,M))")*SQRT(12)</f>
        <v>2.9348585589232088</v>
      </c>
      <c r="L16">
        <f t="shared" si="0"/>
        <v>54.6</v>
      </c>
      <c r="M16">
        <f t="shared" si="1"/>
        <v>22.799999999999997</v>
      </c>
      <c r="N16">
        <f t="shared" si="2"/>
        <v>27.3</v>
      </c>
      <c r="O16">
        <f t="shared" si="4"/>
        <v>30.96</v>
      </c>
      <c r="P16">
        <f t="shared" si="3"/>
        <v>81.900000000000006</v>
      </c>
      <c r="Q16">
        <f>VLOOKUP(A16,CAD!$A$3:$J$23, 10, FALSE)</f>
        <v>31.8</v>
      </c>
      <c r="S16">
        <f t="shared" si="5"/>
        <v>46.41</v>
      </c>
      <c r="U16" cm="1">
        <f t="array" ref="U16">_xlfn.PERCENTRANK.EXC(_xlfn._xlws.FILTER(S$3:S$23, ISNUMBER(S$3:S$23)),S16)*100</f>
        <v>40.9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7.0941999999999998</v>
      </c>
      <c r="E17" cm="1">
        <f t="array" ref="E17">_xll.FDSB(B17,"FG_PRICE_CHANGE(0,-1AY)")</f>
        <v>-2.7225614</v>
      </c>
      <c r="F17" cm="1">
        <f t="array" ref="F17">_xll.FDSB(B17,"FG_PRICE_CHANGE(0,-1AM)")</f>
        <v>-0.56416390000000005</v>
      </c>
      <c r="G17" cm="1">
        <f t="array" ref="G17">_xll.FDSB(B17,"FG_PRICE_CHANGE(0,-3AM)")</f>
        <v>-2.7072250000000002</v>
      </c>
      <c r="H17" cm="1">
        <f t="array" ref="H17">_xll.FDSB(B17,"FG_PRICE_CHANGE(0,-6AM)")</f>
        <v>-2.2157252000000001</v>
      </c>
      <c r="I17" cm="1">
        <f t="array" ref="I17">_xll.FDS(B17,"STD(FG_PRICE_CHANGE(0,-1AY,AM))")</f>
        <v>0.79557302134447705</v>
      </c>
      <c r="J17" cm="1">
        <f t="array" ref="J17">_xll.FDS(B17,"STD(FG_PRICE_CHANGE(0,-3AY,M))")*SQRT(12)</f>
        <v>6.2871495692094577</v>
      </c>
      <c r="L17">
        <f t="shared" si="0"/>
        <v>68.199999999999989</v>
      </c>
      <c r="M17">
        <f t="shared" si="1"/>
        <v>77.3</v>
      </c>
      <c r="N17">
        <f t="shared" si="2"/>
        <v>77.3</v>
      </c>
      <c r="O17">
        <f t="shared" si="4"/>
        <v>75.48</v>
      </c>
      <c r="P17">
        <f t="shared" si="3"/>
        <v>63.7</v>
      </c>
      <c r="Q17">
        <f>VLOOKUP(A17,CAD!$A$3:$J$23, 10, FALSE)</f>
        <v>59</v>
      </c>
      <c r="S17">
        <f t="shared" si="5"/>
        <v>68.650000000000006</v>
      </c>
      <c r="U17" cm="1">
        <f t="array" ref="U17">_xlfn.PERCENTRANK.EXC(_xlfn._xlws.FILTER(S$3:S$23, ISNUMBER(S$3:S$23)),S17)*100</f>
        <v>86.3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0</v>
      </c>
      <c r="I18" cm="1">
        <f t="array" ref="I18">_xll.FDS(B18,"STD(FG_PRICE_CHANGE(0,-1AY,AM))")</f>
        <v>7.6176478717434101E-3</v>
      </c>
      <c r="J18" cm="1">
        <f t="array" ref="J18">_xll.FDS(B18,"STD(FG_PRICE_CHANGE(0,-3AY,M))")*SQRT(12)</f>
        <v>3.4580924200293572E-2</v>
      </c>
      <c r="L18">
        <f t="shared" si="0"/>
        <v>54.6</v>
      </c>
      <c r="M18">
        <f t="shared" si="1"/>
        <v>36.4</v>
      </c>
      <c r="N18">
        <f t="shared" si="2"/>
        <v>45.499999999999993</v>
      </c>
      <c r="O18">
        <f t="shared" si="4"/>
        <v>43.680000000000007</v>
      </c>
      <c r="P18">
        <f t="shared" si="3"/>
        <v>91</v>
      </c>
      <c r="Q18">
        <f>VLOOKUP(A18,CAD!$A$3:$J$23, 10, FALSE)</f>
        <v>95.399999999999991</v>
      </c>
      <c r="S18">
        <f t="shared" si="5"/>
        <v>68.22</v>
      </c>
      <c r="U18" cm="1">
        <f t="array" ref="U18">_xlfn.PERCENTRANK.EXC(_xlfn._xlws.FILTER(S$3:S$23, ISNUMBER(S$3:S$23)),S18)*100</f>
        <v>81.8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33.590000000000003</v>
      </c>
      <c r="E19" cm="1">
        <f t="array" ref="E19">_xll.FDSB(B19,"FG_PRICE_CHANGE(0,-1AY)")</f>
        <v>-8.5861979999999996</v>
      </c>
      <c r="F19" cm="1">
        <f t="array" ref="F19">_xll.FDSB(B19,"FG_PRICE_CHANGE(0,-1AM)")</f>
        <v>-0.45932529999999999</v>
      </c>
      <c r="G19" cm="1">
        <f t="array" ref="G19">_xll.FDSB(B19,"FG_PRICE_CHANGE(0,-3AM)")</f>
        <v>-7.7197846999999999</v>
      </c>
      <c r="H19" cm="1">
        <f t="array" ref="H19">_xll.FDSB(B19,"FG_PRICE_CHANGE(0,-6AM)")</f>
        <v>-7.6436577000000003</v>
      </c>
      <c r="I19" cm="1">
        <f t="array" ref="I19">_xll.FDS(B19,"STD(FG_PRICE_CHANGE(0,-1AY,AM))")</f>
        <v>2.3350968191955301</v>
      </c>
      <c r="J19" cm="1">
        <f t="array" ref="J19">_xll.FDS(B19,"STD(FG_PRICE_CHANGE(0,-3AY,M))")*SQRT(12)</f>
        <v>10.789382519196289</v>
      </c>
      <c r="L19">
        <f t="shared" si="0"/>
        <v>59.099999999999994</v>
      </c>
      <c r="M19">
        <f t="shared" si="1"/>
        <v>91</v>
      </c>
      <c r="N19">
        <f t="shared" si="2"/>
        <v>91</v>
      </c>
      <c r="O19">
        <f t="shared" si="4"/>
        <v>84.62</v>
      </c>
      <c r="P19">
        <f t="shared" si="3"/>
        <v>27.299999999999997</v>
      </c>
      <c r="Q19">
        <f>VLOOKUP(A19,CAD!$A$3:$J$23, 10, FALSE)</f>
        <v>77.2</v>
      </c>
      <c r="S19">
        <f t="shared" si="5"/>
        <v>65.94</v>
      </c>
      <c r="U19" cm="1">
        <f t="array" ref="U19">_xlfn.PERCENTRANK.EXC(_xlfn._xlws.FILTER(S$3:S$23, ISNUMBER(S$3:S$23)),S19)*100</f>
        <v>72.7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34.198250000000002</v>
      </c>
      <c r="E20" cm="1">
        <f t="array" ref="E20">_xll.FDSB(B20,"FG_PRICE_CHANGE(0,-1AY)")</f>
        <v>23.340273</v>
      </c>
      <c r="F20" cm="1">
        <f t="array" ref="F20">_xll.FDSB(B20,"FG_PRICE_CHANGE(0,-1AM)")</f>
        <v>0.46783686000000002</v>
      </c>
      <c r="G20" cm="1">
        <f t="array" ref="G20">_xll.FDSB(B20,"FG_PRICE_CHANGE(0,-3AM)")</f>
        <v>4.0187716</v>
      </c>
      <c r="H20" cm="1">
        <f t="array" ref="H20">_xll.FDSB(B20,"FG_PRICE_CHANGE(0,-6AM)")</f>
        <v>5.8900475999999999</v>
      </c>
      <c r="I20" cm="1">
        <f t="array" ref="I20">_xll.FDS(B20,"STD(FG_PRICE_CHANGE(0,-1AY,AM))")</f>
        <v>1.3125805869827001</v>
      </c>
      <c r="J20" cm="1">
        <f t="array" ref="J20">_xll.FDS(B20,"STD(FG_PRICE_CHANGE(0,-3AY,M))")*SQRT(12)</f>
        <v>25.853369535051026</v>
      </c>
      <c r="L20">
        <f t="shared" si="0"/>
        <v>31.899999999999995</v>
      </c>
      <c r="M20">
        <f t="shared" si="1"/>
        <v>9.0999999999999979</v>
      </c>
      <c r="N20">
        <f t="shared" si="2"/>
        <v>13.700000000000001</v>
      </c>
      <c r="O20">
        <f t="shared" si="4"/>
        <v>15.499999999999998</v>
      </c>
      <c r="P20">
        <f t="shared" si="3"/>
        <v>4.6000000000000085</v>
      </c>
      <c r="Q20">
        <f>VLOOKUP(A20,CAD!$A$3:$J$23, 10, FALSE)</f>
        <v>18.099999999999998</v>
      </c>
      <c r="S20">
        <f t="shared" si="5"/>
        <v>12.750000000000002</v>
      </c>
      <c r="U20" cm="1">
        <f t="array" ref="U20">_xlfn.PERCENTRANK.EXC(_xlfn._xlws.FILTER(S$3:S$23, ISNUMBER(S$3:S$23)),S20)*100</f>
        <v>4.5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3.6728999999999998</v>
      </c>
      <c r="E21" cm="1">
        <f t="array" ref="E21">_xll.FDSB(B21,"FG_PRICE_CHANGE(0,-1AY)")</f>
        <v>-4.0829179999999996E-3</v>
      </c>
      <c r="F21" cm="1">
        <f t="array" ref="F21">_xll.FDSB(B21,"FG_PRICE_CHANGE(0,-1AM)")</f>
        <v>0</v>
      </c>
      <c r="G21" cm="1">
        <f t="array" ref="G21">_xll.FDSB(B21,"FG_PRICE_CHANGE(0,-3AM)")</f>
        <v>-2.7239323000000002E-3</v>
      </c>
      <c r="H21" cm="1">
        <f t="array" ref="H21">_xll.FDSB(B21,"FG_PRICE_CHANGE(0,-6AM)")</f>
        <v>1.4972687E-2</v>
      </c>
      <c r="I21" cm="1">
        <f t="array" ref="I21">_xll.FDS(B21,"STD(FG_PRICE_CHANGE(0,-1AY,AM))")</f>
        <v>9.9445276753046298E-3</v>
      </c>
      <c r="J21" cm="1">
        <f t="array" ref="J21">_xll.FDS(B21,"STD(FG_PRICE_CHANGE(0,-3AY,M))")*SQRT(12)</f>
        <v>3.028589567726685E-2</v>
      </c>
      <c r="L21">
        <f t="shared" si="0"/>
        <v>54.6</v>
      </c>
      <c r="M21">
        <f t="shared" si="1"/>
        <v>41</v>
      </c>
      <c r="N21">
        <f t="shared" si="2"/>
        <v>41</v>
      </c>
      <c r="O21">
        <f t="shared" si="4"/>
        <v>43.720000000000006</v>
      </c>
      <c r="P21">
        <f t="shared" si="3"/>
        <v>95.5</v>
      </c>
      <c r="Q21">
        <f>VLOOKUP(A21,CAD!$A$3:$J$23, 10, FALSE)</f>
        <v>86.3</v>
      </c>
      <c r="S21">
        <f t="shared" si="5"/>
        <v>67.77000000000001</v>
      </c>
      <c r="U21" cm="1">
        <f t="array" ref="U21">_xlfn.PERCENTRANK.EXC(_xlfn._xlws.FILTER(S$3:S$23, ISNUMBER(S$3:S$23)),S21)*100</f>
        <v>77.2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24845</v>
      </c>
      <c r="E22" cm="1">
        <f t="array" ref="E22">_xll.FDSB(B22,"FG_PRICE_CHANGE(0,-1AY)")</f>
        <v>1.8049955</v>
      </c>
      <c r="F22" cm="1">
        <f t="array" ref="F22">_xll.FDSB(B22,"FG_PRICE_CHANGE(0,-1AM)")</f>
        <v>0.70936679999999996</v>
      </c>
      <c r="G22" cm="1">
        <f t="array" ref="G22">_xll.FDSB(B22,"FG_PRICE_CHANGE(0,-3AM)")</f>
        <v>-2.2523879999999998</v>
      </c>
      <c r="H22" cm="1">
        <f t="array" ref="H22">_xll.FDSB(B22,"FG_PRICE_CHANGE(0,-6AM)")</f>
        <v>-0.37292241999999998</v>
      </c>
      <c r="I22" cm="1">
        <f t="array" ref="I22">_xll.FDS(B22,"STD(FG_PRICE_CHANGE(0,-1AY,AM))")</f>
        <v>1.0588032448740099</v>
      </c>
      <c r="J22" cm="1">
        <f t="array" ref="J22">_xll.FDS(B22,"STD(FG_PRICE_CHANGE(0,-3AY,M))")*SQRT(12)</f>
        <v>4.6229879674398875</v>
      </c>
      <c r="L22">
        <f t="shared" si="0"/>
        <v>22.799999999999997</v>
      </c>
      <c r="M22">
        <f t="shared" si="1"/>
        <v>63.7</v>
      </c>
      <c r="N22">
        <f t="shared" si="2"/>
        <v>54.6</v>
      </c>
      <c r="O22">
        <f t="shared" si="4"/>
        <v>51.88000000000001</v>
      </c>
      <c r="P22">
        <f t="shared" si="3"/>
        <v>77.3</v>
      </c>
      <c r="Q22">
        <f>VLOOKUP(A22,CAD!$A$3:$J$23, 10, FALSE)</f>
        <v>45.4</v>
      </c>
      <c r="S22">
        <f t="shared" si="5"/>
        <v>58.21</v>
      </c>
      <c r="U22" cm="1">
        <f t="array" ref="U22">_xlfn.PERCENTRANK.EXC(_xlfn._xlws.FILTER(S$3:S$23, ISNUMBER(S$3:S$23)),S22)*100</f>
        <v>59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3.7547000000000001</v>
      </c>
      <c r="E23" cm="1">
        <f t="array" ref="E23">_xll.FDSB(B23,"FG_PRICE_CHANGE(0,-1AY)")</f>
        <v>0.10397434</v>
      </c>
      <c r="F23" cm="1">
        <f t="array" ref="F23">_xll.FDSB(B23,"FG_PRICE_CHANGE(0,-1AM)")</f>
        <v>7.1954729999999995E-2</v>
      </c>
      <c r="G23" cm="1">
        <f t="array" ref="G23">_xll.FDSB(B23,"FG_PRICE_CHANGE(0,-3AM)")</f>
        <v>0.10664463</v>
      </c>
      <c r="H23" cm="1">
        <f t="array" ref="H23">_xll.FDSB(B23,"FG_PRICE_CHANGE(0,-6AM)")</f>
        <v>0.101304054</v>
      </c>
      <c r="I23" cm="1">
        <f t="array" ref="I23">_xll.FDS(B23,"STD(FG_PRICE_CHANGE(0,-1AY,AM))")</f>
        <v>3.11698435399504E-2</v>
      </c>
      <c r="J23" cm="1">
        <f t="array" ref="J23">_xll.FDS(B23,"STD(FG_PRICE_CHANGE(0,-3AY,M))")*SQRT(12)</f>
        <v>0.15144768175284043</v>
      </c>
      <c r="L23">
        <f t="shared" si="0"/>
        <v>36.4</v>
      </c>
      <c r="M23">
        <f t="shared" si="1"/>
        <v>31.899999999999995</v>
      </c>
      <c r="N23">
        <f t="shared" si="2"/>
        <v>36.4</v>
      </c>
      <c r="O23">
        <f t="shared" si="4"/>
        <v>34.6</v>
      </c>
      <c r="P23">
        <f t="shared" si="3"/>
        <v>86.4</v>
      </c>
      <c r="Q23">
        <f>VLOOKUP(A23,CAD!$A$3:$J$23, 10, FALSE)</f>
        <v>68.100000000000009</v>
      </c>
      <c r="S23">
        <f t="shared" si="5"/>
        <v>56.84</v>
      </c>
      <c r="U23" cm="1">
        <f t="array" ref="U23">_xlfn.PERCENTRANK.EXC(_xlfn._xlws.FILTER(S$3:S$23, ISNUMBER(S$3:S$23)),S23)*100</f>
        <v>54.500000000000007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-0.14000000000000001</v>
      </c>
      <c r="H5" cm="1">
        <f t="array" ref="H5">IFERROR(_xll.FDS($F5,"EE_ACTUAL_ANNUAL(MED,+1)"),0)</f>
        <v>-0.7</v>
      </c>
      <c r="J5" cm="1">
        <f t="array" ref="J5">_xlfn.PERCENTRANK.EXC(_xlfn._xlws.FILTER(H$3:H$23, ISNUMBER(H$3:H$23)),H5)*100</f>
        <v>36.299999999999997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-2.70643338027419</v>
      </c>
      <c r="H6" cm="1">
        <f t="array" ref="H6">IFERROR(_xll.FDS($F6,"EE_ACTUAL_ANNUAL(MED,+1)"),0)</f>
        <v>-2.4</v>
      </c>
      <c r="J6" cm="1">
        <f t="array" ref="J6">_xlfn.PERCENTRANK.EXC(_xlfn._xlws.FILTER(H$3:H$23, ISNUMBER(H$3:H$23)),H6)*100</f>
        <v>13.600000000000001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1.8095756577486</v>
      </c>
      <c r="H7" cm="1">
        <f t="array" ref="H7">IFERROR(_xll.FDS($F7,"EE_ACTUAL_ANNUAL(MED,+1)"),0)</f>
        <v>0.55000000000000004</v>
      </c>
      <c r="J7" cm="1">
        <f t="array" ref="J7">_xlfn.PERCENTRANK.EXC(_xlfn._xlws.FILTER(H$3:H$23, ISNUMBER(H$3:H$23)),H7)*100</f>
        <v>50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0.83017656482038404</v>
      </c>
      <c r="H8" cm="1">
        <f t="array" ref="H8">IFERROR(_xll.FDS($F8,"EE_ACTUAL_ANNUAL(MED,+1)"),0)</f>
        <v>0.9</v>
      </c>
      <c r="J8" cm="1">
        <f t="array" ref="J8">_xlfn.PERCENTRANK.EXC(_xlfn._xlws.FILTER(H$3:H$23, ISNUMBER(H$3:H$23)),H8)*100</f>
        <v>54.500000000000007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1.5471394075701399</v>
      </c>
      <c r="H9" cm="1">
        <f t="array" ref="H9">IFERROR(_xll.FDS($F9,"EE_ACTUAL_ANNUAL(MED,+1)"),0)</f>
        <v>2.35</v>
      </c>
      <c r="J9" cm="1">
        <f t="array" ref="J9">_xlfn.PERCENTRANK.EXC(_xlfn._xlws.FILTER(H$3:H$23, ISNUMBER(H$3:H$23)),H9)*100</f>
        <v>72.7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13.6964985659127</v>
      </c>
      <c r="H10" cm="1">
        <f t="array" ref="H10">IFERROR(_xll.FDS($F10,"EE_ACTUAL_ANNUAL(MED,+1)"),0)</f>
        <v>13.85</v>
      </c>
      <c r="J10" cm="1">
        <f t="array" ref="J10">_xlfn.PERCENTRANK.EXC(_xlfn._xlws.FILTER(H$3:H$23, ISNUMBER(H$3:H$23)),H10)*100</f>
        <v>90.9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-0.46500000000000002</v>
      </c>
      <c r="H11" cm="1">
        <f t="array" ref="H11">IFERROR(_xll.FDS($F11,"EE_ACTUAL_ANNUAL(MED,+1)"),0)</f>
        <v>-0.5</v>
      </c>
      <c r="J11" cm="1">
        <f t="array" ref="J11">_xlfn.PERCENTRANK.EXC(_xlfn._xlws.FILTER(H$3:H$23, ISNUMBER(H$3:H$23)),H11)*100</f>
        <v>40.9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1.9034422170805301</v>
      </c>
      <c r="H12" cm="1">
        <f t="array" ref="H12">IFERROR(_xll.FDS($F12,"EE_ACTUAL_ANNUAL(MED,+1)"),0)</f>
        <v>3.75</v>
      </c>
      <c r="J12" cm="1">
        <f t="array" ref="J12">_xlfn.PERCENTRANK.EXC(_xlfn._xlws.FILTER(H$3:H$23, ISNUMBER(H$3:H$23)),H12)*100</f>
        <v>81.8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-1.00044711100741</v>
      </c>
      <c r="H13" cm="1">
        <f t="array" ref="H13">IFERROR(_xll.FDS($F13,"EE_ACTUAL_ANNUAL(MED,+1)"),0)</f>
        <v>-1.65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-1.8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-6.3414882214495503</v>
      </c>
      <c r="H15" cm="1">
        <f t="array" ref="H15">IFERROR(_xll.FDS($F15,"EE_ACTUAL_ANNUAL(MED,+1)"),0)</f>
        <v>-6.9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-0.73107934349245796</v>
      </c>
      <c r="H16" cm="1">
        <f t="array" ref="H16">IFERROR(_xll.FDS($F16,"EE_ACTUAL_ANNUAL(MED,+1)"),0)</f>
        <v>-1.3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17.113740127365499</v>
      </c>
      <c r="H18" cm="1">
        <f t="array" ref="H18">IFERROR(_xll.FDS($F18,"EE_ACTUAL_ANNUAL(MED,+1)"),0)</f>
        <v>15</v>
      </c>
      <c r="J18" cm="1">
        <f t="array" ref="J18">_xlfn.PERCENTRANK.EXC(_xlfn._xlws.FILTER(H$3:H$23, ISNUMBER(H$3:H$23)),H18)*100</f>
        <v>95.399999999999991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1.24003730608342</v>
      </c>
      <c r="H19" cm="1">
        <f t="array" ref="H19">IFERROR(_xll.FDS($F19,"EE_ACTUAL_ANNUAL(MED,+1)"),0)</f>
        <v>2.6</v>
      </c>
      <c r="J19" cm="1">
        <f t="array" ref="J19">_xlfn.PERCENTRANK.EXC(_xlfn._xlws.FILTER(H$3:H$23, ISNUMBER(H$3:H$23)),H19)*100</f>
        <v>77.2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-4.5070251939119199</v>
      </c>
      <c r="H20" cm="1">
        <f t="array" ref="H20">IFERROR(_xll.FDS($F20,"EE_ACTUAL_ANNUAL(MED,+1)"),0)</f>
        <v>-2.0499999999999998</v>
      </c>
      <c r="J20" cm="1">
        <f t="array" ref="J20">_xlfn.PERCENTRANK.EXC(_xlfn._xlws.FILTER(H$3:H$23, ISNUMBER(H$3:H$23)),H20)*100</f>
        <v>18.099999999999998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12.15</v>
      </c>
      <c r="H21" cm="1">
        <f t="array" ref="H21">IFERROR(_xll.FDS($F21,"EE_ACTUAL_ANNUAL(MED,+1)"),0)</f>
        <v>8.9499999999999993</v>
      </c>
      <c r="J21" cm="1">
        <f t="array" ref="J21">_xlfn.PERCENTRANK.EXC(_xlfn._xlws.FILTER(H$3:H$23, ISNUMBER(H$3:H$23)),H21)*100</f>
        <v>86.3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45.4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3.1913656694846999</v>
      </c>
      <c r="H23" cm="1">
        <f t="array" ref="H23">IFERROR(_xll.FDS($F23,"EE_ACTUAL_ANNUAL(MED,+1)"),0)</f>
        <v>1.8</v>
      </c>
      <c r="J23" cm="1">
        <f t="array" ref="J23">_xlfn.PERCENTRANK.EXC(_xlfn._xlws.FILTER(H$3:H$23, ISNUMBER(H$3:H$23)),H23)*100</f>
        <v>68.100000000000009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 t="e">
        <v>#N/A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 t="e">
        <v>#N/A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 t="e">
        <v>#N/A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 t="e">
        <v>#N/A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 t="e">
        <v>#N/A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 t="e">
        <v>#N/A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9.6724007681064101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13.4756717168111</v>
      </c>
      <c r="C17">
        <v>8.82258324228264</v>
      </c>
      <c r="D17">
        <v>14.430010325246499</v>
      </c>
      <c r="E17">
        <v>12.0971067278746</v>
      </c>
      <c r="F17">
        <v>9.4389843194853</v>
      </c>
      <c r="G17">
        <v>11.914602296702601</v>
      </c>
      <c r="H17">
        <v>9.3328071616381898</v>
      </c>
      <c r="I17">
        <v>10.898313244136199</v>
      </c>
      <c r="J17" s="75">
        <v>12.156192130308099</v>
      </c>
      <c r="K17" s="75">
        <v>7.6764272605977499</v>
      </c>
      <c r="L17">
        <v>14.522736153911801</v>
      </c>
      <c r="M17">
        <v>13.6163542594029</v>
      </c>
      <c r="N17">
        <v>5.8100215417249998</v>
      </c>
      <c r="O17">
        <v>14.535484616308199</v>
      </c>
      <c r="P17">
        <v>12.885451183674199</v>
      </c>
      <c r="Q17">
        <v>11.644637815588201</v>
      </c>
      <c r="R17">
        <v>10.9395949218951</v>
      </c>
      <c r="S17">
        <v>14.839546743912001</v>
      </c>
      <c r="T17">
        <v>8.1284551585460001</v>
      </c>
      <c r="U17">
        <v>15.480793942797201</v>
      </c>
      <c r="V17">
        <v>11.230555986574499</v>
      </c>
    </row>
    <row r="18" spans="1:29" ht="25.5" customHeight="1" x14ac:dyDescent="0.35">
      <c r="A18" s="2">
        <v>44196</v>
      </c>
      <c r="B18">
        <v>12.9923016382757</v>
      </c>
      <c r="C18">
        <v>8.7546394285479305</v>
      </c>
      <c r="D18">
        <v>11.481460421471199</v>
      </c>
      <c r="E18">
        <v>8.9157572980100799</v>
      </c>
      <c r="F18">
        <v>7.2076865078890204</v>
      </c>
      <c r="G18">
        <v>12.0860259459606</v>
      </c>
      <c r="H18">
        <v>10.615395230746101</v>
      </c>
      <c r="I18">
        <v>11.620910833675399</v>
      </c>
      <c r="J18" s="75">
        <v>11.882611318511501</v>
      </c>
      <c r="K18" s="75">
        <v>8.3074023368011503</v>
      </c>
      <c r="L18">
        <v>16.619219826580199</v>
      </c>
      <c r="M18">
        <v>16.711537192718801</v>
      </c>
      <c r="N18">
        <v>5.3671121826145196</v>
      </c>
      <c r="O18">
        <v>12.842383900873299</v>
      </c>
      <c r="P18">
        <v>12.3572373304302</v>
      </c>
      <c r="Q18">
        <v>11.2380998666164</v>
      </c>
      <c r="R18">
        <v>8.3884974981111604</v>
      </c>
      <c r="S18">
        <v>12.8830287014832</v>
      </c>
      <c r="T18">
        <v>6.7620176278083504</v>
      </c>
      <c r="U18">
        <v>17.0889112448112</v>
      </c>
      <c r="V18">
        <v>10.1469870690871</v>
      </c>
    </row>
    <row r="19" spans="1:29" ht="25.5" customHeight="1" x14ac:dyDescent="0.35">
      <c r="A19" s="2">
        <v>44561</v>
      </c>
      <c r="B19">
        <v>13.766644845854</v>
      </c>
      <c r="C19">
        <v>10.6038911833674</v>
      </c>
      <c r="D19">
        <v>13.6928560106621</v>
      </c>
      <c r="E19">
        <v>9.5994541006399192</v>
      </c>
      <c r="F19">
        <v>10.1460102201106</v>
      </c>
      <c r="G19">
        <v>15.0555654862212</v>
      </c>
      <c r="H19">
        <v>9.4736311499882309</v>
      </c>
      <c r="I19">
        <v>14.724411888007801</v>
      </c>
      <c r="J19" s="75">
        <v>13.765783001604399</v>
      </c>
      <c r="K19" s="75">
        <v>10.1463868925066</v>
      </c>
      <c r="L19">
        <v>20.456077244986101</v>
      </c>
      <c r="M19">
        <v>16.932589581546001</v>
      </c>
      <c r="N19">
        <v>8.8257668466653296</v>
      </c>
      <c r="O19">
        <v>15.161217406966101</v>
      </c>
      <c r="P19">
        <v>11.973913880792599</v>
      </c>
      <c r="Q19">
        <v>12.7317850147387</v>
      </c>
      <c r="R19">
        <v>9.9474702709118699</v>
      </c>
      <c r="S19">
        <v>18.5724934994902</v>
      </c>
      <c r="T19">
        <v>11.234942553465</v>
      </c>
      <c r="U19">
        <v>18.3844905030187</v>
      </c>
      <c r="V19">
        <v>12.7997878063274</v>
      </c>
    </row>
    <row r="20" spans="1:29" ht="25.5" customHeight="1" x14ac:dyDescent="0.35">
      <c r="A20" s="2">
        <v>44925</v>
      </c>
      <c r="B20">
        <v>13.3712630657165</v>
      </c>
      <c r="C20">
        <v>12.787444985179899</v>
      </c>
      <c r="D20">
        <v>15.652444067387799</v>
      </c>
      <c r="E20">
        <v>10.673124632626299</v>
      </c>
      <c r="F20">
        <v>10.9641857238333</v>
      </c>
      <c r="G20">
        <v>13.622580993774999</v>
      </c>
      <c r="H20">
        <v>10.1683467048487</v>
      </c>
      <c r="I20">
        <v>12.940791773118599</v>
      </c>
      <c r="J20" s="75">
        <v>13.339469917398199</v>
      </c>
      <c r="K20" s="75">
        <v>7.5109716795442996</v>
      </c>
      <c r="L20">
        <v>19.407551563909699</v>
      </c>
      <c r="M20">
        <v>16.8118349535848</v>
      </c>
      <c r="N20">
        <v>11.0341923380188</v>
      </c>
      <c r="O20">
        <v>14.9253037325643</v>
      </c>
      <c r="P20">
        <v>11.5505724490554</v>
      </c>
      <c r="Q20">
        <v>13.290131357764499</v>
      </c>
      <c r="R20">
        <v>10.1243578125464</v>
      </c>
      <c r="S20">
        <v>24.140963514424499</v>
      </c>
      <c r="T20">
        <v>12.933849359579799</v>
      </c>
      <c r="U20">
        <v>14.7334622511066</v>
      </c>
      <c r="V20">
        <v>13.778318029976999</v>
      </c>
    </row>
    <row r="21" spans="1:29" ht="25.5" customHeight="1" x14ac:dyDescent="0.35">
      <c r="A21" s="2">
        <v>45289</v>
      </c>
      <c r="B21">
        <v>12.0222723103633</v>
      </c>
      <c r="C21">
        <v>10.7704189177279</v>
      </c>
      <c r="D21">
        <v>14.02340332534</v>
      </c>
      <c r="E21">
        <v>11.9407094450378</v>
      </c>
      <c r="F21">
        <v>12.394579327579899</v>
      </c>
      <c r="G21">
        <v>12.932447143095301</v>
      </c>
      <c r="H21">
        <v>9.5585136214236197</v>
      </c>
      <c r="I21">
        <v>11.9161171814971</v>
      </c>
      <c r="J21" s="75">
        <v>13.7129718327555</v>
      </c>
      <c r="K21" s="75">
        <v>8.9059619435426995</v>
      </c>
      <c r="L21">
        <v>18.606733270154201</v>
      </c>
      <c r="M21">
        <v>14.5722752976358</v>
      </c>
      <c r="N21">
        <v>13.1253657894167</v>
      </c>
      <c r="O21">
        <v>16.0781656045333</v>
      </c>
      <c r="P21">
        <v>11.563438773696999</v>
      </c>
      <c r="Q21">
        <v>12.1192289718939</v>
      </c>
      <c r="R21">
        <v>9.3488241189838792</v>
      </c>
      <c r="S21">
        <v>25.846008849302699</v>
      </c>
      <c r="T21">
        <v>13.2251182354264</v>
      </c>
      <c r="U21">
        <v>10.732551314639</v>
      </c>
      <c r="V21">
        <v>11.7583310618864</v>
      </c>
    </row>
    <row r="23" spans="1:29" x14ac:dyDescent="0.35">
      <c r="A23" t="s">
        <v>91</v>
      </c>
      <c r="B23" s="8">
        <f t="shared" ref="B23:V23" si="0">MIN(_xlfn.ANCHORARRAY(B2))</f>
        <v>12.0222723103633</v>
      </c>
      <c r="C23" s="8">
        <f t="shared" si="0"/>
        <v>8.6838665045544303</v>
      </c>
      <c r="D23" s="8">
        <f t="shared" si="0"/>
        <v>11.481460421471199</v>
      </c>
      <c r="E23" s="8">
        <f t="shared" si="0"/>
        <v>8.9157572980100799</v>
      </c>
      <c r="F23" s="8">
        <f t="shared" si="0"/>
        <v>7.2076865078890204</v>
      </c>
      <c r="G23" s="8">
        <f t="shared" si="0"/>
        <v>8.83035011509517</v>
      </c>
      <c r="H23" s="8">
        <f t="shared" si="0"/>
        <v>9.3328071616381898</v>
      </c>
      <c r="I23" s="8">
        <f t="shared" si="0"/>
        <v>6.1959642113222397</v>
      </c>
      <c r="J23" s="8">
        <f t="shared" si="0"/>
        <v>11.882611318511501</v>
      </c>
      <c r="K23" s="8">
        <f t="shared" si="0"/>
        <v>7.5109716795442996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12.842383900873299</v>
      </c>
      <c r="P23" s="8">
        <f t="shared" si="0"/>
        <v>11.5505724490554</v>
      </c>
      <c r="Q23" s="8">
        <f t="shared" si="0"/>
        <v>11.2380998666164</v>
      </c>
      <c r="R23" s="8">
        <f t="shared" si="0"/>
        <v>8.3884974981111604</v>
      </c>
      <c r="S23" s="8">
        <f t="shared" si="0"/>
        <v>12.7726870869254</v>
      </c>
      <c r="T23" s="8">
        <f t="shared" si="0"/>
        <v>6.7620176278083504</v>
      </c>
      <c r="U23" s="8">
        <f t="shared" si="0"/>
        <v>8.5756546844961008</v>
      </c>
      <c r="V23" s="8">
        <f t="shared" si="0"/>
        <v>10.1469870690871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13.11018017748075</v>
      </c>
      <c r="C24" s="8">
        <f t="shared" si="1"/>
        <v>10.7704189177279</v>
      </c>
      <c r="D24" s="8">
        <f t="shared" si="1"/>
        <v>15.657517511443299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12.932447143095301</v>
      </c>
      <c r="H24" s="8">
        <f t="shared" si="1"/>
        <v>11.93920849991995</v>
      </c>
      <c r="I24" s="8">
        <f t="shared" si="1"/>
        <v>12.1494708776913</v>
      </c>
      <c r="J24" s="8">
        <f t="shared" si="1"/>
        <v>12.78064669069385</v>
      </c>
      <c r="K24" s="8">
        <f t="shared" si="1"/>
        <v>10.671681938827749</v>
      </c>
      <c r="L24" s="8">
        <f t="shared" si="1"/>
        <v>14.789114385536951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12.885451183674199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14.774119834582851</v>
      </c>
      <c r="T24" s="8">
        <f t="shared" si="1"/>
        <v>11.156370494280349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12.0222723103633</v>
      </c>
      <c r="C25" s="8">
        <f t="shared" si="2"/>
        <v>10.7704189177279</v>
      </c>
      <c r="D25" s="8">
        <f t="shared" si="2"/>
        <v>14.02340332534</v>
      </c>
      <c r="E25" s="8">
        <f t="shared" si="2"/>
        <v>11.9407094450378</v>
      </c>
      <c r="F25" s="8">
        <f t="shared" si="2"/>
        <v>12.394579327579899</v>
      </c>
      <c r="G25" s="8">
        <f t="shared" si="2"/>
        <v>12.932447143095301</v>
      </c>
      <c r="H25" s="8">
        <f t="shared" si="2"/>
        <v>9.5585136214236197</v>
      </c>
      <c r="I25" s="8">
        <f t="shared" si="2"/>
        <v>11.9161171814971</v>
      </c>
      <c r="J25" s="8">
        <f t="shared" si="2"/>
        <v>13.7129718327555</v>
      </c>
      <c r="K25" s="8">
        <f t="shared" si="2"/>
        <v>8.9059619435426995</v>
      </c>
      <c r="L25" s="8">
        <f t="shared" si="2"/>
        <v>18.606733270154201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16.0781656045333</v>
      </c>
      <c r="P25" s="8">
        <f t="shared" si="2"/>
        <v>11.563438773696999</v>
      </c>
      <c r="Q25" s="8">
        <f t="shared" si="2"/>
        <v>12.1192289718939</v>
      </c>
      <c r="R25" s="8">
        <f t="shared" si="2"/>
        <v>9.3488241189838792</v>
      </c>
      <c r="S25" s="8">
        <f t="shared" si="2"/>
        <v>25.846008849302699</v>
      </c>
      <c r="T25" s="8">
        <f t="shared" si="2"/>
        <v>13.2251182354264</v>
      </c>
      <c r="U25" s="8">
        <f t="shared" si="2"/>
        <v>10.732551314639</v>
      </c>
      <c r="V25" s="8">
        <f t="shared" si="2"/>
        <v>11.7583310618864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M33" sqref="M33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45546</v>
      </c>
      <c r="M1" s="121"/>
    </row>
    <row r="2" spans="1:28" ht="15" thickBot="1" x14ac:dyDescent="0.4">
      <c r="K2" s="12" t="s">
        <v>796</v>
      </c>
      <c r="L2" s="185">
        <f ca="1">EDATE(TODAY(), -4)</f>
        <v>45454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09/2024</v>
      </c>
      <c r="O3" t="str" cm="1">
        <f t="array" aca="1" ref="O3" ca="1">_xll.FDSRC("-","DUMMY","ECON_DATE("&amp;$L$2&amp;",,, 'MM/YYYY')")</f>
        <v>06/2024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49.302840000000003</v>
      </c>
      <c r="N4" cm="1">
        <f t="array" aca="1" ref="N4" ca="1">_xll.FDSRC("-","DUMMY","ECON_EXPR_DATA('FDS_ECON["&amp;H4&amp;"]',"&amp;$N$3&amp;",,Q)")</f>
        <v>49.840873999999999</v>
      </c>
      <c r="O4" cm="1">
        <f t="array" aca="1" ref="O4" ca="1">_xll.FDSRC("-","DUMMY","ECON_EXPR_DATA('FDS_ECON["&amp;H4&amp;"]',"&amp;$O$3&amp;",,Q)")</f>
        <v>51.644539999999999</v>
      </c>
      <c r="P4">
        <f t="shared" ref="P4:P24" ca="1" si="0">IFERROR(N4-O4,$M$28)</f>
        <v>-1.8036659999999998</v>
      </c>
      <c r="Q4" cm="1">
        <f t="array" ref="Q4">_xlfn.PERCENTRANK.EXC(_xlfn._xlws.FILTER(M$4:M$24, ISNUMBER(M$4:M$24)),M4)*100</f>
        <v>31.8</v>
      </c>
      <c r="R4" cm="1">
        <f t="array" aca="1" ref="R4" ca="1">_xlfn.PERCENTRANK.EXC(_xlfn._xlws.FILTER(P$4:P$24, ISNUMBER(P$4:P$24)),P4)*100</f>
        <v>22.7</v>
      </c>
      <c r="S4">
        <f ca="1">Q4*Assumption!$E$27 + R4*Assumption!$F$27</f>
        <v>28.159999999999997</v>
      </c>
      <c r="T4" cm="1">
        <f t="array" aca="1" ref="T4" ca="1">_xlfn.PERCENTRANK.EXC(_xlfn._xlws.FILTER(S$4:S$24, ISNUMBER(S$4:S$24)),S4)*100</f>
        <v>18.099999999999998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49.800199999999997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-1.5814669999999964</v>
      </c>
      <c r="Q5" cm="1">
        <f t="array" ref="Q5">_xlfn.PERCENTRANK.EXC(_xlfn._xlws.FILTER(M$4:M$24, ISNUMBER(M$4:M$24)),M5)*100</f>
        <v>45.4</v>
      </c>
      <c r="R5" cm="1">
        <f t="array" aca="1" ref="R5" ca="1">_xlfn.PERCENTRANK.EXC(_xlfn._xlws.FILTER(P$4:P$24, ISNUMBER(P$4:P$24)),P5)*100</f>
        <v>36.299999999999997</v>
      </c>
      <c r="S5">
        <f ca="1">Q5*Assumption!$E$27 + R5*Assumption!$F$27</f>
        <v>41.76</v>
      </c>
      <c r="T5" cm="1">
        <f t="array" aca="1" ref="T5" ca="1">_xlfn.PERCENTRANK.EXC(_xlfn._xlws.FILTER(S$4:S$24, ISNUMBER(S$4:S$24)),S5)*100</f>
        <v>40.9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49.166794000000003</v>
      </c>
      <c r="N6" cm="1">
        <f t="array" aca="1" ref="N6" ca="1">_xll.FDSRC("-","DUMMY","ECON_EXPR_DATA('FDS_ECON["&amp;H6&amp;"]',"&amp;$N$3&amp;",,Q)")</f>
        <v>49.1036</v>
      </c>
      <c r="O6" cm="1">
        <f t="array" aca="1" ref="O6" ca="1">_xll.FDSRC("-","DUMMY","ECON_EXPR_DATA('FDS_ECON["&amp;H6&amp;"]',"&amp;$O$3&amp;",,Q)")</f>
        <v>51.877549999999999</v>
      </c>
      <c r="P6">
        <f t="shared" ca="1" si="0"/>
        <v>-2.7739499999999992</v>
      </c>
      <c r="Q6" cm="1">
        <f t="array" ref="Q6">_xlfn.PERCENTRANK.EXC(_xlfn._xlws.FILTER(M$4:M$24, ISNUMBER(M$4:M$24)),M6)*100</f>
        <v>27.200000000000003</v>
      </c>
      <c r="R6" cm="1">
        <f t="array" aca="1" ref="R6" ca="1">_xlfn.PERCENTRANK.EXC(_xlfn._xlws.FILTER(P$4:P$24, ISNUMBER(P$4:P$24)),P6)*100</f>
        <v>4.5</v>
      </c>
      <c r="S6">
        <f ca="1">Q6*Assumption!$E$27 + R6*Assumption!$F$27</f>
        <v>18.12</v>
      </c>
      <c r="T6" cm="1">
        <f t="array" aca="1" ref="T6" ca="1">_xlfn.PERCENTRANK.EXC(_xlfn._xlws.FILTER(S$4:S$24, ISNUMBER(S$4:S$24)),S6)*100</f>
        <v>13.600000000000001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53.677677000000003</v>
      </c>
      <c r="N7" cm="1">
        <f t="array" aca="1" ref="N7" ca="1">_xll.FDSRC("-","DUMMY","ECON_EXPR_DATA('FDS_ECON["&amp;H7&amp;"]',"&amp;$N$3&amp;",,Q)")</f>
        <v>52.022452999999999</v>
      </c>
      <c r="O7" cm="1">
        <f t="array" aca="1" ref="O7" ca="1">_xll.FDSRC("-","DUMMY","ECON_EXPR_DATA('FDS_ECON["&amp;H7&amp;"]',"&amp;$O$3&amp;",,Q)")</f>
        <v>51.780430000000003</v>
      </c>
      <c r="P7">
        <f t="shared" ca="1" si="0"/>
        <v>0.2420229999999961</v>
      </c>
      <c r="Q7" cm="1">
        <f t="array" ref="Q7">_xlfn.PERCENTRANK.EXC(_xlfn._xlws.FILTER(M$4:M$24, ISNUMBER(M$4:M$24)),M7)*100</f>
        <v>86.3</v>
      </c>
      <c r="R7" cm="1">
        <f t="array" aca="1" ref="R7" ca="1">_xlfn.PERCENTRANK.EXC(_xlfn._xlws.FILTER(P$4:P$24, ISNUMBER(P$4:P$24)),P7)*100</f>
        <v>77.2</v>
      </c>
      <c r="S7">
        <f ca="1">Q7*Assumption!$E$27 + R7*Assumption!$F$27</f>
        <v>82.66</v>
      </c>
      <c r="T7" cm="1">
        <f t="array" aca="1" ref="T7" ca="1">_xlfn.PERCENTRANK.EXC(_xlfn._xlws.FILTER(S$4:S$24, ISNUMBER(S$4:S$24)),S7)*100</f>
        <v>95.399999999999991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48.646362000000003</v>
      </c>
      <c r="N8" cm="1">
        <f t="array" aca="1" ref="N8" ca="1">_xll.FDSRC("-","DUMMY","ECON_EXPR_DATA('FDS_ECON["&amp;H8&amp;"]',"&amp;$N$3&amp;",,Q)")</f>
        <v>47.9283</v>
      </c>
      <c r="O8" cm="1">
        <f t="array" aca="1" ref="O8" ca="1">_xll.FDSRC("-","DUMMY","ECON_EXPR_DATA('FDS_ECON["&amp;H8&amp;"]',"&amp;$O$3&amp;",,Q)")</f>
        <v>45.313136999999998</v>
      </c>
      <c r="P8">
        <f t="shared" ca="1" si="0"/>
        <v>2.6151630000000026</v>
      </c>
      <c r="Q8" cm="1">
        <f t="array" ref="Q8">_xlfn.PERCENTRANK.EXC(_xlfn._xlws.FILTER(M$4:M$24, ISNUMBER(M$4:M$24)),M8)*100</f>
        <v>22.7</v>
      </c>
      <c r="R8" cm="1">
        <f t="array" aca="1" ref="R8" ca="1">_xlfn.PERCENTRANK.EXC(_xlfn._xlws.FILTER(P$4:P$24, ISNUMBER(P$4:P$24)),P8)*100</f>
        <v>95.399999999999991</v>
      </c>
      <c r="S8">
        <f ca="1">Q8*Assumption!$E$27 + R8*Assumption!$F$27</f>
        <v>51.779999999999994</v>
      </c>
      <c r="T8" cm="1">
        <f t="array" aca="1" ref="T8" ca="1">_xlfn.PERCENTRANK.EXC(_xlfn._xlws.FILTER(S$4:S$24, ISNUMBER(S$4:S$24)),S8)*100</f>
        <v>54.500000000000007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49.800199999999997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-1.5814669999999964</v>
      </c>
      <c r="Q9" cm="1">
        <f t="array" ref="Q9">_xlfn.PERCENTRANK.EXC(_xlfn._xlws.FILTER(M$4:M$24, ISNUMBER(M$4:M$24)),M9)*100</f>
        <v>45.4</v>
      </c>
      <c r="R9" cm="1">
        <f t="array" aca="1" ref="R9" ca="1">_xlfn.PERCENTRANK.EXC(_xlfn._xlws.FILTER(P$4:P$24, ISNUMBER(P$4:P$24)),P9)*100</f>
        <v>36.299999999999997</v>
      </c>
      <c r="S9">
        <f ca="1">Q9*Assumption!$E$27 + R9*Assumption!$F$27</f>
        <v>41.76</v>
      </c>
      <c r="T9" cm="1">
        <f t="array" aca="1" ref="T9" ca="1">_xlfn.PERCENTRANK.EXC(_xlfn._xlws.FILTER(S$4:S$24, ISNUMBER(S$4:S$24)),S9)*100</f>
        <v>40.9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49.535587</v>
      </c>
      <c r="N10" cm="1">
        <f t="array" aca="1" ref="N10" ca="1">_xll.FDSRC("-","DUMMY","ECON_EXPR_DATA('FDS_ECON["&amp;H10&amp;"]',"&amp;$N$3&amp;",,Q)")</f>
        <v>49.644689999999997</v>
      </c>
      <c r="O10" cm="1">
        <f t="array" aca="1" ref="O10" ca="1">_xll.FDSRC("-","DUMMY","ECON_EXPR_DATA('FDS_ECON["&amp;H10&amp;"]',"&amp;$O$3&amp;",,Q)")</f>
        <v>49.669699999999999</v>
      </c>
      <c r="P10">
        <f t="shared" ca="1" si="0"/>
        <v>-2.5010000000001753E-2</v>
      </c>
      <c r="Q10" cm="1">
        <f t="array" ref="Q10">_xlfn.PERCENTRANK.EXC(_xlfn._xlws.FILTER(M$4:M$24, ISNUMBER(M$4:M$24)),M10)*100</f>
        <v>40.9</v>
      </c>
      <c r="R10" cm="1">
        <f t="array" aca="1" ref="R10" ca="1">_xlfn.PERCENTRANK.EXC(_xlfn._xlws.FILTER(P$4:P$24, ISNUMBER(P$4:P$24)),P10)*100</f>
        <v>72.7</v>
      </c>
      <c r="S10">
        <f ca="1">Q10*Assumption!$E$27 + R10*Assumption!$F$27</f>
        <v>53.620000000000005</v>
      </c>
      <c r="T10" cm="1">
        <f t="array" aca="1" ref="T10" ca="1">_xlfn.PERCENTRANK.EXC(_xlfn._xlws.FILTER(S$4:S$24, ISNUMBER(S$4:S$24)),S10)*100</f>
        <v>59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50.822594000000002</v>
      </c>
      <c r="N11" cm="1">
        <f t="array" aca="1" ref="N11" ca="1">_xll.FDSRC("-","DUMMY","ECON_EXPR_DATA('FDS_ECON["&amp;H11&amp;"]',"&amp;$N$3&amp;",,Q)")</f>
        <v>51.745624999999997</v>
      </c>
      <c r="O11" cm="1">
        <f t="array" aca="1" ref="O11" ca="1">_xll.FDSRC("-","DUMMY","ECON_EXPR_DATA('FDS_ECON["&amp;H11&amp;"]',"&amp;$O$3&amp;",,Q)")</f>
        <v>51.407046999999999</v>
      </c>
      <c r="P11">
        <f t="shared" ca="1" si="0"/>
        <v>0.33857799999999827</v>
      </c>
      <c r="Q11" cm="1">
        <f t="array" ref="Q11">_xlfn.PERCENTRANK.EXC(_xlfn._xlws.FILTER(M$4:M$24, ISNUMBER(M$4:M$24)),M11)*100</f>
        <v>68.100000000000009</v>
      </c>
      <c r="R11" cm="1">
        <f t="array" aca="1" ref="R11" ca="1">_xlfn.PERCENTRANK.EXC(_xlfn._xlws.FILTER(P$4:P$24, ISNUMBER(P$4:P$24)),P11)*100</f>
        <v>86.3</v>
      </c>
      <c r="S11">
        <f ca="1">Q11*Assumption!$E$27 + R11*Assumption!$F$27</f>
        <v>75.38000000000001</v>
      </c>
      <c r="T11" cm="1">
        <f t="array" aca="1" ref="T11" ca="1">_xlfn.PERCENTRANK.EXC(_xlfn._xlws.FILTER(S$4:S$24, ISNUMBER(S$4:S$24)),S11)*100</f>
        <v>81.8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47.328850000000003</v>
      </c>
      <c r="N12" cm="1">
        <f t="array" aca="1" ref="N12" ca="1">_xll.FDSRC("-","DUMMY","ECON_EXPR_DATA('FDS_ECON["&amp;H12&amp;"]',"&amp;$N$3&amp;",,Q)")</f>
        <v>48.471558000000002</v>
      </c>
      <c r="O12" cm="1">
        <f t="array" aca="1" ref="O12" ca="1">_xll.FDSRC("-","DUMMY","ECON_EXPR_DATA('FDS_ECON["&amp;H12&amp;"]',"&amp;$O$3&amp;",,Q)")</f>
        <v>51.090342999999997</v>
      </c>
      <c r="P12">
        <f t="shared" ca="1" si="0"/>
        <v>-2.6187849999999955</v>
      </c>
      <c r="Q12" cm="1">
        <f t="array" ref="Q12">_xlfn.PERCENTRANK.EXC(_xlfn._xlws.FILTER(M$4:M$24, ISNUMBER(M$4:M$24)),M12)*100</f>
        <v>9</v>
      </c>
      <c r="R12" cm="1">
        <f t="array" aca="1" ref="R12" ca="1">_xlfn.PERCENTRANK.EXC(_xlfn._xlws.FILTER(P$4:P$24, ISNUMBER(P$4:P$24)),P12)*100</f>
        <v>9</v>
      </c>
      <c r="S12">
        <f ca="1">Q12*Assumption!$E$27 + R12*Assumption!$F$27</f>
        <v>9</v>
      </c>
      <c r="T12" cm="1">
        <f t="array" aca="1" ref="T12" ca="1">_xlfn.PERCENTRANK.EXC(_xlfn._xlws.FILTER(S$4:S$24, ISNUMBER(S$4:S$24)),S12)*100</f>
        <v>4.5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48.325603000000001</v>
      </c>
      <c r="N13" cm="1">
        <f t="array" aca="1" ref="N13" ca="1">_xll.FDSRC("-","DUMMY","ECON_EXPR_DATA('FDS_ECON["&amp;H13&amp;"]',"&amp;$N$3&amp;",,Q)")</f>
        <v>50.546005000000001</v>
      </c>
      <c r="O13" cm="1">
        <f t="array" aca="1" ref="O13" ca="1">_xll.FDSRC("-","DUMMY","ECON_EXPR_DATA('FDS_ECON["&amp;H13&amp;"]',"&amp;$O$3&amp;",,Q)")</f>
        <v>51.024430000000002</v>
      </c>
      <c r="P13">
        <f t="shared" ca="1" si="0"/>
        <v>-0.47842500000000143</v>
      </c>
      <c r="Q13" cm="1">
        <f t="array" ref="Q13">_xlfn.PERCENTRANK.EXC(_xlfn._xlws.FILTER(M$4:M$24, ISNUMBER(M$4:M$24)),M13)*100</f>
        <v>18.099999999999998</v>
      </c>
      <c r="R13" cm="1">
        <f t="array" aca="1" ref="R13" ca="1">_xlfn.PERCENTRANK.EXC(_xlfn._xlws.FILTER(P$4:P$24, ISNUMBER(P$4:P$24)),P13)*100</f>
        <v>63.6</v>
      </c>
      <c r="S13">
        <f ca="1">Q13*Assumption!$E$27 + R13*Assumption!$F$27</f>
        <v>36.299999999999997</v>
      </c>
      <c r="T13" cm="1">
        <f t="array" aca="1" ref="T13" ca="1">_xlfn.PERCENTRANK.EXC(_xlfn._xlws.FILTER(S$4:S$24, ISNUMBER(S$4:S$24)),S13)*100</f>
        <v>31.8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53.232143000000001</v>
      </c>
      <c r="N14" cm="1">
        <f t="array" aca="1" ref="N14" ca="1">_xll.FDSRC("-","DUMMY","ECON_EXPR_DATA('FDS_ECON["&amp;H14&amp;"]',"&amp;$N$3&amp;",,Q)")</f>
        <v>52.542140000000003</v>
      </c>
      <c r="O14" cm="1">
        <f t="array" aca="1" ref="O14" ca="1">_xll.FDSRC("-","DUMMY","ECON_EXPR_DATA('FDS_ECON["&amp;H14&amp;"]',"&amp;$O$3&amp;",,Q)")</f>
        <v>53.488384000000003</v>
      </c>
      <c r="P14">
        <f t="shared" ca="1" si="0"/>
        <v>-0.94624400000000009</v>
      </c>
      <c r="Q14" cm="1">
        <f t="array" ref="Q14">_xlfn.PERCENTRANK.EXC(_xlfn._xlws.FILTER(M$4:M$24, ISNUMBER(M$4:M$24)),M14)*100</f>
        <v>81.8</v>
      </c>
      <c r="R14" cm="1">
        <f t="array" aca="1" ref="R14" ca="1">_xlfn.PERCENTRANK.EXC(_xlfn._xlws.FILTER(P$4:P$24, ISNUMBER(P$4:P$24)),P14)*100</f>
        <v>54.500000000000007</v>
      </c>
      <c r="S14">
        <f ca="1">Q14*Assumption!$E$27 + R14*Assumption!$F$27</f>
        <v>70.88</v>
      </c>
      <c r="T14" cm="1">
        <f t="array" aca="1" ref="T14" ca="1">_xlfn.PERCENTRANK.EXC(_xlfn._xlws.FILTER(S$4:S$24, ISNUMBER(S$4:S$24)),S14)*100</f>
        <v>68.100000000000009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50.974167000000001</v>
      </c>
      <c r="N15" cm="1">
        <f t="array" aca="1" ref="N15" ca="1">_xll.FDSRC("-","DUMMY","ECON_EXPR_DATA('FDS_ECON["&amp;H15&amp;"]',"&amp;$N$3&amp;",,Q)")</f>
        <v>50.251415000000001</v>
      </c>
      <c r="O15" cm="1">
        <f t="array" aca="1" ref="O15" ca="1">_xll.FDSRC("-","DUMMY","ECON_EXPR_DATA('FDS_ECON["&amp;H15&amp;"]',"&amp;$O$3&amp;",,Q)")</f>
        <v>49.992885999999999</v>
      </c>
      <c r="P15">
        <f t="shared" ca="1" si="0"/>
        <v>0.2585290000000029</v>
      </c>
      <c r="Q15" cm="1">
        <f t="array" ref="Q15">_xlfn.PERCENTRANK.EXC(_xlfn._xlws.FILTER(M$4:M$24, ISNUMBER(M$4:M$24)),M15)*100</f>
        <v>72.7</v>
      </c>
      <c r="R15" cm="1">
        <f t="array" aca="1" ref="R15" ca="1">_xlfn.PERCENTRANK.EXC(_xlfn._xlws.FILTER(P$4:P$24, ISNUMBER(P$4:P$24)),P15)*100</f>
        <v>81.8</v>
      </c>
      <c r="S15">
        <f ca="1">Q15*Assumption!$E$27 + R15*Assumption!$F$27</f>
        <v>76.34</v>
      </c>
      <c r="T15" cm="1">
        <f t="array" aca="1" ref="T15" ca="1">_xlfn.PERCENTRANK.EXC(_xlfn._xlws.FILTER(S$4:S$24, ISNUMBER(S$4:S$24)),S15)*100</f>
        <v>86.3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50.306089999999998</v>
      </c>
      <c r="N16" cm="1">
        <f t="array" aca="1" ref="N16" ca="1">_xll.FDSRC("-","DUMMY","ECON_EXPR_DATA('FDS_ECON["&amp;H16&amp;"]',"&amp;$N$3&amp;",,Q)")</f>
        <v>52.121853000000002</v>
      </c>
      <c r="O16" cm="1">
        <f t="array" aca="1" ref="O16" ca="1">_xll.FDSRC("-","DUMMY","ECON_EXPR_DATA('FDS_ECON["&amp;H16&amp;"]',"&amp;$O$3&amp;",,Q)")</f>
        <v>54.690779999999997</v>
      </c>
      <c r="P16">
        <f t="shared" ca="1" si="0"/>
        <v>-2.5689269999999951</v>
      </c>
      <c r="Q16" cm="1">
        <f t="array" ref="Q16">_xlfn.PERCENTRANK.EXC(_xlfn._xlws.FILTER(M$4:M$24, ISNUMBER(M$4:M$24)),M16)*100</f>
        <v>59</v>
      </c>
      <c r="R16" cm="1">
        <f t="array" aca="1" ref="R16" ca="1">_xlfn.PERCENTRANK.EXC(_xlfn._xlws.FILTER(P$4:P$24, ISNUMBER(P$4:P$24)),P16)*100</f>
        <v>13.600000000000001</v>
      </c>
      <c r="S16">
        <f ca="1">Q16*Assumption!$E$27 + R16*Assumption!$F$27</f>
        <v>40.840000000000003</v>
      </c>
      <c r="T16" cm="1">
        <f t="array" aca="1" ref="T16" ca="1">_xlfn.PERCENTRANK.EXC(_xlfn._xlws.FILTER(S$4:S$24, ISNUMBER(S$4:S$24)),S16)*100</f>
        <v>36.299999999999997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56.53472</v>
      </c>
      <c r="N17" cm="1">
        <f t="array" aca="1" ref="N17" ca="1">_xll.FDSRC("-","DUMMY","ECON_EXPR_DATA('FDS_ECON["&amp;H17&amp;"]',"&amp;$N$3&amp;",,Q)")</f>
        <v>57.364445000000003</v>
      </c>
      <c r="O17" cm="1">
        <f t="array" aca="1" ref="O17" ca="1">_xll.FDSRC("-","DUMMY","ECON_EXPR_DATA('FDS_ECON["&amp;H17&amp;"]',"&amp;$O$3&amp;",,Q)")</f>
        <v>58.243445999999999</v>
      </c>
      <c r="P17">
        <f t="shared" ca="1" si="0"/>
        <v>-0.87900099999999526</v>
      </c>
      <c r="Q17" cm="1">
        <f t="array" ref="Q17">_xlfn.PERCENTRANK.EXC(_xlfn._xlws.FILTER(M$4:M$24, ISNUMBER(M$4:M$24)),M17)*100</f>
        <v>95.399999999999991</v>
      </c>
      <c r="R17" cm="1">
        <f t="array" aca="1" ref="R17" ca="1">_xlfn.PERCENTRANK.EXC(_xlfn._xlws.FILTER(P$4:P$24, ISNUMBER(P$4:P$24)),P17)*100</f>
        <v>59</v>
      </c>
      <c r="S17">
        <f ca="1">Q17*Assumption!$E$27 + R17*Assumption!$F$27</f>
        <v>80.84</v>
      </c>
      <c r="T17" cm="1">
        <f t="array" aca="1" ref="T17" ca="1">_xlfn.PERCENTRANK.EXC(_xlfn._xlws.FILTER(S$4:S$24, ISNUMBER(S$4:S$24)),S17)*100</f>
        <v>90.9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49.302840000000003</v>
      </c>
      <c r="N18" cm="1">
        <f t="array" aca="1" ref="N18" ca="1">_xll.FDSRC("-","DUMMY","ECON_EXPR_DATA('FDS_ECON["&amp;H18&amp;"]',"&amp;$N$3&amp;",,Q)")</f>
        <v>49.840873999999999</v>
      </c>
      <c r="O18" cm="1">
        <f t="array" aca="1" ref="O18" ca="1">_xll.FDSRC("-","DUMMY","ECON_EXPR_DATA('FDS_ECON["&amp;H18&amp;"]',"&amp;$O$3&amp;",,Q)")</f>
        <v>51.644539999999999</v>
      </c>
      <c r="P18">
        <f t="shared" ca="1" si="0"/>
        <v>-1.8036659999999998</v>
      </c>
      <c r="Q18" cm="1">
        <f t="array" ref="Q18">_xlfn.PERCENTRANK.EXC(_xlfn._xlws.FILTER(M$4:M$24, ISNUMBER(M$4:M$24)),M18)*100</f>
        <v>31.8</v>
      </c>
      <c r="R18" cm="1">
        <f t="array" aca="1" ref="R18" ca="1">_xlfn.PERCENTRANK.EXC(_xlfn._xlws.FILTER(P$4:P$24, ISNUMBER(P$4:P$24)),P18)*100</f>
        <v>22.7</v>
      </c>
      <c r="S18">
        <f ca="1">Q18*Assumption!$E$27 + R18*Assumption!$F$27</f>
        <v>28.159999999999997</v>
      </c>
      <c r="T18" cm="1">
        <f t="array" aca="1" ref="T18" ca="1">_xlfn.PERCENTRANK.EXC(_xlfn._xlws.FILTER(S$4:S$24, ISNUMBER(S$4:S$24)),S18)*100</f>
        <v>18.099999999999998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51.723762999999998</v>
      </c>
      <c r="N19" cm="1">
        <f t="array" aca="1" ref="N19" ca="1">_xll.FDSRC("-","DUMMY","ECON_EXPR_DATA('FDS_ECON["&amp;H19&amp;"]',"&amp;$N$3&amp;",,Q)")</f>
        <v>52.042065000000001</v>
      </c>
      <c r="O19" cm="1">
        <f t="array" aca="1" ref="O19" ca="1">_xll.FDSRC("-","DUMMY","ECON_EXPR_DATA('FDS_ECON["&amp;H19&amp;"]',"&amp;$O$3&amp;",,Q)")</f>
        <v>53.838383</v>
      </c>
      <c r="P19">
        <f t="shared" ca="1" si="0"/>
        <v>-1.7963179999999994</v>
      </c>
      <c r="Q19" cm="1">
        <f t="array" ref="Q19">_xlfn.PERCENTRANK.EXC(_xlfn._xlws.FILTER(M$4:M$24, ISNUMBER(M$4:M$24)),M19)*100</f>
        <v>77.2</v>
      </c>
      <c r="R19" cm="1">
        <f t="array" aca="1" ref="R19" ca="1">_xlfn.PERCENTRANK.EXC(_xlfn._xlws.FILTER(P$4:P$24, ISNUMBER(P$4:P$24)),P19)*100</f>
        <v>31.8</v>
      </c>
      <c r="S19">
        <f ca="1">Q19*Assumption!$E$27 + R19*Assumption!$F$27</f>
        <v>59.04</v>
      </c>
      <c r="T19" cm="1">
        <f t="array" aca="1" ref="T19" ca="1">_xlfn.PERCENTRANK.EXC(_xlfn._xlws.FILTER(S$4:S$24, ISNUMBER(S$4:S$24)),S19)*100</f>
        <v>63.6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50.401904999999999</v>
      </c>
      <c r="N20" cm="1">
        <f t="array" aca="1" ref="N20" ca="1">_xll.FDSRC("-","DUMMY","ECON_EXPR_DATA('FDS_ECON["&amp;H20&amp;"]',"&amp;$N$3&amp;",,Q)")</f>
        <v>51.742794000000004</v>
      </c>
      <c r="O20" cm="1">
        <f t="array" aca="1" ref="O20" ca="1">_xll.FDSRC("-","DUMMY","ECON_EXPR_DATA('FDS_ECON["&amp;H20&amp;"]',"&amp;$O$3&amp;",,Q)")</f>
        <v>50.221676000000002</v>
      </c>
      <c r="P20">
        <f t="shared" ca="1" si="0"/>
        <v>1.5211180000000013</v>
      </c>
      <c r="Q20" cm="1">
        <f t="array" ref="Q20">_xlfn.PERCENTRANK.EXC(_xlfn._xlws.FILTER(M$4:M$24, ISNUMBER(M$4:M$24)),M20)*100</f>
        <v>63.6</v>
      </c>
      <c r="R20" cm="1">
        <f t="array" aca="1" ref="R20" ca="1">_xlfn.PERCENTRANK.EXC(_xlfn._xlws.FILTER(P$4:P$24, ISNUMBER(P$4:P$24)),P20)*100</f>
        <v>90.9</v>
      </c>
      <c r="S20">
        <f ca="1">Q20*Assumption!$E$27 + R20*Assumption!$F$27</f>
        <v>74.52000000000001</v>
      </c>
      <c r="T20" cm="1">
        <f t="array" aca="1" ref="T20" ca="1">_xlfn.PERCENTRANK.EXC(_xlfn._xlws.FILTER(S$4:S$24, ISNUMBER(S$4:S$24)),S20)*100</f>
        <v>72.7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44.313152000000002</v>
      </c>
      <c r="N21" cm="1">
        <f t="array" aca="1" ref="N21" ca="1">_xll.FDSRC("-","DUMMY","ECON_EXPR_DATA('FDS_ECON["&amp;H21&amp;"]',"&amp;$N$3&amp;",,Q)")</f>
        <v>46.43233</v>
      </c>
      <c r="O21" cm="1">
        <f t="array" aca="1" ref="O21" ca="1">_xll.FDSRC("-","DUMMY","ECON_EXPR_DATA('FDS_ECON["&amp;H21&amp;"]',"&amp;$O$3&amp;",,Q)")</f>
        <v>48.552419999999998</v>
      </c>
      <c r="P21">
        <f t="shared" ca="1" si="0"/>
        <v>-2.1200899999999976</v>
      </c>
      <c r="Q21" cm="1">
        <f t="array" ref="Q21">_xlfn.PERCENTRANK.EXC(_xlfn._xlws.FILTER(M$4:M$24, ISNUMBER(M$4:M$24)),M21)*100</f>
        <v>4.5</v>
      </c>
      <c r="R21" cm="1">
        <f t="array" aca="1" ref="R21" ca="1">_xlfn.PERCENTRANK.EXC(_xlfn._xlws.FILTER(P$4:P$24, ISNUMBER(P$4:P$24)),P21)*100</f>
        <v>18.099999999999998</v>
      </c>
      <c r="S21">
        <f ca="1">Q21*Assumption!$E$27 + R21*Assumption!$F$27</f>
        <v>9.94</v>
      </c>
      <c r="T21" cm="1">
        <f t="array" aca="1" ref="T21" ca="1">_xlfn.PERCENTRANK.EXC(_xlfn._xlws.FILTER(S$4:S$24, ISNUMBER(S$4:S$24)),S21)*100</f>
        <v>9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49.800199999999997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-1.5814669999999964</v>
      </c>
      <c r="Q22" cm="1">
        <f t="array" ref="Q22">_xlfn.PERCENTRANK.EXC(_xlfn._xlws.FILTER(M$4:M$24, ISNUMBER(M$4:M$24)),M22)*100</f>
        <v>45.4</v>
      </c>
      <c r="R22" cm="1">
        <f t="array" aca="1" ref="R22" ca="1">_xlfn.PERCENTRANK.EXC(_xlfn._xlws.FILTER(P$4:P$24, ISNUMBER(P$4:P$24)),P22)*100</f>
        <v>36.299999999999997</v>
      </c>
      <c r="S22">
        <f ca="1">Q22*Assumption!$E$27 + R22*Assumption!$F$27</f>
        <v>41.76</v>
      </c>
      <c r="T22" cm="1">
        <f t="array" aca="1" ref="T22" ca="1">_xlfn.PERCENTRANK.EXC(_xlfn._xlws.FILTER(S$4:S$24, ISNUMBER(S$4:S$24)),S22)*100</f>
        <v>40.9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47.348457000000003</v>
      </c>
      <c r="N23" cm="1">
        <f t="array" aca="1" ref="N23" ca="1">_xll.FDSRC("-","DUMMY","ECON_EXPR_DATA('FDS_ECON["&amp;H23&amp;"]',"&amp;$N$3&amp;",,Q)")</f>
        <v>51.490893999999997</v>
      </c>
      <c r="O23" cm="1">
        <f t="array" aca="1" ref="O23" ca="1">_xll.FDSRC("-","DUMMY","ECON_EXPR_DATA('FDS_ECON["&amp;H23&amp;"]',"&amp;$O$3&amp;",,Q)")</f>
        <v>51.776978</v>
      </c>
      <c r="P23">
        <f t="shared" ca="1" si="0"/>
        <v>-0.28608400000000245</v>
      </c>
      <c r="Q23" cm="1">
        <f t="array" ref="Q23">_xlfn.PERCENTRANK.EXC(_xlfn._xlws.FILTER(M$4:M$24, ISNUMBER(M$4:M$24)),M23)*100</f>
        <v>13.600000000000001</v>
      </c>
      <c r="R23" cm="1">
        <f t="array" aca="1" ref="R23" ca="1">_xlfn.PERCENTRANK.EXC(_xlfn._xlws.FILTER(P$4:P$24, ISNUMBER(P$4:P$24)),P23)*100</f>
        <v>68.100000000000009</v>
      </c>
      <c r="S23">
        <f ca="1">Q23*Assumption!$E$27 + R23*Assumption!$F$27</f>
        <v>35.400000000000006</v>
      </c>
      <c r="T23" cm="1">
        <f t="array" aca="1" ref="T23" ca="1">_xlfn.PERCENTRANK.EXC(_xlfn._xlws.FILTER(S$4:S$24, ISNUMBER(S$4:S$24)),S23)*100</f>
        <v>27.200000000000003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56.346420000000002</v>
      </c>
      <c r="N24" cm="1">
        <f t="array" aca="1" ref="N24" ca="1">_xll.FDSRC("-","DUMMY","ECON_EXPR_DATA('FDS_ECON["&amp;H24&amp;"]',"&amp;$N$3&amp;",,Q)")</f>
        <v>55.200653000000003</v>
      </c>
      <c r="O24" cm="1">
        <f t="array" aca="1" ref="O24" ca="1">_xll.FDSRC("-","DUMMY","ECON_EXPR_DATA('FDS_ECON["&amp;H24&amp;"]',"&amp;$O$3&amp;",,Q)")</f>
        <v>56.147419999999997</v>
      </c>
      <c r="P24">
        <f t="shared" ca="1" si="0"/>
        <v>-0.94676699999999414</v>
      </c>
      <c r="Q24" cm="1">
        <f t="array" ref="Q24">_xlfn.PERCENTRANK.EXC(_xlfn._xlws.FILTER(M$4:M$24, ISNUMBER(M$4:M$24)),M24)*100</f>
        <v>90.9</v>
      </c>
      <c r="R24" cm="1">
        <f t="array" aca="1" ref="R24" ca="1">_xlfn.PERCENTRANK.EXC(_xlfn._xlws.FILTER(P$4:P$24, ISNUMBER(P$4:P$24)),P24)*100</f>
        <v>50</v>
      </c>
      <c r="S24">
        <f ca="1">Q24*Assumption!$E$27 + R24*Assumption!$F$27</f>
        <v>74.539999999999992</v>
      </c>
      <c r="T24" cm="1">
        <f t="array" aca="1" ref="T24" ca="1">_xlfn.PERCENTRANK.EXC(_xlfn._xlws.FILTER(S$4:S$24, ISNUMBER(S$4:S$24)),S24)*100</f>
        <v>77.2</v>
      </c>
    </row>
    <row r="26" spans="1:31" x14ac:dyDescent="0.35">
      <c r="K26" t="str" cm="1">
        <f t="array" aca="1" ref="K26" ca="1">_xll.FDSRC("-","DUMMY","ECON_DATE("&amp;$L$1&amp;",,, 'MM/YYYY')")</f>
        <v>09/2024</v>
      </c>
      <c r="L26" t="str" cm="1">
        <f t="array" aca="1" ref="L26" ca="1">_xll.FDSRC("-","DUMMY","ECON_DATE("&amp;$L$2&amp;",,, 'MM/YYYY')")</f>
        <v>06/2024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ref="J27">IF(_xll.FDSRC("-","DUMMY","ECON_EXPR_DATA('FDS_ECON["&amp;H27&amp;"]',,,M)")="-",$K$27,_xll.FDSRC("-","DUMMY","ECON_EXPR_DATA('FDS_ECON["&amp;H27&amp;"]',,,M)"))</f>
        <v>47.520110000000003</v>
      </c>
      <c r="K27" cm="1">
        <f t="array" aca="1" ref="K27" ca="1">_xll.FDSRC("-","DUMMY","ECON_EXPR_DATA('FDS_ECON["&amp;H27&amp;"]',"&amp;$K$26&amp;",,Q)")</f>
        <v>48.213496999999997</v>
      </c>
      <c r="L27" cm="1">
        <f t="array" aca="1" ref="L27" ca="1">_xll.FDSRC("-","DUMMY","ECON_EXPR_DATA('FDS_ECON["&amp;H27&amp;"]',"&amp;$L$26&amp;",,Q)")</f>
        <v>49.418635999999999</v>
      </c>
      <c r="M27">
        <f ca="1">K27-L27</f>
        <v>-1.2051390000000026</v>
      </c>
    </row>
    <row r="28" spans="1:31" x14ac:dyDescent="0.35">
      <c r="H28" s="116" t="s">
        <v>777</v>
      </c>
      <c r="I28" s="116" t="s">
        <v>778</v>
      </c>
      <c r="J28" cm="1">
        <f t="array" ref="J28">IF(_xll.FDSRC("-","DUMMY","ECON_EXPR_DATA('FDS_ECON["&amp;H28&amp;"]',,,M)")="-",$K$28,_xll.FDSRC("-","DUMMY","ECON_EXPR_DATA('FDS_ECON["&amp;H28&amp;"]',,,M)"))</f>
        <v>49.800199999999997</v>
      </c>
      <c r="K28" cm="1">
        <f t="array" aca="1" ref="K28" ca="1">_xll.FDSRC("-","DUMMY","ECON_EXPR_DATA('FDS_ECON["&amp;H28&amp;"]',"&amp;$K$26&amp;",,Q)")</f>
        <v>50.418407000000002</v>
      </c>
      <c r="L28" cm="1">
        <f t="array" aca="1" ref="L28" ca="1">_xll.FDSRC("-","DUMMY","ECON_EXPR_DATA('FDS_ECON["&amp;H28&amp;"]',"&amp;$L$26&amp;",,Q)")</f>
        <v>51.999873999999998</v>
      </c>
      <c r="M28">
        <f ca="1">K28-L28</f>
        <v>-1.5814669999999964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358.13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8332266.5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527.81150000000002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143458.14000000001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359.39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694339.1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111.96899999999999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245821.16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283.2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194876.83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82.516999999999996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35106.769999999997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346.4325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440878.16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5645.4279999999999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2453010.7999999998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1580.21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417534.03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4868.5389999999998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1812119.6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3881.6365000000001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685759.94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310.52699999999999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368945.25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197.88980308548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81358.649999999994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11211.584999999999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5431541.5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6334.35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8332266.5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63.91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168448.92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541660.483653098</v>
      </c>
      <c r="E18" t="s">
        <v>723</v>
      </c>
      <c r="F18" t="s">
        <v>757</v>
      </c>
      <c r="G18" s="153" cm="1">
        <f t="array" ref="G18">_xll.FDSZ(F18,"FMA_MCAP(0,,,USD,""PORTAGG"")")</f>
        <v>541660.483653098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172.584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340992.72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43.7485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916309.44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492.5</v>
      </c>
      <c r="E21" t="s">
        <v>736</v>
      </c>
      <c r="F21" t="s">
        <v>881</v>
      </c>
      <c r="G21" s="153" cm="1">
        <f t="array" ref="G21">_xll.FDSZ(F21,"FMA_MCAP(0,,,USD,""PORTAGG"")")</f>
        <v>25221.94412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634.70500000000004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2697668.3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100.01949999999999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99515.08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1526.56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1802580.6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2889.72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2961441.3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900.08100000000002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2363407.5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14995.35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6639800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1275.5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2295681.7999999998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3317.806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3282035.8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295184.5575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59975580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584185.50727299997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59975580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368945.25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8630700"><![CDATA[{"NQG00809^FMA_MCAP(0,,,USD,\"PORTAGG\")":null,"FC0000GR^FMA_MCAP(0,,,USD,\"PORTAGG\")":81358.65,"FC0000ZA^FMA_MCAP(0,,,USD,\"PORTAGG\")":368945.25,"FC0000CH^FMA_MCAP(0,,,USD,\"PORTAGG\")":2295681.8,"EWJ^FREF_MARKET_VALUE_COMPANY(0,,,USD,,0,,\"LEGACY\")":14995.35,"FC0000MX^FMA_MCAP(0,,,USD,\"PORTAGG\")":417534.03,"EWG^FREF_MARKET_VALUE_COMPANY(0,,,USD,,0,,\"LEGACY\")":900.081,"EWW^FREF_MARKET_VALUE_COMPANY(0,,,USD,,0,,\"LEGACY\")":1580.21,"EWC^FREF_MARKET_VALUE_COMPANY(0,,,USD,,0,,\"LEGACY\")":2889.72,"EWT^FREF_MARKET_VALUE_COMPANY(0,,,USD,,0,,\"LEGACY\")":5645.428,"FC0000MY^FMA_MCAP(0,,,USD,\"PORTAGG\")":440878.16,"EWA^FREF_MARKET_VALUE_COMPANY(0,,,USD,,0,,\"LEGACY\")":1526.56,"FC0000PE^FMA_MCAP(0,,,USD,\"PORTAGG\")":35106.77,"ENZL^FREF_MARKET_VALUE_COMPANY(0,,,USD,,0,,\"LEGACY\")":100.0195,"KSA^FREF_MARKET_VALUE_COMPANY(0,,,USD,,0,,\"LEGACY\")":634.705,"FC0000PH^FMA_MCAP(0,,,USD,\"PORTAGG\")":245821.16,"EPHE^FREF_MARKET_VALUE_COMPANY(0,,,USD,,0,,\"LEGACY\")":111.969,"FC0000ID^FMA_MCAP(0,,,USD,\"PORTAGG\")":694339.1,"FC0000TR^FMA_MCAP(0,,,USD,\"PORTAGG\")":340992.72,"FC0000CN^FMA_MCAP(0,,,USD,\"PORTAGG\")":8332266.5,"FC0000QA^FMA_MCAP(0,,,USD,\"PORTAGG\")":168448.92,"CC_ZA^FG_COMPANY_NAME":"South Africa","QAT^FREF_MARKET_VALUE_COMPANY(0,,,USD,,0,,\"LEGACY\")":63.91,"FC0000ZA^FG_MCAP_IDX(0,,,USD)":368945.25,"MCHI^FREF_MARKET_VALUE_COMPANY(0,,,USD,,0,,\"LEGACY\")":6334.35,"FC0000US^FMA_MCAP(0,,,USD,\"PORTAGG\")":59975580.0,"FC0000IN^FMA_MCAP(0,,,USD,\"PORTAGG\")":5431541.5,"SPY^FREF_MARKET_VALUE_COMPANY(0,,,USD,,0,,\"LEGACY\")":584185.507273,"INDA^FREF_MARKET_VALUE_COMPANY(0,,,USD,,0,,\"LEGACY\")":11211.585,"QQQ^FREF_MARKET_VALUE_COMPANY(0,,,USD,,0,,\"LEGACY\")":295184.5575,"GREK^FREF_MARKET_VALUE_COMPANY(0,,,USD,,0,,\"LEGACY\")":197.88980308548,"FC0000GB^FMA_MCAP(0,,,USD,\"PORTAGG\")":3282035.8,"EWU^FREF_MARKET_VALUE_COMPANY(0,,,USD,,0,,\"LEGACY\")":3317.806,"EZA^FREF_MARKET_VALUE_COMPANY(0,,,USD,,0,,\"LEGACY\")":310.527,"FC0000BR^FMA_MCAP(0,,,USD,\"PORTAGG\")":685759.94,"EWL^FREF_MARKET_VALUE_COMPANY(0,,,USD,,0,,\"LEGACY\")":1275.5,"EWZ^FREF_MARKET_VALUE_COMPANY(0,,,USD,,0,,\"LEGACY\")":3881.6365,"FC0000JP^FMA_MCAP(0,,,USD,\"PORTAGG\")":6639800.0,"FC0000KR^FMA_MCAP(0,,,USD,\"PORTAGG\")":1812119.6,"EWY^FREF_MARKET_VALUE_COMPANY(0,,,USD,,0,,\"LEGACY\")":4868.539,"FC0000DE^FMA_MCAP(0,,,USD,\"PORTAGG\")":2363407.5,"FC0000TW^FMA_MCAP(0,,,USD,\"PORTAGG\")":2453010.8,"EWM^FREF_MARKET_VALUE_COMPANY(0,,,USD,,0,,\"LEGACY\")":346.4325,"FC0000NZ^FMA_MCAP(0,,,USD,\"PORTAGG\")":99515.08,"FC0000PL^FMA_MCAP(0,,,USD,\"PORTAGG\")":194876.83,"EPOL^FREF_MARKET_VALUE_COMPANY(0,,,USD,,0,,\"LEGACY\")":283.2,"FTSEWIVNXXXX^FMA_MCAP(0,,,USD,\"PORTAGG\")":25221.94412,"FC0000CL^FMA_MCAP(0,,,USD,\"PORTAGG\")":143458.14,"SET-BKK^FMA_MCAP(0,,,USD,\"PORTAGG\")":541660.483653098,"CNYA^FREF_MARKET_VALUE_COMPANY(0,,,USD,,0,,\"LEGACY\")":358.13,"FC0000CA^FMA_MCAP(0,,,USD,\"PORTAGG\")":2961441.3,"EPU^FREF_MARKET_VALUE_COMPANY(0,,,USD,,0,,\"LEGACY\")":82.517,"FC0000SA^FMA_MCAP(0,,,USD,\"PORTAGG\")":2697668.3,"VNM^FREF_MARKET_VALUE_COMPANY(0,,,USD,,0,,\"LEGACY\")":492.5,"FC0000AE^FMA_MCAP(0,,,USD,\"PORTAGG\")":916309.44,"UAE^FREF_MARKET_VALUE_COMPANY(0,,,USD,,0,,\"LEGACY\")":43.7485,"TUR^FREF_MARKET_VALUE_COMPANY(0,,,USD,,0,,\"LEGACY\")":172.584,"FC0000AU^FMA_MCAP(0,,,USD,\"PORTAGG\")":1802580.6,"EIDO^FREF_MARKET_VALUE_COMPANY(0,,,USD,,0,,\"LEGACY\")":359.39,"ECH^FREF_MARKET_VALUE_COMPANY(0,,,USD,,0,,\"LEGACY\")":527.8115,"SET-BKK^FG_MCAP_IDX(0,,,USD)":541660.483653098,"NQG00809^FG_COMPANY_NAME":"Nasdaq South Africa","DUMMY^ECON_EXPR_DATA('FDS_ECON[NTCPMIMFGSA@PL]',,,M)":48.646362,"DUMMY^ECON_EXPR_DATA('FDS_ECON[NTCPMIMFGSA@VN]',,,M)":47.348457,"DUMMY^ECON_EXPR_DATA('FDS_ECON[NTCPMIPHMANHE]',,,M)":53.677677,"DUMMY^ECON_EXPR_DATA('FDS_ECON[NTCPMIMFGSA@AE]',,,M)":null,"DUMMY^ECON_EXPR_DATA('FDS_ECON[NTCPMIMFGSA@ID]',,,M)":49.166794,"DUMMY^ECON_EXPR_DATA('FDS_ECON[NTCPMIMFGSA@CL]',,,M)":null,"DUMMY^ECON_EXPR_DATA('FDS_ECON[NTCPMIMFGSA@CN]',,,M)":49.30284,"DUMMY^ECON_EXPR_DATA('FDS_ECON[NTCPMIMFGSA@IN]',,,M)":56.53472,"DUMMY^ECON_EXPR_DATA('FDS_ECON[NTCPMIMFGSA@MX]',,,M)":47.32885,"DUMMY^ECON_EXPR_DATA('FDS_ECON[NTCPMIINDEXSA@SA]',,,M)":56.34642,"DUMMY^ECON_EXPR_DATA('FDS_ECON[NTCPMIMFGSA@TR]',,,M)":44.313152,"DUMMY^ECON_EXPR_DATA('FDS_ECON[NTCPMITHMANHE]',,,M)":50.401905,"DUMMY^ECON_EXPR_DATA('FDS_ECON[PMIQAWHEHE]',,,M)":51.723763,"DUMMY^ECON_EXPR_DATA('FDS_ECON[NTCPMIMFGSA@BR]',,,M)":53.232143,"DUMMY^ECON_EXPR_DATA('FDS_ECON[NTCPMIMFGSA@KR]',,,M)":48.325603,"DUMMY^ECON_EXPR_DATA('FDS_ECON[NTCPMIMFGSA@PE]',,,M)":null,"DUMMY^ECON_EXPR_DATA('FDS_ECON[NTCPMIMFGSA@GR]',,,M)":50.30609,"DUMMY^ECON_EXPR_DATA('FDS_ECON[PMIMFGSA@ZA]',,,M)":50.974167,"DUMMY^ECON_EXPR_DATA('FDS_ECON[NTCPMIMFGSA@TW]',,,M)":50.822594,"DUMMY^ECON_EXPR_DATA('FDS_ECON[PMIMYMANHE]',,,M)":49.535587,"CAGDPY@QA^EE_ACTUAL_ANNUAL(MED,0)":17.1137401273655,"CAGDPY@TW^EE_ACTUAL_ANNUAL(MED,0)":13.6964985659127,"CC_VN^FG_COMPANY_NAME":"Vietnam","CC_PH^FG_COMPANY_NAME":"Philippines","USDVND^FG_PRICE_CHANGE(0,-1AM)":0.7093668,"USDTRY^FG_PRICE_CHANGE(0,-1AM)":0.46783686,"USDQAR^FG_PRICE_CHANGE(0,-1AM)":0.0,"USDINR^FG_PRICE_CHANGE(0,-1AM)":0.0,"USDZAR^FG_PRICE_CHANGE(0,-1AM)":-2.13359,"USDKRW^FG_PRICE_CHANGE(0,-1AM)":0.50239563,"USDTWD^FG_PRICE_CHANGE(0,-1AM)":0.023305416,"USDPEN^FG_PRICE_CHANGE(0,-1AM)":-1.491487,"USDPHP^FG_PRICE_CHANGE(0,-1AM)":1.7382026,"USDCLP^FG_PRICE_CHANGE(0,-1AM)":-2.0561934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38324,34.7106307308398,40.2723415007705,42.4815786364131,40.181607467413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477272,17.494770758292,21.2753163279978,20.3708484088649,19.111296642109],"EWM^P_PRICE_RETURNS_PR('52W',2,-10AY,0,AM)":[-1.7794788,-1.6083479,-12.478458,-12.396354,-5.2277145,-13.033885,-10.688507,-10.579008,-18.680222,-21.996815,-26.351833,-35.87727,-24.042547,-29.69904,-21.066248,-22.98311,-19.999039,-11.600375,-11.546278,-17.989826,-12.58285,-4.340845,2.8110862,15.503573,0.4941225,2.0168543,-1.0967016,4.936385,-0.12894273,-3.115511,-8.394021,4.117942,6.0394287,1.02427,-0.2749622,4.0148616,5.5098057,13.087416,15.581727,25.381649,22.265411,25.808525,25.840736,9.286404,8.292854,5.8704853,10.578405,3.7762523,-0.30753613,0.15670061,-4.2828083,-7.6067743,-6.0307145,-10.07868,-14.298534,-9.567195,-8.253866,-0.5800009,-11.934715,-8.058864,-6.4350963,-2.6201487,-2.9019415,-3.1463742,-9.350133,-16.262537,-20.618994,-16.11706,-3.3390343,-6.297797,-0.13270974,-8.056837,2.2148132,-1.3828993,8.917654,3.561914,6.0350895,16.271484,22.21676,17.826187,0.9581208,-4.007572,-7.0705833,7.963681,1.9065261,-4.908812,-12.809258,-8.62183,-4.0947437,-3.9422631,-0.30961037,-6.874794,-11.220264,-7.9196634,-2.8012693,-10.467255,-18.630356,-10.180444,-2.896279,-4.4131575,-5.853862,-12.626827,-11.046494,-4.94951,-8.908242,-5.1383376,-2.6539505,-2.761954,5.383408,-0.010699034,-4.98746,-3.1995952,-4.795891,4.133427,1.2791276,6.8535566,16.204762,19.396448,14.950335,25.751091,29.246925],"GREK^FG_TOTAL_RETURNC(-10AY,0,AM)":[-16.93858,-10.97632,-2.9201746,-15.048182,-2.4622679,-7.573289,-2.4669647,14.272797,-4.9802184,-6.322801,-9.857911,-0.68965554,2.2817492,-7.6624513,-14.285726,-9.705371,-21.900827,27.689589,-0.82873106,18.523693,-5.4641666,-14.481056,5.2325606,-0.6906092,2.9902697,-2.093184,13.655174,-0.13042092,-5.452281,3.5386682,3.1645536,18.282223,-1.6597569,10.021114,-1.917553,-0.87976456,-7.2978377,-4.6808424,3.571415,16.007196,-1.0436237,-0.47940612,-2.1194518,0.590539,-9.491187,0.4864931,-4.5723495,-4.396856,-12.028289,3.2171369,-2.0779133,0.9561181,-1.6150594,5.33514,10.129869,-4.8349085,14.622068,4.4629574,-5.9251604,1.4364719,0.5446553,3.4669638,-0.20942688,6.447506,-8.032131,-28.275108,-9.132427,-0.50240755,14.421999,-2.7326703,0.9136915,1.5090585,3.2051444,-1.665163,22.90039,5.927062,-9.188366,10.118055,7.044399,3.3261776,3.911388,-7.961363,0.542891,2.5197983,-1.8258452,0.071537495,-2.4303079,1.9981265,8.477068,-18.606228,13.383209,-7.9178867,0.03980398,-9.877997,10.447109,-5.41082,-7.7118635,18.227732,3.029132,8.863115,10.941386,-3.7143767,3.0927896,5.1612854,9.570562,5.62793,1.8128514,-7.043725,-8.845067,8.034611,4.2048097,8.243632,4.527819,1.0643601,-1.1021316,4.408121,-1.2689769,0.27173758,-2.7397275,2.7180552,-1.1481822],"UAE^FMA_DIV_YLD(NTMA,-10AY,0,AM,\"PORTAGG\",\"MEANR\")":[2.65788966260198,2.88381053313352,3.28993781309251,3.46626119790924,3.406002920225,3.59170629251579,3.3093315447407,3.20936293595498,3.39709049074658,3.59547100151014,3.51066081137995,4.0682917273579,3.83864612646838,4.34242578300291,4.66880993888601,4.51601597600629,4.49750342257808,3.91390842203764,3.96500726136839,4.10838652834426,3.95546556434018,3.89331158952563,3.77129567576754,3.78179940254546,3.70860987482517,3.86988873346593,4.04213362107626,3.94675312398833,4.06370041395673,4.13351713077394,4.0091549631198,3.93346532154707,4.0775837543297,4.09961572841122,3.92245512653431,4.00220774424468,4.24710015685901,4.40735294523302,4.53758080478154,4.32804455711653,4.37232100073199,4.4501797596765,4.76561297090148,5.00905412967451,4.74684740107771,4.86510598214907,4.70876359398125,4.67929210859948,4.82568629961835,4.79116229025491,5.33211419795947,5.12611383279415,5.16085288673199,5.31672133699885,4.9646726568178,5.14294282253743,5.12167789406312,5.11054526539231,5.04590634030175,4.78562167046327,4.82534833081153,4.73468670545981,4.98587416377155,5.30146964765545,5.29294150122237,6.25491116483084,6.13996795561179,4.83380584913181,4.26909082062526,4.64038292469803,4.71833746514566,4.40478883636457,4.40952472150302,4.79879032116376,4.38638948097711,4.38046661110031,4.49072629746781,4.63994549336457,4.44407903311302,4.49404745478291,4.33639944718057,4.66461148853874,4.55959284496174,4.23236656043557,4.20675748900207,3.87279482168578,4.1419014263539,4.41655113406482,4.12409634759813,3.68712919842022,3.39111316812964,3.71788751219049,4.10183655604875,4.52447694653152,4.05195124421842,4.3086514668389,4.3762079721523,4.32314779991653,4.52302796105692,4.75737356688376,4.60480460715398,4.68723600810196,4.60222666498844,4.39420056893218,4.4660686481732,4.32351786079993,4.09404708754608,4.42551318981118,4.43501930621046,4.6319789519466,4.78972346863615,4.48743020321214,4.93385101810588,5.10156722778819,5.41063362828071,5.63612194386081,5.92383230107615,5.68593798326938,5.50578053249293,5.22205065580385,5.30359591929354],"EIDO^FMA_DIV_YLD(NTMA,-10AY,0,AM,\"PORTAGG\",\"MEANR\")":[2.64291012746792,2.6500504123827,2.47652845534818,2.50009264497839,2.39172454156291,2.29773354905087,2.28931532162128,2.38763795167849,2.5047999397131,2.48199973721683,2.50529983879766,2.75652760650617,2.56291923319435,2.63260602355132,2.55583165879323,2.51658304076817,2.42182868616774,2.4006256119424,2.37453621906878,2.45665971882557,2.38550732231453,2.2967543838902,2.13171943706468,2.24173794647769,2.26359555719156,2.26582038342978,2.40736704684636,2.4144176271327,2.42000269524997,2.46676551582942,2.41475868300196,2.48832486407803,2.55434127905001,2.56623276539589,2.53462511849312,2.58887493715102,2.57332982660615,2.59443551457898,2.64675042408231,2.50540151182646,2.49266899085601,2.5704694884505,2.6387005645107,2.98299653113196,2.98015065233381,3.07973776277079,2.92828899398241,3.07772921390162,3.05695062359547,2.99538427488654,2.84833225058677,2.80191727145279,2.78274929957219,2.86267773238532,2.78672736410313,2.97413855510859,2.81364244709272,2.70139972730494,2.80764754072476,2.78437136331752,2.90387642735781,2.78710123763046,2.84376073786866,2.7417166651884,2.87248569360398,3.45459210452896,3.83807684319746,3.8065645565337,3.23793629454534,2.89035287879583,2.84566455130874,2.99067508739804,2.90714850209354,2.57610577202903,2.30964223420027,2.25512411774914,2.42648207955229,2.53994366513554,2.70015270894703,2.78544756226045,2.78886702841286,3.04124910866497,3.12216635184192,3.0813649045992,2.94242526640173,2.97093600659572,3.11284835195057,3.15102952509642,3.10786650297892,3.14241923362569,3.27613117032577,3.48306499724146,3.51473528557729,3.72887292895967,3.64133523741671,3.57520257199878,3.82506903758753,3.94812165466369,4.0771555371593,4.25637666231352,4.12568016568488,4.30989159448186,4.45497344763067,4.5474983256775,4.20571237602629,4.24464030515364,4.08835245004768,4.16331229531514,4.2104251183724,4.26582896543245,4.2381655034885,4.05681829721045,4.10273636403938,4.01376736754698,4.17417597554567,4.53258464513749,4.53990029690998,4.43428112490564,4.36415168290141,4.06357182024841,4.17516528538125],"EWW^FMA_PE(NTMA,-10AY,0,AM,\"PORTAGG\",\"MEANR\")":[null,null,null,null,null,null,null,null,null,null,null,null,null,null,null,16.0146447968851,17.0360879572283,17.9017902035248,19.2950533707118,19.7779137711121,18.4368623976547,18.2506144305632,18.7964370760707,17.7598438609247,18.1712997396906,16.8067947816528,16.8259482249495,16.0536127423683,16.6379181756476,16.40873481535,17.0850489631729,16.8272766464309,16.4716122628809,16.8526198543498,17.0275090627006,16.8086445452035,16.5061733011849,15.7616053352883,15.5190786577061,15.7557468107109,15.2903159447706,15.6695632291325,15.6090849830458,14.8766727130423,14.4207671934559,15.5889714167835,14.9249159549307,14.9302452470861,14.5606646447472,13.1675445324019,12.3278807601105,13.0486368369416,13.055453784367,12.4889192955662,13.5647402432512,13.0776909821447,13.1189215671383,12.870790963368,12.4403833740622,13.2342310686059,13.3377713386443,13.6408342892045,13.4055385929671,13.9982827313258,13.9271625603712,12.3499137263999,10.9610213176721,15.3478406105678,16.8190428711971,16.1221946046348,17.1700284020249,15.1608180486606,15.4069667452831,15.0998822606211,15.2249564909971,15.4267400409666,14.3569759576107,14.7232077617364,14.6871182940737,14.7886421681818,15.1257838394212,14.4525821784351,14.181365506205,13.9543056710538,13.5903422203308,13.6026480575438,13.2203018813265,13.5633108678114,13.3727423602226,13.4652140883277,13.7137527556994,12.1484248693521,11.7111073123618,11.3973452502955,11.5982269535525,11.1855783699628,11.2139704402885,12.5559302823446,12.191474778243,12.5402521339375,12.5013781560385,12.5731204801028,12.5742934744458,12.5014287617734,11.9896821712241,11.8229351825776,11.9338366010012,11.6696938147553,11.2231179929993,11.5795549719511,12.3558223533741,12.4477924214197,12.9553567378849,12.3653190254269,12.5757434890324,12.646426984368,11.4351642166333,11.6368901103291,10.9936761795432,10.5580368663785,10.8032984285862],"MCHI^FMA_PE(LTMA,-10AY,0,AM,\"PORTAGG\",\"MEANR\")":[9.26257846468734,9.50100412677191,9.82305230613948,10.4884769599511,10.5022470297212,10.7696988258815,11.3076767506313,11.4429578702306,11.3183919622594,10.7083510324773,10.5177508221608,9.85998957184596,10.1626587512878,10.1604368288528,9.72541126798335,10.0421306166895,9.36495543758027,9.33169378222709,9.54971811657144,9.57314239150793,10.2614695916338,10.4606462707671,11.3744400467664,12.4817465302323,12.9804122898298,12.8591428281713,13.2640022628496,13.589471551884,14.0425366637057,14.0150343223015,13.8776067391642,13.9870408602343,14.1448994894042,13.9851149615752,14.5460114457741,14.3442567851793,15.1578450550661,15.5044643185864,15.0233402682502,16.2288705385983,14.5435298676946,15.3420588758237,15.0294083408161,14.8658639282796,14.7599761343534,14.1507543763431,13.8936318327587,13.0095401607192,12.3827365982058,12.121937382058,11.9903160382232,11.7607068573293,12.4984428515975,12.7973235548277,12.973287889159,12.6972331843306,12.49107940372,12.5740356727215,12.2031671490423,12.5682785896372,12.2453609040754,12.7181791779251,12.9142879570026,14.0701015180916,13.5233247149116,13.0135977699994,13.0368164475465,13.2645563009928,13.9890733656006,15.2310327528231,15.1278779292094,15.497322020705,16.3616857646415,17.117855224034,17.6614970628448,19.2232262563878,21.8661262235128,19.6196396709034,19.2764829560474,18.6892595059695,18.8317473949495,18.1212210538106,17.3626376746301,16.9532190878833,16.1122080326301,15.5556508804849,14.9023968052198,14.0119070271606,14.2659673064261,12.7944454446453,12.7435601156117,12.3395668717144,12.9844380718054,13.0937708020948,12.2380650185876,12.4027429948563,11.2267517945432,10.7416142169185,12.5468488564334,13.4673105869981,13.1432520772222,12.2796504216718,12.3060956919636,12.035590900254,11.9224145296853,11.7154199908224,12.0303242574607,11.7870762952096,11.4379189932922,11.2269299313469,10.5945691228642,10.3506475185424,10.0610373482894,10.432331601309,10.470688643777,10.7944465082548,10.6120633139574,10.3643068159246,10.0876277561951,9.73737750535678,11.6085732924432],"DDR3512M-FDS^MAX(FG_PRICE(0,-5AY))":3.3053632,"PASP-FDS^MAX(FG_PRICE(0,-5AY))":3158.12,"PLATI-FDS^MAX(FG_PRICE(0,-5AY))":1272.59,"W-FDS^MAX(FG_PRICE(0,-5AY))":14.2525,"COPP-FDS^MAX(FG_PRICE(0,-5AY))":5.119,"FC0000SA^FG_PRICE(0)":47.6629,"SET-BKK^FG_PRICE(0)":1468.52,"FC0000GR^FG_PRICE(0)":9.5069275,"FC0000MX^FG_PRICE(0)":431.09796,"FC0000PL^FG_PRICE(0)":202.31349,"FC0000CN^FG_PRICE(0)":275.29236,"TUR^FG_PRICE_MAVG(0,,,,200)":38.272823,"INDA^FG_PRICE_MAVG(0,,,,200)":53.557526,"EWY^FG_PRICE_MAVG(0,,,,200)":64.2029,"EPU^FG_PRICE_MAVG(0,,,,200)":39.19589,"ECH^FG_PRICE_MAVG(0,,,,200)":26.498125,"KSA^FMA_PCT_ABOVE_MAVG(200,0,,,,\"PORTAGG\")":34.6774193548387,"UAE^PERCENT_CHANGE(FMA_EPS(+1,0,,,,\"PORTAGG\",\"MEAN\"),FMA_EPS(+1,-3AM,,,,\"PORTAGG\",\"MEAN\"))":-1.58896971340539,"SET-BKK^FG_TOTAL_RETURNC(0,-3AM)":10.975754,"MCHI^P_PRICE(0)/P_PRICE_HIGH_PR(0,,,,,,\"PRICE\",\"INTRA\",\"52W\")":0.87563765,"GREK^FG_TOTAL_RETURNC(0,-12AM)":29.958057,"EZA^PERCENT_CHANGE(FMA_EPS(+1,0,,,,\"PORTAGG\",\"MEAN\"),FMA_EPS(+1,-1AM,,,,\"PORTAGG\",\"MEAN\"))":1.91828676958184,"EWY^FG_TOTAL_RETURNC(0,-1AM)":3.3126712,"EWT^FG_TOTAL_RETURNC(0,-6AM)":10.515631,"EPU^P_PRICE(0)/P_PRICE_LOW_PR(0,,,,,,\"PRICE\",\"INTRA\",\"52W\")-1":0.521191,"EPOL^FMA_PCT_ABOVE_MAVG(200,0,,,,\"PORTAGG\")":29.4117647058824,"EIDO^PERCENT_CHANGE(FMA_EPS(+1,0,,,,\"PORTAGG\",\"MEAN\"),FMA_EPS(+1,-3AM,,,,\"PORTAGG\",\"MEAN\"))":-3.62909747632538,"CNYA^FG_TOTAL_RETURNC(0,-3AM)":19.865726,"URTH^FG_TOTAL_RETURNC(0,-3AM)":3.039074,"URTH^PERCENT_CHANGE(FMA_EPS(+1,0,,,,\"PORTAGG\",\"MEAN\"),FMA_EPS(+1,-1AM,,,,\"PORTAGG\",\"MEAN\"))":-0.399781047023017,"URTH^FMA_COS_UP(\"EPS\",\"1M\",+1,NOW,,,\"PORTAGG\",\"MEANR\")":461.0,"TUR^SIZE(FG_CONSTITUENTS)":96,"GREK^FMA_COS_DOWN(\"EPS\",\"1M\",+1,NOW,,,\"PORTAGG\",\"MEANR\")":7.0,"EWT^FMA_COS_UP(\"EPS\",\"1M\",+1,NOW,,,\"PORTAGG\",\"MEANR\")":34.0,"ECH^SIZE(FG_CONSTITUENTS)":28,"EWZ^FMA_RBICS_REV_CURRENT(30, LOC, \"PORTAGG\")":35.681481478641,"QAT^FG_ROE(0)":10.8727763595995,"TRYSA10Y-FDS^FG_YIELD_NAME":"Treasury - SAUDI ARABIA Benchmark Bond 10Y","TRYPL10Y-FDS^FG_YIELD_NAME":"Treasury - Poland Benchmark Bond 10Y","REFTR1WREPO-FDS^PROPER_NAME(0,,,\"SECURITY\",\"NAME\")":"Turkey Repo Rate - 1 Week","REFZAREPO-FDS^(SUBARRAY(NOT_NA(NO_REPEAT_F(FG_YIELD(NOW,-10AY,D))),0,1)-SUBARRAY(NOT_NA(NO_REPEAT_F(FG_YIELD(NOW,-10AY,D))),1,1))*100":-25.0,"REFMYON-FDS^FG_YIELD(NOW,,,0)":3.0,"REFCLMPR-FDS^PROPER_NAME(0,,,\"SECURITY\",\"NAME\")":"Chile Monetary Policy Rate","TRYCN10Y-FDS^PCTCHG(FG_YIELD(0,,,,\"YTM\"),FG_YIELD(-3AM,,,,\"YTM\"))":-5.115478,"TRYMY10Y-FDS^PCTCHG(FG_YIELD(0,,,,\"YTM\"),FG_YIELD(-3AM,,,,\"YTM\"))":-1.5335238,"TRYSA10Y-FDS^FG_YIELD(0,,,,\"YTM\")":4.895055,"TRYGR10Y-FDS^FG_YIELD(0,,,,\"YTM\")":3.191,"TRYPL10Y-FDS^FG_YIELD(0,,,,\"YTM\")":5.4627,"CC_CN^IMF_IFS_RCPI_Q(0)":null,"VWO^FMA_EVAL_EBITDA(NTMA,0,,,\"PORTAGG\",\"MEANR\")":8.91761531837544,"KSA^FMA_DIV_YLD(NTMA,NOW,NOW,M,\"PORTAGG\",\"MEANR\")":3.58391783766996,"UAE^FMA_PE(LTM,0,,,\"PORTAGG\",\"MEANR\")":9.88573079148408,"QAT^FMA_EVAL_EBIT(LTMA,NOW,NOW,M,\"PORTAGG\",\"MEANR\")":16.287629023603,"INDA^FG_FCF_YIELD_NTM(0)":2.71914292775399,"EZA^FMA_PE(NTMA,0,,,\"PORTAGG\",\"MEANR\")":10.5066606294224,"EWY^JULIAN(FMA_DIV_YLD(NTMA,NOW,NOW,M,\"PORTAGG\",\"MEANR\").DATES)":45565,"EWM^FMA_EVAL_EBITDA(NTMA,0,,,\"PORTAGG\",\"MEANR\")":8.35544432420325,"EPOL^FMA_DIV_YLD(NTMA,NOW,NOW,M,\"PORTAGG\",\"MEANR\")":5.7122906427904,"EIDO^FMA_PE(LTM,0,,,\"PORTAGG\",\"MEANR\")":17.1200445509813,"CC_US^IMF_IFS_RCPI_Q(0)":null,"DUMMY^ECON_EXPR_DATA('FDS_ECON[NTCPMIMFGSA@EME]',,,M)":49.8002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6163819,10.6153952307461,9.47363114998823,10.1683467048487,9.55851362142362],"TRYMX10Y-FDS^FG_YIELD(-10AY,0,Y,,\"YTM\")":[5.8237,6.2537,7.5651,7.6401,8.7069,6.8373,5.552,7.558,9.0223,8.95],"TRYPE10Y-FDS^FG_YIELD(-10AY,0,Y,,\"YTM\")":[5.681629,7.426917,6.415413,5.167133,5.645114,4.243226,3.535983,5.889906,7.923381,6.6087],"MCHI^FMA_ROE(NTMA,-20AY,NOW,FY,\"PORTAGG\",\"MEANR\")":[null,null,null,null,null,null,null,16.2489448712134,14.7844836511748,14.7477410048543,13.8220324417748,12.2640889399399,12.007707790005,13.3821124977803,13.2137488528733,12.8854511836742,12.3572373304302,11.9739138807926,11.5505724490554,11.563438773697],"TRY10Y-FDS^FG_YIELD(-10AY,0,Y,,\"YTM\")":[null,null,null,null,null,null,null,null,null,null],"TRYCN10Y-FDS^FG_YIELD(-10AY,0,Y,,\"YTM\")":[3.653331,2.901145,3.070911,3.93859,3.259862,3.197311,3.1948,2.7893,2.855,2.574],"INDA^FMA_ROE(NTMA,-20AY,NOW,FY,\"PORTAGG\",\"MEANR\")":[null,null,null,null,null,null,null,null,15.6108197056138,16.0962597956391,15.7612771435553,15.9055421047158,15.6930916584344,15.3154529754558,14.6122050459717,14.5354846163082,12.8423839008733,15.1612174069661,14.9253037325643,16.0781656045333],"TRYBR10Y-FDS^FG_YIELD(-10AY,0,Y,,\"YTM\")":[12.319731,15.989595,11.062725,9.887577,8.936093,6.883678,6.961219,10.970291,12.900059,10.455909],"GREK^FMA_ROE(NTMA,-20AY,NOW,FY,\"PORTAGG\",\"MEANR\")":[null,null,null,null,null,null,null,null,5.18059570882845,5.02924580688049,6.28451178662672,5.47133635917723,4.56601797799517,3.94646034419328,4.24726660688599,5.810021541725,5.36711218261452,8.82576684666533,11.0341923380188,13.1253657894167],"TRYVN10Y-FDS^FG_YIELD(-10AY,0,Y,,\"YTM\")":[7.3,6.277413,7.1117578,5.6717234,4.738006,3.5404546,2.4877946,2.059403,4.687226,2.9473283],"TRYTW10Y-FDS^FG_YIELD(-10AY,0,Y,,\"YTM\")":[1.6015,1.015,1.2037,0.9478,0.8648,0.672,0.315,0.7413,1.2812,1.211],"EPHE^FMA_ROE(NTMA,-20AY,NOW,FY,\"PORTAGG\",\"MEANR\")":[null,null,null,null,null,null,14.7602970828313,15.1929773886247,13.700399154582,13.6976116734629,14.2196145027033,13.3322794237975,12.7182053290138,12.3434443766015,11.7069295115669,12.0971067278746,8.91575729801008,9.59945410063992,10.6731246326263,11.9407094450378],"CAGDPY@TW^EE_ACTUAL_ANNUAL(MED,+1)":13.85,"USDSAR^STD(FG_PRICE_CHANGE(0,-1AY,AM))":0.0311698435399504,"USDINR^FG_PRICE_CHANGE(0,-6AM)":0.93905926,"USDMXN^STD(FG_PRICE_CHANGE(0,-3AY,M))":2.79617270453914,"USDPLN^FG_PRICE(0)":3.94005,"USDCLP^STD(FG_PRICE_CHANGE(0,-1AY,AM))":3.2427535490409,"VNM^P_PRICE_RETURNS_PR('52W',2,-10AY,0,AM)":[17.354548,15.677524,3.1273603,2.2184849,-10.833651,-13.8738575,-17.461586,-4.266989,-12.14993,-7.0992947,-12.740988,-28.119558,-16.729176,-19.304293,-20.835358,-23.10217,-27.169735,-18.807178,-15.049463,-15.316844,-12.9787445,-15.991217,-14.909637,-4.8745213,-13.196362,-14.855552,-7.131171,-1.8641591,6.419015,-4.815215,4.4578075,1.5924096,-1.013583,-0.9296119,-2.5013566,3.0189395,4.1823864,21.689188,27.240408,39.107574,27.264393,43.59504,44.136417,28.977442,20.798815,7.1359754,15.4091835,10.039509,4.380393,-3.558892,-5.553585,-16.315014,-8.56905,-13.440758,-15.778357,-8.097733,-5.870432,6.0913205,-3.263557,-2.3051798,3.5860777,7.4121118,2.302444,4.8515677,-2.4219632,-19.949072,-28.869606,-17.871689,-10.526573,-11.977035,-4.9648523,-4.9648523,-4.5875907,-5.725646,6.1125875,16.624308,19.160234,37.749054,56.099987,45.914494,37.53519,40.836693,35.996914,36.26903,30.514061,33.04788,24.571156,15.668321,12.18791,8.323526,1.4736056,-15.560752,-20.804007,-28.350132,-22.022879,-24.486654,-36.315514,-46.503872,-38.060856,-40.722008,-39.29422,-37.957214,-33.854412,-23.326195,-16.676022,-2.948475,-2.9004812,5.0148606,10.122931,21.384966,6.1357975,9.462905,15.181816,20.887852,14.183879,8.020174,2.9544234,-4.1593494,-17.104221,-15.088683,-2.7305603],"EPOL^FG_TOTAL_RETURNC(-10AY,0,AM)":[-6.997591,-1.6678989,-0.15077591,-6.9992423,-3.4468412,-4.6881733,8.122742,9.098494,-6.9242535,-5.831504,-2.6419997,-0.633204,0.22758245,-10.399639,-11.099839,-4.5946417,4.8455477,7.452345,3.3333302,-7.1279883,-2.8571427,-5.0222216,14.850891,-5.193436,3.5215259,-3.4557283,0.6711483,7.83937,10.6617565,0.7593751,2.920401,9.244847,1.1730194,0.50514936,4.7953725,7.8106523,-0.80497265,-1.3648152,-1.0471225,5.6064844,-2.181822,-0.44609308,-3.3607244,-3.8253486,-4.1382017,-3.9452076,0.30567646,0.6530285,-3.1141937,0.71429014,1.9060254,5.5231333,-1.5455365,-3.1395853,4.818225,-8.441287,4.655409,2.0113707,-9.635973,1.8009424,-3.9571702,7.561815,-8.156836,7.634425,-6.112921,-19.234598,-11.630774,1.8802285,23.923433,-5.4900703,6.692219,-4.780322,-2.7858377,1.373136,15.901065,4.555404,-7.181239,0.52632093,0.47121048,7.8686833,9.764576,-3.6628425,-0.18323064,5.553007,0.043475628,-1.2603283,-8.142596,5.578351,-3.0733943,-19.592995,7.8281283,-18.831879,2.1993876,-6.3081083,3.18923,-12.019229,-16.003126,32.063198,4.9261093,15.471828,-7.0330977,-1.7164648,1.0672688,14.880001,4.0668488,2.9443264,5.3562164,-12.68509,1.1305809,13.024033,11.177052,0.31347275,1.6887307,2.917409,5.4513693,2.1712184,-3.3394098,6.740701,-10.11191,4.8021317,0.12727976],"EWM^FMA_DIV_YLD(NTMA,-10AY,0,AM,\"PORTAGG\",\"MEANR\")":[3.27289681334386,3.23261575387607,3.31519023035894,3.35237085919731,3.21707015903648,3.22115622809414,3.13386843335911,3.15913387393993,3.24646621260624,3.29760123075056,3.41003960528218,3.45668466228675,3.24815285320695,3.27732896532219,3.31213861814064,3.29994402197624,3.25345845592812,3.12689202337423,3.04891258093911,3.21087628392609,3.07872245411719,3.06725639036686,2.97855615108403,2.92180166141643,2.9528775149377,2.99617830354866,2.9906679757351,2.99734776603357,2.97086057132627,2.99639343088556,2.98219072517409,2.9510957653899,2.98768819276553,3.06118654791692,3.02642512342599,3.00396100968558,3.08611164708354,3.22623387804256,3.29285952277647,3.10178213638234,3.15738312242101,3.21790732853548,3.17998833692267,3.21533361423715,3.2144929683315,3.39652024772497,3.16957440313444,3.18316979807375,3.36263320971181,3.36856728320569,3.35292339490035,3.2983250120541,3.26981888774542,3.3131032646463,3.38473582166279,3.46268680579039,3.31677772181651,3.40837293774457,3.49386958121226,3.5077994927882,3.611248321082,3.47418008965002,3.53752515589376,3.47766936070474,3.61018542359535,3.88373528358903,3.93990402176073,3.712707160266,2.96991276362846,2.97172775589819,3.12173541439318,3.26690734822232,3.24517135650488,3.39153297322461,3.46039870822694,3.63642701885626,3.79715885815235,3.92877667858296,3.96715334535177,4.02264888317689,4.11209498769269,4.24782040743742,4.27519016594712,4.05416933941672,3.98176674427489,3.99667730302137,3.93278517884227,3.75957087221427,3.76344231312263,3.82223999901775,3.76640940305038,3.94378876971711,4.07575588640201,4.24905513864769,4.06592409176508,4.10971676230651,4.39785078930609,4.26571109992762,4.20267402913554,4.21221493692226,4.2733173662579,4.44601555670161,4.4074980152878,4.40764514098,4.46836191650021,4.4708112909886,4.23860273172512,4.27586913882216,4.324357847055,4.32551350804398,4.33753948787304,4.2603493263433,4.2423325885661,4.15372910807133,4.14065619641102,4.05283549151178,4.06546214747665,4.059648585122,4.17099763014781,4.00137713568902,4.07320977762719],"GREK^FMA_PE(LTMA,-10AY,0,AM,\"PORTAGG\",\"MEANR\")":[17.5551941795665,17.3240461457316,18.4052549771642,12.5597503481357,13.2387769889063,17.7298929179051,16.5821070296571,15.5683180712668,14.4962970218399,13.3708459511822,12.253785440284,10.8235487615305,11.7428323538399,12.1108715174368,-2.32472952917653,-1.85225930886359,-0.459088098344562,0.273284383357795,1.15890110070207,3.19760915470916,4.1174681557847,4.54699570903979,6.31228227210852,7.97732429011586,10.4495113186868,11.5718322175986,14.870410618164,14.9831478461241,13.6817626611148,14.2543154278051,14.3475452635836,15.1447122644854,15.2761568546349,15.3392692617209,15.3405800018283,14.7709824523562,15.9636161862571,16.8553513135073,18.0761503758952,21.4900338686957,22.774474794118,23.6408704681033,22.8264687433321,22.3432764668542,21.689884640526,21.4094962708426,21.5714542574153,21.611041886164,19.3570558317247,18.8149425005691,20.1213662186291,15.2182329767066,17.5131157840009,18.6526538525698,18.4949664272651,17.8873550817778,18.0896447485839,18.2980040909847,17.3828202148147,19.130384278327,17.6959090209595,15.3510337835447,16.5349430820186,20.0304090349084,15.7994874347438,12.1593887535199,11.8413353917889,12.1254356755209,13.2617249474257,15.2894313036485,14.6773718074516,15.7033422762057,15.7756517966262,15.211344449868,19.5382732494282,18.7170247949698,16.8718111624425,17.7097557617,17.3526079620951,14.9674943635028,17.5248562144338,16.4701291596748,15.8957332151688,14.5198366894255,13.6696510256742,15.8985183296813,12.8505959263299,12.8241040264673,-145.267550162616,-93.2859712669503,-82.7991785267528,-71.9438018786746,-61.1745741511965,-52.1353848220425,-40.494203958859,-31.5189552222626,-21.2205942367622,-10.9221715250541,-1.25526881025327,6.13249817183395,7.66544169329057,7.72449840709078,7.62731901037671,7.60325180324729,7.80759497607942,7.88407872362084,7.82643862364634,7.24306466054478,6.67476049747147,6.58481442819446,6.34483826506129,6.42036377586516,6.76279885194106,6.79378064726842,6.77308214959858,6.85782977272736,6.88114640755675,6.73062942650011,6.52047455489693,6.58307749627567,6.47520914544429],"PASP-FDS^FG_PRICE(0)":1069.0,"CPALM-FDS^FG_PRICE_CHANGE(0,-6AM)":-3.697144122205,"FC0000ZA^FG_PRICE(0)":379.59973,"FC0000MY^FG_PRICE(0)":274.3716,"UAE^FG_PRICE(0)":14.83,"EWW^FG_PRICE_MAVG(0,,,,60)":54.705833,"UAE^FG_TOTAL_RETURNC(0,-3AM)":7.776165,"MCHI^PERCENT_CHANGE(FMA_EPS(+1,0,,,,\"PORTAGG\",\"MEAN\"),FMA_EPS(+1,-3AM,,,,\"PORTAGG\",\"MEAN\"))":5.4915135570263,"EWZ^FMA_PCT_ABOVE_MAVG(200,0,,,,\"PORTAGG\")":41.5094339622642,"EWT^FG_TOTAL_RETURNC(0,-12AM)":33.933033,"EPHE^P_PRICE(0)/P_PRICE_HIGH_PR(0,,,,,,\"PRICE\",\"INTRA\",\"52W\")":0.95699996,"SPY^FG_TOTAL_RETURNC(0,-3AM)":2.9537082,"EWJ^PERCENT_CHANGE(FMA_EPS(+1,0,,,,\"PORTAGG\",\"MEAN\"),FMA_EPS(+1,-3AM,,,,\"PORTAGG\",\"MEAN\"))":8.14604040250023,"TUR^FMA_COS_UP(\"EPS\",\"1M\",+1,NOW,,,\"PORTAGG\",\"MEANR\")":20.0,"EPOL^SIZE(FG_CONSTITUENTS)":35,"QAT^FMA_RBICS_REV_CURRENT(30, LOC, \"PORTAGG\")":61.3564863000863,"TRYVN10Y-FDS^FG_YIELD_NAME":"Treasury - Vietnam Benchmark Bond 10Y","REFQALEND-FDS^PROPER_NAME(0,,,\"SECURITY\",\"NAME\")":"Qatar Lending Rate - Overnight","REFMXTON-FDS^(SUBARRAY(NOT_NA(NO_REPEAT_F(FG_YIELD(NOW,-10AY,D))),0,1)-SUBARRAY(NOT_NA(NO_REPEAT_F(FG_YIELD(NOW,-10AY,D))),1,1))*100":-25.0,"TRYQA10Y-FDS^PCTCHG(FG_YIELD(0,,,,\"YTM\"),FG_YIELD(-1AM,,,,\"YTM\"))":null,"TRYAE10Y-FDS^FG_YIELD_NAME":"Treasury - United Arab Emirates USD Benchmark Bond 10Y","TUR^FG_FCF_YIELD_NTM(0)":null,"GREK^FMA_PE(LTM,0,,,\"PORTAGG\",\"MEANR\")":7.10003008184096,"EWY^FMA_DIV_YLD(NTMA,NOW,NOW,M,\"PORTAGG\",\"MEANR\")":2.36164814844772,"EPOL^JULIAN(FMA_DIV_YLD(NTMA,NOW,NOW,M,\"PORTAGG\",\"MEANR\").DATES)":45565,"TRYTR7Y-FDS^FG_YIELD(0,,,,\"YTM\")":26.018295,"EPHE^FMA_EVAL_EBIT(LTMA,NOW,NOW,M,\"PORTAGG\",\"MEANR\")":12.2111974342539,"KSA^FMA_ROE(NTMA,-20AY,NOW,FY,\"PORTAGG\",\"MEANR\")":[null,null,null,null,null,null,null,null,null,null,null,12.9007124779981,11.3294751772354,11.9967853551854,12.1701096511068,11.2305559865745,10.1469870690871,12.7997878063274,13.778318029977,11.7583310618864],"TRYDE10Y-FDS^FG_YIELD(-10AY,0,Y,,\"YTM\")":[0.5475,0.636,0.22,0.47,0.239,-0.189,-0.575,-0.181,2.534,2.004],"CC_QA^FG_COMPANY_NAME":"Qatar","USDQAR^STD(FG_PRICE_CHANGE(0,-1AY,AM))":0.00761764787174341,"USDZAR^FG_COMPANY_NAME":"South African Rand per U.S. Dollar","USDMYR^FG_PRICE_CHANGE(0,-1AM)":-1.174444,"USDPHP^STD(FG_PRICE_CHANGE(0,-3AY,M))":1.83390831543572,"ECH^FG_TOTAL_RETURNC(-10AY,0,AM)":[-6.70138,2.2810102,-5.836308,-1.9991636,2.3429394,-2.4905682,7.5335503,4.7264934,-8.361971,-4.9957395,-3.3911884,-4.8645735,3.7187815,-4.986,-7.3702755,-4.0515423,7.45672,9.262705,1.2758732,2.4916053,-1.5569508,5.06047,4.0355086,-5.3271236,1.3930559,3.1788826,3.6031365,-5.6830406,9.730017,-1.2180269,11.837233,-5.821389,2.1306515,0.48383474,5.171609,5.8654904,5.665493,-2.365464,-11.770641,23.916077,-2.532345,2.7688265,-0.16608238,-1.9962966,-5.130142,-5.5056453,-3.0881464,-7.446331,1.7095089,1.2458801,-1.6949117,5.3263426,3.3685207,-4.5622406,1.5934467,-7.9991045,-2.5328815,2.8328657,-7.3798895,-1.6844928,3.0459642,-11.559778,-2.5962353,5.929506,-9.507251,-15.6630335,-8.3175125,4.8053026,10.434782,-3.4858584,-1.85256,-4.853612,-2.6720643,13.935101,5.622494,12.87148,-1.493001,6.0937524,3.1811476,-5.9377613,-9.658843,-4.919714,-2.120012,1.762116,-11.363638,10.663414,-6.951088,-3.6527514,11.567795,1.6331196,6.1285496,-12.253517,15.614891,-14.584839,14.370239,4.951954,-13.8028145,12.418306,-1.1991262,2.1584034,8.124077,-1.5027344,-4.4036093,8.451212,1.8999338,2.320826,-0.1667738,-11.66054,-4.7276855,-2.0246148,10.818481,-3.4412742,-5.8307943,4.977751,6.3222766,1.957941,-0.39118528,-1.5094519,-4.7973213,-2.8906226,6.9589734],"DDR3512M-FDS^FG_PRICE_MAVG(0,,,,30)":0.8824327,"NI-FDS^FG_PRICE(0)/MAX(FG_PRICE(0,-1AY))":0.806110458284371,"BRENT-FDS^FG_PRICE(0)":85.86,"FC0000QA^FG_PRICE(0)":108.19753,"FC0000CL^FG_PRICE(0)":205.58913,"GREK^FG_PRICE_MAVG(0,,,,200)":40.746796,"DUMMY^ECON_EXPR_DATA('FDS_ECON[PMIDMMANHE]',,,M)":47.52011,"CAGDPY@TH^EE_ACTUAL_ANNUAL(MED,+1)":2.6,"CC_TH^FG_COMPANY_NAME":"Thailand","USDAED^FG_PRICE_CHANGE(0,-1AM)":0.0,"USDQAR^STD(FG_PRICE_CHANGE(0,-3AY,M))":0.00998265294793277,"USDZAR^FG_PRICE(0)":17.545,"USDMYR^FG_PRICE_CHANGE(0,-3AM)":-8.7012,"USDPLN^FG_COMPANY_NAME":"Polish Zloty per U.S. Dollar"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CNYA^P_PRICE_RETURNS_PR('52W',2,-10AY,0,AM)":[null,null,null,null,null,null,null,null,null,null,null,null,null,null,null,null,null,null,null,null,null,null,null,null,null,null,null,null,null,null,null,null,null,11.210548,13.36205,17.651045,20.94785,24.313128,20.374453,31.329357,20.373964,29.881882,19.39125,25.174093,14.394784,-2.0138621,-10.123581,-18.523962,-20.460022,-23.534578,-21.710373,-26.39395,-18.884003,-13.109583,-0.09961128,-8.817363,-10.400462,7.187259,4.2523026,19.753933,19.939268,24.780035,23.12901,33.535885,19.803583,15.145755,-6.691223,9.623373,15.610433,31.554771,41.121708,24.988758,37.888824,37.429764,42.685974,48.904514,67.45031,30.430365,45.797432,41.16957,48.953674,19.012619,18.621994,24.057924,15.4129505,7.4292183,11.484933,-5.8683395,-15.45896,-6.134224,-10.234869,-21.38282,-20.532167,-11.769093,-17.78831,-21.134096,-29.70438,-27.521563,-26.851242,-19.144321,-15.098882,-12.994999,-8.131141,1.6426921,-13.346714,-19.552082,-11.605853,-14.119709,-3.6936939,-8.642715,-16.76389,-23.257917,-24.001663,-14.893162,-18.590355,-11.038667,-7.5126705,-10.250783,-14.437509,-10.592455,12.923002],"EPHE^FG_TOTAL_RETURNC(-10AY,0,AM)":[-5.160469,3.5462976,-1.3594806,3.488183,5.546999,0.21897554,4.224336,-4.821801,-6.020558,-0.07983446,0.23591518,-10.3818,7.2366476,-7.455784,-0.8526802,-6.7512217,2.7130604,7.6134324,4.01386,-1.6657472,7.1710944,3.557837,2.7572155,-9.34161,0.19183159,-8.342457,-0.8355677,5.144322,-1.9517779,-1.170963,6.9016695,1.8841743,1.5229821,-4.0613174,-1.3445377,2.8960824,3.1732798,-0.2941966,-0.34870505,6.6122293,-7.5543222,-0.27329326,-5.6727943,-2.0336926,-2.6097298,-7.4293017,8.09114,-4.613507,-9.417033,2.2277236,7.713592,12.180149,0.14321804,-4.4336376,5.237949,-4.9772444,4.6393275,3.2843351,-5.7445645,1.5680552,-1.8351316,5.84569,-4.793942,0.76885223,-4.6212316,-13.922113,-15.85322,4.6147227,16.34966,-4.195404,-3.4696817,0.22701025,0.98149776,19.439257,2.3474216,2.241242,-4.226619,-5.070424,-2.571714,-1.8612504,9.741211,-5.204052,-3.9546132,6.845033,1.0731697,6.435013,-1.8440187,-3.928882,4.247105,-6.1728477,0.42763948,-6.3216505,-3.5627186,-5.906093,3.66472,-1.7299771,-14.619213,12.191844,5.353582,6.3702345,2.005732,-7.514042,0.7213354,1.4323354,-3.6050797,-0.35114288,0.27407408,-3.865677,0.97482204,-0.76428056,2.5537014,3.9693475,5.25105,1.0925055,-5.1873207,-3.4954429,-3.0314982,2.2116542,3.7500024,9.483099,1.9169331],"EWY^FMA_PE(NTMA,-10AY,0,AM,\"PORTAGG\",\"MEANR\")":[9.41503901520073,9.82638030849437,9.74248636245465,9.48865585416202,9.72368374245743,9.79429551713415,10.0978816592371,9.9408106650886,9.51222182290223,9.41384326037621,9.52821142819636,9.52239217179004,10.0374445020696,10.2222105971187,9.91201077887293,9.84493007804424,10.2812893412181,10.5288289581602,10.3878479963116,10.1051656785314,10.1963562146098,9.82512038208472,10.0719226489657,10.1661879927761,10.0035503653534,9.83267814533709,9.93466742584193,9.6917606197148,9.46083849074821,9.49718274436653,9.21723546269852,9.37812463434468,9.62758066673185,9.41533609380383,9.17093179552655,9.03052302415224,9.35302778305068,9.40587044266173,9.11105245226827,9.21175037762583,8.69462430094741,9.03940485264859,8.8993957317078,8.84306642123857,8.8906727849606,8.33050113177625,8.2221451667098,8.20739331145331,8.10862021239323,7.92349918625952,7.93922425062401,8.69871615043039,10.0657981442218,10.1171833968751,11.2217295688897,10.7895487475045,10.9408184872225,11.115639420747,10.5246323658389,10.9306379681539,10.7807473714492,11.4379336603759,11.0272108688466,11.4149153744738,11.3063702228192,9.97394973272756,10.2100474892561,11.5818575624789,13.0612745482133,12.5771086713327,13.4051440393633,12.8596373995842,12.454135071087,12.1561113466553,13.3325771263294,14.8093929388689,13.9184894816389,13.0409060457734,13.0264011689075,11.5175816971213,11.1714422053506,10.907548590243,10.5947949305698,10.2449862361677,9.81807874324383,9.87929980247694,10.3292554349704,9.88559082587329,9.48742431593026,9.2556436361385,9.15764021742572,8.59170093172509,8.72816803446061,8.27726737626453,8.73926566291941,8.51729174169495,8.6665931065165,10.3753958267745,10.7852613966048,11.1551424547766,12.7534576508053,12.677170255838,13.8572632289896,13.1858856354186,13.0303151963015,11.6970367728719,11.6011529494364,11.1914017794962,10.1698211982598,10.0028401623649,10.1313206623695,9.87886979608631,10.4935011701875,10.5721842231677,10.3735063792423,9.9178922753847,9.57040388635206,9.72360776815572,8.39743423167247,7.96270795513158,8.2788123176955],"DDR3512M-FDS^FG_PRICE_CHANGE(0,-1AM)":-1.11606975156329,"BRENT-FDS^FG_PRICE_MAVG(0,,,,30)":85.86,"INDA^FG_PRICE(0)":57.1,"EPHE^FG_PRICE_MAVG(0,,,,200)":26.425055,"KSA^FG_TOTAL_RETURNC(0,-3AM)":1.6609669,"SET-BKK^PERCENT_CHANGE(FMA_EPS(+1,0,,,,\"PORTAGG\",\"MEAN\"),FMA_EPS(+1,-3AM,,,,\"PORTAGG\",\"MEAN\"))":-5.10377266876755,"GREK^PERCENT_CHANGE(FMA_EPS(+1,0,,,,\"PORTAGG\",\"MEAN\"),FMA_EPS(+1,-1AM,,,,\"PORTAGG\",\"MEAN\"))":1.8151835675617,"EWY^FG_TOTAL_RETURNC(0,-12AM)":10.958147,"EPU^P_PRICE(0)/P_PRICE_HIGH_PR(0,,,,,,\"PRICE\",\"INTRA\",\"52W\")":0.9657549,"ECH^FG_TOTAL_RETURNC(0,-6AM)":-1.0898292,"EWJ^P_PRICE(0)/P_PRICE_LOW_PR(0,,,,,,\"PRICE\",\"INTRA\",\"52W\")-1":0.23951054,"URTH^FMA_COS_DOWN(\"EPS\",\"1M\",+1,NOW,,,\"PORTAGG\",\"MEANR\")":565.0,"EWZ^SIZE(FG_CONSTITUENTS)":55,"TUR^FG_ROE(0)":15.6792706108665,"TRYCN10Y-FDS^FG_YIELD_NAME":"Treasury - China Benchmark Bond 10Y","REFMXTON-FDS^FG_YIELD(NOW,,,0)":10.5,"REFIDRREPO-FDS^PROPER_NAME(0,,,\"SECURITY\",\"NAME\")":"Indonesia BI (Reverse) Repo Rate - 7 Day","TRYPE10Y-FDS^PCTCHG(FG_YIELD(0,,,,\"YTM\"),FG_YIELD(-1AM,,,,\"YTM\"))":-0.8796274,"TRYMX10Y-FDS^FG_YIELD(0,,,,\"YTM\")":9.6914,"CC_AE^IMF_IFS_RCPI_Q(0)":null,"KSA^FMA_PE(LTM,0,,,\"PORTAGG\",\"MEANR\")":20.320584713837,"MCHI^FMA_EVAL_EBIT(LTMA,NOW,NOW,M,\"PORTAGG\",\"MEANR\")":15.4249105482282,"GREK^JULIAN(FMA_DIV_YLD(NTMA,NOW,NOW,M,\"PORTAGG\",\"MEANR\").DATES)":45565,"EWM^FG_FCF_YIELD_NTM(0)":6.02980983952051,"ECH^FMA_PE(NTMA,0,,,\"PORTAGG\",\"MEANR\")":9.37887020616838,"INDA^FG_COMPANY_NAME":"iShares MSCI India ETF","EIDO^FMA_ROE(NTMA,-20AY,NOW,FY,\"PORTAGG\",\"MEANR\")":[null,null,null,null,null,null,18.9279585586526,18.0738292901709,16.8092892463225,19.1020740705792,18.4086750507428,15.6625909554988,15.054606398618,15.7733994434049,15.5352440090718,14.4300103252465,11.4814604214712,13.6928560106621,15.6524440673878,14.02340332534],"CAGDPY@MY^EE_ACTUAL_ANNUAL(MED,+1)":2.35,"USDSAR^FG_PRICE_CHANGE(0,-6AM)":0.101304054,"USDAED^FG_PRICE_CHANGE(0,-1AY)":-0.004082918,"USDINR^FG_PRICE_CHANGE(0,-3AM)":0.5334616,"USDMXN^STD(FG_PRICE_CHANGE(0,-1AY,AM))":4.2028111623448,"USDCLP^FG_PRICE_CHANGE(0,-6AM)":-2.451396,"UAE^P_PRICE_RETURNS_PR('52W',2,-10AY,0,AM)":[null,null,null,null,null,null,null,-17.869299,-11.805558,-8.691573,-9.036482,-22.764915,-19.785463,-24.905443,-22.652065,-19.311888,-19.096142,-9.312558,-11.261135,-16.563679,-16.985231,-10.244102,-11.803174,0.5931735,-5.9162197,2.1838188,19.116138,23.235012,23.046135,5.1663756,5.983472,7.058549,7.4510455,5.063939,5.541885,7.2674513,11.82295,10.565126,1.5725851,4.650867,1.5177727,3.8503408,0.5256057,-3.2750905,-1.1279285,-3.5823762,-6.4466476,-8.69087,-11.502087,-5.9945526,-13.590515,-15.73965,-13.75773,-10.628027,-5.784589,-4.7405424,-11.959351,-6.9937468,-7.733017,-4.998541,-3.567326,-6.0552,2.352798,-5.037409,-4.4616404,-20.962603,-30.465872,-29.884153,-20.205194,-23.089386,-20.565636,-19.283121,-17.991215,-18.244202,-5.4550886,1.8040776,7.3355675,30.344654,40.415085,46.53791,46.249306,45.03589,42.52038,45.502792,40.825653,53.079033,48.08656,36.05294,35.27547,43.983505,50.957443,38.08048,17.319632,14.4849415,21.250893,5.5259466,7.680452,4.8187017,-8.816683,-5.460864,-8.380217,-18.68341,-23.765236,-14.261174,-8.974338,-1.0835052,-6.579542,-0.51243305,-0.04224181,-5.086899,-2.8187275,3.940189,0.42660236,1.5624642,7.658243,-0.8388221,-1.743418,-2.2732258,-1.123929,5.8047533,4.7572136],"EIDO^FG_TOTAL_RETURNC(-10AY,0,AM)":[-9.232402,3.6632895,1.8045068,-1.3729095,1.8024802,-2.2500932,5.132079,-7.7530503,-6.8871617,-0.7574141,-4.1382313,-16.466396,17.314863,-8.17439,-0.6429255,0.43936968,11.022842,3.4883618,1.1235952,-3.2905996,1.237297,8.227944,8.397877,-6.694251,6.126559,-7.1021676,0.32707453,0.39612055,1.7472625,-1.5974522,6.047082,1.9135118,0.11265278,1.7175436,-1.2691319,1.9281626,-0.6676495,0.0746727,1.0820985,6.317675,-0.695169,-0.38502216,-2.5298655,-8.183134,0.15704632,-6.0329914,1.997447,-7.874995,-4.794216,9.168649,6.048739,9.64756,0.86239576,-6.840152,5.2274585,-7.8877506,5.59901,4.8428535,-5.519855,2.721095,-6.6614747,4.9248815,-0.27843714,4.177606,-5.8688107,-15.851677,-25.52058,6.6319823,16.768288,0.2557397,0.31561852,-8.86209,5.638671,18.409586,7.635689,5.5652857,-2.6508927,-4.10558,-5.3298354,0.69220066,3.2637,-9.200531,-0.44269562,5.583012,9.358919,1.7543912,-1.219517,-0.1508236,2.318585,2.559805,1.432085,-4.1549025,-0.7235944,-6.1908903,9.990835,1.5416741,-4.9651265,2.6338577,-5.427015,-2.4053037,7.7348113,-5.5128155,6.2415123,3.1502724,-1.1704087,-2.4296641,0.9174347,-1.6450286,-3.6091566,-4.2465744,3.4811735,3.6886573,0.40322542,2.1419048,-5.024028,-5.7957706,-2.9296875,5.078161,1.4866114,7.6171994,-1.7695129],"EPU^FMA_DIV_YLD(NTMA,-10AY,0,AM,\"PORTAGG\",\"MEANR\")":[2.31047678183396,2.30196237420123,2.01614758585431,2.16684507285022,2.21687873660009,2.36654077937291,2.37817416127278,1.92535442753475,1.95969377247337,1.96401313955226,2.10777560963434,2.34446106354555,2.33365869323427,2.36432258689355,2.5842189001789,2.73933495732906,2.59311230323959,2.15195140293871,2.16807982519392,1.74195853769633,1.79724982361217,1.86436487083314,1.61562309073968,1.51368070937824,1.5841894271138,1.82989636092862,2.09734663117796,2.19197199276251,1.94735355247382,2.21356124480233,2.03173689310349,2.0159528091647,2.23360379311499,2.31462709797758,2.34239431325531,2.10896157862283,2.24291773102689,2.55715722281466,2.88221252118145,2.62910573759486,2.69199519251079,2.32541775817036,2.09049973861498,1.83218644513849,1.8312339083637,2.05972755542178,4.3480985628079996,2.55188054881554,2.35230375519473,2.5598790905326,2.37613164690597,2.31722863261282,2.08491107314047,2.29495000693996,2.20774486474329,2.59696276013865,2.69471550654902,2.7269071779889,2.97239369643098,2.93240630248808,3.12669733585324,2.92698377863691,2.86973507287277,2.62102848762855,3.01077024624073,3.5175589656847,4.39639362875628,3.23198395580284,3.02782557503624,3.10347884249767,2.67736569107553,2.59048787763501,2.58932682924317,2.33175381065588,1.77450756712857,1.59718718495713,1.69272304068223,1.88421378957385,2.08968265612504,2.24043847074741,2.67752119823591,2.8324301694981,3.41589104941972,3.5732382567149,3.54405865977799,3.69524357422684,4.21185428848214,3.94152103459525,3.41785714313907,3.39481693180775,3.76344247289636,4.73346595586566,4.69549411983354,5.19331106689077,4.99124374636636,4.92411724358747,5.02122493151782,3.93465926664957,3.76670758963,3.69044473358724,4.09346539070512,4.70047498322559,4.87883592823793,4.79387379497026,5.04460369536801,4.78754586672807,4.33765723514459,4.87044325959823,5.08007332158606,4.76173952185155,4.0053016786651,3.58287089211489,3.58289034018422,3.55854833247712,3.30913716853387,3.4859430625837,4.01658377955078,3.93422423295267,4.30798282956447,4.0332231968578,3.73721079889076],"EZA^FMA_PE(LTMA,-10AY,0,AM,\"PORTAGG\",\"MEANR\")":[15.7345548524174,16.7536494546527,16.1376485373171,17.0447958139727,18.2503611045698,18.3646803859788,18.585928897326,18.4097314449262,17.9856771690236,17.8890221844046,17.7302463109501,16.9024577808961,17.7631015243582,17.5676789512076,15.8456129086307,15.4541872113801,15.5004308628469,15.9128166711568,15.9457121181905,15.7345979177233,15.9263323039028,15.7845103460529,16.6874593569243,16.7200311737585,16.7025115774438,16.4773086166336,16.6368068790883,17.2917502918101,17.9702419338284,18.4165409853763,18.2122256978532,18.3331027655234,17.7664399445468,17.5274971913426,18.1051165985576,17.760203659888,18.0691062953079,18.4112005601911,17.6702091885923,18.4840380270925,17.2447098891868,18.1005099085616,17.886729301114,17.6766766547689,17.2200980947368,16.9336558617417,16.4498378863881,15.8975319226721,14.7177419491915,14.8279567206638,14.362016878222,15.1445258713525,14.9992381055097,15.3245389814721,15.3576566564039,15.1689184922687,15.0576221903248,14.8496505441002,14.2483215635577,14.0716070533415,13.562830476232,13.7061710877209,13.7623859910931,14.5107502215556,14.059569239838,12.4719020366536,12.1086925949731,12.4992959416186,12.8321097218664,13.2931357617643,13.386721466131,13.67005313054,13.2650481479168,13.9189761292881,13.5808079562729,14.0825337947221,14.5035292742669,13.5996402927295,13.1681171557839,12.7360937998105,12.4633896050851,11.8887111864087,11.6190009194096,10.7958634069403,10.8992847053728,10.6723919058655,10.3291661251373,10.4867274737163,11.0667059313598,11.1639262929617,11.0069645872991,10.48742206455,10.2444577600038,10.3571800763846,10.3475397924681,10.0105823239891,9.52073553992043,10.1568059613267,10.2939592257986,10.7733472990236,10.5410467354174,10.2458200258694,10.2099386129461,10.1521968391159,10.1221680005208,10.2175882859611,10.7005811117972,10.6369428884862,10.7086592905106,10.6666016921365,11.0228577712199,11.0295941357293,10.9208791567936,10.7124809531774,10.6723638398674,10.7126612568996,10.4406141944982,10.8272159335114,10.9498282905218,11.3600953283912,12.0400267783903],"NI-FDS^MAX(FG_PRICE(0,-5AY))":48241.0,"CPALM-FDS^FG_PRICE_CHANGE(0,-3AM)":8.80440220110055,"TUR^FG_PRICE_MAVG(0,,,,60)":37.959835,"EWW^FG_PRICE_MAVG(0,,,,30)":53.716667,"EPHE^FG_PRICE_MAVG(0,,,,60)":27.355417,"UAE^FG_TOTAL_RETURNC(0,-1AM)":-1.9828141,"MCHI^PERCENT_CHANGE(FMA_EPS(+1,0,,,,\"PORTAGG\",\"MEAN\"),FMA_EPS(+1,-1AM,,,,\"PORTAGG\",\"MEAN\"))":3.17766200743776,"EWT^P_PRICE(0)/P_PRICE_LOW_PR(0,,,,,,\"PRICE\",\"INTRA\",\"52W\")-1":0.2923442,"EPHE^FG_TOTAL_RETURNC(0,-6AM)":10.728765,"EWJ^P_PRICE(0)/P_PRICE_HIGH_PR(0,,,,,,\"PRICE\",\"INTRA\",\"52W\")":0.9680503,"EWJ^PERCENT_CHANGE(FMA_EPS(+1,0,,,,\"PORTAGG\",\"MEAN\"),FMA_EPS(+1,-1AM,,,,\"PORTAGG\",\"MEAN\"))":-3.56054516221228,"SET-BKK^SIZE(FG_CONSTITUENTS)":1,"EPOL^FMA_COS_DOWN(\"EPS\",\"1M\",+1,NOW,,,\"PORTAGG\",\"MEANR\")":10.0,"MCHI^FMA_RBICS_REV_CURRENT(30, LOC, \"PORTAGG\")":24.3151658986367,"REFCNRMB-FDS^(SUBARRAY(NOT_NA(NO_REPEAT_F(FG_YIELD(NOW,-10AY,D))),0,1)-SUBARRAY(NOT_NA(NO_REPEAT_F(FG_YIELD(NOW,-10AY,D))),1,1))*100":-10.0,"REFMXTON-FDS^PROPER_NAME(0,,,\"SECURITY\",\"NAME\")":"Mexico Target Rate - Overnight","TRYCN10Y-FDS^PCTCHG(FG_YIELD(0,,,,\"YTM\"),FG_YIELD(-1AM,,,,\"YTM\"))":1.7516698,"TRYMX10Y-FDS^FG_YIELD_NAME":"Treasury - Mexico Benchmark Bond 10Y","VWO^FMA_EVAL_EBIT(LTMA,NOW,NOW,M,\"PORTAGG\",\"MEANR\")":14.5160233239417,"TUR^FMA_DIV_YLD(NTMA,NOW,NOW,M,\"PORTAGG\",\"MEANR\")":4.73025616050061,"EWY^FMA_PE(NTMA,0,,,\"PORTAGG\",\"MEANR\")":8.2788123176955,"TRYPH10Y-FDS^FG_YIELD(-10AY,0,Y,,\"YTM\")":[3.8633,4.1,4.6281,5.6986,7.1730304,4.847582,3.4208684,4.796723,6.9293385,6.0028777],"CAGDPY@TH^EE_ACTUAL_ANNUAL(MED,0)":1.24003730608342,"USDAED^FG_PRICE(0)":3.6729,"ECH^JULIAN(P_PRICE_RETURNS_PR('52W',2,-10AY,0,AM).DATES)":[41922,41953,41983,42013,42045,42073,42104,42132,42165,42195,42226,42257,42286,42318,42348,42377,42410,42439,42468,42500,42531,42559,42592,42622,42653,42684,42713,42745,42776,42804,42835,42865,42895,42926,42957,42986,43018,43049,43077,43110,43140,43168,43200,43230,43259,43291,43322,43353,43383,43413,43444,43475,43504,43532,43565,43595,43626,43656,43686,43718,43748,43777,43809,43840,43871,43900,43930,43959,43992,44022,44053,44084,44113,44145,44175,44204,44237,44265,44295,44326,44357,44386,44418,44449,44477,44510,44540,44571,44602,44630,44659,44691,44722,44750,44783,44813,44844,44875,44904,44936,44967,44995,45026,45056,45086,45117,45148,45177,45209,45240,45268,45301,45331,45359,45392,45422,45453,45483,45513,45545,45575],"EWT^FMA_PE(NTMA,-10AY,0,AM,\"PORTAGG\",\"MEANR\")":[13.0549382596566,13.1425408420118,12.8735142202349,12.880226157621,12.5582435629545,12.6314275676287,12.63127967121,12.8026516596894,12.5021363043711,11.9571683275591,11.7599273554498,11.6181441701089,11.9920590101648,12.146837437406,11.6591336858941,11.1682206286609,11.7674242440728,12.5910479549021,12.5215728207555,11.9770701515907,13.1935139651877,13.0669259055131,13.8752031441829,13.6180953215695,13.7213048513604,13.2327171183972,13.2603256935599,13.0145486541356,13.1259743259598,12.8858113550724,13.112646763008,13.317143581096,13.6157280120263,13.7725473729733,13.8386902818863,13.9274134836079,13.4736508432141,13.7748488869142,13.0993856695015,13.3925505170019,12.9131056418128,13.5121889481386,13.4794398373423,13.3945923086555,13.7702781625516,13.2280375660518,13.5450140796288,12.9879256640104,12.6114368826421,12.2221251370238,12.1347409113454,12.7252565855978,13.5442639121823,14.0593341164726,15.0400296846572,14.9186225893336,14.6334022894491,15.0606003863886,14.539500514497,15.0234275074754,15.1024643808248,15.8680754125186,15.385461928282,15.5596155302667,14.9117329365597,14.1755968073384,14.0582080192653,15.2623770007077,16.5303324813727,16.8625067528919,17.0726399514944,15.6297487491009,15.4346280551017,15.038649384572,15.6837299687508,16.6523567132018,15.8371412815707,15.2616733535074,15.2566869044396,14.3142695592194,13.8079437828569,13.7583733666125,13.1935096661684,13.2687484141942,12.6048162857767,13.1681100021857,13.3909895756405,13.5881666848737,13.0540354123076,12.3379010527153,12.0705132219729,11.2355925582651,11.5437751423183,10.1598641997809,10.7924250124225,10.7792927498889,10.5616315051577,11.318769138314,12.8217509618808,13.3501918822192,14.4210317528666,14.4740142488323,15.0661508600989,15.1974748047983,16.3622705795035,15.9174808733085,16.1620733439989,15.5916685971503,15.3430698479795,15.2754536016237,15.7255303591365,15.7229608735493,16.0267220779914,17.2914793188446,17.709149490818,17.5345229811331,17.6035107626802,18.8492231731739,16.1169466561804,15.3604500459505,16.0871035002959],"TRYID10Y-FDS^FG_YIELD(-10AY,0,Y,,\"YTM\")":[7.922017,8.942368,7.89735,6.462641,8.148183,7.263584,5.902206,6.458283,6.936579,6.498571],"CAGDPY@GR^EE_ACTUAL_ANNUAL(MED,0)":-6.34148822144955,"CAGDPY@ID^EE_ACTUAL_ANNUAL(MED,+1)":-0.7,"USDVND^FG_PRICE_CHANGE(0,-3AM)":-2.252388,"USDCNH^STD(FG_PRICE_CHANGE(0,-1AY,AM))":0.795573021344477,"USDTWD^FG_PRICE_CHANGE(0,-6AM)":0.5779505,"USDIDR^STD(FG_PRICE_CHANGE(0,-3AY,M))":1.79377015211473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955176462,16.388226203585,16.0082662014755,16.7038107598889,16.249616110621],"EWY^P_PRICE_RETURNS_PR('52W',2,-10AY,0,AM)":[-9.717494,-6.6544056,-10.543102,-6.223851,-4.3777466,-8.095158,-4.8650146,-3.2666981,-13.318241,-15.984964,-21.41611,-23.140753,-6.212425,-7.454091,-8.76978,-13.91285,-13.743299499999999,-7.684189,-10.347909,-12.954437,-5.800647,2.4896264,15.889859,20.352709,11.595321,3.3453465,11.782467,17.97335,25.315523,19.156765,17.084621,28.873766,30.577099,30.013811,16.301954,16.84053,23.590672,41.80037,36.042274,44.43177,25.15608,36.623096,29.253197,18.941284,10.799181,2.421844,1.2658834,-0.6061733,-10.127031,-18.131239,-18.36239,-20.526165,-7.852137,-16.933506,-13.857275,-21.958685,-20.705956,-13.483011,-20.413982,-12.306822,-6.851268,2.0202518,-0.038146973,6.92693,-0.52173734,-7.881975,-20.65835,-10.980988,6.6829205,4.346907,27.837599,15.920186,23.88525,19.65884,45.681335,57.975685,53.523792,58.694458,88.02092,81.60472,55.611538,54.554413,37.491753,32.044792,16.015255,9.449625,-2.0046413,-18.975544,-19.079082,-19.234585,-23.280876,-29.622662,-30.41864,-33.488834,-29.328543,-31.789333,-36.180122,-23.268366,-26.586788,-18.652344,-14.138979,-14.191002,-10.024029,-3.9019287,4.165399,9.7374325,4.94411,14.376807,21.66531,4.525447,9.17083,2.7327776,4.169965,14.890039,6.1166167,9.035468,-1.2316287,11.672878,-0.6728649,1.7687082,10.958147],"QAT^FMA_DIV_YLD(NTMA,-10AY,0,AM,\"PORTAGG\",\"MEANR\")":[4.01053174278482,4.0152763908072,4.47572531164664,4.55040993154113,4.09755269091287,4.23475316240485,4.55413679837011,4.45303081364915,4.70424532614437,4.6993689272917,4.80337264767067,4.75866587554173,4.84361952501542,5.05787389614091,5.64814540838438,5.69894351717817,5.51394815217545,4.42670509764001,4.31621268089701,4.40166574192761,4.21618513652082,4.23960013114099,3.79154401214842,3.84992556629768,3.95406751996261,4.07805165630622,4.11551438719043,3.74539726380666,3.78851159798399,3.88880610253161,3.87025862803267,3.97853197539968,4.37462971522358,4.44703689759057,4.17476569641621,4.59634446737275,4.68177170513281,4.63689409946203,4.74911264293867,4.0588947228822,4.51337340837365,5.15173086590638,4.73484863717309,4.89018970854141,4.73113115009891,4.67880626766302,4.33910437308752,4.20755696445304,4.29052351228806,4.32504290212863,4.35137331136885,4.40300946393148,4.39719725766311,4.70590701674652,4.34840618942938,4.34657664366336,4.13404065648406,4.14405381203136,4.38067564449734,4.16273036974587,4.19211326150008,4.09624224890771,4.06738245740681,4.02567416496764,4.31673549548907,4.77920275748261,4.29118243727079,4.2562943968052,3.97364118343247,3.83501099529653,3.69323274737663,3.57725783308752,3.46472303666294,3.69864533742968,3.62097306961228,3.7727887165778,3.75817391934101,3.87714037007713,3.78506048884883,3.74248171747662,3.84464572737261,3.78345550616999,3.91598519355772,4.08314559555101,3.85832962271769,3.7587277638437,3.96425119586128,3.94007277760495,3.7792121337168,3.67525992084776,3.66637001152296,3.88186230677225,4.25258680661316,4.36625111332542,3.81391083527298,3.98725199873571,3.9503611891224,4.003230727106,4.47287311638234,4.50430769510555,4.73204176835953,4.6945841776603,4.84642606012474,4.68350980233482,4.68118123619296,4.7783431442233,4.50727985341458,4.71781761597071,4.90281352281251,4.91295350152358,5.00132882903537,4.77655312900697,4.88572915931723,4.80355283616031,5.65398372960292,5.80132855074911,5.7936635223492,5.45348956532593,5.54338734041026,5.47885317752032,5.40670749307367],"CNYA^FMA_PE(NTMA,-10AY,0,AM,\"PORTAGG\",\"MEANR\")":[null,null,null,null,null,null,null,null,null,null,null,null,null,null,null,null,null,null,null,null,null,13.5904341010651,13.61163681084,13.9614366192349,13.6637489973113,13.9226589129233,14.077812651666,13.2536590530792,13.1438069035952,13.1598145373475,13.5535091964615,13.0044021407117,14.0065740728599,14.0975774033618,13.9191206072995,14.3561224409546,14.3615591664816,14.8170124960107,13.8146790587916,14.2923588380727,12.7366006564586,13.4586478616494,12.7908332889248,11.9686203674899,11.7195480958429,10.6644032074457,10.2454370020658,9.94857317269391,10.0503120818354,9.77769415651691,9.80614466164795,9.61906171698485,10.2145521305833,11.2410625595516,12.3304708667216,11.2189854612145,11.2159206554229,11.5801013168903,11.0060162491688,12.0463293978195,11.6547740638764,11.8159066082689,12.2316336806363,12.9231978802213,12.2697017214511,12.8400690876235,12.2436042137779,13.3145347584891,13.8332068736687,16.2828625533441,16.0294876744191,15.7134346799058,15.9494993344234,16.3543673174854,16.3757577591441,18.2497749380948,19.0225810491091,16.0091123496657,16.0545324604648,15.7118735996313,16.7948641315213,16.1123437037311,15.7466705710716,15.8147465786971,15.3135465740331,15.0987050465102,15.8632754509202,14.8650951897162,13.919422536767,12.9698232137085,12.8030836847709,12.23861450844,13.1387597075619,13.5757413520101,12.6081776636174,12.6142394771869,11.3314000022456,11.5435566577459,12.3452348695811,12.2008967358887,12.406350945797,11.8798699786432,12.3803739417348,12.1691654250907,11.8270930913118,11.7702866500034,12.1734351763285,11.8743192597495,11.5074458787361,11.6501723868491,11.3080648891142,10.786150293005,11.0709808537331,11.6144231789002,12.0579265309106,12.9668715627909,12.4646599253949,11.8383166433739,11.3576691219431,11.1239848928331,13.9100777580498],"EIDO^FMA_PE(LTMA,-10AY,0,AM,\"PORTAGG\",\"MEANR\")":[15.4827939502074,15.4866802926051,16.5227982719622,16.8532648135505,17.4170635324541,17.9630614809568,17.8955088096998,17.4869344364231,17.0121246644447,16.8339094559741,16.8072386033559,15.7787554788839,16.5441921809857,15.9573242921609,15.8874761500704,16.0187152169132,16.7032317643503,16.8052226463756,16.7021413887767,16.3968355597657,16.5200196835604,16.8359546627514,18.0583452885548,17.5972505244895,18.0492280030731,18.1095572444084,17.7200630288475,17.95298544413,17.5965285651598,17.459468408455,17.4280488380163,17.4050548382111,17.1927515232499,17.2565702375539,17.3046485475119,17.2173305634787,17.3303385191427,17.2311807824082,17.0778110555459,18.1015866705633,17.628562054457,17.5534322103645,17.341016577222,16.6866113238732,16.3271650411386,15.7641011384356,16.1974836355422,15.4472927129653,15.3221235229846,15.2717421842018,15.5530297702068,16.0896771367062,16.3643310514202,15.860835182017,15.756492596796,15.3394758398587,15.4816253490557,15.6724500689273,15.8708865971577,16.0583535463194,15.4109968453435,16.0620408007096,16.3377889891097,17.1866257321229,16.745254016082,14.8954376210161,14.3071305599318,14.3841162467721,16.0884094419654,17.0921860441994,17.8887507050998,17.9073184552204,19.0302614981012,21.7977104300914,24.6262285977269,25.6420765690538,24.5040899145107,23.8754709581966,23.0956354700029,22.3250181841957,21.8387943372144,20.5408834286458,19.8884723413223,19.5439569951494,19.3754936515556,18.3490290102197,17.4198720745189,16.8733407038248,17.2636120347817,17.3745557220708,17.1735747047113,16.4345756398586,15.864151776372,15.0771967690472,14.990822239294,14.7215359817747,13.8651438746688,13.4507756531093,12.6306585267371,11.8677430643952,12.4620333617972,12.0070002167364,12.0959561837007,12.1555040906051,13.0208537260427,13.0266473918395,13.4668835599122,13.5286868671179,13.3875692378341,13.1149431256698,13.4418417794735,14.006627101815,14.1641625885035,14.2329781326074,14.0013159325514,13.5833080144429,13.5974325576444,13.5994778201039,13.5915409688853,14.3447086990268,14.2216593979655],"PLATI-FDS^FG_PRICE_CHANGE(0,-1AY)":7.50279955207167,"COPP-FDS^FG_PRICE(0)":4.385,"FC0000AE^FG_PRICE(0)":146.89354,"KSA^FG_PRICE_MAVG(0,,,,30)":42.001335,"QAT^FG_PRICE_MAVG(0,,,,60)":17.709532,"EWM^FG_PRICE(0)":25.95,"VNM^FG_TOTAL_RETURNC(0,-3AM)":0.16026497,"INDA^PERCENT_CHANGE(FMA_EPS(+1,0,,,,\"PORTAGG\",\"MEAN\"),FMA_EPS(+1,-1AM,,,,\"PORTAGG\",\"MEAN\"))":-0.0319410812195241,"EWW^FG_TOTAL_RETURNC(0,-12AM)":-0.77234507,"EPOL^P_PRICE(0)/P_PRICE_HIGH_PR(0,,,,,,\"PRICE\",\"INTRA\",\"52W\")":0.90456116,"EIDO^FG_TOTAL_RETURNC(0,-6AM)":3.0874968,"VWO^FG_TOTAL_RETURNC(0,-6AM)":13.854778,"KSA^FMA_COS_DOWN(\"EPS\",\"1M\",+1,NOW,,,\"PORTAGG\",\"MEANR\")":42.0,"INDA^SIZE(FG_CONSTITUENTS)":153,"ECH^FMA_COS_UP(\"EPS\",\"1M\",+1,NOW,,,\"PORTAGG\",\"MEANR\")":16.0,"EWW^FG_ROE(0)":11.001852852001,"TRYKR10Y-FDS^FG_YIELD_NAME":"South Korea Benchmark Bond - 10 Year","REFZAREPO-FDS^FG_YIELD(NOW,,,0)":8.0,"TRYVN10Y-FDS^PCTCHG(FG_YIELD(0,,,,\"YTM\"),FG_YIELD(-3AM,,,,\"YTM\"))":4.6580205,"TRYBR10Y-FDS^PCTCHG(FG_YIELD(0,,,,\"YTM\"),FG_YIELD(-1AM,,,,\"YTM\"))":4.836586,"TRYIN10Y-FDS^FG_YIELD_NAME":"India Benchmark Bond - 10 Year","CC_KR^IMF_IFS_RCPI_Q(0)":null,"SET-BKK^FMA_PE(LTM,0,,,\"PORTAGG\",\"MEANR\")":17.2059341476174,"EWZ^FMA_EVAL_EBITDA(NTMA,0,,,\"PORTAGG\",\"MEANR\")":4.65176255216064,"EPU^FMA_PE(NTMA,0,,,\"PORTAGG\",\"MEANR\")":11.4993770604732,"EIDO^FG_FCF_YIELD_NTM(0)":null,"EPU^FG_COMPANY_NAME":"iShares MSCI Peru and Global Exposure ETF"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63542594029,16.7115371927188,16.932589581546,16.8118349535848,14.5722752976358],"TRYGR10Y-FDS^FG_YIELD(-10AY,0,Y,,\"YTM\")":[9.61,8.24,7.15,4.14,4.37,1.45,0.618,1.315,4.585,3.099],"TRYZA10Y-FDS^JULIAN(FG_YIELD(-10AY,0,CY,,\"YTM\").DATES)":[42004,42369,42734,43098,43465,43830,44196,44561,44925,45289],"CAGDPY@ID^EE_ACTUAL_ANNUAL(MED,0)":-0.14,"CC_MY^FG_COMPANY_NAME":"Malaysia","USDTRY^FG_COMPANY_NAME":"Turkish New Lira per U.S. Dollar","USDEUR^FG_PRICE_CHANGE(0,-1AM)":0.86972713,"USDKRW^STD(FG_PRICE_CHANGE(0,-3AY,M))":3.07096174020402,"USDPEN^FG_PRICE(0)":3.768,"USDCNH^FG_PRICE_CHANGE(0,-3AM)":-2.707225,"EPU^FMA_EPS(NTMA,-20AY,0,CY,,\"PORTAGG\",\"MEANR\")":[null,null,null,null,null,2.32525395129155,3.70455099626404,3.91000310564685,3.95899801372697,2.82022185033686,2.58004727651874,1.7402921975997,2.8587512141433,3.049394604189,2.65459381565907,2.43807412939472,2.41140994722734,2.94854985296631,3.11609664224018,2.96006697337354],"EZA^FG_TOTAL_RETURNC(-10AY,0,AM)":[-10.099268,7.553208,-6.4722479999999996,5.544615,4.550314,-8.105743,12.0629425,-2.0848095,-7.3435664,0.50860643,-1.662749,-13.335455,9.7736,-8.4171715,-16.788721,-7.5829744,5.0642133,12.476933,5.3106427,-2.2001565,3.802514,3.193748,14.017618,-9.439039,2.0771623,-6.849563,2.984202,2.9214382,3.8132548,0.05375147,-3.3130348,9.0942745,-0.25467277,-4.747015,6.252253,4.5785904,-2.2052824,-2.1057904,4.0819764,13.748371,-4.24549,12.185192,-8.186579,-1.0980964,-8.068103,-1.1562884,-7.344919,-9.748257,-4.708213,7.7018976,-4.1249037,12.881517,-1.3282359,-4.2411923,10.340845,-1.7801046,-4.6197534,4.0705323,-12.864751,5.475998,-2.3562312,4.519427,-4.852277,8.867979,-5.1516414,-15.374506,-21.169775,7.2882533,17.16646,0.47692059999999997,-3.864479,4.4603467,1.0542989,11.032867,3.7115335,4.685521,8.40658,2.4324417,0.9336233,3.5189986,4.645455,-8.448863,-2.1894813,-1.0041833,1.9019485,-2.5922835,-3.236109,6.100917,7.395768,3.2188892,3.7611127,-20.072859,1.796484,-2.8610647,5.278039,-8.236349,-8.975613,15.916395,-0.32362342,8.073509,-5.9695005,-6.047267,3.304565,-2.6736677,1.161325,-3.9467275,5.6497216,-6.587261,0.46838522,0.20719767,1.3698697,0.7834196,-1.7674267,1.5384674,3.0816674,5.9541583,-5.454975,12.078035,-0.4958272,3.0351043,8.353483],"UAE^FMA_PE(NTMA,-10AY,0,AM,\"PORTAGG\",\"MEANR\")":[14.6369126801991,14.2515697070018,12.5351286835929,11.6026497367347,12.703721346584,12.56377394047,12.691366647372,13.8202352583142,13.2201408648984,12.6386191957512,12.6219237303729,11.8920717537709,12.275477505113,10.7592143447282,9.43424454072841,11.2220468853781,10.7875109659054,12.5954185105846,12.3185637717484,12.6683115457498,12.5075656872189,12.7551470695034,12.5554077791002,12.0576207129953,12.6282820424187,11.5020175809337,11.7785506056165,12.2700040798036,12.2668397635151,11.8166183268501,12.1660373378695,11.8996359891073,11.2477127249637,11.141552557661,11.8751427311533,11.4305532367092,11.2867359457952,10.8651960489231,10.747643143359,11.5167987038948,11.2640769597506,11.1967117106629,11.3751664028375,10.5892266596366,11.0649849717152,11.0555246603685,11.142660166472,12.3509787699635,11.8423550719022,12.1149891117176,10.8531606826711,11.0125045506154,11.0228954499121,11.6038510561587,11.7757094475312,11.2955849666067,11.8374474764527,12.3344327073232,12.2894191784438,12.8405794338018,12.844153710731,13.2044289210597,12.7410943030266,13.5364292710033,12.8225664217066,10.7657094340146,11.1516190503077,15.9938425879331,14.7965011565909,16.5276645195681,12.9553552888241,13.2202723846043,12.4023500124278,15.3645927030418,15.7066306439906,15.2330758333541,15.43714161048,14.5930483203092,14.0713279461199,13.8070678918185,15.1808989966623,14.3962027314333,14.4481181764886,14.5703290483271,14.5207209629299,15.3334906266963,16.5029960215007,15.37672313284,16.1319597247898,16.275910926354,16.7827262897814,15.4654172237528,13.9844840095367,12.6129191868058,13.5505446485816,12.736293423138,12.4599612953668,12.6704504888172,11.7489613713641,12.048464655042,12.2738931862839,11.3264315892194,10.9612938234612,11.3071895742994,10.9815718578071,11.2487980182546,11.5613666707712,10.8523063860954,10.7379587211096,10.3067487433349,10.1787344841672,10.7665579302893,10.0622192344478,9.71956147671867,9.50977196203405,8.98260582007613,8.42838066778092,8.67378625584074,8.87728004998823,9.54240154274202,9.45786690683383],"ECH^JULIAN(FMA_DIV_YLD(NTMA,-10AY,0,AM,\"PORTAGG\",\"MEANR\").DATES)":[41922,41953,41983,42013,42045,42073,42104,42132,42165,42195,42226,42257,42286,42318,42348,42377,42410,42439,42468,42500,42531,42559,42592,42622,42653,42684,42713,42745,42776,42804,42835,42865,42895,42926,42957,42986,43018,43049,43077,43110,43140,43168,43200,43230,43259,43291,43322,43353,43383,43413,43444,43475,43504,43532,43565,43595,43626,43656,43686,43718,43748,43777,43809,43840,43871,43900,43930,43959,43992,44022,44053,44084,44113,44145,44175,44204,44237,44265,44295,44326,44357,44386,44418,44449,44477,44510,44540,44571,44602,44630,44659,44691,44722,44750,44783,44813,44844,44875,44904,44936,44967,44995,45026,45056,45086,45117,45148,45177,45209,45240,45268,45301,45331,45359,45392,45422,45453,45483,45513,45545,45573],"WL-FDS^FG_PRICE(0)":566.7,"W-FDS^FG_PRICE_CHANGE(0,-1AM)":8.05369127516777,"FC0000IN^FG_PRICE(0)":1470.4678,"FC0000PH^FG_PRICE(0)":367.92252,"QAT^FG_PRICE_MAVG(0,,,,30)":18.099333,"EWZ^FG_PRICE_MAVG(0,,,,60)":29.1755,"ECH^FG_PRICE(0)":26.59,"TUR^FG_TOTAL_RETURNC(0,-1AM)":-6.751174,"QAT^PERCENT_CHANGE(FMA_EPS(+1,0,,,,\"PORTAGG\",\"MEAN\"),FMA_EPS(+1,-1AM,,,,\"PORTAGG\",\"MEAN\"))":-0.111098115866379,"EWZ^FG_TOTAL_RETURNC(0,-12AM)":-0.32554865,"EWM^P_PRICE(0)/P_PRICE_LOW_PR(0,,,,,,\"PRICE\",\"INTRA\",\"52W\")-1":0.27706695,"EPOL^FG_TOTAL_RETURNC(0,-6AM)":-0.5665064,"CNYA^FG_TOTAL_RETURNC(0,-1AM)":26.61661,"VGK^PERCENT_CHANGE(FMA_EPS(+1,0,,,,\"PORTAGG\",\"MEAN\"),FMA_EPS(+1,-1AM,,,,\"PORTAGG\",\"MEAN\"))":0.0,"KSA^FMA_COS_UP(\"EPS\",\"1M\",+1,NOW,,,\"PORTAGG\",\"MEANR\")":28.0,"EWT^FMA_COS_DOWN(\"EPS\",\"1M\",+1,NOW,,,\"PORTAGG\",\"MEANR\")":15.0,"EPU^FMA_RBICS_REV_CURRENT(30, LOC, \"PORTAGG\")":29.8040222376735,"TRYAE10Y-FDS^FG_YIELD(-10AY,0,Y,,\"YTM\")":[null,null,null,null,null,null,null,null,null,null],"CAGDPY@ZA^EE_ACTUAL_ANNUAL(MED,+1)":-1.8,"CAGDPY@CL^EE_ACTUAL_ANNUAL(MED,+1)":-3.0,"USDVND^FG_PRICE_CHANGE(0,-1AY)":1.8049955,"USDCNH^FG_PRICE_CHANGE(0,-6AM)":-2.2157252,"USDEUR^FG_PRICE_CHANGE(0,-1AY)":-2.979952,"USDTWD^FG_PRICE_CHANGE(0,-3AM)":-1.2483954,"USDIDR^STD(FG_PRICE_CHANGE(0,-1AY,AM))":1.5722895826651,"EWW^P_PRICE_RETURNS_PR('52W',2,-10AY,0,AM)":[4.181969,8.07693,-13.731027,-8.450871,-5.3247213,-6.796491,-5.0339937,-7.838851,-13.416565,-15.388781,-16.119368,-25.816757,-17.266262,-18.467993,-11.946524,-21.328045,-20.198334,-7.6419888,-14.113056,-12.181234,-13.373113,-9.45319,-6.095415,-2.2061348,-4.9166083,-15.497607,-7.4503717,-6.0082674,4.4763446,-4.0786448,3.3366442,2.6163697,6.983423,12.930679,8.579397,11.836803,4.897094,14.319277,11.555445,20.449602,12.024153,12.655508,3.8303018,-4.6685815,-13.980311,-5.7048264,-8.639842,-9.68402,-5.313599,-13.851833,-17.834408,-8.158523,-8.311033,-16.473133,-9.98975,-6.123781,2.0977855,-12.690812,-18.832773,-11.239147,-7.955265,8.811688,12.421501,7.503283,7.0879936,-7.4232635,-37.492073,-28.45344,-21.286238,-25.90233,-16.152382,-21.442837,-14.835,-12.465066,-1.4636219,-0.7001817,-6.126446,16.99879,62.164772,56.300724,47.45221,54.72785,48.30992,54.79033,38.584457,27.804829,14.962935,14.338684,19.062841,15.757799,18.584574,2.4909139,-1.1559069,0.22448301,-0.40674806,-3.6558926,-2.6854157,12.223816,10.661781,11.932921,17.299402,19.949066,15.171528,36.809765,31.685555,40.068604,36.875107,33.052956,27.29881,14.1809225,25.01856,23.02053,22.95822,12.935984,18.481434,11.37122,-6.6550074,-1.4137805,-9.593046,-12.037182,-0.77234507],"MCHI^FMA_DIV_YLD(NTMA,-10AY,0,AM,\"PORTAGG\",\"MEANR\")":[3.76808597581336,3.66055653856922,3.48918256978047,3.25130021706908,3.17377223303333,3.2033103719337,2.58643546120093,2.58204325348382,2.73234113926656,3.09940417403877,3.20202958918336,3.48013567198944,3.25679969270919,3.22556096971033,3.31645031721078,3.09562653168862,3.29781297464618,3.15110305886439,2.95290043131607,3.03450696360683,2.60943513156555,2.60047116939613,2.41270459024442,2.21589859380336,2.21660342701358,2.33133111752447,2.32618711571808,2.33750116295656,2.26930888870702,2.27678892006502,2.27521022762792,2.23726177733843,2.14912492921067,2.22135284503184,2.14390319529283,2.18694375712801,2.05630243412599,2.00942121594139,2.10061556718683,1.96988300787468,2.23259555171081,2.09239865232515,2.24800568702753,2.24673368239777,2.24640508084949,2.43171461711153,2.4605045038203,2.70697890815421,2.83818545060414,2.83747540563692,2.77315877778399,2.74965213320929,2.57372076938702,2.50785010303225,2.31677246772336,2.47466278515771,2.57219311142568,2.50984410879791,2.64229771710735,2.4848845980761,2.56071430365891,2.43155424499809,2.39159154028536,2.20375355224113,2.28655493826068,2.32807836465452,2.27230766654359,2.17878432548793,1.93947346297397,1.72831626601686,1.81797259878897,1.80871322462988,1.74235091926382,1.70921976482726,1.69870061341292,1.58526326402455,1.32493846692051,1.50432917454588,1.60279879115573,1.7066352304126,1.62522682416864,1.69753903911687,1.82085129553113,1.84170789376832,1.938084821372,1.97895819031145,2.06549070091953,2.17012018522201,2.14955002862729,2.64599193983089,2.55583777349976,2.75474070965827,2.38148288789138,2.34747580269967,2.61337052515467,2.53484109724115,2.85290236121161,2.91243571428056,2.43149398848427,2.25535032010789,2.30507320099443,2.51238246635664,2.42257704240481,2.55065296190176,2.50645812933331,2.53633257972724,2.38315767544981,2.48855465911513,2.56255471983094,2.6249430782388,2.75719056752047,2.82865872443884,3.00543811191512,2.97741495594707,2.96315300637413,2.70750752565082,2.82210862804811,2.92876753670683,3.06417730607748,3.14189141377283,2.47227088825363],"KSA^FMA_PE(LTMA,-10AY,0,AM,\"PORTAGG\",\"MEANR\")":[null,null,null,null,null,null,null,null,null,null,null,null,null,null,null,12.3375741369545,10.9029653360132,11.7765180842464,11.8490637375493,12.2967219505777,12.7610668196411,12.7644215936281,12.93625756883,12.8779620940361,12.3474593342629,13.9435473116356,14.8138907815599,14.9193706918238,15.0063560129,15.3129363764617,15.2713744998559,15.00286395685,15.049932015786,15.3172725252645,15.2364370957457,15.1982963183546,14.5991674578237,14.395162032846,14.4177963337359,14.6350435454011,14.7917182647336,15.0563432305174,15.246981277368,15.1643868421307,15.5404523510237,15.5751632631478,15.1907366986642,14.6634212759962,14.8712704551105,14.7864925894896,15.3653025952348,16.2960972879072,17.5035365745066,17.2052588140147,17.4564801935127,17.3056816176546,17.3728706635439,17.3061523013505,17.5992596486951,17.9937450339384,17.7542360626483,18.2823248449397,18.8743722331189,19.945310115742,18.6214268933262,17.2802361937705,17.5246162952888,17.9922116982176,19.3993749678292,19.6184040334845,20.3213840491598,23.7114293963455,25.4749737428684,27.1275553863821,27.899690470797,28.9357855395097,26.3383260160579,26.4700597979683,25.9156269858492,25.1802428244331,24.6435232962685,23.8910219405229,23.354541641208,22.8841409173942,22.1474266112788,21.645688461826,19.3018341984445,20.1460703714197,20.8855952818002,21.4447845289406,21.2613353838191,21.0177899085979,19.9997124824754,19.008954462522,19.1029367651063,18.1360338411994,17.3898071143233,16.8492883352118,15.4014694496582,15.8031242863197,15.2726142482743,15.3472936567091,15.574367062684,16.0107373312705,16.5143583397824,17.0569648756282,17.5400747900124,17.6044319920139,17.3071806749984,18.0023531568932,19.1361580348484,21.3786312933018,21.378778980551,21.7386234456114,21.4888666067175,20.8956175275477,20.4923779030439,20.1151829824183,19.6424880726818,19.8052613043528,19.5165679043585],"ECH^FMA_PE(LTMA,-10AY,0,AM,\"PORTAGG\",\"MEANR\")":[15.8541983521485,15.7802457439082,16.5898527331269,16.4183802065121,16.3767142351212,16.5321000771221,16.4342603631332,16.4603952457952,16.14118450867,15.5597267753482,15.2358901363348,15.2412163620712,15.4302829827103,15.9050515560193,15.7822911696111,15.4436065325434,15.4890156909773,15.5258263057274,15.3854635766741,15.3370938775904,15.0659871488982,15.3671968992524,16.0135706797049,16.0421822080188,16.3758355241343,16.6211867572475,16.8486381294236,15.5470260403447,16.61496771401,16.8042791573619,17.1451205748926,17.2475894531346,17.1516790367475,17.6448021530505,18.0604987977565,19.3697067159419,17.9374448088408,18.2564085430675,15.950047666151,18.2675966726484,17.4951899440889,17.5259416523953,17.1076408754544,16.7352821531789,15.994003277034,15.3336481480196,15.1808838796315,14.956373897335,17.2522136526118,17.1150332343812,16.5209022823085,12.3901156080542,12.5036367595624,11.2306103975733,10.9581013508379,11.0321405195403,10.5973193326355,11.1104802163076,11.1694170223434,11.7611329164834,12.192085895003,11.2049615083919,12.0660144502508,12.8843468136168,11.5759454862909,11.5083439793735,11.2394578280007,72.88460212073,14.0868787922507,15.3246193062742,17.3810332614221,17.8323116772933,18.5489719351305,21.3005646263214,23.4078009970028,24.9315203522419,26.4916730431195,32.0424614449146,30.0819693539968,27.7179446303039,25.1219680513048,22.8835877804761,20.3145969820573,18.2329022407408,15.8218779000071,13.5938604535624,10.7851561326897,9.85175329272517,9.79359685249733,9.82235332184996,9.81624402940356,9.3368506009093,8.48512949642842,7.85460131840449,7.52909001461712,7.21713176301919,7.22418934398102,7.38976300218331,5.66139367215522,5.45069675280702,6.01072618887884,5.90125798613029,5.92068146818597,6.5230654468936,6.68535448642208,7.34631671762898,7.91222959345878,7.7252795348915,7.92958065212828,7.81188049145882,8.90205932087053,9.55099093605086,9.95516397724469,10.9452862798441,10.906045678222,10.9473077167705,10.8945784983774,11.0261834976504,10.7899194751863,11.0194918203738,11.3011781846951],"PLATI-FDS^FG_PRICE_CHANGE(0,-6AM)":-1.43737166324436,"TIOS-FDS^MAX(FG_PRICE(0,-5AY))":219.77,"FC0000TR^FG_PRICE(0)":209.4287,"KSA^FG_PRICE(0)":41.62,"QAT^FG_PRICE(0)":18.26,"EPU^FG_PRICE_MAVG(0,,,,60)":40.788548,"VNM^FG_TOTAL_RETURNC(0,-1AM)":0.40160418,"TUR^PERCENT_CHANGE(FMA_EPS(+1,0,,,,\"PORTAGG\",\"MEAN\"),FMA_EPS(+1,-3AM,,,,\"PORTAGG\",\"MEAN\"))":-24.8419848830277,"INDA^FMA_PCT_ABOVE_MAVG(200,0,,,,\"PORTAGG\")":74.3421052631579,"EWW^P_PRICE(0)/P_PRICE_LOW_PR(0,,,,,,\"PRICE\",\"INTRA\",\"52W\")-1":0.073060274,"EIDO^FG_TOTAL_RETURNC(0,-3AM)":7.2844386,"VWO^FG_TOTAL_RETURNC(0,-3AM)":6.4887404,"VNM^SIZE(FG_CONSTITUENTS)":47,"INDA^FMA_COS_DOWN(\"EPS\",\"1M\",+1,NOW,,,\"PORTAGG\",\"MEANR\")":62.0,"CNYA^SIZE(FG_CONSTITUENTS)":433,"EWT^FG_ROE(0)":11.0394995338802,"REFZAREPO-FDS^PROPER_NAME(0,,,\"SECURITY\",\"NAME\")":"South Africa Repo Rate","TRYVN10Y-FDS^PCTCHG(FG_YIELD(0,,,,\"YTM\"),FG_YIELD(-1AM,,,,\"YTM\"))":7.141849,"TRYKR10Y-FDS^PCTCHG(FG_YIELD(0,,,,\"YTM\"),FG_YIELD(-1AM,,,,\"YTM\"))":2.657038,"TRYGR10Y-FDS^FG_YIELD_NAME":"Greece Benchmark Bond - 10 Year","CC_MX^IMF_IFS_RCPI_Q(0)":null,"VGK^FMA_DIV_YLD(NTMA,NOW,NOW,M,\"PORTAGG\",\"MEANR\")":3.48221003272562,"SET-BKK^JULIAN(FMA_DIV_YLD(NTMA,NOW,NOW,M,\"PORTAGG\",\"MEANR\").DATES)":45565,"EWZ^FG_FCF_YIELD_NTM(0)":9.30464123658194,"EIDO^FMA_DIV_YLD(NTMA,NOW,NOW,M,\"PORTAGG\",\"MEANR\")":4.11782638530422,"KSA^FG_COMPANY_NAME":"iShares MSCI Saudi Arabia ETF","EPOL^FG_COMPANY_NAME":"iShares MSCI Poland ETF"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27361539118,16.6192198265802,20.4560772449861,19.4075515639097,18.6067332701542],"TRYCH10Y-FDS^FG_YIELD(-10AY,0,Y,,\"YTM\")":[0.314,null,-0.12,-0.09,-0.176,-0.434,-0.49,-0.111,1.617,0.703],"CAGDPY@SA^EE_ACTUAL_ANNUAL(MED,+1)":1.8,"CC_PE^FG_COMPANY_NAME":"Peru","USDTHB^STD(FG_PRICE_CHANGE(0,-3AY,M))":3.11462645092391,"USDEUR^FG_PRICE(0)":0.9154994,"USDKRW^STD(FG_PRICE_CHANGE(0,-1AY,AM))":1.38707729548526,"USDPEN^FG_COMPANY_NAME":"Peruvian New Sol per U.S. Dollar","USDCNH^FG_PRICE_CHANGE(0,-1AM)":-0.5641639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4,23.3955887248491],"EWZ^FG_TOTAL_RETURNC(-10AY,0,AM)":[-10.1204815,-9.361034,-8.25733,-1.6602278,-6.441796,-9.988183,13.099157,7.9535484,-9.572458,-2.8814256,-13.474739,-16.546505,9.071279,-5.821782,-3.7426472,-15.665567,3.3263445,31.660318,2.2718549,9.111452,-6.107664,12.519741,12.273777,-3.0480564,8.434093,-6.746578,-1.8834114,8.760881,8.567381,-3.0049682,-0.0538826,3.9892316,-11.2493515,2.0801306,8.511257,11.459708,2.1469474,-9.318071,0.46354532,9.617782,2.0089746,6.5569997,-6.892806,-2.2419393,-18.442429,0.28316975,0.44523478,-5.0236406,18.606102,3.5152197,-4.6376047,15.743673,0.3962636,-3.2505274,1.3918877,-4.7337294,5.0186396,11.95904,-5.863464,-4.501033,-1.9995272,4.4935703,3.2310486,5.726111,-7.0888224,-23.679924,-21.82262,-8.693957,35.695995,-1.9426107,1.2341619,-3.047806,-4.169422,9.599447,17.80088,1.5979528,-5.30504,-9.439773,3.8045168,12.932062,9.541059,-5.5514812,-2.6670098,-7.9542456,-6.1271667,-6.3115716,0.82155466,-5.341035,20.15562,5.5812597,10.572422,-19.968307,5.55737,-9.793645,14.052284,0.25469065,3.0485868,-8.751928,1.1144876,3.602922,-2.4982631,-3.8434148,1.221323,7.3126197,10.308731,0.2215147,0.37890673,-3.8062334,0.098109245,5.847764,4.4752955,4.043019,-3.1185687,-1.8220425,-0.7732749,-1.4650881,-9.490669,4.0412664,1.2491345,-0.5825937,-1.7235458],"TUR^FMA_PE(NTMA,-10AY,0,AM,\"PORTAGG\",\"MEANR\")":[9.25772920408251,9.71059045737226,10.3632203615197,10.7346640027314,10.1479090012522,9.55521998869362,10.0369986262866,10.3081748953305,9.69956230488488,10.0412616213313,9.28120073589291,8.49422903521666,9.34199826886111,9.52662820874305,8.28620413743734,7.95817230717621,8.0862756559668,8.80389707192081,8.99447090378398,8.60182602612423,8.3630144731322,8.39298229157331,8.34746625987894,8.40770986865114,8.34704979695951,7.82523842372255,7.50778960978856,7.5739223027041,8.49940923022702,8.49941116184729,8.4909970562534,8.74104927447643,8.67109422923268,8.60642020955719,8.69218746452904,8.52458322049212,7.97316484986774,8.22204843955991,8.06236495340148,8.0375627654466,7.83583709857051,7.96587214662789,7.3936276099911,6.73853449583513,6.26241572707067,6.27222866273511,6.08862477627734,5.82852566514688,5.95074976012089,5.68227045951175,5.96544877557944,6.03025551661309,7.07854625359696,7.17623584581326,6.33211869540613,5.73617572916522,6.16207535510496,6.40383636583471,6.42293181199658,6.37484862992282,6.12404809528275,6.28908267564606,6.20320733348209,6.63338500109747,6.54398885118982,5.68500144367906,5.58824276698309,6.4001865258938,8.06400095864191,8.29335135616294,7.42809279335919,7.54132285641704,7.63537265161447,7.92708377791386,7.69987666367995,8.09236153437202,7.56378569423131,7.32577763649972,6.3479917566726,6.39257727663484,6.18028157265374,5.66610957763667,5.62053262704841,5.3313864763967,5.10761164404184,5.5802190916866,6.45604169197929,5.95131830881464,4.65153027766986,4.41244207710546,4.95875955567096,4.54233888110979,4.75196714412436,4.23031208289849,4.44173019510527,4.96715529891111,4.71387007935379,5.36297710785084,5.44102217564041,5.22902338850085,4.51369483956024,5.20396633017314,4.8109834340931,4.13994529422153,5.01023595919471,5.44024979243629,5.92820733925386,6.32377200631537,6.01176069145707,4.80981933250636,4.74662195300258,4.63156667808676,5.26354216580297,5.18994637070409,5.59186420980253,5.67392950224,5.55662052226664,6.14157175391869,5.64713231393972,5.77930642587443,5.44856405552616],"VNM^FMA_PE(LTMA,-10AY,0,AM,\"PORTAGG\",\"MEANR\")":[13.2996127718321,13.3515576536881,13.0088941648517,12.4234587064885,12.4023954824371,16.8342719427625,16.6227323922065,16.7545316189997,16.6019308390308,17.2711323352485,17.0611275314339,17.6568538660225,19.3254413481735,20.8355877380775,23.1172436754002,33.155498142528,19.0565573632534,-5.08009518695797,-3.82928689930894,-1.84249470337237,0.300473710697276,1.7668766276775,3.57741664163216,5.35848915133393,10.1158769985974,11.3771347276674,12.8855429861965,14.9311758551269,15.3417454380471,15.536791518233,15.7060316587457,15.9727978904117,15.7534481511605,16.6241722080648,17.4115586718,17.7422820245235,18.0429142073319,18.8628638558591,20.9416085839788,24.2940780663239,23.2628818047975,24.5614445993209,24.619006958378,23.9224985750205,23.9835446598726,21.4714883497627,21.9454476514239,21.8494783939906,20.7882090538221,19.644458453765,19.5698855712575,17.9290171850424,18.0142620262685,19.6696252695469,19.7536356934051,19.5039497719128,19.3555165841179,19.1432615501469,18.4361351675985,17.373311576349,17.3021191871215,17.4688406079819,17.5354212987871,16.5328098375576,15.191600843637,14.9763690746836,15.0236397794408,15.6638600939224,16.5563378159804,16.3079683402293,16.6947402656119,18.0701947581229,18.5622744334914,18.9800701767484,20.7169857451622,24.208256040296,23.9927750487625,24.24823942772,23.5646544623634,22.9284823882667,22.8680073597429,21.9963875107924,21.4459241112905,20.5433996677037,20.1349634328168,20.0710791842875,19.4065807005205,18.1278887143777,17.078362179673,16.3916118846683,16.2542680138685,15.5296096405095,15.3047447781887,14.0355893235981,13.8993173246267,13.636064538419,12.6549854552731,11.2012095312319,13.2626176529622,11.870646078215,12.1299313096816,12.4172939223735,12.8357220201183,13.0178636274999,13.4784575643776,13.5351301005627,14.3797895032079,15.5623218594442,15.510618465673,15.5336369277563,16.429699342366,16.8698763268097,16.8409236634704,18.7610295958569,18.4471211371849,18.085251189219,18.0244015134569,17.22064354508,16.4095676587651,15.9171565300525,15.781261970792],"PASP-FDS^FG_PRICE(0)/MAX(FG_PRICE(0,-1AY))":0.848412698412698,"W-FDS^FG_PRICE_MAVG(0,,,,30)":5.753667,"TIOS-FDS^FG_PRICE(0)/MAX(FG_PRICE(0,-1AY))":0.733976137624861,"EWZ^FG_PRICE_MAVG(0,,,,30)":29.474,"CNYA^FG_PRICE_MAVG(0,,,,200)":25.897463,"TUR^PERCENT_CHANGE(FMA_EPS(+1,0,,,,\"PORTAGG\",\"MEAN\"),FMA_EPS(+1,-1AM,,,,\"PORTAGG\",\"MEAN\"))":-12.1351897452939,"QAT^FMA_PCT_ABOVE_MAVG(200,0,,,,\"PORTAGG\")":57.1428571428571,"EWZ^P_PRICE(0)/P_PRICE_LOW_PR(0,,,,,,\"PRICE\",\"INTRA\",\"52W\")-1":0.08692336,"EWM^P_PRICE(0)/P_PRICE_HIGH_PR(0,,,,,,\"PRICE\",\"INTRA\",\"52W\")":0.9439797,"EPOL^FG_TOTAL_RETURNC(0,-3AM)":-5.675459,"CNYA^PERCENT_CHANGE(FMA_EPS(+1,0,,,,\"PORTAGG\",\"MEAN\"),FMA_EPS(+1,-3AM,,,,\"PORTAGG\",\"MEAN\"))":23.1781349206524,"VGK^FMA_PCT_ABOVE_MAVG(200,0,,,,\"PORTAGG\")":63.370253164557,"VNM^FMA_COS_DOWN(\"EPS\",\"1M\",+1,NOW,,,\"PORTAGG\",\"MEANR\")":9.0,"EWM^SIZE(FG_CONSTITUENTS)":34,"EPOL^FMA_RBICS_REV_CURRENT(30, LOC, \"PORTAGG\")":46.6463334180527,"EWM^FG_ROE(0)":8.36118476941151,"REFTR1WREPO-FDS^FG_YIELD(NOW,,,0)":50.0,"REFPL7D-FDS^(SUBARRAY(NOT_NA(NO_REPEAT_F(FG_YIELD(NOW,-10AY,D))),0,1)-SUBARRAY(NOT_NA(NO_REPEAT_F(FG_YIELD(NOW,-10AY,D))),1,1))*100":-25.0,"TRYUS10Y-FDS^FG_YIELD(0,,,,\"YTM\")":4.0755,"TRYID10Y-FDS^FG_YIELD(0,,,,\"YTM\")":6.747519,"VGK^FG_PE_NTM(0,,,90,0)":13.3519132854373,"UAE^FG_FCF_YIELD_NTM(0)":10.7149546603306,"INDA^FMA_PE(LTM,0,,,\"PORTAGG\",\"MEANR\")":27.4010712750906,"EWT^FMA_EVAL_EBIT(LTMA,NOW,NOW,M,\"PORTAGG\",\"MEANR\")":18.1623404418621,"TRYMY10Y-FDS^FG_YIELD(-10AY,0,Y,,\"YTM\")":[4.131911,4.345605,4.195897,3.902544,4.235642,3.300551,2.804181,3.573893,4.131847,3.727505],"CAGDPY@ZA^EE_ACTUAL_ANNUAL(MED,0)":-1.6,"CAGDPY@CL^EE_ACTUAL_ANNUAL(MED,0)":-3.68653581083686,"USDVND^FG_PRICE(0)":24845.0,"USDEUR^FG_COMPANY_NAME":"Euro per U.S. Dollar","USDTWD^FG_PRICE_CHANGE(0,-1AY)":-0.17673373,"USDIDR^FG_PRICE_CHANGE(0,-6AM)":-1.1360049,"USDCNH^FG_PRICE_CHANGE(0,-1AY)":-2.7225614,"EWT^P_PRICE_RETURNS_PR('52W',2,-10AY,0,AM)":[4.383683,14.049351,7.2357416,9.263945,16.655731,10.531891,10.998308,12.746882,3.9585948,-4.752475,-6.009799,-14.881617,-5.428517,-11.147701,-11.465227,-19.399464,-19.391125,-10.048562,-13.57193,-20.73943,-10.974622,-3.3413172,11.709332,14.509392,15.602171,12.429929,22.549974,32.856728,36.327316,22.129572,27.656878,39.020466,28.260242,28.925192,17.388512,22.532427,18.736279,28.298283,17.794573,24.973179,16.290415,23.639511,18.730402,11.099052,9.952712,4.968703,6.778431,0.52393675,-4.8725605,-9.371656,-8.201206,-11.030364,-3.8232446,-9.811216,-4.1088104,-2.4975002,-7.832247,0.99213123,-6.7729893,1.1208773,12.685394,22.596954,27.75197,32.190144,24.209929,17.703224,-0.51629543,7.7328324,23.369907,21.706867,36.741673,26.543129,30.132889,20.880795,33.77378,41.190304,50.5522,54.557564,81.13023,72.342094,59.739113,53.571976,42.86622,49.97971,34.493374,38.79579,30.23405,21.050215,15.326071,10.031021,0.5678296,-12.023765,-11.197728,-19.849438,-16.048002,-21.326023,-28.30953,-25.806326,-23.736578,-23.4267,-19.649685,-16.378397,-11.351776,-3.7043393,1.3486624,9.979212,4.567027,9.416998,26.58428,17.15864,15.661597,15.137423,16.5969,21.881067,23.562313,26.54189,22.127903,38.69488,24.852478,26.832533,33.933033],"INDA^FMA_DIV_YLD(NTMA,-10AY,0,AM,\"PORTAGG\",\"MEANR\")":[1.61273533440135,1.54977831156262,1.5645428878698,1.58532868332783,1.51990178769331,1.49678786576314,1.50485808655573,1.67231611656434,1.70085099431927,1.58725079262214,1.54756801664198,1.6934084512154,1.63444208116162,1.7415024363982,1.76564874501005,1.75149118770914,1.84020101685301,1.75951345751827,1.78334704634986,1.68979814241452,1.61314686988943,1.58303728904601,1.54962754877407,1.50809593862481,1.53223211030893,1.62091283803285,1.65768798392064,1.67187590006984,1.60039411522956,1.58406928884569,1.55474827086518,1.55405594478761,1.5974742293594,1.58589166431888,1.56656364969328,1.53599243602201,1.54590468906945,1.52470188789031,1.52844044893946,1.4865497997207,1.55591038203351,1.59672765461408,1.58255450422539,1.60728006575409,1.59487260510635,1.58769395446837,1.51125576802699,1.4932915664585,1.6650124841394,1.65182961761708,1.69991293335752,1.65460421586028,1.62799527258746,1.6298308208019,1.57896728853369,1.71348395794302,1.6614777612259,1.75463446912708,1.80802524675065,1.80920942440053,1.81728802191021,1.75609031717847,1.70374483395881,1.66205086001126,1.66620318354656,1.93118860627458,2.13482546900386,1.96476264885191,1.69866425132429,1.58140625368301,1.51580662617507,1.53009283811813,1.48375005387212,1.48354821299618,1.35835525120045,1.29814671945447,1.31830319662086,1.32761119738565,1.36436163616374,1.40167339538063,1.38695684663575,1.40144961940541,1.3638015106797,1.28354337029819,1.27958245294998,1.3241651642729,1.34946722258927,1.33038332475691,1.40674028395142,1.51597059403468,1.43142700333609,1.64689354875828,1.63897817017324,1.64596092423152,1.48182456888113,1.47649208018396,1.55008774866271,1.50849444508138,1.44886841750701,1.49797759943707,1.53879553587857,1.59994879739713,1.60084891369997,1.58547863042203,1.55394488613616,1.5029832705443,1.49327285669323,1.49886620238146,1.52369182267742,1.53456000391377,1.41732551789097,1.37622872506875,1.36391608390396,1.32793703447603,1.31155014154372,1.36782248843258,1.30409681327397,1.24902841158946,1.26433019335878,1.23993110768112,1.2697990374991],"CNYA^FMA_PE(LTMA,-10AY,0,AM,\"PORTAGG\",\"MEANR\")":[null,null,null,null,null,null,null,null,null,null,null,null,null,null,null,null,null,null,null,null,null,null,null,null,null,null,null,15.0737997678699,15.0822114490405,15.1735201518739,15.1355282562301,14.8477563953864,15.2024128108944,15.2776501643349,15.2073182647561,15.6342857470793,15.8147612140546,16.4812105031748,15.7402374483344,16.5440032842459,14.7150949069387,15.3200930822509,15.0089632984513,14.5475903908973,14.2373883460125,13.4338983570478,12.8573934789719,12.3528460155639,12.148322428329,11.5849600189015,11.3051056395682,10.8103426465716,11.4474751813165,12.6588723728344,12.8596732770335,12.4728239225888,12.4353790979092,12.6092786395488,12.2475845027517,13.0168600672224,12.8197719768597,13.1107958169605,13.916762910023,14.9101859436454,14.1903248358423,14.3296738481721,14.0753317819724,14.3836357718542,14.6616100020003,16.1636156214644,16.3825034826826,16.6203341311988,17.2354854567953,18.160009787625,18.8334720508728,21.3677690799382,22.2930265944517,19.8555904727872,19.5582589391075,19.1490119184457,19.3910811867052,18.8322254471504,18.3853529237041,18.3788079808622,17.8549313980501,17.731017586039,18.7381999797744,17.6613764764623,16.7417725027322,16.4170012492149,16.111586850207,15.6378951364948,15.7821459078457,15.8910181352922,15.1764015951909,15.0978754629455,13.8611198000295,13.9132057688501,14.7445560460483,14.5298875442306,14.7947131036499,14.4932743018027,14.4366823542037,14.2440220551165,13.9816966855731,13.834910874831,14.0146246071245,13.8492852837209,13.5365123648389,13.6582888419792,13.2820997113278,12.7041851772585,13.0113491302055,13.5770451803504,13.55325365316,13.8197540526487,13.6168899718968,13.2808812936111,12.919640053677,12.7262962154911,15.0619555551486],"PLATI-FDS^FG_PRICE_CHANGE(0,-3AM)":-4.09590409590409,"TIOS-FDS^FG_PRICE_CHANGE(0,-1AY)":-9.87223168654174,"VNM^FG_PRICE_MAVG(0,,,,200)":12.711375,"MCHI^FG_PRICE_MAVG(0,,,,200)":41.912674,"EPU^FG_PRICE_MAVG(0,,,,30)":41.42331,"VNM^PERCENT_CHANGE(FMA_EPS(+1,0,,,,\"PORTAGG\",\"MEAN\"),FMA_EPS(+1,-3AM,,,,\"PORTAGG\",\"MEAN\"))":4.62691205493781,"TUR^FMA_PCT_ABOVE_MAVG(200,0,,,,\"PORTAGG\")":25.0,"GREK^P_PRICE(0)/P_PRICE_LOW_PR(0,,,,,,\"PRICE\",\"INTRA\",\"52W\")-1":0.26868486,"EWW^P_PRICE(0)/P_PRICE_HIGH_PR(0,,,,,,\"PRICE\",\"INTRA\",\"52W\")":0.76616985,"EWM^FG_TOTAL_RETURNC(0,-6AM)":21.27713,"EIDO^FG_TOTAL_RETURNC(0,-1AM)":-1.7695129,"VGK^P_PRICE(0)/P_PRICE_LOW_PR(0,,,,,,\"PRICE\",\"INTRA\",\"52W\")-1":0.25753713,"INDA^FMA_COS_UP(\"EPS\",\"1M\",+1,NOW,,,\"PORTAGG\",\"MEANR\")":43.0,"CNYA^FMA_COS_DOWN(\"EPS\",\"1M\",+1,NOW,,,\"PORTAGG\",\"MEANR\")":115.0,"EPU^FG_ROE(0)":10.9266057483758,"TRYTW10Y-FDS^FG_YIELD_NAME":"Taiwan China Benchmark Bond - 10 Year","REFBRSELIC-FDS^(SUBARRAY(NOT_NA(NO_REPEAT_F(FG_YIELD(NOW,-10AY,D))),0,1)-SUBARRAY(NOT_NA(NO_REPEAT_F(FG_YIELD(NOW,-10AY,D))),1,1))*100":25.0,"TRYAE10Y-FDS^PCTCHG(FG_YIELD(0,,,,\"YTM\"),FG_YIELD(-3AM,,,,\"YTM\"))":null,"TRYMX10Y-FDS^PCTCHG(FG_YIELD(0,,,,\"YTM\"),FG_YIELD(-3AM,,,,\"YTM\"))":-1.9515865,"TRYZA10Y-FDS^FG_YIELD(0,,,,\"YTM\")":10.403542,"CC_TW^IMF_IFS_RCPI_Q(0)":null,"VGK^FG_PE(0)":15.5204531278484,"QAT^FMA_EVAL_EBITDA(NTMA,0,,,\"PORTAGG\",\"MEANR\")":9.44726508048446,"EWZ^FMA_DIV_YLD(NTMA,NOW,NOW,M,\"PORTAGG\",\"MEANR\")":5.71439846687238,"EWT^FMA_EVAL_EBITDA(NTMA,0,,,\"PORTAGG\",\"MEANR\")":9.52086732649585,"EIDO^FMA_PE(NTMA,0,,,\"PORTAGG\",\"MEANR\")":13.2483683562215,"VNM^FG_COMPANY_NAME":"VanEck Vietnam ETF","EPHE^FG_COMPANY_NAME":"iShares MSCI Philippines ETF"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2726059775,8.30740233680115,10.1463868925066,7.5109716795443,8.9059619435427],"TRYEU10Y-FDS^FG_YIELD(-10AY,0,Y,,\"YTM\")":[0.5475,0.636,0.2082,0.4294,0.239,-0.189,-0.575,-0.181,2.533,2.004],"CAGDPY@SA^EE_ACTUAL_ANNUAL(MED,0)":3.1913656694847,"CAGDPY@BR^EE_ACTUAL_ANNUAL(MED,+1)":-1.65,"CC_PL^FG_COMPANY_NAME":"Poland","USDTHB^STD(FG_PRICE_CHANGE(0,-1AY,AM))":2.33509681919553,"USDKRW^FG_PRICE_CHANGE(0,-6AM)":-0.3358245,"USDPLN^STD(FG_PRICE_CHANGE(0,-3AY,M))":3.22726190601712,"USDCNH^FG_PRICE(0)":7.0942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7587102374388,25.625710924974,24.8900071648497,26.8368786703138,30.8315679687197],"EWY^FG_TOTAL_RETURNC(-10AY,0,AM)":[-11.572188,1.8770933,-2.4335086,1.1104941,-0.65977573,-1.3283014,8.422768,0.6375909,-6.235409,-4.7297297,-5.5804434,-4.1312513,10.082472,-1.4609456,-3.8205683,-5.4572525,0.44938326,5.602896,3.7926197,-0.87463856,1.4705896,1.3719797,9.1689,-1.5889645,3.2647252,-8.745707,3.5586476,0.23444891,6.700933,0.41294098,1.9876599,9.106183,4.619646,-0.8095443,-2.3445666,2.3400664,5.5233836,4.6995997,0.09406805,5.6283355,-7.618797,7.977891,-1.968503,0.4016161,-2.0399988,-8.779102,-3.446728,0.4481554,-4.5846167,-4.2405663,-0.58932304,2.8286934,4.6243668,-3.1594038,4.613614,-9.040796,-0.46753287,-0.46973228,-8.862084,7.86345,1.3513446,7.1929812,-4.6972156,9.993529,-2.6638985,-10.324484,-10.562873,5.8234572,15.891099,-2.6491165,11.654973,-2.1919012,7.0991874,4.7117352,16.028511,16.783667,-3.388071,-7.3042154,5.9649467,2.2122502,-0.69645643,-2.6650846,-1.3302267,-6.0667334,-6.769532,-0.2950549,3.885734,-3.441,-3.5115302,-7.48235,1.1301994,-6.67634,-1.8195987,-7.650882,5.6260824,-9.304976,-12.802142,19.876802,-0.582391,6.96851,1.8418908,-7.5384083,6.041193,-0.32647252,9.204054,-5.18896,1.0123372,-3.2414675,-5.2435694,2.9888988,3.0845761,1.3940692,3.6633015,4.08355,-4.4062138,2.4151564,-1.0789096,7.1985126,-9.563959,-1.5107751,3.3126712],"SET-BKK^FMA_PE(NTMA,-10AY,0,AM,\"PORTAGG\",\"MEANR\")":[15.3911044261688,15.5423189319995,15.3323113983379,15.0867989043975,16.1945196858536,15.164183736907,15.2990998843432,15.650974277738,15.2774162705513,15.1793910055899,14.4660475724192,14.319144871113,14.4091910656371,13.799138745331,12.6702716445173,11.4990344180763,13.4026188718904,14.4258052600797,14.1267596209692,14.2073353023257,14.5771875680236,14.8575512005326,15.4635065261843,14.2043694234945,14.1977654830347,14.8758433950868,14.8087457228845,15.153745530344,15.1806637463492,14.6924455121093,15.0122158774552,14.6502036398006,14.6908815421703,14.6245556068467,14.6910499068305,15.2196367101205,15.734995703344,15.4942410544767,15.5649104491132,16.2396971088432,15.9121348568116,15.4005923445238,15.1059590569435,14.9014818045783,15.0090933356184,14.2519177723743,14.7854511924201,14.5129893013191,14.7113119097822,14.3089884513547,14.2170962510584,13.7912696787179,14.6389209207477,14.786144288659,14.9837240844819,14.9031365922999,15.1902601374017,15.9070569649666,15.146410465552,15.6390037295288,15.1748521023183,15.8462535761616,15.1183079945252,15.5527950544528,15.3130483785944,13.518041359665,14.640933532973,16.5742491028473,19.9935560251547,19.4112081528222,19.1796246988954,18.8300788831481,18.4395962695712,18.4144788687924,19.7648671753345,20.4181793498731,19.3856691933888,19.7974667851897,19.0915969540571,18.6575111276833,18.0365362745048,16.9052699307871,16.6389387371616,17.7132010719353,17.4677272319025,17.3584418883345,16.9336677405325,17.2777274065935,17.442072750536,16.8135932976285,16.8587737620474,16.0691517498041,15.8191162399902,15.1164697673684,15.4252686418624,15.6735798287311,14.9229499584159,15.519766448505,15.5378803192368,16.2184341161518,15.9231782865377,15.6855310035895,15.7885412624162,15.697225003029,15.8040472473553,15.3844825893339,15.7813817610721,15.9266800799411,14.6516512519524,14.2551266245645,14.2507899255232,14.5456380573121,14.3528073798789,14.3814848174454,14.5918871988849,14.2142788056337,13.5487940624583,13.5741005021804,13.43983091119,14.751789856083,14.8727028271949],"UAE^FMA_PE(LTMA,-10AY,0,AM,\"PORTAGG\",\"MEANR\")":[null,null,null,11.2670300717434,12.7137895981138,13.0678052625933,13.1561068720303,13.6514133678031,13.5826869805823,13.4591470400128,13.5111039893936,13.4302992707421,13.6814640952861,12.4870212965007,11.0655386444089,12.8245747838818,12.110921440583,13.0913242374055,13.0252980725559,13.1953818336375,13.2136623320351,13.4531025385278,13.4801295102928,13.2330234486535,13.9381452732277,12.6966478513484,12.9581948771025,13.5307569393038,13.5362650383298,13.3406048980856,13.3562647066098,13.2198555401962,12.9067504448381,12.7887685927577,13.1759762646782,12.5849189787621,12.2441965876829,11.934344274739,11.3898775197161,12.3024009354962,12.024264151658,12.4223886116138,12.4323239636334,12.0136213635015,12.1245484900473,12.1039393521325,12.2032898104177,13.116223402757,12.7774590035376,13.0468058027086,11.7919973383695,12.0195760371115,12.0689996533698,12.7232714865908,12.7247788848125,12.5533620062707,12.8462042560141,13.3463948107704,13.6097947607434,14.4095124304762,13.8015773909925,14.3617492218192,14.3378905723999,15.8013363362197,15.3108829449692,14.3497484859829,14.1568187533726,16.1911008467051,15.9193830697216,17.9469178263124,15.2913115169658,16.2876836196649,15.9476239564527,22.9174852758193,24.4180191465914,25.025806952429,22.4052341326664,27.0736339253576,25.7793450715408,24.4506394617915,23.8763083672953,22.5446615229977,21.4456757858724,20.4754922054593,19.3078697502288,18.7631269624576,18.090348486021,16.422813449565,17.177421141551,17.3173096583973,17.4663269419367,17.0899207329502,16.3235639769806,15.4179227113685,15.6385707478775,14.8530597072748,14.3637713295169,14.2580257958074,12.9674945230652,12.4686169049656,12.7588590960451,12.2287694764289,12.0402320344005,12.027188095833,11.7592854685267,11.729937853186,11.7103837677211,11.0839388614811,10.905076713663,10.4276618683112,9.93891461667711,10.3532806304557,9.32383128989873,9.41212073842248,9.40183675418039,9.24231553981786,8.98631135317175,9.07854867818543,9.14712240833132,9.65434064399665,9.6289991268041],"PASP-FDS^FG_PRICE_CHANGE(0,-1AY)":-6.22807017543859,"W-FDS^FG_PRICE(0)":6.0375,"TIOS-FDS^FG_PRICE_CHANGE(0,-6AM)":1.72082291866948,"VNM^FG_PRICE_MAVG(0,,,,60)":12.30025,"EWZ^FG_PRICE(0)":28.51,"CNYA^FG_PRICE_MAVG(0,,,,60)":26.1387,"MCHI^FG_TOTAL_RETURNC(0,-12AM)":22.77639,"EWZ^P_PRICE(0)/P_PRICE_HIGH_PR(0,,,,,,\"PRICE\",\"INTRA\",\"52W\")":0.79770565,"EWM^FG_TOTAL_RETURNC(0,-3AM)":12.532532,"EPOL^FG_TOTAL_RETURNC(0,-1AM)":0.12727976,"CNYA^PERCENT_CHANGE(FMA_EPS(+1,0,,,,\"PORTAGG\",\"MEAN\"),FMA_EPS(+1,-1AM,,,,\"PORTAGG\",\"MEAN\"))":25.1275275417805,"SPY^SIZE(FG_CONSTITUENTS)":503,"VNM^FMA_COS_UP(\"EPS\",\"1M\",+1,NOW,,,\"PORTAGG\",\"MEANR\")":6.0,"EWM^FMA_COS_DOWN(\"EPS\",\"1M\",+1,NOW,,,\"PORTAGG\",\"MEANR\")":14.0,"EPHE^FMA_RBICS_REV_CURRENT(30, LOC, \"PORTAGG\")":40.9605534444298,"EPOL^FG_ROE(0)":12.8586569512063,"REFTHREPO-FDS^(SUBARRAY(NOT_NA(NO_REPEAT_F(FG_YIELD(NOW,-10AY,D))),0,1)-SUBARRAY(NOT_NA(NO_REPEAT_F(FG_YIELD(NOW,-10AY,D))),1,1))*100":25.0,"REFPL7D-FDS^FG_YIELD(NOW,,,0)":5.75,"TRYAE10Y-FDS^PCTCHG(FG_YIELD(0,,,,\"YTM\"),FG_YIELD(-1AM,,,,\"YTM\"))":null,"TRYUS10Y-FDS^FG_YIELD_NAME":"US Benchmark Bond - 10 Year","TRYID10Y-FDS^FG_YIELD_NAME":"Treasury - Indonesia Benchmark Bond 10Y","UAE^FMA_DIV_YLD(NTMA,NOW,NOW,M,\"PORTAGG\",\"MEANR\")":5.21806431474157,"INDA^JULIAN(FMA_DIV_YLD(NTMA,NOW,NOW,M,\"PORTAGG\",\"MEANR\").DATES)":45565,"EWT^FG_FCF_YIELD_NTM(0)":4.23015481520877,"EPOL^FMA_EVAL_EBIT(LTMA,NOW,NOW,M,\"PORTAGG\",\"MEANR\")":8.47360350246904,"TRYTR7Y-FDS^FG_YIELD(-10AY,0,Y,,\"YTM\")":[7.979133,10.679033,11.110786,11.586128,15.896213,12.034795,12.534946,23.870693,7.323803,21.984322],"USDTHB^FG_PRICE_CHANGE(0,-3AM)":-7.7197847,"USDINR^FG_COMPANY_NAME":"Indian Rupee per U.S. Dollar","USDKRW^FG_PRICE_CHANGE(0,-3AM)":-2.4842858,"USDMYR^FG_COMPANY_NAME":"Malaysian Ringgit per U.S. Dollar","EPU^FG_TOTAL_RETURNC(-10AY,0,AM)":[-7.5782957,-0.51436424,0.19466877,-2.8415263,-4.927808,-6.99901,3.9048672,4.8172235,-3.5874784,-2.349335,-8.054394,-13.045126,5.5385947,-6.662631,-6.7665577,-8.316499,5.4830313,21.930683,1.8270493,17.783092,1.5572071,7.6350927,9.411037,-4.927367,-4.044342,5.526066,-2.455616,3.9911985,6.4346313,-10.140144,4.831803,-0.67094564,2.6725411,-1.4056325,5.642855,6.683457,6.23852,2.072537,-4.447669,9.0814705,-4.8936186,4.623413,3.183651,0.13815165,-1.4486134,-7.4338317,-1.2977064,-9.538544,2.7928114,-1.9961238,-0.27948022,4.0339947,3.9167404,1.4496684,2.6240587,-7.417721,-0.4922092,4.6417713,-8.453721,-0.17533898,-0.7025838,2.7417421,-1.2051582,7.294631,-6.2568245,-12.474501,-19.647026,10.104025,14.079666,-3.6219537,7.7688813,-1.9443154,-1.1857748,-0.3666699,15.122116,5.7781696,4.171264,-2.996546,-0.9226382,-3.704214,-11.002988,-5.5194798,-9.965634,4.5038104,1.7531157,6.640339,-3.4331799,12.79335,8.351791,8.204389,-1.8078864,-22.25886,7.2087407,-13.709402,6.022191,-2.4289966,-2.5660694,13.128937,2.9881835,7.148373,-4.6139,-2.082634,4.288161,2.4671078,-0.061792135,2.3870468,7.0612907,-6.720674,-5.6931496,-0.2387464,4.905987,12.460339,-0.802654,10.617172,8.659018,5.682385,-1.3162732,2.703154,-6.5748873,-1.8292725,12.396479],"QAT^FMA_PE(LTMA,-10AY,0,AM,\"PORTAGG\",\"MEANR\")":[null,null,null,15.1767181351022,15.2666927499893,15.0184615438815,14.821574281719,14.891671307752,14.5200915678505,14.462463273515,14.3970182682931,14.4129445817466,14.085834049733,13.1545169454644,11.9725119518372,11.5713196066494,11.9104933559183,12.1123826981864,12.0978290290109,12.1674210015142,12.2539148515918,12.2877449966344,13.1867434651965,13.0636349670536,13.3095934120675,13.1369973772448,13.5248542717417,14.794930207515,14.5857171295782,14.8016153356777,14.6462264756958,14.523644275889,14.1671053383338,13.8268847858239,14.1086228564069,13.2263327019452,12.6290596151024,12.4814660894642,12.3860717792664,13.5426281324461,13.2550946604651,12.6774727100469,12.7721056778636,12.5073787783878,12.678455861631999,12.5942466177941,13.1891877387983,13.235302843768,13.323263434058,13.735609739817,14.1676282413691,14.5014934457658,14.188033518848,13.5309934945078,13.6036342736054,13.4997135062627,13.7279859197025,13.7876519262852,13.3550946592377,13.8659795267638,14.0034787972661,14.1385570342886,14.2865501597503,14.7031939224957,14.4423191315282,13.6052869487512,13.7204125232888,14.0752263873509,14.6889624208912,15.1968739376002,15.7185178751944,15.7956413909665,16.5075278942476,17.1755120332569,17.639994804272,17.7188531278398,17.3118600436471,16.8319366245001,16.6673290589665,16.4759810815977,16.0511964252331,15.8037189673579,15.464467083093,15.3298398365035,15.4893832853082,15.7469085924663,15.0531062700869,14.9725652611277,16.3256608696332,16.3113908200526,16.1267273870344,15.7618989558783,15.1504463778829,14.6358749845703,15.4120608968383,14.5464334698366,14.4489293088292,14.0305501524671,12.9289373213745,12.8465284220172,11.8217367905554,11.8337162798931,11.7354979394387,11.8567747338143,11.7879987017826,11.7264271822221,12.178171636458,11.6604748628071,11.2552472935116,11.5060257154506,11.2664559365661,11.7762460862894,11.0566656332319,11.4812753579244,11.2924534517314,11.0914711266583,10.8918947671415,11.0797584873183,11.0201184240275,11.2354107730964,11.5193640035373],"WL-FDS^FG_PRICE_CHANGE(0,-6AM)":-10.403162055336,"FC0000BR^FG_PRICE(0)":189.90895,"TUR^FG_PRICE_MAVG(0,,,,30)":36.19367,"EZA^FG_PRICE(0)":49.29,"EPOL^FG_PRICE_MAVG(0,,,,30)":23.993334,"VNM^FG_TOTAL_RETURNC(0,-12AM)":-2.7305603,"MCHI^FMA_PCT_ABOVE_MAVG(200,0,,,,\"PORTAGG\")":93.2546374367622,"EWW^PERCENT_CHANGE(FMA_EPS(+1,0,,,,\"PORTAGG\",\"MEAN\"),FMA_EPS(+1,-1AM,,,,\"PORTAGG\",\"MEAN\"))":3.04602445582465,"EIDO^PERCENT_CHANGE(FMA_EPS(+1,0,,,,\"PORTAGG\",\"MEAN\"),FMA_EPS(+1,-1AM,,,,\"PORTAGG\",\"MEAN\"))":-1.81913933155866,"EWJ^FG_TOTAL_RETURNC(0,-6AM)":2.9545665,"VWO^PERCENT_CHANGE(FMA_EPS(+1,0,,,,\"PORTAGG\",\"MEAN\"),FMA_EPS(+1,-1AM,,,,\"PORTAGG\",\"MEAN\"))":0.0,"EWY^SIZE(FG_CONSTITUENTS)":101,"UAE^FG_ROE(0)":14.8468698111969,"REFKRBASE-FDS^PROPER_NAME(0,,,\"SECURITY\",\"NAME\")":"South Korea Base Rate","TRYMX10Y-FDS^PCTCHG(FG_YIELD(0,,,,\"YTM\"),FG_YIELD(-1AM,,,,\"YTM\"))":2.0469604,"TRYPE10Y-FDS^FG_YIELD(0,,,,\"YTM\")":6.471232,"CC_MY^IMF_IFS_RCPI_Q(0)":null,"KSA^FMA_PE(NTMA,0,,,\"PORTAGG\",\"MEANR\")":16.6432417970294,"SET-BKK^FMA_EVAL_EBITDA(NTMA,0,,,\"PORTAGG\",\"MEANR\")":9.68857037766595,"UAE^FMA_ROE(NTMA,-20AY,NOW,FY,\"PORTAGG\",\"MEANR\")":[null,null,null,null,null,null,null,null,null,null,11.0777984350957,12.3046871114493,11.0383578639711,12.0257898837902,10.3907544258318,8.128455158546,6.76201762780835,11.234942553465,12.9338493595798,13.2251182354264],"CAGDPY@GR^EE_ACTUAL_ANNUAL(MED,+1)":-6.9,"COPP-FDS^FG_PRICE_CHANGE(0,-3AM)":-4.8290830168204,"SET-BKK^P_PRICE(0)/P_PRICE_HIGH_PR(0,,,,,,\"PRICE\",\"INTRA\",\"52W\")":0.99593765,"EZA^FMA_PCT_ABOVE_MAVG(200,0,,,,\"PORTAGG\")":66.6666666666667,"EPU^PERCENT_CHANGE(FMA_EPS(+1,0,,,,\"PORTAGG\",\"MEAN\"),FMA_EPS(+1,-1AM,,,,\"PORTAGG\",\"MEAN\"))":1.96478707022756,"TUR^FMA_COS_DOWN(\"EPS\",\"1M\",+1,NOW,,,\"PORTAGG\",\"MEANR\")":19.0,"EWW^SIZE(FG_CONSTITUENTS)":45,"KSA^FMA_RBICS_REV_CURRENT(30, LOC, \"PORTAGG\")":39.4472302321321,"MCHI^FG_ROE(0)":11.0375500982921,"REFTHREPO-FDS^PROPER_NAME(0,,,\"SECURITY\",\"NAME\")":"Thailand Repo Rate - 1 Day","TRYSA10Y-FDS^PCTCHG(FG_YIELD(0,,,,\"YTM\"),FG_YIELD(-3AM,,,,\"YTM\"))":-5.8781104,"CC_PH^IMF_IFS_RCPI_Q(0)":null,"VNM^FMA_EVAL_EBIT(LTMA,NOW,NOW,M,\"PORTAGG\",\"MEANR\")":17.8122539496341,"SET-BKK^FMA_DIV_YLD(NTMA,NOW,NOW,M,\"PORTAGG\",\"MEANR\")":3.52242124075002,"EPU^FMA_EVAL_EBITDA(NTMA,0,,,\"PORTAGG\",\"MEANR\")":6.70925789096069,"MCHI^FG_COMPANY_NAME":"iShares MSCI China ETF","USDTHB^FG_PRICE(0)":33.59,"USDKRW^FG_PRICE(0)":1350.3,"EWZ^FMA_PE(LTMA,-10AY,0,AM,\"PORTAGG\",\"MEANR\")":[12.510787511375,12.3798952983327,11.9766607761638,12.2206596886062,12.133056113883,12.7779660211754,13.3498036386476,13.9624581965895,13.9466319578818,13.6902991776924,13.1140145366496,12.6860419698027,12.8773280286251,12.210065026126,12.5841183777294,11.3880578524587,11.3853233156096,12.9235909549827,13.2033962189863,13.155474464797,12.9188903883663,13.5624426763653,14.0644992454555,14.5716291593386,14.9745059048794,14.616697300862,14.7608088235028,15.0530520220456,16.2261195590356,16.6866906796637,16.2517808069464,16.0961105574925,15.2768314821992,14.9268509123349,15.1830164276591,15.4580810790901,15.7997484017341,14.4257105121635,14.492908657193,15.0954877359608,15.6179091843127,16.5067405476214,16.073873705789,15.73891384126,14.6432936297279,14.2137158301272,13.8312563846945,13.327640340177,13.6180541140873,13.7403156952414,13.691168307357,14.6273574850937,14.9639321369262,14.7089126219581,14.3523977584363,14.0614135245361,14.1360409392226,14.4627678441671,14.5240820506397,14.2648797821842,14.3273318566425,15.5666970044981,15.9829333246407,17.2421200081996,16.7611523515486,16.7181475617908,16.3550486010265,17.2928477301092,19.7253735889231,30.4400223187063,34.3844895827292,34.8079454434997,30.9519514212848,30.6870551068435,34.3905336876343,36.9153271012012,28.669090203305,20.4239640261414,19.1299421346762,17.8970964758548,16.9645139796451,15.4362186367554,13.7991807072896,12.0105875410883,10.7490606455067,8.87475920232358,7.56431209701022,6.36554399164252,7.15746769279503,7.02933184252994,7.00194279546559,6.57654623247662,6.4937533384616,6.27646944171322,6.35171555001949,6.20446502881747,6.25647770202185,5.98093773237517,5.66349447940714,5.74659492763207,5.82870383785831,5.55208780225069,5.6380317539493,5.88731248057523,6.47298194567722,6.84189683274112,7.0846784883413,7.10147160876731,7.35563595366224,7.68014552359295,8.16918177656847,8.46160811096785,8.26624186475565,8.43060419011404,8.35194498152354,8.25694006109814,7.96750573134487,8.02587137757606,8.06679299937004,9.08276205691305,9.06311598168963],"TRYQA10Y-FDS^FG_YIELD(-10AY,0,Y,,\"YTM\")":[null,null,null,null,null,null,null,null,null,null],"USDTHB^FG_COMPANY_NAME":"Thailand Baht per U.S. Dollar"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782514021022,34.3748784511984,36.8513185596326,38.614845738362,33.9202192899709],"QAT^FMA_PE(NTMA,-10AY,0,AM,\"PORTAGG\",\"MEANR\")":[15.5310202312606,15.1738951595653,13.4014350752462,13.4264940705225,14.1027703078594,13.7215188222866,13.3203988467145,13.8168415101428,13.0765344573308,13.1363016352142,13.0334437393992,13.2060789905884,12.8078200765209,12.01198210296,11.0205387829954,10.8640582590714,11.1689822485605,12.1557822179592,11.8515416847437,11.7806592582028,11.8594901186387,11.9001066053479,13.2399826404304,12.7684147418198,12.7960775298242,12.4441803140738,12.4157299919234,13.6357919909753,13.1931692517595,12.8961858059243,12.8320534140593,12.795884723463,12.18882665396,11.7195020579353,12.3369311612353,11.1433381544558,10.8279294238852,10.8426013308344,10.8192026498128,12.2907384446019,11.486845767271,10.4226705099094,11.5064581164324,11.0137609647053,11.5817420638274,11.5303816645292,12.4910697624926,12.6055118547447,12.529335117914,12.8954170756591,13.0951711056961,13.3098594219912,13.1023127203759,12.2304653185332,12.8759297550781,12.6482602286961,13.2134198624712,13.2243923337412,12.5294766393609,13.3009255122398,13.4205148191375,13.2749538892711,13.2476529939532,13.8007644969581,13.3446102019864,11.4302868252444,12.5346395050208,13.4594034486589,14.5144217713711,14.9075694179968,15.0913029661201,14.937370853855,15.5415933840094,15.0721404351635,15.0902385709386,14.3267855430326,13.7282791292077,13.4047677175284,13.818119493585,13.9660147546399,13.4843410985069,13.3351650802477,13.1689464032737,13.261053388307,13.3366179438757,13.6972982590782,13.1150051253125,13.3899802307421,13.6255000437441,14.3525412752309,14.2520716287841,13.5948551309412,12.6051366137615,12.1859617051299,13.7843754067218,12.7625942829995,12.9089689917112,12.9284622706384,11.9116323616057,11.817104260377,11.076941748175,11.2842213935793,10.9748489068856,11.3984460281954,11.1779722572231,11.0345311233299,11.6384640313679,10.8710440101486,10.3806687824573,10.5688007665041,10.3250921105723,10.7896290733448,10.2142262746933,10.5613167731285,10.1674333286889,9.90471956929698,9.77262205709724,10.3829194923897,10.3526294427124,10.545224750589,10.8965848680641],"COPP-FDS^FG_PRICE_CHANGE(0,-1AM)":8.52617250340304,"FC0000KR^FG_PRICE(0)":449.41107,"SET-BKK^FG_TOTAL_RETURNC(0,-6AM)":4.285705,"EWT^P_PRICE(0)/P_PRICE_HIGH_PR(0,,,,,,\"PRICE\",\"INTRA\",\"52W\")":0.94366443,"EPU^FMA_PCT_ABOVE_MAVG(200,0,,,,\"PORTAGG\")":76.9230769230769,"VNM^FMA_RBICS_REV_CURRENT(30, LOC, \"PORTAGG\")":55.4172344166415,"GREK^FG_FCF_YIELD_NTM(0)":3.19724567185072,"CAGDPY@KR^EE_ACTUAL_ANNUAL(MED,+1)":3.75,"USDKRW^FG_COMPANY_NAME":"South Korean Won per U.S. Dollar","USDIDR^FG_COMPANY_NAME":"Indonesian Rupiah per U.S. Dollar","MCHI^FMA_PE(NTMA,-10AY,0,AM,\"PORTAGG\",\"MEANR\")":[8.51208809179909,8.79472171706373,9.16215840891333,9.7564554995978,9.98618771362546,9.91779850378757,11.9620973176554,11.9097038511685,11.2240187534581,9.90160666354273,9.598943080007,8.84157678797595,9.36764678204092,9.4927017567679,9.15876889620359,9.44838606396929,8.90002738928226,9.33812974501241,9.96090849809623,9.66972208822085,10.8337884131191,10.8105510565914,11.7313017922808,12.6287044484672,12.594843141548,11.8616859815698,11.8272948234031,11.747177050836,12.2472906306148,12.2454998134194,12.1872099874091,12.7555297887234,13.130127931664,12.7476423237451,13.5030174124979,13.0969380669523,13.8513285783224,13.9979139675736,13.2275501344994,14.0769155485805,12.4985516996961,13.3948717793764,12.7257563702397,12.6733308450275,12.7122595348219,11.7988190725516,11.6534042330526,10.7090991067518,10.217192915949,10.2732478278699,10.4548924501395,10.455364212727,11.097391832245,11.3827060574123,12.3357408469075,11.533645971146,11.1337499799718,11.3477940316209,10.7908499679119,11.399083987187,10.9688245835289,11.5113573595318,11.6263458338655,12.5744206286459,12.1010357772519,11.8200106273163,12.0414263652381,12.6179906924615,13.9012083429786,15.6300560383551,14.7599323471528,14.6771158403014,15.1980107941194,15.3283243111041,15.286229787992,16.2730135841137,18.640577813656,16.4467256033609,16.0154864511551,15.0664602121028,15.9682562132563,15.0120593682537,14.2728602431311,14.097800039376,13.4058090867701,13.109186364536,12.8713400397649,12.3833727101056,12.4588432522736,10.2110388062097,10.744241024185,10.011980717474,11.7811203127902,11.9382058400173,10.5395806527671,10.8445351567992,9.50174879727422,9.15574749679448,11.0150124292791,11.6560883931392,11.3693831279059,10.4106554020226,10.9691848996271,10.4023783913244,10.3622601231387,10.1264782805717,10.713171015594,10.320707840937,9.89517328771966,9.69091066349171,9.1664813247641,8.91965263730303,8.72409146577093,9.00475697325927,9.53708127079374,10.5070339890767,9.99402014739361,9.48810521246649,9.05664588809528,8.70122777302272,11.0109314794053],"EWY^FMA_PE(LTMA,-10AY,0,AM,\"PORTAGG\",\"MEANR\")":[11.0399593773223,11.6725318657552,11.6213872434128,11.3919948748114,12.2021738873289,12.201632321478,12.0625405818021,11.8219841048795,11.419746417672,11.1466064928882,11.0446942743271,10.814236445186,11.0698270355285,11.3244399649351,10.4855655388589,9.7851634842725,10.4762671546181,10.6183948338973,10.6082535686155,10.5213069040032,10.5659713111807,10.4110448729004,10.5603801771548,10.6993800668399,10.7039033795259,10.8128366560325,11.0979095190745,11.1481063644782,11.6553899255292,11.6051346709182,11.3273541921318,11.1843810673705,11.1084300200251,10.8652865872246,10.5538022043615,10.3253335970394,10.4960302933179,10.4562386317666,10.1577553788598,10.340248357362,10.1610798740774,10.5382210233172,10.3659824353015,10.2264450389469,10.1199548216748,9.69968853606204,9.46903991252104,9.32911350777532,9.07549128238658,8.57881318136356,8.26440875991584,8.41991495855937,9.59990399234676,9.96817649836366,10.3903643720896,10.4461813390757,10.7520045755195,11.084811933598,11.0760636495528,11.7273984627578,12.0237670347398,13.3664215400155,13.6471083246722,14.6940502794748,15.710338122244,14.9747481140043,14.6570490002761,14.9456668625411,15.5861496785673,15.4551952122303,16.3234525717026,16.259329815497,16.1493177080227,16.3744911109785,18.6174412600521,21.9326265883258,21.4345340862063,20.1989014172076,19.5613646006294,18.1676827757781,17.1604677109267,16.1800324600817,14.9953095263255,13.7534247880182,12.4013470773528,11.1678506793946,10.3301225886425,9.42160483612889,9.42341749578819,9.29022592045863,9.31057527880311,9.11345538444698,9.1863891521077,8.923331763504,9.03917148204001,8.73661867542076,8.54712670473376,9.69222753888044,9.8003219720886,10.0072209840611,10.8277457881455,11.0797239580515,11.8433928662745,12.1592090910804,12.6221958875096,12.5029459347981,13.0920828257866,13.4557688582427,13.3136893289899,13.7723486835624,14.5275824711243,14.8733840197145,16.4035170388359,16.213009645275,15.632668367885,14.9817200548413,14.3434576869268,14.0051901103428,12.719475043111,11.7907145703045,11.4760559414723],"CPALM-FDS^FG_PRICE_CHANGE(0,-1AM)":9.26902788244159,"SET-BKK^FG_PRICE_MAVG(0,,,,60)":1374.4725,"VNM^FG_TOTAL_RETURNC(0,-6AM)":-6.1561527,"INDA^FG_TOTAL_RETURNC(0,-6AM)":9.345078,"ECH^P_PRICE(0)/P_PRICE_LOW_PR(0,,,,,,\"PRICE\",\"INTRA\",\"52W\")-1":0.1233629,"TRYMY10Y-FDS^PCTCHG(FG_YIELD(0,,,,\"YTM\"),FG_YIELD(-1AM,,,,\"YTM\"))":1.4563062,"EZA^FG_COMPANY_NAME":"iShares MSCI South Africa ETF","TRYZA10Y-FDS^FG_YIELD(-10AY,0,Y,,\"YTM\")":[7.9537,9.7513,8.9047,8.58389,9.37766,9.011772,9.174469,9.791837,10.764477,11.358896],"CC_IN^FG_COMPANY_NAME":"India","INDA^FG_TOTAL_RETURNC(0,-3AM)":0.6344676,"CC_CL^IMF_IFS_RCPI_Q(0)":null,"GREK^FMA_DIV_YLD(NTMA,NOW,NOW,M,\"PORTAGG\",\"MEANR\")":6.48806080840855,"VNM^FMA_ROE(NTMA,-20AY,NOW,FY,\"PORTAGG\",\"MEANR\")":[null,null,null,null,null,12.2007678582522,16.4162915324944,16.394053839446,15.4303491131499,15.2759317822094,10.9403666714676,8.5756546844961,13.4991404349356,12.1231419211942,15.1097267855615,15.4807939427972,17.0889112448112,18.3844905030187,14.7334622511066,10.732551314639],"TRYSA10Y-FDS^FG_YIELD(-10AY,0,Y,,\"YTM\")":[null,null,3.8912454,3.7299898,4.5715504,2.8775356,2.0844028,2.5113702,4.613973,4.608568],"CAGDPY@IN^EE_ACTUAL_ANNUAL(MED,0)":-0.731079343492458,"CC_AE^FG_COMPANY_NAME":"United Arab Emirates","USDVND^STD(FG_PRICE_CHANGE(0,-3AY,M))":1.33454167373091,"USDIDR^FG_PRICE_CHANGE(0,-3AM)":-3.540641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5170515,33.7104854449056,47.0115690516853,46.0161692432303,54.7053030058168],"EWZ^P_PRICE_RETURNS_PR('52W',2,-10AY,0,AM)":[-6.2629995,-10.836619,-15.781105,-11.068684,-12.657094,-20.666891,-24.21558,-21.259129,-29.804499,-31.965578,-40.409313,-52.07696,-44.390957,-39.573204,-36.599583,-45.778847,-39.952213,-12.168062,-20.159304,-19.724583,-16.648764,0.65044165,25.306583,43.467606,44.724262,43.30311,39.898155,88.37876,97.93392,45.819237,42.50319,35.813404,22.694504,16.465282,12.562299,21.95871,21.90287,18.541359,20.678257,22.333181,17.491364,29.055918,17.63407,10.585284,-0.2706766,-0.16636252,-7.587343,-21.253902,-8.565384,2.3190975,-0.9253025,4.611397,5.0756097,-4.5681357,1.7992854,-0.79548955,27.74192,42.61479,27.767504,34.392975,11.044669,12.808895,21.343433,10.841227,2.5774002,-19.082605,-37.357265,-41.167606,-22.735363,-32.3291,-27.226902,-26.119507,-27.685093,-24.22524,-13.530546,-18.214804,-15.311527,0.49004555,33.431435,65.03493,33.225025,29.712093,23.376823,17.13313,15.699017,-1.9171357,-16.054386,-21.787745,-0.75879097,15.702116,20.446348,-12.659293,-15.835625,-18.582886,-5.807966,1.0733724,12.620449,9.686971,10.763824,20.399666,-2.3002326,-11.021364,-18.546284,9.21936,10.691202,26.807487,11.604929,10.560095,4.0182114,20.661116,24.546825,25.201214,25.701977,21.748043,24.516928,14.3319845,-6.189555,-2.6141524,-1.3041735,1.5220046,-0.32554865],"PLATI-FDS^FG_PRICE(0)":960.0,"COPP-FDS^FG_PRICE_CHANGE(0,-6AM)":2.40541802895842,"SET-BKK^P_PRICE(0)/P_PRICE_LOW_PR(0,,,,,,\"PRICE\",\"INTRA\",\"52W\")-1":0.15343595,"EZA^PERCENT_CHANGE(FMA_EPS(+1,0,,,,\"PORTAGG\",\"MEAN\"),FMA_EPS(+1,-3AM,,,,\"PORTAGG\",\"MEAN\"))":-2.89799660385479,"EPU^PERCENT_CHANGE(FMA_EPS(+1,0,,,,\"PORTAGG\",\"MEAN\"),FMA_EPS(+1,-3AM,,,,\"PORTAGG\",\"MEAN\"))":3.94062051646529,"UAE^FMA_COS_UP(\"EPS\",\"1M\",+1,NOW,,,\"PORTAGG\",\"MEANR\")":10.0,"EWY^FMA_COS_DOWN(\"EPS\",\"1M\",+1,NOW,,,\"PORTAGG\",\"MEANR\")":37.0,"CNYA^FMA_COS_UP(\"EPS\",\"1M\",+1,NOW,,,\"PORTAGG\",\"MEANR\")":85.0,"SET-BKK^FG_ROE(0)":8.09979405363284,"REFTHREPO-FDS^FG_YIELD(NOW,,,0)":2.5,"REFCNRMB-FDS^PROPER_NAME(0,,,\"SECURITY\",\"NAME\")":"China Loan Prime Rate (LPR) - 1 Year","CC_PE^IMF_IFS_RCPI_Q(0)":null,"KSA^JULIAN(FMA_DIV_YLD(NTMA,NOW,NOW,M,\"PORTAGG\",\"MEANR\").DATES)":45565,"SET-BKK^FG_FCF_YIELD_NTM(0)":4.60099118016251,"GREK^FMA_EVAL_EBIT(LTMA,NOW,NOW,M,\"PORTAGG\",\"MEANR\")":8.02967098943599,"EPU^FMA_EVAL_EBIT(LTMA,NOW,NOW,M,\"PORTAGG\",\"MEANR\")":11.7915035190422,"QAT^FG_COMPANY_NAME":"iShares MSCI Qatar ETF","TUR^FG_PRICE(0)":33.84,"EWZ^FG_PRICE_MAVG(0,,,,200)":30.8152,"EPOL^FG_PRICE(0)":23.6,"VNM^P_PRICE(0)/P_PRICE_LOW_PR(0,,,,,,\"PRICE\",\"INTRA\",\"52W\")-1":0.111111164,"INDA^FG_TOTAL_RETURNC(0,-12AM)":28.055609,"EWW^FMA_PCT_ABOVE_MAVG(200,0,,,,\"PORTAGG\")":35.5555555555556,"EIDO^FMA_PCT_ABOVE_MAVG(200,0,,,,\"PORTAGG\")":64.8648648648649,"VWO^FMA_PCT_ABOVE_MAVG(200,0,,,,\"PORTAGG\")":36.8833368621639,"EWY^FMA_COS_UP(\"EPS\",\"1M\",+1,NOW,,,\"PORTAGG\",\"MEANR\")":29.0,"REFTWDISC-FDS^(SUBARRAY(NOT_NA(NO_REPEAT_F(FG_YIELD(NOW,-10AY,D))),0,1)-SUBARRAY(NOT_NA(NO_REPEAT_F(FG_YIELD(NOW,-10AY,D))),1,1))*100":12.5,"TRYIN10Y-FDS^FG_YIELD(-10AY,0,Y,,\"YTM\")":[7.86,7.89,6.63,7.35,7.35,6.55,5.9,6.45,7.33,7.19],"CC_TR^FG_COMPANY_NAME":"Turkey"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719901,0.557417673683109,0.621885469021717,0.869531876625146,1.21959709581891],"CPALM-FDS^MAX(FG_PRICE(0,-5AY))":8163.0,"GREK^FMA_EVAL_EBITDA(NTMA,0,,,\"PORTAGG\",\"MEANR\")":5.28194681553093,"USDIDR^FG_PRICE_CHANGE(0,-1AY)":-0.44486523,"VNM^FMA_PE(NTMA,-10AY,0,AM,\"PORTAGG\",\"MEANR\")":[12.1747152967076,12.1231237818893,12.1440897453505,12.0814293136982,12.5885148727414,12.197475877105,12.8027611542149,13.6452781018222,13.7377729426251,14.8625693184473,14.1903946196674,13.608507570857,14.0999281647033,14.2092421687338,11.7858996567517,11.6574289895179,13.6960567257769,15.5710268423937,12.7202598772818,12.5133681363998,12.6603200373731,12.2937624400182,11.5942865707768,11.6855879228971,13.4058248310657,12.4031756127054,12.3862602666697,12.7460410922664,13.2286847437057,13.0884608030298,14.1085105737752,14.9972695000885,14.5832728700381,15.6188320300996,16.0527254109066,16.1124129048161,15.9502604312886,16.355064462693,18.0807251074824,20.2127619577423,19.15404914531,20.8035889016322,21.7487439554921,20.112390062261,20.4026671061566,16.3534522729656,17.7730805053864,17.3956082157146,15.7235989021437,15.4205819259122,15.8172606563243,14.7763736228841,15.0596988679156,16.9796768785409,17.9290202047089,17.3993137965497,16.8520710085215,16.4815856930318,15.2664027396693,13.9720113394396,14.1828829771919,14.6478515234312,14.5554286660946,14.0689424593441,13.0586960379446,12.6620969112987,13.2499731034487,15.0884853614375,16.1467467972302,14.9948496650082,14.7726667892603,15.5036243585941,15.7369728208364,15.2202849337907,15.6262228392986,17.3761479025859,16.5257149606283,16.7818973416187,16.6039852850325,16.6024615185507,17.5843720974172,16.9837088252434,17.009550246721,16.2792686595129,16.0525816020189,16.1304042667938,16.6340410541445,15.939337559519,15.110719648018,14.5372052516754,14.3622911155843,12.6927592059954,12.6984035938289,10.7471319414122,11.3428639292771,11.1852901005624,10.4806593010889,9.55380679175193,11.7333673282323,11.1787781373199,11.0510360603357,12.5383170938843,13.7917350057546,13.7158089355531,13.9080346366724,13.4965470499904,14.5332047838302,14.9672301761988,13.7954136212999,13.8337244723697,14.5064256724841,14.4602760373035,14.6533148651541,16.5484999659233,16.0213746396218,15.549115564537,15.6471027411255,14.5533384791603,13.6935415899323,13.1389200482469,13.430800417001],"WL-FDS^FG_PRICE_CHANGE(0,-1AM)":9.27497107597377,"FC0000ID^FG_PRICE(0)":1153.8892,"SET-BKK^FG_PRICE_MAVG(0,,,,200)":1369.8771,"EWY^FG_PRICE_MAVG(0,,,,60)":63.9375,"EPHE^FG_PRICE(0)":28.71,"VNM^P_PRICE(0)/P_PRICE_HIGH_PR(0,,,,,,\"PRICE\",\"INTRA\",\"52W\")":0.8986341,"INDA^P_PRICE(0)/P_PRICE_LOW_PR(0,,,,,,\"PRICE\",\"INTRA\",\"52W\")-1":0.33817673,"URTH^P_PRICE(0)/P_PRICE_LOW_PR(0,,,,,,\"PRICE\",\"INTRA\",\"52W\")-1":0.36564958,"VGK^PERCENT_CHANGE(FMA_EPS(+1,0,,,,\"PORTAGG\",\"MEAN\"),FMA_EPS(+1,-3AM,,,,\"PORTAGG\",\"MEAN\"))":-0.12778129280666,"REFTWDISC-FDS^FG_YIELD(NOW,,,0)":2.0,"TRYTW10Y-FDS^PCTCHG(FG_YIELD(0,,,,\"YTM\"),FG_YIELD(-1AM,,,,\"YTM\"))":null,"EWW^FMA_EVAL_EBIT(LTMA,NOW,NOW,M,\"PORTAGG\",\"MEANR\")":9.98019395342281,"ECH^FMA_EVAL_EBIT(LTMA,NOW,NOW,M,\"PORTAGG\",\"MEANR\")":9.70751974742368,"GREK^FG_COMPANY_NAME":"Global X MSCI Greece ETF","TUR^FMA_ROE(NTMA,-20AY,NOW,FY,\"PORTAGG\",\"MEANR\")":[null,null,null,null,14.5323662756041,15.0832531129689,15.8676026141806,14.4769185864537,15.0590425800443,13.6524897976729,12.866544620472,12.7726870869254,12.8458107179109,15.2051271731034,14.7086929252537,14.839546743912,12.8830287014832,18.5724934994902,24.1409635144245,25.8460088493027],"CAGDPY@BR^EE_ACTUAL_ANNUAL(MED,0)":-1.00044711100741,"CC_CN^FG_COMPANY_NAME":"China","USDVND^FG_PRICE_CHANGE(0,-6AM)":-0.37292242,"USDIDR^FG_PRICE(0)":15665.0,"EPOL^P_PRICE_RETURNS_PR('52W',2,-10AY,0,AM)":[-7.687485,-9.496784,-11.301827,-12.125379,-18.359821,-22.424889,-18.0969,-8.554244,-19.058155,-18.469166,-17.733139,-21.832735,-17.32291,-23.240454,-31.657595,-29.480558,-23.869265,-14.171964,-18.988155,-30.173773,-27.122587,-22.28728,-13.289446,-14.505953,-14.549917,-7.9276443,5.283785,17.851818,24.389542,16.641594,16.175472,36.656605,36.651947,50.608944,37.422707,51.201187,49.7411,52.98412,47.665764,47.259403,32.17566,31.017769,20.761955,6.3138366,-0.17662644,-3.7277043,-7.8522444,-13.969994,-15.9727335,-14.361691,-11.640989,-11.710733,-9.590399,-11.962718,-6.223321,-10.724163,-2.5346935,3.5093665,-10.602808,-5.686325,-6.506932,-1.8043816,-10.010165,-8.209663,-12.467897,-27.012856,-37.632637,-31.152838,-18.923939,-24.885887,-11.313259,-17.046715,-15.871901,-20.86603,-0.13725162,-0.48636794,-4.0977535,19.366693,35.713707,43.690872,27.2735,29.887318,21.373856,34.545444,37.762165,34.86432,6.8867326,7.932484,12.709225,-9.848368,-2.6892781,-27.196175,-32.213963,-33.43492,-31.847889,-42.99543,-52.30522,-36.20878,-26.887863,-20.30493,-23.560684,-6.566268,-12.424601,23.948442,23.107052,38.677345,41.589607,47.423088,69.18091,44.790604,52.801548,33.27701,42.69625,48.196445,59.27569,41.65554,31.574165,36.426342,18.086874,39.70821,38.322197],"CPALM-FDS^FG_PRICE_CHANGE(0,-1AY)":22.8466534877153,"INDA^P_PRICE(0)/P_PRICE_HIGH_PR(0,,,,,,\"PRICE\",\"INTRA\",\"52W\")":0.9598251,"EWZ^FG_TOTAL_RETURNC(0,-6AM)":-8.210641,"SPY^FMA_COS_DOWN(\"EPS\",\"1M\",+1,NOW,,,\"PORTAGG\",\"MEANR\")":194.0,"EWW^FMA_COS_DOWN(\"EPS\",\"1M\",+1,NOW,,,\"PORTAGG\",\"MEANR\")":16.0,"TRYZA10Y-FDS^FG_YIELD_NAME":"Treasury - South Africa Benchmark Bond 10Y","REFQALEND-FDS^(SUBARRAY(NOT_NA(NO_REPEAT_F(FG_YIELD(NOW,-10AY,D))),0,1)-SUBARRAY(NOT_NA(NO_REPEAT_F(FG_YIELD(NOW,-10AY,D))),1,1))*100":-55.0,"TRYSA10Y-FDS^PCTCHG(FG_YIELD(0,,,,\"YTM\"),FG_YIELD(-1AM,,,,\"YTM\"))":4.8300986,"TRYTH10Y-FDS^FG_YIELD_NAME":"Thailand Benchmark Bond - 10 Year","CC_ID^IMF_IFS_RCPI_Q(0)":null,"SET-BKK^FMA_PE(NTMA,0,,,\"PORTAGG\",\"MEANR\")":14.8727028271949,"EPU^FG_FCF_YIELD_NTM(0)":7.5122377173252,"USDEUR^FG_PRICE_CHANGE(0,-6AM)":-1.5517712,"USDPEN^FG_PRICE_CHANGE(0,-6AM)":1.5797734,"WL-FDS^FG_PRICE_MAVG(0,,,,30)":560.11,"EWY^FG_PRICE_MAVG(0,,,,30)":63.447,"SPY^FMA_COS_UP(\"EPS\",\"1M\",+1,NOW,,,\"PORTAGG\",\"MEANR\")":144.0,"REFTWDISC-FDS^PROPER_NAME(0,,,\"SECURITY\",\"NAME\")":"Taiwan China Discount Rate","TRYPH10Y-FDS^FG_YIELD(0,,,,\"YTM\")":5.7788634,"TRYUS10Y-FDS^FG_YIELD(-10AY,0,Y,,\"YTM\")":[2.1881,2.2961,2.4752,2.4325,2.6836,1.9185,0.9174,1.5119,3.8776,3.8791],"USDQAR^FG_PRICE_CHANGE(0,-6AM)":0.0,"KSA^FMA_DIV_YLD(NTMA,-10AY,0,AM,\"PORTAGG\",\"MEANR\")":[null,null,null,null,null,null,null,null,null,null,null,null,4.32575631185176,4.7593815524217,4.62377427593024,5.07727485405112,5.2633785643171,4.65471988700194,4.65091864400436,4.194042324425,4.04052966599725,4.26677025167458,4.39209063979998,4.61137988361162,4.97007530096401,4.3368989180559,3.79366491695807,3.94402903342987,3.84727859337852,3.87154644277774,3.96244494040779,4.08821313199165,3.98280611405161,3.74365421798551,3.80569410624599,4.21287996423885,4.36027750110195,4.34702153978645,4.34045707859179,4.29832056577535,4.27357642254402,4.16567174696765,3.89030157051397,3.92114205462652,3.6958979510439,3.7753451018149,3.94174811291254,4.32823080341634,4.28818187914238,4.35831173460214,4.23643517837305,4.05015866695446,3.89755576814988,3.92053458372641,3.69927051879257,3.80606841557101,3.81673203868767,3.86546364090346,3.98843549994663,4.21617856338053,4.36103793076302,4.22869017836591,4.09899032515491,4.04097108850474,4.34622702721948,5.1861257240155,4.69456807638556,4.68119647653455,3.98528109865532,3.81993981261467,3.73945873418586,3.45031846722008,3.31658766376914,3.40241860619412,3.48003061273704,3.53454119838335,3.53512001101042,3.41324681696862,3.31239354311659,3.30633835944032,3.22454718491348,3.26140334304206,3.11768230185119,3.06653478088548,3.01482930444671,2.98245604254921,3.29231933934572,3.13045506975766,3.0571470587692,2.89241589104746,2.81104397677841,2.69931884901613,2.96122599732008,3.34131139312361,3.13192024215271,3.29790706347041,3.42761256405126,3.49532112718373,3.82655088519163,3.70262178998362,3.75613102733767,3.76652156126468,3.55345901842964,3.42159335026025,3.46420358794305,3.42685507925951,3.57562906124385,3.65614617706219,3.89280950579476,3.83674533144263,3.75685252286971,3.40855480636159,3.37601258451003,3.30467490122042,3.3376704219282,3.54698939995484,3.5433378894908,3.62933630159304,3.73080429655254,3.65628488842428,3.68614622893309],"SET-BKK^FG_TOTAL_RETURNC(0,-1AM)":2.835369,"EWT^FG_TOTAL_RETURNC(0,-3AM)":-4.2897344,"EPOL^FG_TOTAL_RETURNC(0,-12AM)":38.322197,"EWJ^SIZE(FG_CONSTITUENTS)":199,"EWW^FMA_COS_UP(\"EPS\",\"1M\",+1,NOW,,,\"PORTAGG\",\"MEANR\")":20.0,"UAE^FMA_RBICS_REV_CURRENT(30, LOC, \"PORTAGG\")":57.6640333699674,"REFQALEND-FDS^FG_YIELD(NOW,,,0)":5.7,"TRYQA10Y-FDS^FG_YIELD_NAME":"Treasury - Qatar Benchmark Bond 10Y","TRYPH10Y-FDS^FG_YIELD_NAME":"Philippines Benchmark Bond - 10 Year","EPU^FMA_PE(LTM,0,,,\"PORTAGG\",\"MEANR\")":17.3463202446164,"USDTHB^FG_PRICE_CHANGE(0,-1AM)":-0.4593253,"USDEUR^STD(FG_PRICE_CHANGE(0,-3AY,M))":2.17172756290048,"USDKRW^FG_PRICE_CHANGE(0,-1AY)":0.051867962,"USDPEN^STD(FG_PRICE_CHANGE(0,-3AY,M))":2.22805126129193,"KSA^FMA_PE(NTMA,-10AY,0,AM,\"PORTAGG\",\"MEANR\")":[null,null,null,null,null,null,null,null,null,null,null,null,12.6598955556203,12.0412951235574,12.6256062373959,11.401778172529,11.3456982820122,12.9463711210929,12.6351513691329,13.4458883155678,13.880843685782,13.354920585703,13.032339633164,12.5822940844468,11.6082592777679,13.2773933027013,14.280733247771,14.0428130602914,14.1425416037294,13.8687063659017,13.9936560038118,13.3940643524559,13.719624218577,14.4553660293348,14.1617718561408,14.0871574934562,13.2228197896179,13.0821735736309,13.1891686899917,13.5503015265698,13.5541507451612,13.8908146363295,14.7278522387221,14.4801355607336,15.2380129083984,15.0853675255296,14.4610193737305,13.6063151748724,13.8545957461643,13.6306719853116,14.1167644453567,15.1027727608771,16.1648010892999,15.9877085834351,17.1134160752298,16.5347994140202,16.6743402082679,16.4075154732799,16.6667186556045,16.7221429912355,16.2542950858613,16.4719066364108,16.5499898814185,16.8330417802139,16.0920476656454,14.1669593682315,15.9088379623788,17.1518079661169,19.6595140398736,19.4959060695898,19.6217333683242,21.2407495562342,21.5455684591949,20.9685919671528,19.6270993026826,19.1312549284493,18.7088721858571,19.1741115091265,19.3503014362998,19.1142721462195,19.3774149975663,19.1041811647391,19.1740158380694,19.079522626946,19.0336561438988,18.9360196779336,17.1923774695327,18.2216526835133,18.98998610219,19.4464825579167,19.2036029329067,18.8099242080194,16.9721283766854,15.608337414421,16.4474572757876,15.4549856769275,14.9701145751173,14.778576157788,13.9051924934289,14.6225450336035,14.4386874853867,15.0359749565718,15.7165407030748,16.4826928594121,16.9474383177574,17.2400552373743,17.1929015971302,16.6653743233217,15.6886081702441,16.05725956036,16.5029151893399,18.5032453304111,18.5627981278441,18.4078411802975,18.3794152840492,17.3347870502032,16.9880907060081,16.739352363926,16.2423304721721,16.8113371034046,16.6432417970294],"INDA^FMA_PE(LTMA,-10AY,0,AM,\"PORTAGG\",\"MEANR\")":[17.8707559475633,18.8729197736592,19.2584710041681,19.2806749525925,20.2745114431898,20.9353559130327,20.8270656491246,20.2811611196908,20.154295997905,20.658674282277,21.1316325229811,20.190650757976,20.7979494582569,20.0968485849511,19.8309115139592,19.7550897802289,19.1364732783519,18.9466585823329,18.8226567052472,18.9669748689359,19.0693108217066,19.2447763298073,19.6497710739846,19.9137210931366,19.8858900311802,19.3828241812742,19.1124075657569,19.2391239497753,20.1070492719002,20.4639897103187,20.4009788401218,20.4383912079538,20.4244170376401,20.4954196562403,20.6222090474006,20.9569372596824,21.1295927737273,21.7642177804437,21.910008983183,22.9164866278207,21.8340138406495,21.5923071828849,21.3950981158672,21.3186515544786,21.3471250259786,21.286046670421,22.0116473776191,22.2548010615767,20.6129951730251,21.2577489578739,20.8904364484615,21.3160837332435,21.9521548892738,21.6914979797414,21.5981193136516,21.2477868480127,21.6207729392535,21.1194969602306,21.0706648452326,21.1422272404938,21.1535940050224,22.8126748366875,22.7075277206542,23.4908209833385,23.2263748916554,20.9527597929987,20.376483363516,20.991681865446,22.5641904522485,24.1850628729165,25.4313062592961,25.7375669749313,26.909479492674,27.0561795069145,32.1205138353301,34.5192105545728,32.9057703269336,31.0524194063385,30.2395328511207,29.5189416245291,29.4106365155942,28.7646830729365,28.8289403900866,29.5036999837388,29.4627123225532,29.4075086102092,28.9580079339966,29.3278116106461,27.9946411351638,26.2838633609434,26.2856626167951,25.2018304637383,24.8793717098674,24.5543279740975,25.7381334560467,25.8982901504733,25.1190039084155,25.995111349241,26.7070083286194,25.7403685400421,25.3246291927106,24.0624784218924,23.7767703159561,23.9199273908126,23.961311360074,24.3233519433029,23.776106588095,23.7565065888945,23.5501326697419,23.1690585288302,24.8160058915335,25.6983544309691,26.1667568554374,26.1645564699807,25.9683313359088,25.5225451687942,25.8229396463786,26.2944292332209,26.2259216106458,27.1651658529193,26.8514475229745],"WL-FDS^FG_PRICE_CHANGE(0,-3AM)":1.59555396199356,"EWJ^FG_TOTAL_RETURNC(0,-3AM)":-0.53310394,"TRYTW10Y-FDS^PCTCHG(FG_YIELD(0,,,,\"YTM\"),FG_YIELD(-3AM,,,,\"YTM\"))":null,"TRYTR7Y-FDS^FG_YIELD_NAME":"Treasury - Turkey Benchmark Bond 7Y","TRYPE10Y-FDS^FG_YIELD_NAME":"Treasury - Peru Benchmark Bond 10Y","CC_PL^IMF_IFS_RCPI_Q(0)":null,"EWY^FMA_PE(LTM,0,,,\"PORTAGG\",\"MEANR\")":14.1181684228013,"EIDO^JULIAN(FMA_DIV_YLD(NTMA,NOW,NOW,M,\"PORTAGG\",\"MEANR\").DATES)":45565,"TRYKR10Y-FDS^FG_YIELD(-10AY,0,Y,,\"YTM\")":[2.6272,2.0852,2.0916,2.4797,1.9804,1.6728,1.7238,2.2417,3.6906,3.1928],"USDVND^STD(FG_PRICE_CHANGE(0,-1AY,AM))":1.05880324487401,"USDTHB^FG_PRICE_CHANGE(0,-1AY)":-8.586198,"USDIDR^FG_PRICE_CHANGE(0,-1AM)":1.3915896,"EPU^P_PRICE_RETURNS_PR('52W',2,-10AY,0,AM)":[1.4841795,-1.1031628,3.443718,-1.3097286,-5.5102167,-11.443626,-11.174637,-9.524864,-13.850063,-21.255796,-26.095217,-35.1212,-26.136816,-30.491924,-35.321133,-39.232872,-32.28233,-11.217487,-13.17088,-2.2301257,2.9869914,14.757442,35.08003,49.121307,34.280205,51.815544,58.158028,80.15743,81.78268,33.969284,37.9225,16.313053,14.7223835,7.7135324,4.003811,13.508881,29.21183,24.983131,21.655857,28.423584,16.646194,34.513687,31.508123,32.57935,27.842855,19.47707,11.627615,-5.346179,-8.416146,-13.261819,-8.230901,-12.477284,-4.298103,-6.827688,-7.773322,-14.732247,-13.904751,-2.67331,-11.051083,-0.3861487,-3.7734509,-0.11051893,-0.057935715,3.0744553,-7.016647,-19.778788,-37.630207,-26.723217,-14.361614,-21.124613,-7.147378,-8.7928,-8.616983,-11.982632,2.5635004,0.83839893,12.361932,24.529362,53.548027,34.29146,4.764843,3.3869863,-14.198547,-8.556259,-4.996443,0.7857442,-15.45884,-9.852087,-6.234354,4.5927167,2.1713972,-16.315067,0.80963373,-6.1552286,8.420563,2.6146054,-3.0689776,2.8288484,8.945131,4.1781306,-8.288121,-17.007196,-11.8547735,16.180277,7.4563622,28.503572,29.76302,27.875471,20.07388,5.885577,7.2422385,13.204443,16.128302,30.754053,38.570892,42.919075,41.125084,41.56078,23.160957,30.008198,54.945957],"CNYA^FG_TOTAL_RETURNC(-10AY,0,AM)":[null,null,null,null,null,null,null,null,null,null,null,null,null,null,null,null,null,null,null,null,null,null,1.739645,0.30846596,0.0,0.49353838,0.79334974,-2.9624224,1.996088,0.37989616,4.476464,-6.8057117,8.166468,2.8199792,3.7079096,5.961168,0.99999905,3.2896876,-2.8756976,6.387055,-6.9428444,8.996761,-4.127079,-2.291739,-1.9017398,-11.251915,-4.875368,-3.942579,-1.3999999,-1.8389463,0.59223175,0.02259016,5.0408006,11.933815,12.251902,-10.818195,-3.6049008,6.1686635,-6.261057,8.905661,-1.247406,3.8245678,-2.3656666,8.476507,-5.7611823,7.581961,-9.460318,4.032254,2.8648496,20.810866999999998,0.55583715,-3.5443664,6.689477,5.666387,1.3685107,12.293243,6.835723,-16.202276,1.2068987,0.7300973,8.536816,-2.8316557,-0.43598413,0.87578297,-1.644963,-0.74332356,5.195415,-5.185837,-4.0492535,-6.959528,-2.201599,-12.693251,9.711218,6.695032,-6.1951637,-3.8265288,-11.788977,2.338791,6.333661,4.640794,0.75142384,-4.6539426,3.2656431,-3.4047723,-7.2110176,-0.15243888,3.0703902,-7.8008533,0.24955273,-2.9202282,-2.7916372,-3.8479567,1.2632847,6.060004,-2.017516,5.555558,-3.5333097,-3.1084478,-1.7377615,-3.6575556,26.61661],"EPHE^FG_PRICE_MAVG(0,,,,30)":28.716667,"USDEUR^STD(FG_PRICE_CHANGE(0,-1AY,AM))":1.21308000708563,"USDPEN^STD(FG_PRICE_CHANGE(0,-1AY,AM))":2.28818999864802,"CPALM-FDS^FG_PRICE(0)/MAX(FG_PRICE(0,-1AY))":0.949989080585281,"ECH^FG_TOTAL_RETURNC(0,-12AM)":8.991361,"TRYTH10Y-FDS^FG_YIELD(0,,,,\"YTM\")":2.539623,"TRYPL10Y-FDS^FG_YIELD(-10AY,0,Y,,\"YTM\")":[2.5048,2.9303,3.6245,3.292,2.8144,2.1086,1.235,3.6216,6.8411,5.1912],"ECH^JULIAN(FG_TOTAL_RETURNC(-10AY,0,AM).DATES)":[41922,41953,41983,42013,42045,42073,42104,42132,42165,42195,42226,42257,42286,42318,42348,42377,42410,42439,42468,42500,42531,42559,42592,42622,42653,42684,42713,42745,42776,42804,42835,42865,42895,42926,42957,42986,43018,43049,43077,43110,43140,43168,43200,43230,43259,43291,43322,43353,43383,43413,43444,43475,43504,43532,43565,43595,43626,43656,43686,43718,43748,43777,43809,43840,43871,43900,43930,43959,43992,44022,44053,44084,44113,44145,44175,44204,44237,44265,44295,44326,44357,44386,44418,44449,44477,44510,44540,44571,44602,44630,44659,44691,44722,44750,44783,44813,44844,44875,44904,44936,44967,44995,45026,45056,45086,45117,45148,45177,45209,45240,45268,45301,45331,45359,45392,45422,45453,45483,45513,45545,45575],"INDA^FG_ROE(0)":15.6166037405788,"VNM^FMA_EVAL_EBITDA(NTMA,0,,,\"PORTAGG\",\"MEANR\")":10.1016556677533,"EIDO^FG_PRICE_MAVG(0,,,,200)":21.36545,"URTH^P_PRICE(0)/P_PRICE_HIGH_PR(0,,,,,,\"PRICE\",\"INTRA\",\"52W\")":0.99526644,"SET-BKK^FMA_COS_DOWN(\"EPS\",\"1M\",+1,NOW,,,\"PORTAGG\",\"MEANR\")":56.0,"TRYBR10Y-FDS^FG_YIELD_NAME":"Treasury - Brazil Benchmark Bond 10Y","TRYQA10Y-FDS^FG_YIELD(0,,,,\"YTM\")":null,"EWW^FMA_EVAL_EBITDA(NTMA,0,,,\"PORTAGG\",\"MEANR\")":5.79265862671285,"EPU^FMA_DIV_YLD(NTMA,NOW,NOW,M,\"PORTAGG\",\"MEANR\")":3.73809976580406,"ECH^FMA_EVAL_EBITDA(NTMA,0,,,\"PORTAGG\",\"MEANR\")":5.87939091333683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18951,8.38849749811116,9.94747027091187,10.1243578125464,9.34882411898388],"USDVND^FG_COMPANY_NAME":"Vietnam Dong per U.S. Dollar"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300195767834,14.9311682629718,18.5635369281671,21.0634097781941,24.0427741588571],"EPHE^P_PRICE_RETURNS_PR('52W',2,-10AY,0,AM)":[5.0934196,13.963997,21.650791,26.455807,32.65985,21.03628,23.84317,12.53581,4.619324,3.0918717,3.445959,-11.268436,-0.53139925,-10.330105,-9.869396,-19.30524,-20.967733,-15.136504,-14.771849,-12.499535,-0.21733046,4.7330976,6.016624,9.418285,0.20164251,-0.7583976,-0.47563314,11.92094,6.8379283,-1.883167,0.8409023,4.4813275,-3.466338,-8.306998,-11.967105,-3.6230028,2.8894305,11.923944,11.70032,14.043676,7.590151,8.215332,-4.2590914,-7.940727,-11.971169,-14.788448,-6.6385746,-13.452303,-24.013794,-22.89841,-15.788656,-11.390644,-3.1923532,-6.6611824,2.6227236,-0.46073794,6.9482803,19.325912,2.42486,10.795283,20.06899,21.584724,9.882712,-1.2948692,-5.9908986,-15.3247595,-31.81002,-26.559526,-17.118622,-23.120802,-21.265299,-22.304857,-18.920725,-9.811008,-3.0459821,-1.7155945,-1.2223542,8.935285,26.129353,18.32155,11.60109,9.984279,9.871399,17.126238,17.276405,4.468572,0.19026995,-5.8560667,2.4734855,1.2834668,4.3661714,-0.34354925,-12.424898,-13.520802,-6.1775327,-13.707399,-27.104986,-23.162252,-17.451609,-8.686626,-10.649925,-11.927122,-11.669552,-4.358226,-6.69353,1.2436152,-2.06784,-3.0083835,13.301504,0.21722317,-3.7959814,-4.64803,-0.743109,5.6558847,1.2324214,-3.6856413,-3.1125367,-0.62075853,2.4242043,17.101824,18.194412],"INDA^FMA_PE(NTMA,-10AY,0,AM,\"PORTAGG\",\"MEANR\")":[16.3579471175283,17.1131479396053,17.0721566450451,16.8402737742472,17.7667472327742,18.1584667622038,18.3246011543807,17.103911169771,17.1362342681008,18.140850752603,18.7558132069048,17.3637211448194,17.96123044885,17.1380826435885,16.7820174361027,16.636329109476,16.2341825750478,17.0109483329907,16.8614268765078,17.4582586538993,17.5876363342603,17.7529819387396,18.1350008191812,18.1990712486189,17.8371391229333,16.9751442909054,16.5213187633103,16.4237019918953,17.4097070080187,17.5633278032559,17.990151052922,18.3070444937802,18.3103081474484,18.4086451656309,18.4666324110739,18.7029863691932,18.5890624595166,18.8533883109577,18.6467256975957,19.1888788713416,18.4812762931262,17.9564508649568,18.1524023559585,18.3918064291682,18.7141766541316,18.6704758215583,19.6108023954956,19.7119251132926,17.4907204760871,17.9661545944518,17.4839784717449,17.771863329155,18.3551367642677,18.4564255435098,18.8912951441789,18.2315516723894,19.2384214917551,18.2888853928591,18.218794745298,18.1639108210396,17.9190156097336,19.2380717465084,18.8406368059536,19.1890611246527,19.1071105598818,16.5413500293425,15.6608067498677,18.0737459376994,21.2962072743586,23.1779236254272,23.8432322403159,23.0899641929122,23.3617853279943,22.7300400957115,24.0850172879581,24.722279072693,23.7812675369085,23.8213144578193,22.9193749894828,22.5962604892327,23.4968911437191,22.9869723381438,23.4967751146438,24.6641503168057,24.5791091821453,24.2172008286309,23.5363020670171,23.7248798975014,22.6321465219141,21.1664378092295,22.5486042403285,20.354715448875,20.51483332047,20.4851382162081,22.4717325047467,22.6598901464652,21.6300813415032,22.3019569717492,22.7213168069075,21.7204715731995,21.1118729897719,20.1761110129394,20.1175528941794,21.0475890292056,21.3455647855704,21.9851323160401,20.9810089719533,20.8902626258884,20.5292203434766,20.0372278335112,21.3860750239181,21.9327885798821,22.4536198865632,22.7126932202013,22.8742705341128,22.1332969850375,23.138018327236,24.0301243293731,23.7551889759382,24.6359753578244,23.9695956721569],"COPP-FDS^FG_PRICE_MAVG(0,,,,30)":4.2925167,"EWZ^FG_TOTAL_RETURNC(0,-3AM)":-1.0756373,"GREK^FG_ROE(0)":15.1054393225903,"VNM^FG_FCF_YIELD_NTM(0)":2.80185827446995,"USDCNH^STD(FG_PRICE_CHANGE(0,-3AY,M))":1.81494374810926,"USDZAR^FG_PRICE_CHANGE(0,-1AY)":-8.026999,"USDTWD^STD(FG_PRICE_CHANGE(0,-3AY,M))":1.77487695514047,"EZA^FMA_DIV_YLD(NTMA,-10AY,0,AM,\"PORTAGG\",\"MEANR\")":[3.60799647731633,3.34433163571852,3.46366665518874,3.3274511758692,3.14580493875976,3.11645787685642,2.94591454273491,3.08235661978713,3.25046482047563,3.20242426046085,3.22952359856755,3.46300285133972,3.21741411745345,3.30900634737838,3.66247154828462,3.71940110870788,3.66503059434454,3.41674922780992,3.28861190641936,3.39688568712988,3.15138422258437,3.1040350322767,2.95696867019941,3.05441117812587,3.19736609843631,3.29434340407807,3.29088990879991,3.18507900428541,3.14495112675664,3.19661787629188,3.21256357236457,3.049665479833,3.34120703753508,3.37836175193703,3.16802035582,3.2921777918887,3.2631398122059,3.22171044708072,3.50465491269449,3.36001350030746,3.5333758196255,3.16682487639612,3.29621704247968,3.31394513801204,3.43731697379297,3.50000716856973,3.60410594688457,3.71830264263182,4.078562366185,3.9639395574585,4.03055553609118,3.75114314870341,3.79641493031864,3.96165282577594,3.68883488710249,3.8242021338622,3.75036183651355,3.82002833630584,4.01406276916453,4.04213814425564,4.28547681111996,4.16317277820817,3.92372219411625,3.73841231628483,3.78601863723764,4.59470880195627,4.63145552142351,3.49921383211704,3.42186566495552,3.43470044765325,3.45330862531696,3.30164216503753,3.54469237111355,3.44200799643184,3.88053367706032,3.7708484333417,3.75159009215355,3.78122784989061,4.06373291210782,4.29574633099695,4.10993317575267,4.50346388171618,4.50253639875838,5.1421350872036,4.70459219142626,4.58347990729496,4.6844233853768,4.53375662226804,4.29135629200504,4.43450435363309,4.44773139353285,5.11192447102187,5.15813778073163,4.81120458033603,4.89542488294622,5.13817021016793,5.52631340179725,5.00123785070473,4.85923884984286,4.61269403609083,4.67490271098991,4.78158888607899,4.57379016799776,4.59447493858356,4.59951008727204,4.47665973360877,4.20446584287247,4.40444060671828,4.4387912418329,4.53132505574061,4.29793529669644,4.35085530140408,4.33569019411692,4.20689879999091,4.07112743413803,3.97934193920671,4.2049556374024,3.96567296050185,3.93767687574502,3.92333375982695,3.73212931590667],"EPU^FMA_PE(NTMA,-10AY,0,AM,\"PORTAGG\",\"MEANR\")":[11.9983990029049,12.1468765020524,12.5102115803669,12.1995038820312,13.1567444538418,12.2530324238135,12.889923755457,13.2861435703147,13.9088135015166,12.8993003405316,12.6412126656601,11.2084614850745,12.223906545043,7.84733363213055,7.44316462143713,11.3765046654117,13.1111069947796,14.7918057502774,14.583588431623,15.3685559121018,14.4065036681528,14.6037026222308,14.6195153132931,13.8410657166422,12.9468389849444,12.0868379926732,11.7459168099893,12.023826398595,13.680164753412,12.9191561255992,12.2533602866028,11.0960298278699,12.100138126064,11.9119985788233,12.6045553702567,12.4840667066387,13.0531719631061,13.0785455228169,12.2261037377766,13.7815976700499,12.8398893499127,13.8673282738856,13.8708032293465,13.738678526852,13.1647708681576,13.4957998444899,14.0433289283248,12.2826768721281,12.9684549247629,13.0883556163768,13.1509001108661,13.8020065726553,15.7004663051304,15.2252920089324,15.5158437104511,13.4642005692872,13.2642200659553,13.6392799571076,14.4594853882302,13.9888648401488,13.5083297429268,13.9942786412419,13.6769682934228,14.5193773037828,14.4141453462583,13.0405329290653,10.399383562857,14.548373253364,18.4985660261428,19.7876837892904,21.3149818482837,21.559246949346,20.6185218822917,17.3547148051536,16.3024256054349,14.6672413339025,15.3725550334812,14.9589781009848,12.4018386948314,11.8163037087922,9.51868899725951,8.80799955355568,8.49964049141413,8.96918554071646,9.68473921545362,9.91230889053359,9.80985667863884,10.5570516851493,11.1585550927267,11.6350517052139,10.2951049223289,7.84254693226485,8.05994430729994,7.03893041966043,7.70277959949497,8.02217699928378,8.28345535664302,9.65718973427859,9.66547062510733,9.82144430345779,9.69675682138622,9.42216144379174,9.71862430059744,9.67144911234804,9.84369004185277,10.0872238711328,10.8125071655365,9.91525200901056,9.46629809827265,9.59976648271105,10.3837644701945,11.4222082206038,11.4200367560496,12.307969992737,13.1096842399474,13.7048989771611,11.6798790559911,11.6427633650075,10.4287762306723,10.3957206202519,11.4993770604732],"ECH^JULIAN(FMA_DIV_YLD(LTMA,-10AY,0,AM,\"PORTAGG\",\"MEANR\").DATES)":[41922,41953,41983,42013,42045,42073,42104,42132,42165,42195,42226,42257,42286,42318,42348,42377,42410,42439,42468,42500,42531,42559,42592,42622,42653,42684,42713,42745,42776,42804,42835,42865,42895,42926,42957,42986,43018,43049,43077,43110,43140,43168,43200,43230,43259,43291,43322,43353,43383,43413,43444,43475,43504,43532,43565,43595,43626,43656,43686,43718,43748,43777,43809,43840,43871,43900,43930,43959,43992,44022,44053,44084,44113,44145,44175,44204,44237,44265,44295,44326,44357,44386,44418,44449,44477,44510,44540,44571,44602,44630,44659,44691,44722,44750,44783,44813,44844,44875,44904,44936,44967,44995,45026,45056,45086,45117,45148,45177,45209,45240,45268,45301,45331,45359,45392,45422,45453,45483,45513,45545,45573],"NI-FDS^FG_PRICE_CHANGE(0,-6AM)":-7.72128060263654,"FC0000TW^FG_PRICE(0)":380.01746,"MCHI^FG_PRICE(0)":52.35,"EWT^FG_PRICE_MAVG(0,,,,30)":53.20233,"GREK^FG_TOTAL_RETURNC(0,-3AM)":-1.2432098,"EWY^FG_TOTAL_RETURNC(0,-6AM)":-0.0631392,"EWM^FG_TOTAL_RETURNC(0,-12AM)":29.246925,"MCHI^FMA_COS_UP(\"EPS\",\"1M\",+1,NOW,,,\"PORTAGG\",\"MEANR\")":144.0,"EPU^FMA_COS_UP(\"EPS\",\"1M\",+1,NOW,,,\"PORTAGG\",\"MEANR\")":7.0,"EWY^FMA_RBICS_REV_CURRENT(30, LOC, \"PORTAGG\")":16.0568848426695,"EPHE^FG_ROE(0)":12.5806088418315,"REFSAREPO-FDS^(SUBARRAY(NOT_NA(NO_REPEAT_F(FG_YIELD(NOW,-10AY,D))),0,1)-SUBARRAY(NOT_NA(NO_REPEAT_F(FG_YIELD(NOW,-10AY,D))),1,1))*100":-50.0,"REFEUREFI-FDS^(SUBARRAY(NOT_NA(NO_REPEAT_F(FG_YIELD(NOW,-10AY,D))),0,1)-SUBARRAY(NOT_NA(NO_REPEAT_F(FG_YIELD(NOW,-10AY,D))),1,1))*100":-60.0,"REFPL7D-FDS^PROPER_NAME(0,,,\"SECURITY\",\"NAME\")":"Poland Reference Rate - 7 Day","TRYID10Y-FDS^PCTCHG(FG_YIELD(0,,,,\"YTM\"),FG_YIELD(-3AM,,,,\"YTM\"))":-4.0397887,"CC_TR^IMF_IFS_RCPI_Q(0)":null,"UAE^FMA_PE(NTMA,0,,,\"PORTAGG\",\"MEANR\")":9.45786690683383,"MCHI^FMA_EVAL_EBITDA(NTMA,0,,,\"PORTAGG\",\"MEANR\")":10.2050204130045,"EZA^FMA_PE(LTM,0,,,\"PORTAGG\",\"MEANR\")":15.7863609233137,"EPU^FMA_ROE(NTMA,-20AY,NOW,FY,\"PORTAGG\",\"MEANR\")":[null,null,null,null,null,21.6487924933022,26.674075406927,23.3940784657959,19.9442083003203,14.2295976118279,12.7121203643147,8.83035011509517,12.5824807721625,12.1461987185301,10.92253300719,11.9146022967026,12.0860259459606,15.0555654862212,13.622580993775,12.9324471430953],"TRYGB10Y-FDS^FG_YIELD(-10AY,0,Y,,\"YTM\")":[1.8155,2.0248,1.2817,1.2536,1.3339,0.822,0.197,0.966,3.662,3.534],"CAGDPY@VN^EE_ACTUAL_ANNUAL(MED,0)":null,"CAGDPY@PE^EE_ACTUAL_ANNUAL(MED,0)":0.830176564820384,"CC_ID^FG_COMPANY_NAME":"Indonesia","USDTRY^STD(FG_PRICE_CHANGE(0,-3AY,M))":7.46322493026029,"USDPLN^FG_PRICE_CHANGE(0,-1AM)":1.3517618,"FC0000CL^JULIAN(FMA_EPS(NTMA,-20AY,0,CY,,\"PORTAGG\",\"MEANR\").DATES)":[38352,38716,39080,39447,39813,40178,40543,40907,41274,41639,42004,42369,42734,43098,43465,43830,44196,44561,44925,45289],"SET-BKK^FG_TOTAL_RETURNC(-10AY,0,AM)":[-1.85889,0.9415746,-0.49637556,-1.9325972,4.285276,-4.00762,1.0966301,-2.4111152,-0.4283309,-1.2725711,-4.36191,-1.6878724,1.086545,-0.9175718,-7.191181,-4.1330757,4.8674583,5.6961536,-0.6830752,1.496017,2.8112411,1.8499732,6.3531756,-6.643498,0.812304,3.928566,0.79642534,2.9993773,0.835824,-2.859503,2.6806712,-1.3205171,0.40632486,0.17808676,0.1401782,4.07027,4.361677,-1.0351777,1.0205507,5.1801324,-0.47188997,-0.6202221,-0.81222653,-0.79842806,-1.4225245,-4.555064,3.7941098,-0.8470297,1.7918825,-3.0955553,-1.1105657,-3.7794173,4.0343165,-1.3053417,1.9636631,-0.8086026,0.97289085,4.4872165,-5.1045475,0.92630386,-3.5073519,1.8880248,-5.1830173,1.7817616,-2.8716385,-17.195356,-3.3998013,3.0935764,12.065374,-4.8119187,-2.1095872,-2.35399,-1.8398166,5.8478117,10.544729,3.6265612,-1.2691677,3.6988974,-0.4265666,1.3924241,2.3373127,-4.502642,-0.61014295,6.0112,0.24826527,-0.5453229,-0.7507026,2.39954,2.772379,-3.2836199,2.3629665,-3.7497044,0.60637,-4.578531,3.8090467,2.3132443,-5.0797167,3.0982375,0.24086237,4.206693,-1.5868485,-3.9000988,-0.40758848,-1.4794767,-0.9206474,-3.7437856,2.4397254,0.8973479,-7.2855654,-3.1287253,-0.61745644,2.3555636,-1.7792463,-0.14044642,1.5687943,-2.5756836,-3.8873136,0.35721064,-1.9806921,10.096609,2.835369],"W-FDS^FG_PRICE_CHANGE(0,-3AM)":11.0855565777369,"EWT^FG_PRICE(0)":54.44,"CNYA^FG_PRICE_MAVG(0,,,,30)":27.189833,"UAE^PERCENT_CHANGE(FMA_EPS(+1,0,,,,\"PORTAGG\",\"MEAN\"),FMA_EPS(+1,-1AM,,,,\"PORTAGG\",\"MEAN\"))":-1.02518049502123,"QAT^FG_TOTAL_RETURNC(0,-6AM)":9.246313,"EWM^FG_TOTAL_RETURNC(0,-1AM)":1.60532,"CNYA^P_PRICE(0)/P_PRICE_LOW_PR(0,,,,,,\"PRICE\",\"INTRA\",\"52W\")-1":0.3178463,"VGK^FG_TOTAL_RETURNC(0,-3AM)":1.5499711,"VWO^FMA_COS_UP(\"EPS\",\"1M\",+1,NOW,,,\"PORTAGG\",\"MEANR\")":1023.0,"TRYIN10Y-FDS^PCTCHG(FG_YIELD(0,,,,\"YTM\"),FG_YIELD(-3AM,,,,\"YTM\"))":-2.9101868,"TRYID10Y-FDS^PCTCHG(FG_YIELD(0,,,,\"YTM\"),FG_YIELD(-1AM,,,,\"YTM\"))":1.271308,"TRYBR10Y-FDS^FG_YIELD(0,,,,\"YTM\")":12.554957,"VWO^JULIAN(FMA_DIV_YLD(NTMA,NOW,NOW,M,\"PORTAGG\",\"MEANR\").DATES)":45534,"MCHI^FG_FCF_YIELD_NTM(0)":5.97437344692526,"EWT^FMA_PE(NTMA,0,,,\"PORTAGG\",\"MEANR\")":16.0871035002959,"CNYA^FMA_DIV_YLD(NTMA,NOW,NOW,M,\"PORTAGG\",\"MEANR\")":2.69888934059738,"USDPHP^STD(FG_PRICE_CHANGE(0,-1AY,AM))":1.53421720540467,"DDR3512M-FDS^FG_PRICE_CHANGE(0,-1AY)":-12.3521936031474,"BRENT-FDS^FG_PRICE(0)/MAX(FG_PRICE(0,-1AY))":0.887441860465116,"KSA^FG_PRICE_MAVG(0,,,,60)":41.794834,"QAT^PERCENT_CHANGE(FMA_EPS(+1,0,,,,\"PORTAGG\",\"MEAN\"),FMA_EPS(+1,-3AM,,,,\"PORTAGG\",\"MEAN\"))":-1.84331950190051,"GREK^PERCENT_CHANGE(FMA_EPS(+1,0,,,,\"PORTAGG\",\"MEAN\"),FMA_EPS(+1,-3AM,,,,\"PORTAGG\",\"MEAN\"))":5.28061985366779,"EWY^PERCENT_CHANGE(FMA_EPS(+1,0,,,,\"PORTAGG\",\"MEAN\"),FMA_EPS(+1,-3AM,,,,\"PORTAGG\",\"MEAN\"))":3.642482083541,"SPY^FMA_PCT_ABOVE_MAVG(200,0,,,,\"PORTAGG\")":72.8,"GREK^FMA_COS_UP(\"EPS\",\"1M\",+1,NOW,,,\"PORTAGG\",\"MEANR\")":9.0,"EWT^FMA_RBICS_REV_CURRENT(30, LOC, \"PORTAGG\")":18.667687162586,"ECH^FG_ROE(0)":9.13725499224658,"REFSAREPO-FDS^PROPER_NAME(0,,,\"SECURITY\",\"NAME\")":"Saudi Arabia Repo Rate","REFEUREFI-FDS^PROPER_NAME(0,,,\"SECURITY\",\"NAME\")":"Eurozone Main Refinancing Operations Minimum Bid Rate","REFPHRREPO-FDS^PROPER_NAME(0,,,\"SECURITY\",\"NAME\")":"Philippines Reverse Repo Rate - Overnight","CC_QA^IMF_IFS_RCPI_Q(0)":null,"TUR^FMA_EVAL_EBIT(LTMA,NOW,NOW,M,\"PORTAGG\",\"MEANR\")":8.68219694034464,"EWZ^FMA_EVAL_EBIT(LTMA,NOW,NOW,M,\"PORTAGG\",\"MEANR\")":7.12417657887613,"ECH^FMA_ROE(NTMA,-20AY,NOW,FY,\"PORTAGG\",\"MEANR\")":[null,null,null,14.1776881603624,11.2798802315493,14.2628883913247,14.4661394368492,14.0754868016221,12.4952890187187,10.8480668279512,9.37758339699264,9.57060991333475,8.68386650455443,9.38392046774864,9.67240076810641,8.82258324228264,8.75463942854793,10.6038911833674,12.7874449851799,10.7704189177279],"USDTRY^FG_PRICE_CHANGE(0,-6AM)":5.8900476,"TUR^P_PRICE_RETURNS_PR('52W',2,-10AY,0,AM)":[-15.965282,-3.8245976,1.0847926,25.235605,15.937292,3.9078116,-6.6285667,-13.37248,-24.794775,-15.72653,-24.030626,-33.81766,-15.672999,-17.109186,-31.84135,-38.441723,-25.692379,-5.246532,-7.6575575,-12.8909,-8.943457,-6.2351046,-3.0132174,12.905002,-4.7349873,-16.182154,-12.820864,-9.776115,-0.16527176,-11.03754,-13.872361,2.3530483,3.9336562,4.1433454,14.3509865,20.942938,9.614277,21.86532,26.909435,46.552788,23.488354,33.013664,11.175919,-8.285273,-20.778423,-25.980377,-49.30539,-54.217056,-42.51104,-38.625305,-36.75129,-40.541298,-30.41643,-37.08618,-35.013103,-36.747353,-22.98956,-12.370121,7.1714044,28.650211,12.759614,7.96597,10.352791,20.375156,0.7388234,-8.559304,-16.616201,-6.2095346,-1.1898696,-6.0278296,-21.299303,-19.425196,-17.144573,-19.444721,-9.839982,4.416859,8.527363,20.335876,17.904413,25.836504,6.754899,-4.7481656,14.989483,17.17509,11.788082,13.642383,-12.447346,-26.669973,-28.182661,-32.385754,-3.72957,-5.056924,-14.162713,-10.395109,-3.558606,12.500132,21.998417,40.53761,77.93575,74.63474,49.205757,106.871414,61.779068,42.702843,62.109734,72.67076,71.96698,68.11507,62.56329,18.164158,10.607302,4.105222,34.099686,2.526486,17.77463,41.47737,34.646572,41.599655,9.09152,-5.4530087,-11.020332],"EWT^FMA_DIV_YLD(NTMA,-10AY,0,AM,\"PORTAGG\",\"MEANR\")":[3.47119326215793,3.43456070829111,3.46984461805612,3.50731180701791,3.48996473932507,3.44204972512464,3.52962048094442,3.56368334827792,3.86240614274338,4.08051913453414,4.24083984107287,4.30658935111904,4.1901665111306,4.10610791422051,4.25889769283959,4.57441680455149,4.41111291185289,4.19994614223879,4.26678112511372,4.57108965933579,4.15355738005823,4.20038428649545,3.98014912356159,4.06023120483024,3.99094343220292,4.11611057940797,4.12114093886764,4.16637176552786,4.08585282964366,4.19865323026894,4.13128875220613,4.08401712264969,4.02614692215934,4.03018622172708,4.02483477340303,4.0323548707032,4.08929528018156,4.08044386733851,4.19090580025075,4.18318006274044,4.35048167723218,4.19102286665311,4.18361957892907,4.37135478450669,4.25809655157415,4.47090527341983,4.36147596957777,4.47707990938835,4.66151630193986,4.92176811740058,5.0294206138549,4.86942968574008,4.63045321361352,4.53293066132826,4.18323330720037,4.30888272834977,4.45721796285832,4.31215706420811,4.45131125417571,4.27822014006652,4.26711879760512,4.03135519455443,4.11173957999657,3.98818210325152,4.12151182500475,4.3293360905274,4.49229075629971,4.11325327270612,3.85942442189351,3.75913158383515,3.59867677458614,3.84125862379166,3.82378283695276,3.86445504771826,3.68064968841164,3.45831750590833,3.54655967130303,3.64723526000205,3.69223353931713,3.89024968002647,4.03063962325386,4.05626660780543,4.20250400772398,4.19026187414914,4.46641861960746,4.29118538291856,4.2325537829474,4.18733814162898,4.24916214738466,4.50711113340035,4.57617469186768,4.90142045739975,4.69984727867762,5.35078839139307,5.07404969238064,5.10367488168124,5.27515207960094,4.88678455749859,4.37870762799017,4.30797449426186,4.0402869556858,3.98260920208324,3.87156747772684,3.76955413319193,3.50001050952299,3.54606145813838,3.52734977584591,3.63592621665711,3.6082660008045,3.55170458307025,3.41872610453805,3.40198314680119,3.35285099113013,3.10722575548943,3.03246038060392,3.10750445029611,3.10244492643382,2.86956398304586,3.31990779028231,3.50856261427321,3.35527038925403],"BRENT-FDS^FG_PRICE_CHANGE(0,-1AY)":-7.65756076575608,"FC0000PE^FG_PRICE(0)":845.1361,"KSA^FG_TOTAL_RETURNC(0,-12AM)":13.179898,"TUR^FG_TOTAL_RETURNC(0,-12AM)":-11.020332,"GREK^FMA_PCT_ABOVE_MAVG(200,0,,,,\"PORTAGG\")":44.8275862068966,"EWM^PERCENT_CHANGE(FMA_EPS(+1,0,,,,\"PORTAGG\",\"MEAN\"),FMA_EPS(+1,-1AM,,,,\"PORTAGG\",\"MEAN\"))":2.46736099078148,"USDTWD^FG_COMPANY_NAME":"Taiwan Dollar per U.S. Dollar","USDPHP^FG_PRICE_CHANGE(0,-6AM)":1.5131354,"USDCNH^FG_COMPANY_NAME":"Chinese Offshore Renminbi per U.S. Dollar","DDR3512M-FDS^FG_PRICE_CHANGE(0,-6AM)":-9.92579114161791,"BRENT-FDS^FG_PRICE_CHANGE(0,-6AM)":0.0,"VNM^FG_PRICE_MAVG(0,,,,30)":12.547667,"KSA^P_PRICE(0)/P_PRICE_LOW_PR(0,,,,,,\"PRICE\",\"INTRA\",\"52W\")-1":0.1494062,"MCHI^P_PRICE(0)/P_PRICE_LOW_PR(0,,,,,,\"PRICE\",\"INTRA\",\"52W\")-1":0.47133207,"EZA^FG_TOTAL_RETURNC(0,-12AM)":31.283772,"EPHE^FMA_COS_UP(\"EPS\",\"1M\",+1,NOW,,,\"PORTAGG\",\"MEANR\")":13.0,"EWM^FMA_RBICS_REV_CURRENT(30, LOC, \"PORTAGG\")":43.6320406586123,"CNYA^FG_ROE(0)":10.1533702313764,"CC_IN^IMF_IFS_RCPI_Q(0)":null,"EPHE^FMA_DIV_YLD(NTMA,NOW,NOW,M,\"PORTAGG\",\"MEANR\")":3.14636341684674,"TRYAU10Y-FDS^FG_YIELD(-10AY,0,Y,,\"YTM\")":[2.81,2.88,2.76,2.63,2.315,1.375,0.972,1.671,4.051,3.955],"USDTRY^FG_PRICE_CHANGE(0,-3AM)":4.0187716,"INDA^FG_TOTAL_RETURNC(-10AY,0,AM)":[-5.0825953,6.2583685,-3.2755911,-0.30146837,4.786885,0.43804646,3.8317919,-9.360945,-2.5157154,3.8974524,2.2973418,-12.479949,8.467733,-8.448797,-2.3624957,-1.6666532,-5.422151,5.7739496,1.2388706,4.0153027,1.5808821,3.6364794,2.9866457,0.443542,1.5625,-7.0234118,-1.2589872,-0.6715417,8.36705,1.9854069,5.690515,2.1095753,0.89423656,1.7670393,-0.7235408,3.7351966,-0.81967115,2.3612738,1.4129162,5.137503,-3.6512256,-2.4321258,0.9565234,-1.3781309,-1.4701545,0.5380511,3.8552165,-3.7121058,-12.742787,5.564928,-3.1629384,9.655249,-1.000917,2.4509788,6.070578,-5.3566456,6.5832615,-2.0758092,-6.7972364,-0.9270668,2.1834016,5.0671577,0.14526844,3.4036517,-1.0390282,-15.011353,-14.991659,4.9882174,8.567154,6.334007,7.424867,1.9963741,5.530834,1.1381269,7.39094,7.9282284,2.063346,1.6455173,-3.5846531,1.5351534,7.138729,-2.1628797,2.5039434,8.472717,-0.060868263,1.5022397,-2.9599965,3.8880467,-4.7961116,-5.7035027,7.93128,-10.488444,-1.9488394,-0.12422204,8.830845,0.045716763,-6.671238,7.735622,-2.79482,-1.449275,-4.3168902,-2.4789274,1.4997482,4.4577956,1.1499763,3.6808372,0.48098564,2.6213884,-0.95513463,-0.22426248,6.338501,3.8892388,3.1943083,3.075707,-0.11476278,-1.6277313,5.4117203,4.7830105,-1.6743064,2.2405505,0.10519028],"FTSEWIVNXXXX^FG_PRICE(0)":364.34904303,"VNM^FG_PRICE(0)":12.5,"KSA^P_PRICE(0)/P_PRICE_HIGH_PR(0,,,,,,\"PRICE\",\"INTRA\",\"52W\")":0.92294043,"CAGDPY@AE^EE_ACTUAL_ANNUAL(MED,+1)":8.95,"USDBRL^STD(FG_PRICE_CHANGE(0,-3AY,M))":3.55356356668837,"USDTWD^STD(FG_PRICE_CHANGE(0,-1AY,AM))":1.2384647231598,"USDPLN^FG_PRICE_CHANGE(0,-1AY)":-8.111292,"EWZ^FMA_DIV_YLD(NTMA,-10AY,0,AM,\"PORTAGG\",\"MEANR\")":[3.79056884590259,3.78620955997961,4.34300743087699,4.14118924102676,4.14256448109578,4.22659519896661,3.61523150747245,3.54993428807767,3.8612191176508,3.85017774472631,3.89592564837441,4.3405620910841,3.89842736236992,4.03374573188052,4.03203990949231,4.37777819640709,4.39006684452842,3.39168404082914,3.22312394042022,3.31065895070364,3.46436826826673,3.15125013059254,3.08070690015029,3.12750321291608,3.00309264234546,3.10459571665078,3.48007747699577,3.44295674684473,3.32484124329301,3.58711507754529,3.63052925970675,3.51204095617089,3.65323784485767,3.67670573907654,3.43715524576517,3.214551372405,3.12337249021252,3.49406110306687,3.64074353544067,3.39046839834886,3.42816763194967,3.3686282750797,3.55225549607602,3.67501655223472,4.31749663647394,4.37706795060947,4.38497288216708,4.46570158157699,4.10238843007801,3.96726290687913,4.01101008021561,3.79084985601124,3.50945498710742,3.54335673715704,3.37603537130831,3.48153781843077,3.18312571000376,3.03235610124439,3.21254640518551,3.293165130927,3.31459608668806,3.28480798418011,3.19283047608372,3.14365594709291,3.15411566449433,3.95235974709862,4.20113315587925,3.7048543687896,2.91304047662759,2.71644843494333,2.76407132530186,3.20066726707959,3.46668687862717,3.41155605301296,3.28817819011796,3.23251159985996,3.75117321078711,4.21765401340639,4.44848052258857,4.75630650314893,4.62155016818782,5.22343272889435,5.73398799633036,6.3291709689965,6.48652079813376,7.49541185077226,7.53397937589501,7.67093532242473,6.80386933762663,8.64343294756712,8.33789950013267,9.49906827924928,10.4127879453869,11.2340258359498,10.4277052572436,10.3003609450128,9.47668898655117,9.06702653497125,7.16968075179401,6.65321927723193,6.59928524980926,6.98005672762244,6.75542778227769,6.73781706373072,6.1294823555386,6.11078774805929,5.88533852439092,6.0163939873504,6.12156251150486,6.32464982962669,6.07574965074747,5.71426186450423,5.88704530390698,6.23977816687509,6.12396947649504,6.67081485133863,7.34606485646598,6.79241841211411,6.63710425173016,5.68007389028893,5.68763216608002],"EPOL^FMA_PE(NTMA,-10AY,0,AM,\"PORTAGG\",\"MEANR\")":[13.1725567313288,13.2697515339049,13.6436693240873,13.5842028419166,13.3690741123998,13.4135412231341,14.4663452555519,14.8838531159601,13.7047400306189,13.0129550738602,12.7919096199996,12.5763664052879,12.4189982022881,11.9675627545852,11.2275112318292,11.8087828013466,12.4237719707071,13.1910288263641,13.1368259761963,12.2509510372487,11.7654530178985,11.0619169170815,12.3969114896045,11.6945861380358,11.6800290246096,11.7106927914085,12.0113369085294,12.2679903793191,12.8130980475514,12.5267946726183,12.3791689977019,12.793996985656,12.5707671426575,12.4591960011058,12.6022203147538,12.5265702831245,12.3379151800782,11.9019149464258,11.6157358844743,12.1495755017354,11.5807795402419,11.4238637101756,11.2599048465462,11.4221792154368,10.9749585135105,10.507579247314,10.8342605649138,10.6907012137339,10.4653627667244,10.5070537184593,10.5638261329301,10.7664585593968,10.770557664767,10.5349831753496,11.3426533624038,10.3175546542541,10.6115645613854,10.810582916435,9.78955048198908,9.98925531394655,9.56417194950653,10.385946230632,9.75607476324254,10.5466020373273,10.3602555342695,8.44597658168954,9.77238681493725,11.6674182078412,13.5191725845848,12.5039405067348,12.2537288152089,11.9881117489625,11.8916800614896,13.5032663027255,13.9627591029914,13.7376700811947,10.9632003163578,11.8145686478194,12.0294331458872,12.908065899733,12.7016917835255,12.1315533394631,11.9596612268046,11.6685734217513,12.1221275989748,11.854239559405,10.246359186851,10.8226809710873,10.1652048866066,8.9663909329888,8.91694635967729,6.75279832310309,6.64180738327106,6.89463588390005,6.26790657057893,6.14542038392973,6.07100314928502,7.36747252366389,7.48632900603368,8.11647279406485,7.67939087800719,7.2150461793741,6.75745543267706,7.21538783403006,7.83220697078303,8.38188229930349,8.38287500452187,7.91175248707993,7.96002692675565,8.17134531313012,8.9486504935513,8.28740737797884,8.81783504718091,9.20982868326389,8.7281455231103,8.90091984826703,8.6891833234953,8.77441151308612,7.77306167336824,7.91003771889571,7.87383766084012],"DDR3512M-FDS^FG_PRICE(0)/MAX(FG_PRICE(0,-1AY))":0.841590528846154,"NI-FDS^FG_PRICE_CHANGE(0,-3AM)":2.38805970149254,"KSA^FG_PRICE_MAVG(0,,,,200)":42.4723,"INDA^FG_PRICE_MAVG(0,,,,60)":57.03025,"QAT^FG_TOTAL_RETURNC(0,-3AM)":6.0395,"GREK^FG_TOTAL_RETURNC(0,-1AM)":-1.1481822,"EWY^FG_TOTAL_RETURNC(0,-3AM)":-7.9796553,"EPHE^FG_TOTAL_RETURNC(0,-3AM)":15.766132,"SPY^PERCENT_CHANGE(FMA_EPS(+1,0,,,,\"PORTAGG\",\"MEAN\"),FMA_EPS(+1,-3AM,,,,\"PORTAGG\",\"MEAN\"))":-1.39572403423461,"GREK^SIZE(FG_CONSTITUENTS)":32,"EPOL^FMA_COS_UP(\"EPS\",\"1M\",+1,NOW,,,\"PORTAGG\",\"MEANR\")":12.0,"EWW^FMA_RBICS_REV_CURRENT(30, LOC, \"PORTAGG\")":25.7734024021309,"EIDO^FG_ROE(0)":12.5237385148944,"REFSAREPO-FDS^FG_YIELD(NOW,,,0)":5.5,"REFEUREFI-FDS^FG_YIELD(NOW,,,0)":3.65,"REFPHRREPO-FDS^(SUBARRAY(NOT_NA(NO_REPEAT_F(FG_YIELD(NOW,-10AY,D))),0,1)-SUBARRAY(NOT_NA(NO_REPEAT_F(FG_YIELD(NOW,-10AY,D))),1,1))*100":-25.0,"TIPSCL10Y-FDS^PCTCHG(FG_YIELD(0,,,,\"YTM\"),FG_YIELD(-3AM,,,,\"YTM\"))":-28.587938,"CC_TH^IMF_IFS_RCPI_Q(0)":null,"UAE^JULIAN(FMA_DIV_YLD(NTMA,NOW,NOW,M,\"PORTAGG\",\"MEANR\").DATES)":45565,"MCHI^FMA_DIV_YLD(NTMA,NOW,NOW,M,\"PORTAGG\",\"MEANR\")":2.50810507474093,"EZA^JULIAN(FMA_DIV_YLD(NTMA,NOW,NOW,M,\"PORTAGG\",\"MEANR\").DATES)":45565,"EPHE^FMA_EVAL_EBITDA(NTMA,0,,,\"PORTAGG\",\"MEANR\")":8.31921532436534,"EPOL^FMA_ROE(NTMA,-20AY,NOW,FY,\"PORTAGG\",\"MEANR\")":[null,null,null,null,null,null,12.9136409385463,11.6682069956937,9.88095297355163,9.32819662687838,9.08400416739547,8.19593899535384,8.81992527720217,10.5838129179285,10.2657999868947,9.4389843194853,7.20768650788902,10.1460102201106,10.9641857238333,12.3945793275799],"CAGDPY@AE^EE_ACTUAL_ANNUAL(MED,0)":12.15,"CAGDPY@PL^EE_ACTUAL_ANNUAL(MED,+1)":0.55,"CC_CL^FG_COMPANY_NAME":"Chile","USDTRY^STD(FG_PRICE_CHANGE(0,-1AY,AM))":1.3125805869827,"KSA^P_PRICE_RETURNS_PR('52W',2,-10AY,0,AM)":[null,null,null,null,null,null,null,null,null,null,null,null,null,null,null,null,null,null,null,null,null,null,null,null,-20.254023,-1.1724412,5.775416,17.154228,25.65453,12.961745,16.085243,7.315755,7.774627,21.53076,15.563309,21.359802,26.398289,9.333253,2.9093146,10.1717,10.324621,18.227936,20.22115,20.648384,28.261292,23.18821,22.143185,10.147643,14.478683,15.598667,15.093064,17.13078,26.4539,19.018995,18.558466,15.988457,10.828638,8.665562,7.66083,8.704937,3.3126116,5.240071,8.613169,3.8054824,-8.3863735,-20.153505,-26.153421,-26.40332,-15.940171,-16.77217,-11.873972,-1.2025177,7.6545,6.709218,6.108296,7.201934,12.508118,41.341232,50.27554,55.271435,44.23882,46.118534,51.96879,46.0567,42.741848,44.137703,28.004456,36.272705,42.77512,38.34294,36.694206,33.92117,16.387665,7.6494455,11.507595,5.0332785,0.24055243,-3.4454584,-4.1161656,-7.7743173,-15.501708,-18.701244,-17.023176,-15.333766,-5.3572474,3.1394482,-8.23614,-4.861617,-8.232653,-4.2249084,9.403431,13.594877,19.265247,21.111631,15.717161,7.573104,1.8917084,0.97191334,3.8187504,7.0116043,13.179898],"QAT^FG_TOTAL_RETURNC(-10AY,0,AM)":[0.5892515,-1.2767494,-10.910612,3.1953454,-0.95158815,-0.2056539,-1.0452449,3.196156,-4.6343565,-1.5158296,-0.4753232,0.4776001,-0.9053886,-6.852442,-10.031879,-2.0342946,-1.252228,9.895682,-0.6670058,-1.7561972,-2.0504773,1.1972547,11.166107,-4.3043017,0.2063036,-5.779147,0.9310007,5.9799314,1.0643959,-1.0891616,1.8693924,-6.284565,-6.0085773,-2.6136339,4.153049,-6.329221,-2.125001,-8.652616,0.1971364,17.914248,-5.7988167,-2.2613049,9.640098,-2.638334,6.623161,-1.0793209,6.205249,-1.4477551,0.5569458,5.895698,3.158462,1.8402576,-3.8974345,-4.6958327,4.367292,-2.9506385,1.326704,3.253281,-7.443899,4.198706,0.2837658,0.14147758,0.8759618,-0.11204481,-2.9164374,-14.523399,9.083533,-0.802964,4.5570374,2.566874,2.3229122,1.9693255,4.5400977,-2.402532,4.3404818,3.247428,-2.674359,-1.0752738,3.0978203,3.9536119,-1.8438935,1.6662717,0.00051259995,2.337134,4.8223257,2.0978212,-2.9559135,2.4460554,7.942581,5.673766,4.6979785,-4.72756,-5.3315344,-4.457718,11.303509,-5.1101923,-0.67175627,0.6419182,-10.159456,0.22851229,-9.271383,3.7650585,-0.8052945,6.318593,-3.5879612,-1.8794894,4.2816877,-4.1599154,-4.7914324,1.8354177,-1.5116274,5.7851195,-4.4642806,4.6144843,-2.2892237,-1.7142832,-0.3488481,5.188036,1.3937235,1.4891148,3.0474067],"EWY^FMA_DIV_YLD(NTMA,-10AY,0,AM,\"PORTAGG\",\"MEANR\")":[1.44787969143945,1.3972213342275,1.39444119096473,1.51055430724817,1.60068254919166,1.58112132485494,1.5264154252541,1.56719751002297,1.65247535743411,1.70240422884114,1.79105500332608,1.81491861538787,1.73435089087929,1.85762259335043,1.93570124875426,2.01998090053482,1.95970075660612,1.92448160036562,1.94340641468918,1.95957274694349,1.93156845943155,1.9869352087131,1.89440237176804,1.87396700145522,1.88836523879313,1.95829163991936,1.93988795688581,1.96164377593533,1.9319865848551,1.92304211320381,1.93803422004617,1.84578992873088,1.75810547243886,1.78004678659358,1.83061198340077,1.84795954072743,1.75979684911457,1.95580296298037,2.03988860610318,2.02914319437613,2.21057012731831,2.18133554339334,2.22383888818322,2.23286228224045,2.21708949957528,2.37967371142863,2.40340861374535,2.41910286532982,2.4832673900616,2.60403624918519,2.63343146272872,2.64253964743459,2.49018628390269,2.54471885912783,2.44017615467522,2.55121512035095,2.53997395796836,2.56586772777322,2.7022913204829,2.55277047594908,2.5537856325643,2.40815127894407,2.43078669699552,2.32323057283504,2.2783459788789,2.56494319769284,2.68630085164652,2.46342869049833,2.19486254837016,2.25223225850709,2.0619388930223,2.11731370531272,2.09457107369691,2.07801733119647,1.84234510217298,1.62061978212682,1.64246048433231,1.72360672254366,1.68308722039529,1.69632232539815,1.69100580644597,1.71155615014392,1.75390606374684,1.84362901047737,1.96297548022221,2.00428054403816,1.92546524674201,1.9924639818184,2.1951797723876,2.25936897849701,2.26277333116352,2.37917425122552,2.38356351921393,2.63901535556688,2.5141828361599,2.6524572290267,2.77811934350717,2.54221802638321,2.51719935152003,2.54233587568964,2.44863400850749,2.50446324359357,2.34977410393241,2.43056186920821,2.27114334830525,2.41898197392553,2.36834346278805,2.39163275923741,2.55603709447343,2.5326980630051,2.36144523754433,2.34934882788004,2.2363820524521,2.22633455212059,2.18773087631563,2.16682961377918,2.1657221862368,2.03276820625942,2.30986806400335,2.41802441209381,2.35372944718149],"BRENT-FDS^MAX(FG_PRICE(0,-5AY))":140.85,"EWM^FG_PRICE_MAVG(0,,,,200)":22.98435,"CNYA^FG_PRICE(0)":30.35,"UAE^FMA_PCT_ABOVE_MAVG(200,0,,,,\"PORTAGG\")":48.780487804878,"QAT^FG_TOTAL_RETURNC(0,-1AM)":3.0474067,"EWM^PERCENT_CHANGE(FMA_EPS(+1,0,,,,\"PORTAGG\",\"MEAN\"),FMA_EPS(+1,-3AM,,,,\"PORTAGG\",\"MEAN\"))":8.91102627277364,"CNYA^P_PRICE(0)/P_PRICE_HIGH_PR(0,,,,,,\"PRICE\",\"INTRA\",\"52W\")":0.7997365,"SPY^PERCENT_CHANGE(FMA_EPS(+1,0,,,,\"PORTAGG\",\"MEAN\"),FMA_EPS(+1,-1AM,,,,\"PORTAGG\",\"MEAN\"))":-1.18526631329981,"VGK^SIZE(FG_CONSTITUENTS)":1284,"EPHE^SIZE(FG_CONSTITUENTS)":33,"REFPHRREPO-FDS^FG_YIELD(NOW,,,0)":6.25,"TRYIN10Y-FDS^PCTCHG(FG_YIELD(0,,,,\"YTM\"),FG_YIELD(-1AM,,,,\"YTM\"))":-1.1458151,"TIPSCL10Y-FDS^PCTCHG(FG_YIELD(0,,,,\"YTM\"),FG_YIELD(-1AM,,,,\"YTM\"))":1.5834396,"VGK^FMA_EVAL_EBIT(LTMA,NOW,NOW,M,\"PORTAGG\",\"MEANR\")":13.5324814293996,"MCHI^FMA_PE(NTMA,0,,,\"PORTAGG\",\"MEANR\")":11.0109314794053,"EWT^FMA_PE(LTM,0,,,\"PORTAGG\",\"MEANR\")":20.871926196795,"CNYA^FMA_PE(NTMA,0,,,\"PORTAGG\",\"MEANR\")":13.9100777580498,"EIDO^FG_COMPANY_NAME":"iShares MSCI Indonesia ETF","CAGDPY@TR^EE_ACTUAL_ANNUAL(MED,+1)":-2.05,"USDBRL^STD(FG_PRICE_CHANGE(0,-1AY,AM))":1.81866302364189,"USDTWD^FG_PRICE(0)":32.195,"EWW^FMA_DIV_YLD(NTMA,-10AY,0,AM,\"PORTAGG\",\"MEANR\")":[null,null,null,null,null,null,null,null,null,null,null,null,null,null,null,2.21780503538487,2.17128163233244,2.13252801703153,2.06875775861884,2.0713898986782,2.12258459641761,2.12297095811059,2.03314384915508,2.1042064633238,2.06010674556756,2.26677789473672,2.26402505017209,2.38428199211565,2.34098108771314,2.46332827551892,2.35312981099518,2.39617255199142,2.47624585674491,2.41220963302777,2.41516469049935,2.4718783494157,2.4958335047901,2.55466103608274,2.58893541428835,2.51820939850042,2.62195133916102,2.54861241545404,2.61329103814699,2.78371912429992,2.93071348030009,2.68802513110477,2.7709246127601,2.83901923877078,2.87689644106958,3.29127802214487,3.48221649393554,3.30200245501325,3.31360707152669,3.50156037134182,3.29830731700522,3.46968468145939,3.48360987955019,3.59134402458229,3.83116348580862,3.6328110531303,3.59268992751445,3.52170834617884,3.58763795597557,3.47571598866381,3.50537370774083,3.80508510737396,4.45953905512107,3.59989572229698,3.04086732357504,3.21017039047847,3.01699933741597,3.30755547402784,3.25288256929217,3.27081596780974,3.40579032026365,3.32417488707046,3.49329527507291,3.3768761791453,3.3555809181698,3.1345088050007,3.12013190016339,3.18601070302133,3.20166140009331,3.16414188539079,3.35644721921597,3.48546994676526,3.50965206236834,3.44881903787721,3.66102753842793,3.61819014492103,3.52506980107169,3.93431982294593,4.09571256341645,4.1005462022123,4.07048617853016,4.13281622413036,4.21818561606733,3.70600914414431,3.86968310979349,3.70839123744921,3.6601961645811,3.75279367552163,3.67531085153331,3.53627090010112,3.6942551199231,3.8750393386965,3.96427531913444,4.09946503464566,4.26689287596669,4.21317488562662,3.97186264233577,3.94726742407178,3.76431102524186,4.10860928560089,4.05020448134152,4.124945395843,4.65984454063573,4.37686190985358,4.47332796361745,4.66751932438953,4.92916128807066],"EPHE^FMA_PE(NTMA,-10AY,0,AM,\"PORTAGG\",\"MEANR\")":[17.3535744962422,17.4867090886276,17.1498295952845,17.5864872290839,18.0528837534722,18.3567211678909,18.7870556172249,18.0196272907258,17.0217122278037,17.1181963503115,17.7087275397894,16.0327268367694,16.7856266708772,16.3988864076555,16.0628160460836,15.2025571349724,15.3833526030083,15.9263453634107,16.8096015378589,15.9908881841952,16.9535393214684,17.395367301618,18.5409399795588,17.7072530363182,16.76291320589,15.9434121617312,15.7636499606745,16.7966090539087,16.5972793303989,16.6365463464823,17.5170804048112,17.6024403617449,17.9208945551251,16.7131401334973,16.4189501238257,16.8688543979884,17.7271905750475,17.968607669941,17.0841005931292,18.2350689017333,17.0196297398124,16.9525308614632,15.8910406982322,15.7144902061461,16.1898408995575,14.7925653489186,15.8902821043236,14.636783650092,13.4045582604621,13.4480659458884,14.3433024376508,15.7446960793694,15.6537647849892,15.1565479269925,15.4303204128368,14.9846754737547,15.5491059025368,15.4869286354955,14.848885171202,14.0223684534015,13.6430386765464,14.0909495791477,14.0058001872485,13.7959906499542,13.2600495807502,11.3975781805152,10.5795745928781,12.2425469233546,16.0091599928832,15.6267860941015,15.3383171114197,15.8194634326653,15.7798242489132,18.0200777574634,16.9694410710563,16.793995708943,16.3727918424313,15.5991746641048,14.934183270834,14.6385879045135,16.5465475377462,15.9303882904926,15.166760478911,16.0824103562222,15.9581076113911,16.6642502692407,15.5400028261457,15.0526492650577,15.3677395215416,14.561132974321,14.3670173119387,13.5140726725989,13.2207516089929,12.7827521268679,12.8922927913212,12.8828527538152,11.2534650180581,11.699658804285,12.5245380679666,12.8884447254256,12.8987566291335,11.8375880577725,11.7226939119907,11.4811360864894,10.253203490609,10.0262464870461,9.92347409963238,9.76204196874711,9.91863601841925,9.54598055796059,9.09553140938958,9.43748629406929,9.84947418576644,9.91676354523936,9.20101977183904,8.88221317377108,8.89239658338278,9.2234256017829,9.38333800806105,9.9787820421916,10.4613296076468],"NI-FDS^FG_PRICE_CHANGE(0,-1AM)":9.86547085201794,"INDA^FG_PRICE_MAVG(0,,,,30)":57.765167,"EPHE^FG_TOTAL_RETURNC(0,-1AM)":1.9169331,"EPHE^FMA_COS_DOWN(\"EPS\",\"1M\",+1,NOW,,,\"PORTAGG\",\"MEANR\")":6.0,"EPHE^FG_FCF_YIELD_NTM(0)":5.65807828601593,"TRYJP10Y-FDS^FG_YIELD(-10AY,0,Y,,\"YTM\")":[0.3138,0.2604,0.0315,0.0465,-0.0051,-0.0208,0.0201,0.0672,0.4224,0.6127],"CAGDPY@PL^EE_ACTUAL_ANNUAL(MED,0)":1.8095756577486,"MCHI^FG_TOTAL_RETURNC(-10AY,0,AM)":[-8.245206,3.7780166,-0.20567179,6.752765,-0.42868257,-2.1526396,24.5,-1.0763049,-4.5631704,-10.119444,-2.5439918,-12.50245,6.639743,-1.2200296,-4.344124,-9.753412,-9.104549,9.823883,4.159355,-2.140963,2.1878004,2.5939584,6.8256974,6.190574,3.6019087,-8.05868,1.0054588,0.94884634,5.04328,0.14424324,3.4979463,3.5387754,5.702758,-0.37587285,7.4107885,4.8381567,7.263565,2.0905852,-2.7971566,9.363281,-6.914592,9.524525,-4.188621,1.0567427,1.8335462,-8.551609,-3.9406598,-8.4942045,-6.01266,0.89787245,1.9651532,2.17247,5.6064725,1.4292955,8.975005,-7.43534,-5.521369,4.3738723,-7.3149977,6.848562,-2.485001,7.434094,-1.3086855,11.224472,-4.286355,-2.639848,-5.7617846,4.555571,6.928742,14.349318,-3.3212304,0.013911724,6.7584395,3.347659,1.2730002,7.164812,11.234653,-12.55129,-2.0933628,-3.7232697,4.5786858,-4.92906,-6.6254973,-0.9506762,-3.7835598,-1.084286,-3.683126,-5.0212383,2.20505,-19.08661,3.5616875,-12.704378,15.743279,3.872776,-11.833572,-1.2053132,-13.895786,-0.9365976,18.157578,10.309828,-3.1710088,-8.908379,5.991864,-5.0070643,-2.3938894,-1.2310445,5.096817,-7.0520997,0.04557371,-3.2111108,-4.8235297,-2.5639832,-2.0811617,3.5069108,3.2597542,12.304258,-2.7224422,-2.4165988,-2.7868927,-2.6017785,29.483055],"EWM^FG_PRICE_MAVG(0,,,,60)":25.106,"CNYA^FG_TOTAL_RETURNC(0,-6AM)":18.26042,"VGK^FMA_COS_DOWN(\"EPS\",\"1M\",+1,NOW,,,\"PORTAGG\",\"MEANR\")":601.0,"REFIDRREPO-FDS^(SUBARRAY(NOT_NA(NO_REPEAT_F(FG_YIELD(NOW,-10AY,D))),0,1)-SUBARRAY(NOT_NA(NO_REPEAT_F(FG_YIELD(NOW,-10AY,D))),1,1))*100":-25.0,"TRYGR10Y-FDS^PCTCHG(FG_YIELD(0,,,,\"YTM\"),FG_YIELD(-3AM,,,,\"YTM\"))":-9.52651,"TRYKR10Y-FDS^FG_YIELD(0,,,,\"YTM\")":3.087,"VGK^FMA_EVAL_EBITDA(NTMA,0,,,\"PORTAGG\",\"MEANR\")":9.05765139470749,"MCHI^FMA_PE(LTM,0,,,\"PORTAGG\",\"MEANR\")":15.6415430187774,"EWT^JULIAN(FMA_DIV_YLD(NTMA,NOW,NOW,M,\"PORTAGG\",\"MEANR\").DATES)":45565,"CNYA^FMA_PE(LTM,0,,,\"PORTAGG\",\"MEANR\")":17.1695538185877,"ECH^FG_COMPANY_NAME":"iShares MSCI Chile ETF","CAGDPY@TR^EE_ACTUAL_ANNUAL(MED,0)":-4.50702519391192,"USDBRL^FG_PRICE_CHANGE(0,-6AM)":10.18784,"EIDO^FMA_PE(NTMA,-10AY,0,AM,\"PORTAGG\",\"MEANR\")":[13.9976871833086,14.0204128380497,15.0000834239234,14.984575094229,15.6272120045489,16.0547976417582,16.1628740267528,15.1490638111494,14.3863938858195,14.3205759100749,14.3845891517574,13.2204521519991,14.3767821807305,13.8576443512665,14.1034749418325,14.321721400686,14.9813369250256,15.1276297525035,15.0784222456173,14.4608130525032,14.8804265388344,15.4218997958557,17.054288177687,16.0312291495945,16.3611479069298,16.081043590974,15.3427617614703,15.3722451149896,15.2839238448763,14.979951078592,15.47958466852,15.6606480257237,15.351596559288,15.5416382068724,15.6882935779184,15.442496832236,15.5756305701268,15.4098210594894,15.1589826232076,15.8547889796971,15.3782153882724,14.9681836153253,14.9399488459312,13.625418581109,13.366046901976,12.8513376636126,13.9944468153982,13.1549734262362,13.2662513097727,13.3918797415114,13.9416744625932,14.4694221587098,14.7515494748775,14.2724397687103,14.292384433104,13.3601404252896,13.9072249244335,14.3196769865213,14.6632004749149,14.7715355502529,13.9054570851059,14.6247193459299,14.7866085599736,15.3825287376618,14.7488193246526,12.7081052830206,11.0514865159738,11.9309373987867,15.3274527229354,16.3808709961584,16.48151024685,15.3846075140703,15.5837384981505,17.0020807849662,18.063628128131,18.0332238072889,17.4406272904416,16.7665088536918,16.1197976298828,15.7566382656739,16.0431733221559,14.6896969401228,14.6829009333409,15.0478145165601,15.4399095691703,15.2513127721997,14.8485940330564,14.697283448739,15.1846643488347,15.0061067526567,14.9359226444227,13.5886188175676,13.0526130997264,12.2247156687399,12.8541320106895,13.0470554558815,12.4699574766563,12.5599163722345,12.1839760235033,11.711497246702,12.3537290474244,11.7063872138031,12.0054851154423,12.0642431040714,13.6546150838256,13.3358851492798,13.6619389235327,13.430834342426,12.9750128000416,12.3397111874428,12.4672757151316,12.8754187949973,12.9342755215059,13.2484422897005,12.6678365577089,11.7594292623875,12.1184108346325,12.3251367512585,12.4319490657593,13.533281291201,13.2483683562215],"NI-FDS^FG_PRICE_MAVG(0,,,,30)":16529.166,"GREK^FG_PRICE_MAVG(0,,,,60)":42.05579,"EWY^PERCENT_CHANGE(FMA_EPS(+1,0,,,,\"PORTAGG\",\"MEAN\"),FMA_EPS(+1,-1AM,,,,\"PORTAGG\",\"MEAN\"))":-0.767892032365403,"EPHE^PERCENT_CHANGE(FMA_EPS(+1,0,,,,\"PORTAGG\",\"MEAN\"),FMA_EPS(+1,-3AM,,,,\"PORTAGG\",\"MEAN\"))":3.00293850296752,"EZA^SIZE(FG_CONSTITUENTS)":33,"REFVNDISC-FDS^(SUBARRAY(NOT_NA(NO_REPEAT_F(FG_YIELD(NOW,-10AY,D))),0,1)-SUBARRAY(NOT_NA(NO_REPEAT_F(FG_YIELD(NOW,-10AY,D))),1,1))*100":-50.0,"VGK^FG_FCF_YIELD_NTM(0)":5.28323894400439,"TUR^FMA_EVAL_EBITDA(NTMA,0,,,\"PORTAGG\",\"MEANR\")":4.42667856045309,"CNYA^FMA_ROE(NTMA,-20AY,NOW,FY,\"PORTAGG\",\"MEANR\")":[null,null,null,null,null,null,null,null,null,null,null,null,12.0357109832906,13.2280587166858,12.9587909941324,13.4756717168111,12.9923016382757,13.766644845854,13.3712630657165,12.0222723103633],"CAGDPY@PH^EE_ACTUAL_ANNUAL(MED,+1)":-2.4,"USDSAR^STD(FG_PRICE_CHANGE(0,-3AY,M))":0.0437191799140736,"USDINR^STD(FG_PRICE_CHANGE(0,-3AY,M))":0.847220689513896,"SET-BKK^P_PRICE_RETURNS_PR('52W',2,-10AY,0,AM)":[6.9432616,11.552059,14.051283,21.550392,23.577082,13.490236,11.389923,9.535027,2.3720622,-2.1811426,-6.5894485,-11.754406,-9.565491,-10.780048,-16.782946,-18.233198,-18.196064,-9.926581,-11.342126,-7.969493,-4.975271,-0.9930253,9.01326,3.5085797,3.2373786,8.286726,17.60645,26.356304,21.498537,11.663734,15.445662,11.919176,9.124792,7.7379346,1.5186071,12.383711,17.153502,11.558127,11.872875,14.173401,12.834358,14.596188,11.368656,11.957872,9.664524,4.7252536,8.546484,3.4176826,0.8711457,-2.026391,-3.1337857,-11.548704,-7.554877,-8.363599,-5.6117415,-5.6214213,-3.3280313,5.8305025,-4.1707277,-1.5122533,-6.6394806,-2.6092172,-5.880642,-0.44090748,-7.1301994,-22.014946,-26.117086,-23.457533,-14.774763,-22.359627,-19.909245,-22.512352,-21.596605,-18.109715,-4.5261917,-1.4641523,-1.1919975,23.740423,29.39825,25.444305,14.554858,13.6387825,16.687466,26.683914,28.598331,21.564377,9.14296,7.850623,12.2654915,4.7061324,8.15804,2.1805286,0.45223236,0.9198785,4.8352838,1.5652657,-4.1990757,-0.68936944,0.30280352,2.0729423,-2.256608,-2.8796375,-5.5083036,-3.2795548,-5.2536306,-3.9143205,-5.18176,-5.6603613,-8.666915,-14.183289,-14.779478,-16.42949,-16.822737,-14.025795,-11.609846,-12.593341,-15.210504,-11.598044,-15.129889,-7.700515,2.375126],"EPOL^FMA_DIV_YLD(NTMA,-10AY,0,AM,\"PORTAGG\",\"MEANR\")":[4.14753154415322,4.03670738990848,3.96659228641274,3.97514636390677,3.82146622140248,3.75919385523549,3.43042570350937,3.27015924806074,3.52428085278241,3.66161394409701,3.6501269436346,3.65518798118911,3.66815867127852,3.78613845629141,4.25771506721755,4.41601759411743,4.20045066325253,3.90145056947574,3.70743855213406,3.84297140103025,3.81694214409189,3.86936485082495,3.47427262398748,3.61240557054095,3.44220095308302,3.34559081857847,3.11195818208,2.94166667373206,2.63197410352955,2.46730377604791,2.56780833128091,2.43716613608381,2.45810965725149,2.47816963205338,2.338507366896,2.47626515762903,2.46329261867911,2.41541430114711,2.76899059218036,2.81793904442547,3.00254355886672,3.05717313166665,3.09199792535583,2.99717062987985,3.10896416729813,3.05535340213512,2.88703600203536,2.92379924929568,3.11137090452477,3.1359507999024,3.19077649184136,3.08950011778858,3.02188591912244,3.07661510535355,3.0287252610996,3.37815255783589,3.25197875410465,3.28248731227738,3.65127286030538,3.63453348799388,3.64527716157906,3.34027354916107,3.62805605842311,3.5957442340345,3.83262703320594,4.50720008711319,3.85495608645512,3.34331610611996,2.38752179837449,2.46903987323829,2.66751287838073,2.85047711951289,3.16105378230774,2.66537829394004,2.69523261291511,2.64076184378225,2.87941321710553,2.89602968379449,2.84754236065837,2.81965940243278,2.98557138482203,3.04584272011331,2.9394358455826,2.93964275301264,3.025809780495,3.06819034949844,3.39584851658811,3.26351792712651,3.31878226759496,3.74666472770477,3.48948373270583,4.0471529896526,4.26419892799121,3.96177897919967,4.27592685123782,4.57907298211259,5.34224476133781,4.24671790922187,4.15020139162188,3.89187149922094,4.24406508993825,4.47833610210236,4.7534126730767,4.33284161746205,3.84733997414254,4.25083751935821,3.83650916388126,4.28814070066405,4.28768965960711,4.43840240884047,4.96636845233867,4.89142939647185,4.90387133492195,5.01244665868552,4.8602238797538,5.02571825824492,5.25853408786265,5.07685405483987,5.85113790733195,5.73225078656924,5.81406705872352],"EWM^FG_PRICE_MAVG(0,,,,30)":26.205334,"TUR^P_PRICE(0)/P_PRICE_LOW_PR(0,,,,,,\"PRICE\",\"INTRA\",\"52W\")-1":0.07257974,"USDMXN^FG_PRICE_CHANGE(0,-6AM)":18.36462,"USDCLP^STD(FG_PRICE_CHANGE(0,-3AY,M))":4.44020421102828,"PASP-FDS^FG_PRICE_CHANGE(0,-6AM)":0.187441424554824,"SET-BKK^FG_PRICE_MAVG(0,,,,30)":1432.2937,"EIDO^FG_PRICE_MAVG(0,,,,60)":21.539,"SET-BKK^PERCENT_CHANGE(FMA_EPS(+1,0,,,,\"PORTAGG\",\"MEAN\"),FMA_EPS(+1,-1AM,,,,\"PORTAGG\",\"MEAN\"))":-1.79169800353408,"EZA^FG_TOTAL_RETURNC(0,-1AM)":8.353483,"EPU^FG_TOTAL_RETURNC(0,-3AM)":3.0856848,"REFINREPO-FDS^(SUBARRAY(NOT_NA(NO_REPEAT_F(FG_YIELD(NOW,-10AY,D))),0,1)-SUBARRAY(NOT_NA(NO_REPEAT_F(FG_YIELD(NOW,-10AY,D))),1,1))*100":25.0,"TUR^FMA_PE(LTM,0,,,\"PORTAGG\",\"MEANR\")":7.94318226598167,"EWZ^FMA_PE(LTM,0,,,\"PORTAGG\",\"MEANR\")":9.27991780692177,"SPY^FG_TOTAL_RETURNC(0,-6AM)":12.768734,"TRYTH10Y-FDS^PCTCHG(FG_YIELD(0,,,,\"YTM\"),FG_YIELD(-1AM,,,,\"YTM\"))":-0.15348238,"SET-BKK^FMA_EVAL_EBIT(LTMA,NOW,NOW,M,\"PORTAGG\",\"MEANR\")":18.3294549969417,"USDMXN^FG_PRICE_CHANGE(0,-1AM)":-2.760744,"VWO^FG_FCF_YIELD_NTM(0)":5.36906998689637,"USDMXN^FG_PRICE_CHANGE(0,-1AY)":8.144199,"EWZ^PERCENT_CHANGE(FMA_EPS(+1,0,,,,\"PORTAGG\",\"MEAN\"),FMA_EPS(+1,-1AM,,,,\"PORTAGG\",\"MEAN\"))":1.79800821635654,"PASP-FDS^FG_PRICE_MAVG(0,,,,30)":1026.1,"QAT^P_PRICE(0)/P_PRICE_LOW_PR(0,,,,,,\"PRICE\",\"INTRA\",\"52W\")-1":0.16602814,"USDQAR^FG_COMPANY_NAME":"Qatari Rial per U.S. Dollar","MCHI^FG_PRICE_MAVG(0,,,,30)":46.252167,"VWO^P_PRICE(0)/P_PRICE_LOW_PR(0,,,,,,\"PRICE\",\"INTRA\",\"52W\")-1":0.27646506,"TRYGR10Y-FDS^PCTCHG(FG_YIELD(0,,,,\"YTM\"),FG_YIELD(-1AM,,,,\"YTM\"))":-0.31240207,"CC_TW^FG_COMPANY_NAME":"Taiwan, China","ECH^FG_PRICE_MAVG(0,,,,30)":26.177,"QAT^P_PRICE(0)/P_PRICE_HIGH_PR(0,,,,,,\"PRICE\",\"INTRA\",\"52W\")":0.9848975,"ECH^FMA_COS_DOWN(\"EPS\",\"1M\",+1,NOW,,,\"PORTAGG\",\"MEANR\")":6.0,"VWO^FG_PE_NTM(0,,,90,0)":12.8384353290412,"ECH^FG_FCF_YIELD_NTM(0)":9.60320156455815,"CAGDPY@QA^EE_ACTUAL_ANNUAL(MED,+1)":15.0,"REFKRBASE-FDS^(SUBARRAY(NOT_NA(NO_REPEAT_F(FG_YIELD(NOW,-10AY,D))),0,1)-SUBARRAY(NOT_NA(NO_REPEAT_F(FG_YIELD(NOW,-10AY,D))),1,1))*100":25.0,"USDSAR^FG_PRICE_CHANGE(0,-3AM)":0.10664463,"KSA^FG_TOTAL_RETURNC(0,-1AM)":0.0,"VWO^FG_PE(0)":15.2576029382882,"VNM^FMA_EPS(NTMA,-20AY,0,CY,,\"PORTAGG\",\"MEANR\")":[null,null,null,null,null,1.76556929798562,1.77344510490664,1.79926295005356,2.1935186011017,2.03454772468732,1.57039558296485,1.29980601244052,1.03619480330304,0.937220389578586,1.03904047410582,1.11601821980585,1.03737378869621,1.28884333622767,1.11127493421201,0.886057286970892],"EPHE^P_PRICE(0)/P_PRICE_LOW_PR(0,,,,,,\"PRICE\",\"INTRA\",\"52W\")-1":0.24178195,"TRYZA10Y-FDS^PCTCHG(FG_YIELD(0,,,,\"YTM\"),FG_YIELD(-1AM,,,,\"YTM\"))":-0.40749386,"USDINR^FG_PRICE_CHANGE(0,-1AY)":0.8678198,"TUR^FMA_PE(LTMA,-10AY,0,AM,\"PORTAGG\",\"MEANR\")":[10.15832721455,10.7319172674565,11.6163947507948,12.1320509633394,11.7695896374324,11.7372919706424,11.7093412928747,11.7432705925267,11.4080551485818,11.5401260943866,11.0040431820627,10.3205300181647,11.0290536580718,11.369156700822,10.057860745191,9.55202517845595,9.60591822248269,9.78189559609875,9.79114487572052,9.64156413791079,9.50232737534295,9.48741864158223,9.41752073789314,9.48079609736616,9.43983469581256,9.09749496402486,8.83886067548025,8.78832224322192,9.83865337355867,9.85556160227161,9.7659374075456,9.7957565604458,9.72081591206313,9.62342479581763,9.6224926896406,9.46847269034864,8.96843387221033,9.07763565028955,8.81594097869298,8.8798535959554,8.72752064253473,9.17294894706732,8.92539528469254,8.5902159733399,8.19944120107091,8.00210368379507,7.65729206766721,7.2551473947675,7.38826624371639,6.96961536740513,6.77732117296361,6.63545929922574,7.41938934637794,7.44268506982973,7.24777212102717,7.01482325633168,7.22357373326119,7.4299491880239,7.55908807746731,7.66321315042595,7.58769887069168,8.08363168024735,8.50592479255186,9.40144071266134,9.04694781694952,7.98000085461767,7.7799546115478,7.99148165713354,8.98937645344342,9.53065040725417,9.38710544794387,9.99524291881912,10.7306355286174,12.4747915208956,12.2624562885042,13.9470311385411,12.7228755583899,11.4613439037108,10.8410691136967,10.4111140786597,9.88268717603605,9.20501780212481,8.6579286149331,7.93377517542424,7.27283041225657,7.10878906163871,7.73021742770784,7.2256326489758,6.24599868569286,5.74063101206341,5.77924910138935,5.53702228357812,5.51202576399862,5.16152324696289,5.04759229837431,5.06824036787732,4.80326643752479,5.02120305508386,4.85431239433423,4.86290505535109,4.18612493778721,4.74670521932575,4.7166148231066,4.51577283602287,4.91274058940591,5.25265880746072,5.93215298571401,6.51827768430409,6.57517043581726,5.67326973192752,5.66917277617767,5.66880751843555,6.33197975681648,6.59516000266897,6.62390305189813,6.63940425880179,6.61853296213997,6.98170026366315,6.76686153857565,7.01013349841812,7.38412762396262],"PLATI-FDS^FG_PRICE_CHANGE(0,-1AM)":0.734522560335771,"EWW^FG_TOTAL_RETURNC(0,-6AM)":-19.714092,"VGK^FG_TOTAL_RETURNC(0,-6AM)":6.5093637,"QAT^FMA_ROE(NTMA,-20AY,NOW,FY,\"PORTAGG\",\"MEANR\")":[null,null,null,null,null,null,null,null,null,null,16.7779984816015,14.8814458142908,12.1435908718223,12.1306553272553,12.3947412104099,11.6446378155882,11.2380998666164,12.7317850147387,13.2901313577645,12.1192289718939],"CC_GR^FG_COMPANY_NAME":"Greece","USDQAR^FG_PRICE_CHANGE(0,-3AM)":0.0,"EIDO^P_PRICE_RETURNS_PR('52W',2,-10AY,0,AM)":[-0.6657064,7.786572,18.642843,23.412073,17.325127,1.360786,2.9886007,-5.922204,-12.274801,-17.525953,-19.404024,-32.532394,-13.707775,-22.757494,-24.61444,-23.459154,-16.276001,-11.360943,-14.587277,-10.616141,-2.8170526,7.6815844,19.841362,35.01183,21.094656,22.508657,23.581636,23.651398,13.320721,7.7517033,12.997902,19.07853,15.24061,10.672152,0.8023143,5.687225,3.0677676,11.0302925,11.366677,18.463934,15.712643,17.665577,7.578349,-3.0794978,-4.186577,-10.424816,-7.4611607,-16.361273,-19.835876,-13.198996,-8.254444,-5.3809586,-1.5537441,-9.584368,-2.971542,-2.6594043,2.6295185,14.507985,4.2443633,18.268501,15.948927,8.421993,4.7926545,-0.4351139,-7.0797324,-16.068077,-40.593445,-31.985165,-23.95519,-27.282328,-22.790993,-31.497347,-21.981638,-12.506092,-5.562377,-2.8132617,-1.0330439,12.781572,43.355705,35.370277,19.714308,8.081543,7.603073,24.657845,30.110884,10.8963375,1.7728686,-3.7379026,1.176095,8.208597,15.830601,10.356522,6.0953617,11.309301,21.099281,16.464043,1.2093544,2.0841122,-2.4717033,-4.470885,0.5859375,-7.331318,-2.9373944,4.460573,1.7164588,8.159864,-0.7624924,-3.2815635,-2.50538,-9.0412855,-2.0851374,5.741048,-1.6230166,5.9535623,-4.767376,-13.026738,-14.574963,-8.001685,-7.362497,1.2296557,3.161645],"GREK^FMA_PE(NTMA,-10AY,0,AM,\"PORTAGG\",\"MEANR\")":[6.6081092386401,6.48353136648797,5.87181388917692,4.20723315486766,4.52498381524036,4.88143270299094,5.19763675639732,5.35077874305589,5.48699961584374,4.92650275046102,4.59656006778881,3.82863052209932,4.32537087158562,4.2291795534637,3.72641672353548,9.54535724697918,7.68836055090769,9.10774116469897,8.72187588466405,10.7552595753173,9.83311946286077,8.43555827340595,8.78953668104585,8.62535468227826,9.11866786210934,8.69670250419603,9.84357126309417,9.17689687848797,8.46488026590253,9.16082911267516,10.9244924672058,13.4260058890989,13.392052671186,13.0299755611579,12.5773717788823,11.3978233088629,11.8800228177369,11.8837365859588,12.7222139623142,14.2023168056799,14.1345746316748,14.1137913616649,13.9586495219519,14.7327867017353,14.4201159005173,14.6971305239939,15.1341829019057,14.4853072809525,12.5060532214251,12.3299262107652,12.340015961878,11.1772076085575,11.4534868017084,12.5967530571035,13.8356505546746,12.9353551844085,14.0665542130632,14.1133818279576,12.7521486480395,13.7893445368349,12.3440815709319,11.4856462071122,11.0927431127833,11.1049888396485,10.7132444591136,7.45228305914588,7.75839984742087,9.83143506726709,12.1959400805502,13.2572266707589,11.9031443125472,12.1115508771951,11.4854094866047,10.3549244954864,11.8828676486566,12.1279416342218,11.2296892015608,12.1667813523933,12.2825110239255,6.77600683475845,13.3088258168939,11.8587985806973,11.1076863733947,10.4778248406043,10.4245772034109,11.2110588220878,9.92669411012938,9.79006457167276,10.3439382969048,8.79864195832088,10.2494059753084,9.1276478553799,8.93377912641525,7.78255439537934,8.24243813627455,6.96680255147145,6.65657175277286,6.99791091204309,6.67244275166232,6.47869721241827,7.73661828054584,7.34232697956,7.11054969966504,7.1686352215007,7.75133958795717,7.8496385405017,7.77085628255029,6.93082725452766,6.42525198230061,6.51711288456313,6.55281695718023,6.78866109928374,7.05957698575789,7.22447349232743,7.03049313887961,7.24679327575618,7.22098679527351,7.08274048578478,6.71877785740251,6.8637322181218,6.73527090868393],"SPY^P_PRICE(0)/P_PRICE_HIGH_PR(0,,,,,,\"PRICE\",\"INTRA\",\"52W\")":0.99726504,"KSA^SIZE(FG_CONSTITUENTS)":126,"REFINREPO-FDS^FG_YIELD(NOW,,,0)":6.5,"TRYTH10Y-FDS^PCTCHG(FG_YIELD(0,,,,\"YTM\"),FG_YIELD(-3AM,,,,\"YTM\"))":-4.774365,"TRYCN10Y-FDS^FG_YIELD(0,,,,\"YTM\")":2.1609,"EWZ^JULIAN(FMA_DIV_YLD(NTMA,NOW,NOW,M,\"PORTAGG\",\"MEANR\").DATES)":45565,"EPHE^FMA_PE(NTMA,0,,,\"PORTAGG\",\"MEANR\")":10.4613296076468,"EWM^FG_COMPANY_NAME":"iShares MSCI Malaysia ETF","USDQAR^FG_PRICE_CHANGE(0,-1AY)":0.02746582,"REFINREPO-FDS^PROPER_NAME(0,,,\"SECURITY\",\"NAME\")":"India Repo Rate","EPHE^JULIAN(FMA_DIV_YLD(NTMA,NOW,NOW,M,\"PORTAGG\",\"MEANR\").DATES)":45565,"USDCLP^FG_PRICE_CHANGE(0,-1AY)":0.3514886,"QAT^FG_TOTAL_RETURNC(0,-12AM)":13.191867,"USDQAR^FG_PRICE(0)":3.641,"KSA^FG_TOTAL_RETURNC(-10AY,0,AM)":[null,null,null,null,null,null,null,null,null,null,null,null,null,-8.826858,1.73769,-11.537069,-5.7254553,9.414637,0.20062923,7.897663,-3.3195913,-4.2743263,2.391076,-3.6013484,-4.6004353,12.98902,8.624434,-1.7810047,1.1147857,-1.6377032,2.9712677,-0.25331974,-1.3531804,6.24454,-2.6365697,3.4466505,-2.765113,-2.2656262,2.1982431,5.195558,0.2260685,6.165409,5.0283313,0.10114908,4.7490716,2.161479,-3.4625173,-6.7127285,1.058197,-0.6980777,1.1247754,7.0580482,6.6578746,-1.8232405,8.026433,-2.068764,0.089251995,0.16754866,-4.0718555,-6.086147,-3.954804,1.9723177,3.5290122,2.319193,-5.8690014,-14.433348,-0.64412355,-0.6888151,12.9742985,-0.82387924,1.5737891,5.286181,5.090034,0.65897703,2.9459953,1.2620568,0.8503914,7.495308,5.636263,2.6127577,4.9470544,0.74762106,5.347991,1.1901855,2.4003863,1.9456267,-8.576691,7.8029156,5.662596,4.15833,4.2912006,0.6141305,-8.793044,-7.0786533,9.4316845,-4.68508,-2.2722006,-1.8030882,-9.325928,3.8205862,-3.1906605,0.21436214,6.443846,2.6626468,2.2520304,0.9685278,-2.637893,-1.4778316,-5.4499984,2.485454,3.3281803,8.057284,1.2877584,2.3809552,1.4450192,-4.562652,-3.1483233,0.057053566,-0.9037614,2.5881171,0.0],"EWZ^FMA_PE(NTMA,-10AY,0,AM,\"PORTAGG\",\"MEANR\")":[11.5643388893894,11.3926287037643,10.6655614901973,10.9645191045607,11.3633465216402,11.6695928051754,13.6239991905129,14.6036372238079,13.5697731467105,12.7779435611214,11.7958376112663,11.0803447365001,11.7062641756679,10.8599698332188,10.9939547054792,9.71706835231715,10.304066479668,12.7526960949816,13.3690516855679,13.0106665424441,12.0731146474506,12.91633583044,13.5867587372985,13.8487872477164,14.2982215836103,13.8217447333986,12.9747502587271,12.9340430678189,13.3937134890203,12.9653353464646,12.5847226757029,13.0248085271422,11.8620857495572,11.9179328480634,12.7446160102783,13.6195673705545,14.1556949644081,12.9165489959071,12.8550870586063,13.5742330666105,13.2597571582226,13.2363577937301,12.7188394699408,12.5718945894417,10.7517988615468,10.7040200470648,10.77908889975,10.633642106814,10.8451271619952,11.2970466473152,11.4612025655694,12.5571153092504,12.7009184668341,12.153870909629,11.8103126969594,11.5356317019292,12.0566349023275,12.9011029683941,12.9395675249283,12.8561576828945,12.5913621125734,13.3687740721166,13.640602668027,14.3796662149079,13.903478281449,11.6312881340925,11.7222397671869,14.3618675598581,18.071485247606,26.7833244791092,25.7854692423754,21.5201148031115,16.9877274595415,15.016074517396,13.7911360587166,13.1598985394062,11.0225373546307,9.81103103087244,9.20213726735459,8.96598851134651,9.53089585983841,8.79746794249044,8.1248709948501,7.67001992304281,7.95770630475039,7.44520475063529,7.97747602173613,7.51854386398005,8.17394451563893,7.87614169542115,7.59262273923506,6.32714297115402,6.34537471505098,6.06175131971975,6.53955734258783,6.491000020542,6.97105980392962,6.74000244163859,6.74826878215742,7.04787022553907,7.04429968274363,6.64897608568043,6.55751379174063,6.95080101277235,7.77761662276164,7.87886761748574,7.94304172117363,7.79440202962612,7.64021452426034,7.65110606879537,7.65195678037272,7.74850794490459,7.84038244361592,7.79075974811774,7.72936059570463,7.57887385334417,7.04303185565093,7.26718693786855,7.34315333669937,8.2767402948249,8.147359792992],"TRYIN10Y-FDS^FG_YIELD(0,,,,\"YTM\")":6.7725,"VNM^FG_TOTAL_RETURNC(-10AY,0,AM)":[-6.498039,-1.5858233,-7.109004,-0.441283,-0.8425474,-1.5400887,-6.418556,-0.23055077,2.137494,7.692313,-4.7794223,-11.5278425,11.097252,-7.0145903,-8.8714485,-3.9540946,-5.4402294,9.765327,-4.3448267,1.8024564,4.957509,1.889348,-1.5894115,-2.0188391,2.335155,-8.791942,-0.7358372,1.6277075,2.541113,-1.8221557,4.9740195,-0.9900987,3.7142873,0.5509615,-3.1506836,4.8797727,2.1577835,6.534648,3.407693,11.519421,-6.188923,9.953701,6.157899,-11.403072,-2.1264732,-11.492282,4.3281674,0.0,-3.0959725,-2.300316,2.0274758,-1.1873424,1.3080478,4.260814,4.3343663,-3.3234417,0.2455473,-0.24493933,-3.9287984,0.0,2.7476072,3.2960296,-4.6959696,1.2748241,-5.7196736,-14.466667,-6.7420063,10.488928,9.682298,-1.862073,3.7245274,0.0,2.642274,2.574265,7.271552,10.9574795,-3.36591,-1.1235893,5.681813,3.2795668,3.3836603,0.3524661,0.30105114,0.20010471,-2.1467805,5.051017,0.4371047,3.0275822,-6.2735853,-4.5294466,-1.0542929,-14.011728,-3.0359328,-8.753991,8.613443,-2.9658258,-17.475086,-11.755234,17.24453,-2.2028446,-4.0160656,-2.4267793,5.4888487,-0.32520294,7.259381,4.4106483,8.667159,3.6193013,-12.354464,-2.7306259,2.2761703,1.0988951,1.0831714,3.0233502,-1.0401189,-5.7057023,2.2292972,-2.803743,-5.1281986,5.152023,0.40160418],"VWO^FMA_DIV_YLD(NTMA,NOW,NOW,M,\"PORTAGG\",\"MEANR\")":2.98151369325415,"EWW^FG_FCF_YIELD_NTM(0)":9.91445064847528,"UAE^FG_TOTAL_RETURNC(-10AY,0,AM)":[-3.360653,-4.6225605,-10.804802,-4.227,1.9179463,-0.8363843,4.059863,5.1178575,0.98757744,-2.599305,3.323257,-12.694931,1.6868472,-11.868996,-8.128309,1.8250346,0.26737452,11.155331,1.7195106,-1.0619104,0.47736168,2.1178365,4.70227,-1.507771,-3.846717,-4.2814612,8.474064,4.00697,0.11370182,-4.9965916,2.5098443,-0.058311224,2.0420074,-1.3213694,5.1785707,0.92812777,-0.58315396,-5.358142,-0.47675967,7.29723,-3.9865196,-1.2865543,-1.1848271,-3.8369238,3.7406445,-3.245473,2.0540476,-1.493007,-3.6439896,1.0709524,-9.006625,4.628587,-1.9580424,0.71326494,6.055248,-2.7712822,-4.12088,2.2115946,1.3071895,1.3620138,-2.1923661,0.28922558,-2.6676297,-2.9259264,-1.3635993,-16.681492,-7.520896,-0.20080805,8.148897,-1.4828622,4.6314716,2.9985666,-1.8484293999999999,1.2241125,12.558138,4.6933413,3.8309693,1.1791587,-0.37593842,4.150939,7.9359055,-2.1542788,2.66335,5.15393,-3.124994,7.898128,8.887207,-3.814119,3.237617,7.692313,5.631864,-5.799741,-8.292609,-5.6034446,9.98044,-8.362997,-1.2770236,5.0305843,-5.742824,0.21820068,0.04966259,-4.4183373,-0.9695232,5.9440494,-3.177309,3.1512618,3.8696527,-2.222222,-1.0026693,-0.27008653,-2.9790163,6.623447,-4.1482267,-0.826782,3.1877995,-2.4177313,-4.0605664,2.595055,5.1598787,4.561162,-1.9828141],"CAGDPY@VN^EE_ACTUAL_ANNUAL(MED,+1)":null,"USDCLP^FG_COMPANY_NAME":"Chilean Peso per U.S. Dollar","NI-FDS^FG_PRICE_CHANGE(0,-1AY)":-6.07886089813801,"TIOS-FDS^FG_PRICE(0)":105.81,"QAT^FMA_PE(NTMA,0,,,\"PORTAGG\",\"MEANR\")":10.8965848680641,"ECH^FMA_PE(NTMA,-10AY,0,AM,\"PORTAGG\",\"MEANR\")":[13.6954031649392,13.9310409351698,13.7259866027131,13.2316103650282,13.1405969154122,13.1179981799106,13.7970313415294,14.3176825032873,13.7453094575387,12.9447764430776,12.5475671084626,12.6103151707027,12.8257849104878,13.3940930004024,12.4469459290385,11.8746844697465,12.1100359724933,12.9285138928211,13.2165498582024,13.6997429345673,13.5810468847357,14.6727098124431,15.6068632887407,15.4345232850878,15.7151287563599,16.4421898480853,16.1453295470402,15.4094590510503,15.9361932305427,16.0809480711577,17.3445917343126,17.2691251193626,16.8218253867076,17.2487213788202,17.5128420144217,18.6221962080739,15.5199698074076,14.5367141149447,12.6204571616106,14.4590556803342,14.0148303633947,14.3145042418564,13.7811426712388,13.4113625139861,12.3338419375744,11.6558230180916,11.7260934978313,11.4915485648781,15.8169672384738,15.0969721224767,14.4429567086209,8.99121708863487,8.85992591661941,8.85676530162334,8.54145041769947,9.19242884851572,8.2515031572363,8.87572972584714,8.76257893885894,9.17122809254889,9.37278829546033,8.23406350841514,8.32104120350298,9.44106255563625,8.63971367658072,7.38502594719301,7.71790841382848,122.89217018467,14.4737851956793,15.0302483368642,15.6973457575989,14.2406057142443,13.9359390475774,14.7916631561645,14.3454004940814,15.0362906552422,14.4120205023849,15.0962742034616,14.1363086121515,12.7155740034218,11.342482246522,10.8665538231117,10.6116432980127,10.2594128649601,9.47600815090927,9.93862027690158,9.68776132598701,9.08052257393124,10.1915275532783,9.40991960411893,9.53202626852033,8.30981211025822,7.14701722384741,6.48755968974649,6.63584585852296,6.94548321528993,7.13859551051397,7.81425452674355,7.21500011982113,7.23778164936346,7.91343754798214,7.80504151480324,7.32355123848825,8.43380329669693,8.29050534631694,8.88601473621074,9.30883340163951,8.65019727719687,8.60618398809283,8.26737478135311,9.32377921092715,9.54406551127428,9.41365380733767,10.0458649142612,10.1055003147424,10.2508626237018,10.1868659118887,9.72069307569812,9.19475255962757,9.045349509152,9.37887020616838],"MCHI^FG_TOTAL_RETURNC(0,-6AM)":30.699408,"VWO^P_PRICE(0)/P_PRICE_HIGH_PR(0,,,,,,\"PRICE\",\"INTRA\",\"52W\")":0.9644947,"TRYZA10Y-FDS^PCTCHG(FG_YIELD(0,,,,\"YTM\"),FG_YIELD(-3AM,,,,\"YTM\"))":-5.796954,"EWW^FMA_PE(NTMA,0,,,\"PORTAGG\",\"MEANR\")":10.8032984285862,"CAGDPY@CN^EE_ACTUAL_ANNUAL(MED,+1)":1.3,"PLATI-FDS^FG_PRICE(0)/MAX(FG_PRICE(0,-1AY))":0.898035547240412,"MCHI^FG_TOTAL_RETURNC(0,-3AM)":22.59953,"VGK^P_PRICE(0)/P_PRICE_HIGH_PR(0,,,,,,\"PRICE\",\"INTRA\",\"52W\")":0.9605993,"REFKRBASE-FDS^FG_YIELD(NOW,,,0)":3.5,"ECH^FMA_PE(LTM,0,,,\"PORTAGG\",\"MEANR\")":12.4326281752786,"KSA^PERCENT_CHANGE(FMA_EPS(+1,0,,,,\"PORTAGG\",\"MEAN\"),FMA_EPS(+1,-3AM,,,,\"PORTAGG\",\"MEAN\"))":-2.46457894912677,"USDSAR^FG_PRICE_CHANGE(0,-1AY)":0.10397434,"EZA^FG_PRICE_MAVG(0,,,,200)":42.218,"MCHI^FG_TOTAL_RETURNC(0,-1AM)":29.483055,"USDMXN^FG_PRICE_CHANGE(0,-3AM)":9.359407,"USDCLP^FG_PRICE_CHANGE(0,-3AM)":1.233387,"PASP-FDS^FG_PRICE_CHANGE(0,-3AM)":6.15690168818273,"TIOS-FDS^FG_PRICE_CHANGE(0,-3AM)":-2.69450064373735,"EIDO^FG_PRICE_MAVG(0,,,,30)":22.342,"SET-BKK^FMA_PCT_ABOVE_MAVG(200,0,,,,\"PORTAGG\")":41.5430267062315,"EWZ^FG_TOTAL_RETURNC(0,-1AM)":-1.7235458,"EPU^FG_TOTAL_RETURNC(0,-1AM)":12.396479,"EIDO^SIZE(FG_CONSTITUENTS)":74,"TUR^JULIAN(FMA_DIV_YLD(NTMA,NOW,NOW,M,\"PORTAGG\",\"MEANR\").DATES)":45565,"EWY^FMA_EVAL_EBIT(LTMA,NOW,NOW,M,\"PORTAGG\",\"MEANR\")":14.220451244646,"EPHE^FMA_PE(LTM,0,,,\"PORTAGG\",\"MEANR\")":12.1113827043926,"CNYA^FG_COMPANY_NAME":"iShares MSCI China A ETF","ECH^P_PRICE_RETURNS_PR('52W',2,-10AY,0,AM)":[-19.516325,-11.936087,-12.879342,-13.268709,-2.4632633,-7.1804523,-9.687674,-4.993314,-13.530886,-18.315052,-15.460038,-20.810722,-13.765979,-18.221123,-19.553345,-21.641588,-17.302597,-7.3346853,-13.143909,-14.589554,-8.246994,5.8164,9.265078,10.304106,6.295657,15.43001,28.450357,26.909184,29.594028,17.163063,29.381191,18.887222,21.122515,17.96769,19.255936,31.451845,38.97407,31.506264,12.530732,47.13788,33.624817,36.272503,21.376587,26.306332,17.515396,10.333384,1.6682506,-11.115813,-14.443522,-11.989695,-1.1470497,-15.97684,-11.142707,-15.516126999999999,-15.788144,-20.946194,-18.78193,-11.614961,-17.142605,-10.270441,-9.091407,-22.197319,-21.31769,-20.867104,-30.724037,-38.781834,-44.716812,-37.278862,-28.691715,-33.07336,-29.079353,-31.365417,-34.447323,-16.48639,-9.439683,-2.8289258,5.04092,32.1388,48.71142,33.46776,9.183275,6.753993,7.268095,14.726675,5.890894,1.4811397,-10.599446,-23.687565,-13.569498,-17.20341,-14.54556,-20.556427,1.6686201,-6.687993,6.7211747,12.211919,7.0375443,8.73493,15.776884,22.420288,18.64159,14.980936,3.5702825,28.008806,10.509682,35.154045,17.975294,-1.8392265,9.75616,-4.3447375,7.6465607,1.4092803,-11.040926,-6.516308,4.6935797,-1.574713,-3.7877083,-7.3893127,-10.850853,-2.9173493,8.991361],"EPOL^P_PRICE(0)/P_PRICE_LOW_PR(0,,,,,,\"PRICE\",\"INTRA\",\"52W\")-1":0.33333325,"CC_BR^FG_COMPANY_NAME":"Brazil","PASP-FDS^FG_PRICE_CHANGE(0,-1AM)":10.2061855670103,"QAT^FG_PRICE_MAVG(0,,,,200)":17.499315,"UAE^SIZE(FG_CONSTITUENTS)":46,"QAT^FG_FCF_YIELD_NTM(0)":null,"CC_KR^FG_COMPANY_NAME":"South Korea","MCHI^FG_PRICE_MAVG(0,,,,60)":43.94625,"EPOL^PERCENT_CHANGE(FMA_EPS(+1,0,,,,\"PORTAGG\",\"MEAN\"),FMA_EPS(+1,-3AM,,,,\"PORTAGG\",\"MEAN\"))":-0.861396520656655,"REFBRSELIC-FDS^FG_YIELD(NOW,,,0)":10.75,"EWY^FG_FCF_YIELD_NTM(0)":7.44109764196567,"CC_MX^FG_COMPANY_NAME":"Mexico","EIDO^FMA_COS_UP(\"EPS\",\"1M\",+1,NOW,,,\"PORTAGG\",\"MEANR\")":15.0,"EWM^FMA_PE(NTMA,-10AY,0,AM,\"PORTAGG\",\"MEANR\")":[15.3235222599883,15.3405229764209,15.1600875045037,14.8987512000946,15.4529060527055,15.5821296016089,16.0597324617278,15.743405845743,15.4258581964886,15.196309421572,14.6189144309964,14.5529072420154,15.5091618656211,15.3127369054409,15.2196292930497,15.2468757450782,15.2180550895074,15.8985799436052,16.2158090055567,15.4437549984439,16.0943332979653,16.1816321563159,16.5158257885684,16.8920222653775,16.7618824976766,16.5169390475569,16.4350333925981,16.6346648367367,16.7527256319644,16.7421626241055,16.8138988052167,16.99893487907,16.7736947450587,16.3591562006005,16.364497530763,16.5187639759449,16.1830770160293,15.820654230795,15.8503690925854,16.6882321645351,16.5197852005975,16.2800313780444,16.450183765034,16.1650576316624,16.2438738288332,15.3732561489101,16.5038169333639,16.4953724657428,15.7624915034816,15.7269475937354,15.7203727589978,16.024859027717,16.2162824888996,16.421799803957,16.1029751453564,15.7367390711844,16.5851204091486,16.729205354237,16.0859217467801,16.0781862525598,15.5727740955687,16.1112795009748,15.7904219970029,16.0174665907436,15.5153164602036,15.1007214061982,15.2052489054921,16.0796758967151,20.0187347482162,19.9551475796642,18.9217071756101,17.847782690166,17.5415384648198,16.5645996499439,15.7604750434525,14.8766274319722,14.3564938610593,14.5682552029241,14.3489651645872,14.0227008394685,14.0277931567615,13.4420273248143,13.3597310833072,14.0547499914923,14.3550270680056,14.1988720294737,14.9444629971879,15.5704052580471,15.582161331003,15.2432994412403,15.3020164408984,14.5823035754872,13.9646426778665,13.295402771202,13.8714181499809,13.8158867736119,12.8553573441155,13.128814670247,13.4465861606019,13.484118857555,13.3423501821552,13.0576524697621,13.1010680075827,13.0882637066239,13.2001467669303,13.2118402025741,13.8370309020266,13.8314710820906,13.5936913281403,13.5560102013726,13.5700335727691,13.7761519507061,13.840535447416,14.003221737652,14.0443586528176,14.3505412227429,14.1387568579396,14.185166039565,13.872964002949,14.4513688300557,14.1661056853189],"EPOL^PERCENT_CHANGE(FMA_EPS(+1,0,,,,\"PORTAGG\",\"MEAN\"),FMA_EPS(+1,-1AM,,,,\"PORTAGG\",\"MEAN\"))":-3.02322659819985,"REFBRSELIC-FDS^PROPER_NAME(0,,,\"SECURITY\",\"NAME\")":"Brazil Target Selic Rate"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2441362,11.6209108336754,14.7244118880078,12.9407917731186,11.9161171814971],"EWY^P_PRICE(0)/P_PRICE_HIGH_PR(0,,,,,,\"PRICE\",\"INTRA\",\"52W\")":0.9107387,"EWW^FMA_DIV_YLD(NTMA,NOW,NOW,M,\"PORTAGG\",\"MEANR\")":4.8761892702337,"USDMYR^STD(FG_PRICE_CHANGE(0,-3AY,M))":2.57610853714431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118074,1.93303149869795,3.07367882843683,3.62922601692517,3.01150373764985],"KSA^FG_TOTAL_RETURNC(0,-6AM)":-5.9784355,"EPHE^FG_TOTAL_RETURNC(0,-12AM)":18.194412,"USDINR^STD(FG_PRICE_CHANGE(0,-1AY,AM))":0.278799073399433,"EWW^FG_TOTAL_RETURNC(-10AY,0,AM)":[-6.9845796,0.9197831,-12.92395,2.5097847,-1.9084573,-4.0117083,7.1748853,0.36820173,-3.3850312,-0.2084136,-0.9928584,-8.427167,5.6292057,-2.3281157,-5.959034,-8.829605,-0.044083595,11.091518,1.6673326,0.60522556,-4.696292,2.3631573,4.628706,-5.3856554,3.516972,-13.1971655,3.710401,-8.046305,11.105812,1.9948483,9.526825,-0.09601116,2.5562167,4.685557,0.5972862,0.50377846,-5.853921,-5.4002643,0.5628109,-0.08285642,1.7380714,3.0393243,2.0628452,-8.273512,-7.495886,14.799822,-2.5338829,-0.6448984,-1.2981713,-12.166047,-6.013113,11.683464,-0.044995546,-5.5367947,11.055517,-4.3338356,0.6055236,-1.8286407,-6.139946,4.887688,2.3534894,3.518045,-2.598852,6.79754,-0.43112636,-18.337297,-25.079536,9.200287,11.082304,-7.585806,6.2103987,-1.7303169,8.743179,8.570635,9.642577,6.9754004,-5.30051,1.7798543,3.842616,5.251491,4.7936797,-3.1180441,1.9017816,2.563572,-3.919214,1.456821,-1.3743579,6.3945174,-1.3877809,-1.0454357,8.004868,-10.4025545,1.0649323,-3.0584276,2.6109695,-1.0602176,-2.6789546,17.000664,-3.030306,7.9309225,3.3400655,1.1898398,3.7030578,6.4308643,0.7882476,-0.47679543,0.27148724,-5.4307995,-5.304819,4.943979,8.337569,4.0847063,2.8841734,-2.71433,4.3451786,0.043833256,-15.525049,5.111325,-7.6961336,-8.3378315,6.8221927],"SET-BKK^FMA_RBICS_REV_CURRENT(30, LOC, \"PORTAGG\")":23.7213793470415,"QAT^FMA_PE(LTM,0,,,\"PORTAGG\",\"MEANR\")":11.8508509263323,"VGK^JULIAN(FMA_DIV_YLD(NTMA,NOW,NOW,M,\"PORTAGG\",\"MEANR\").DATES)":45504,"EWT^FG_TOTAL_RETURNC(-10AY,0,AM)":[-8.69565,5.7679415,-3.8046956,-0.1715064,4.377103,-0.7741928,4.031205,2.7500033,-4.1362524,-3.04569,-5.3010464,-5.8051167,3.9618492,-3.0345798,-4.1484714,-8.261043,3.412962,10.72607,-1.0432243,-4.819274,7.6740503,3.8207293,10.969567,-4.0816364,5.651593,-5.695409,4.6379805,-0.696373,6.1143994,-0.8054495,3.4353495,3.6533952,1.3108015,2.3289323,1.0396123,4.115689,-1.5491426,1.8990755,-3.4078896,4.787314,-2.7875602,6.3196063,0.07855892,-3.008902,1.5915871,-3.5847008,2.7815938,-1.9828439,-6.8343344,-2.8169096,-2.2644937,1.5578747,2.9808521,0.27422905,7.9611063,-1.3791084,-3.9668918,5.646348,-4.078764,5.1612973,3.8204074,7.8699946,-0.17430186,5.0860524,-3.2360077,-4.978627,-9.341103,8.844137,8.608198,4.222214,7.7706814,-2.681911,5.6471705,1.2614965,10.472965,9.589804,4.4250846,-2.450645,6.245637,3.5632133,0.66592693,1.5277982,-1.0549188,2.1636963,-6.0313106,5.35686,3.6583543,1.8617511,-0.5129039,-6.929487,-2.525252,-9.744281,1.6111135,-9.586292,5.0393105,-5.008638,-13.696968,9.035587,6.247318,2.5670648,4.3943286,-3.1403124,3.334093,-1.9581616,8.034492,-2.8781474,-0.12978911,-2.2092223,1.4839411,0.916636,4.995668,1.9991755,6.282723,3.7909627,1.650846,0.40601492,4.2660713,10.29669,-9.493673,-1.3209045,7.1653485],"QAT^JULIAN(FMA_DIV_YLD(NTMA,NOW,NOW,M,\"PORTAGG\",\"MEANR\").DATES)":45565,"USDMYR^FG_PRICE_CHANGE(0,-6AM)":-9.60505,"EZA^FMA_PE(NTMA,-10AY,0,AM,\"PORTAGG\",\"MEANR\")":[13.9919316522639,15.0391906919643,14.8890080851306,15.7666008360334,16.9015460400001,16.5081189604542,17.6458506931862,17.0757160627312,16.0698614416204,16.0947404358753,15.8774968630663,14.9600263085543,16.1709369639381,15.4618573512927,13.8444179284382,13.4797476344775,13.6754532087478,14.2661737558917,14.7375703844485,14.2731178873087,14.8789805079684,14.5338266789222,15.6566840364878,15.2113808733332,14.8236245162847,14.349513309551,14.3301063144412,14.8300246143283,15.157141189483,15.5966466331467,15.5649272285937,16.2974239380299,15.2066800246751,14.9226015310397,15.8560979549238,15.2965414886961,15.4228722603746,15.5218494584122,14.353743499941,14.9908531695187,14.1789614774479,15.4550194546501,15.2493442003072,15.1539384646916,14.4624183012416,14.2391637334225,13.6774057733164,13.0811371687865,12.0775012422355,12.4650728526041,12.1026957585009,12.8851743593284,12.8036405041647,12.7750337470867,13.6005669888934,13.3052816398736,13.2616514475648,13.0212813245272,12.1736443738167,12.094106262513,11.6563276409136,11.8334883399451,11.7551030234105,12.3316501887666,11.7049371813157,9.70650518194783,9.24392734221798,10.6359471977831,11.1924423009136,11.669168365689,11.2947952365028,11.1682661686559,10.3813389884584,10.7288040811789,9.85604798104431,9.93456073422914,10.4630889839394,10.4047408495826,9.9300211043596,9.64045468808616,9.84468979604062,9.34848977292992,9.56679723692594,8.82444692814887,9.48355841395889,9.60250143983002,9.49322536873398,9.70365332742067,10.0793749755063,10.0306489923422,9.73633500768144,8.59296706411931,8.49580768110112,8.89594153524336,8.98394522192315,8.54621303586325,8.12947724584794,8.91305317754285,9.13445053216508,9.41486529432208,9.12972975123235,8.77709497496254,9.04998499137424,9.03877104188799,9.13668683998559,9.27636839796146,10.034104138312,9.60131033346746,9.56698420379019,9.38524053553142,9.54361884776823,9.37021072019582,9.35612271943395,9.50780182409696,9.58638434120203,9.79677521360413,9.18529138850527,9.8413906812778,9.94677010728724,9.96998915998203,10.5066606294224],"EWY^FMA_EVAL_EBITDA(NTMA,0,,,\"PORTAGG\",\"MEANR\")":5.69071691519522,"TIOS-FDS^FG_PRICE_CHANGE(0,-1AM)":15.9180543382997,"EIDO^FG_PRICE(0)":21.65,"EWZ^PERCENT_CHANGE(FMA_EPS(+1,0,,,,\"PORTAGG\",\"MEAN\"),FMA_EPS(+1,-3AM,,,,\"PORTAGG\",\"MEAN\"))":-17.007651074091,"EIDO^FMA_COS_DOWN(\"EPS\",\"1M\",+1,NOW,,,\"PORTAGG\",\"MEANR\")":24.0,"EIDO^FMA_EVAL_EBIT(LTMA,NOW,NOW,M,\"PORTAGG\",\"MEANR\")":10.0879815900991,"URTH^FG_TOTAL_RETURNC(0,-6AM)":11.020994,"TRYQA10Y-FDS^PCTCHG(FG_YIELD(0,,,,\"YTM\"),FG_YIELD(-3AM,,,,\"YTM\"))":null,"EWW^FMA_ROE(NTMA,-20AY,NOW,FY,\"PORTAGG\",\"MEANR\")":[null,null,null,null,null,null,null,null,null,null,null,null,12.2361967072767,12.6640790394995,12.8972143418882,12.1561921303081,11.8826113185115,13.7657830016044,13.3394699173982,13.7129718327555],"USDMXN^FG_PRICE(0)":19.513,"USDCLP^FG_PRICE(0)":930.76,"TIOS-FDS^FG_PRICE_MAVG(0,,,,30)":97.17067,"ECH^FG_PRICE_MAVG(0,,,,60)":26.055916,"EWY^P_PRICE(0)/P_PRICE_LOW_PR(0,,,,,,\"PRICE\",\"INTRA\",\"52W\")-1":0.16186452,"UAE^FMA_COS_DOWN(\"EPS\",\"1M\",+1,NOW,,,\"PORTAGG\",\"MEANR\")":9.0,"QAT^FMA_DIV_YLD(NTMA,NOW,NOW,M,\"PORTAGG\",\"MEANR\")":5.32753758864514,"EIDO^FMA_EVAL_EBITDA(NTMA,0,,,\"PORTAGG\",\"MEANR\")":6.82574223312841,"USDMXN^FG_COMPANY_NAME":"Mexican Peso per U.S. Dollar","SET-BKK^FMA_COS_UP(\"EPS\",\"1M\",+1,NOW,,,\"PORTAGG\",\"MEANR\")":44.0,"TUR^FG_TOTAL_RETURNC(-10AY,0,AM)":[-12.332785,7.441473,6.5953255,3.595543,-12.91402,-11.389846,8.515978,-0.799489,-5.790037,5.825615,-9.821426,-14.803189,14.597511,2.9433608,-12.349833,-6.634301,5.3450823,12.991357,6.4890265,-7.0667267,-1.5208185,4.132116,-2.386278,-2.9284477,-1.2067139,-9.426445,-6.185871,-6.1018825,16.56667,0.6862998,3.0957103,10.440779,3.3923745,0.9186506,7.1813703,5.145204,-12.570679,0.69651604,-0.074106455,6.013477,-0.37418008,4.342723,-11.698538,-8.891726,-10.346746,-6.07059,-26.59356,-5.0420165,9.783673,8.777439,1.7702699,-0.33910275,14.291536,-4.951906,-7.646179,-11.323047,9.153318,6.8819046,5.0322056,-2.5680363,-3.7765563,5.396569,2.792859,8.71222,-4.3524027,-13.724768,-15.09996,-3.0060053,17.303705,1.648736,-12.0366335,-0.24788976,-1.0934472,2.5125623,15.049017,20.290316,4.0511727,-4.3374357,-16.815424,3.5193205,-0.48400164,-7.722002,4.3700576,1.6481042,-7.5372458,6.350708,-11.363644,0.7495761,1.9047618,-9.936058,20.37139,0.45371056,-10.028374,-4.3882313,13.174939,19.561077,-0.55865645,22.512043,11.038327,-0.06437898,-12.933845,24.87223,-5.8663073,-11.391306,2.682209,1.3696432,12.713659,13.431549,-0.91673136,-10.948336,0.7792115,-2.9916704,12.380659,-3.3713758,6.620884,6.441641,-2.2754848,6.604314,-10.30345,-4.825598,-6.751174],"NI-FDS^FG_PRICE(0)":17150.0,"GREK^FG_PRICE_MAVG(0,,,,30)":42.19755,"QAT^SIZE(FG_CONSTITUENTS)":35,"TUR^FMA_RBICS_REV_CURRENT(30, LOC, \"PORTAGG\")":23.6199035082148,"EWM^JULIAN(FMA_ROE(NTMA,-20AY,NOW,FY,\"PORTAGG\",\"MEANR\").DATES)":[38352,38716,39080,39447,39813,40178,40543,40907,41274,41639,42004,42369,42734,43098,43465,43830,44196,44561,44925,45289],"TRYTW10Y-FDS^FG_YIELD(0,,,,\"YTM\")":null,"ECH^FMA_DIV_YLD(NTMA,NOW,NOW,M,\"PORTAGG\",\"MEANR\")":4.77100937751293,"USDMYR^STD(FG_PRICE_CHANGE(0,-1AY,AM))":2.02029713329457,"GREK^FG_PRICE(0)":41.0927,"EWY^FMA_PCT_ABOVE_MAVG(200,0,,,,\"PORTAGG\")":50.0,"QAT^FMA_COS_DOWN(\"EPS\",\"1M\",+1,NOW,,,\"PORTAGG\",\"MEANR\")":5.0,"TRYMY10Y-FDS^FG_YIELD_NAME":"Treasury - Malaysia Benchmark Bond 10Y","USDSAR^FG_PRICE_CHANGE(0,-1AM)":0.07195473,"INDA^FMA_RBICS_REV_CURRENT(30, LOC, \"PORTAGG\")":30.4038446451613,"EWW^FMA_PE(LTM,0,,,\"PORTAGG\",\"MEANR\")":13.5580380086371,"CAGDPY@CN^EE_ACTUAL_ANNUAL(MED,0)":1.41410583295463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59333437227,5.12773396645605,7.54796836254382,11.3918613623253,11.0560462161177],"USDAED^STD(FG_PRICE_CHANGE(0,-1AY,AM))":0.00994452767530463,"USDZAR^STD(FG_PRICE_CHANGE(0,-1AY,AM))":1.72031643866463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5496376147783,22.575311410808,28.4030522869017,32.5319871501689,39.4423843258939],"TUR^FMA_DIV_YLD(NTMA,-10AY,0,AM,\"PORTAGG\",\"MEANR\")":[3.27011211607205,3.02648441790043,2.77032964745388,2.66464707798519,2.96118847442625,3.11899277151087,2.94192172638793,2.87330127412002,3.08666471107301,2.99948624552813,3.19944123518332,3.44848383653545,3.17196483661338,3.12715060955244,3.55998193421598,3.63390073717877,3.64805923635291,3.22344687920371,3.27049754721289,3.42749450625408,3.56039383367256,3.53924028796324,3.48241842816796,3.53880021143009,3.58981603047558,3.63356842857734,3.82552647009454,3.8717640359743,3.54195983625428,3.51467821634384,3.55381289584493,3.65084835240465,3.58109049420358,3.63303015425851,3.73758639836781,3.89210705000986,4.25990050225026,4.19240755619032,4.23644992187465,4.14063111900873,4.26109236178735,4.28620681445753,4.74461124785771,5.19983737449251,5.58372946614,5.4296022849886,5.49996029430951,5.90261253398611,5.52822236765756,5.38105178559284,5.55204138636668,5.27764774642026,4.55589573021444,4.47648191829597,4.98353607769617,5.45237963195391,4.90620548812704,4.52995336155261,4.68911345100395,4.93797209936222,5.20241309558136,4.58913848540021,4.62655808341404,4.42968103353851,4.50491882994281,5.09041814541592,5.39922508966467,4.11468367072353,3.21030366626305,3.46394968023777,4.1428023536719,4.47326781632706,4.43497278368021,4.14012877550702,3.78497731879659,3.65869179968241,4.1773345857324,4.45734014023968,5.25619107935327,5.2574477540617,5.53238901159941,5.79354411957645,6.10204789321491,6.04656020122277,6.16086739154978,5.53042553740974,4.67368165284197,5.13231250713237,5.81799080129979,6.17489107625502,5.46236209808891,5.45008663341546,5.47167204624107,6.13029218614573,5.46175284084606,4.43710194028905,5.1074831253197,4.94046365961264,4.92099596318224,4.54951922950817,5.76475630468832,4.8699653038499,5.13238092810981,5.49119348086149,4.68696758454214,4.26986343614717,3.67826181897677,3.4964377396457,3.7423185497789,4.4211385558883,4.42736521355581,4.4407769923655,4.14085449680013,4.20397364336566,3.8986065912443,4.19169656782668,4.19864594167255,3.87150862463403,4.18250260503931,4.44243889728333,5.24230319648604],"UAE^P_PRICE(0)/P_PRICE_LOW_PR(0,,,,,,\"PRICE\",\"INTRA\",\"52W\")-1":0.11966777,"INDA^PERCENT_CHANGE(FMA_EPS(+1,0,,,,\"PORTAGG\",\"MEAN\"),FMA_EPS(+1,-3AM,,,,\"PORTAGG\",\"MEAN\"))":-5.02483996068271,"EWT^FG_TOTAL_RETURNC(0,-1AM)":7.1653485,"EZA^FMA_COS_UP(\"EPS\",\"1M\",+1,NOW,,,\"PORTAGG\",\"MEANR\")":11.0,"EIDO^FMA_RBICS_REV_CURRENT(30, LOC, \"PORTAGG\")":53.2717331572157,"TIPSCL10Y-FDS^FG_YIELD_NAME":"Treasury - Chile Inflation-Indexed (TIPS) Bond 10Y","REFPEMPR-FDS^FG_YIELD(NOW,,,0)":5.25,"INDA^FMA_DIV_YLD(NTMA,NOW,NOW,M,\"PORTAGG\",\"MEANR\")":1.21341275131075,"CAGDPY@MX^EE_ACTUAL_ANNUAL(MED,0)":-0.465,"USDPLN^STD(FG_PRICE_CHANGE(0,-1AY,AM))":1.75860361244779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5143592628,15.9424367037871,24.304723994153,19.7599951476487,19.0976028527307],"EWM^FMA_PE(LTMA,-10AY,0,AM,\"PORTAGG\",\"MEANR\")":[16.4584581781191,16.4661975232507,16.3674130682705,16.0597226136654,16.5687680444995,17.0183829083282,17.0447720628433,16.8923724588095,16.7056709251568,16.5439343840025,16.1716226628423,15.9888709043742,16.7347227865879,16.6324848131641,16.508831603303,16.4650111941104,16.3531280559985,16.6345133017965,16.6816104371835,16.4093466275543,16.610979068383,16.6717939988412,16.8935949801017,17.2663756669211,17.3066491771541,17.2197944156966,17.0927673515057,17.2630735823501,17.227534050209,17.0639837211469,17.1254030534543,17.2602824646786,17.27323605908,17.1816089861692,17.2909904732404,17.5712078704687,17.4509455058378,17.3421746868302,17.5336423427625,18.6265420400073,18.3184124079802,18.4931888917109,18.3598862480337,18.1182289586149,18.0075250229752,17.4025136436867,17.93837917218,17.791929747568,17.0806667949512,16.6915086597194,16.5913219245476,16.7933305365123,16.9289892620587,17.0606646761044,16.9443012676019,16.77565495994,17.1232042046048,17.2354278908909,16.901038549615,16.8596210553374,16.4829430102759,16.9138588910012,16.6848622716177,17.0043008019823,16.4199954079629,16.3109855060388,16.2873970532011,16.6193390525745,18.8075853190927,19.5050936728074,19.6072686579519,19.8928792783169,20.5803280015515,20.782207267391,21.5351839133135,21.1224247174139,19.7114345986573,19.6966673510094,19.1092958888697,18.4092955220006,17.829792106949,16.9766135745553,16.2365859484642,16.0098678028288,15.5812995527319,14.7347973456296,15.0946403871973,15.3639718988775,15.5824532671641,15.8949772172609,15.9130956365702,15.6863584428466,15.3887003685826,14.9749734656788,15.2680703319786,15.2458822123881,14.4917324117867,14.7093543965368,14.8516651048244,14.9009381622319,14.6909949380665,14.7970751128642,14.6646531673027,14.5431065161886,14.5034683359794,14.4418322911102,14.8054949609466,14.939259032891,14.8164724885423,14.8692672472241,14.985996574308,15.3143335079907,15.3218468721011,15.8040572745757,15.6625562689181,15.6645701648793,15.5031907516804,15.4609537774264,15.2171245089353,15.6633134265274,15.488954361761],"W-FDS^FG_PRICE(0)/MAX(FG_PRICE(0,-1AY))":0.862192074259193,"ECH^P_PRICE(0)/P_PRICE_HIGH_PR(0,,,,,,\"PRICE\",\"INTRA\",\"52W\")":0.8992557,"VWO^PERCENT_CHANGE(FMA_EPS(+1,0,,,,\"PORTAGG\",\"MEAN\"),FMA_EPS(+1,-3AM,,,,\"PORTAGG\",\"MEAN\"))":0.983283136085123,"EWZ^FMA_COS_DOWN(\"EPS\",\"1M\",+1,NOW,,,\"PORTAGG\",\"MEANR\")":22.0,"ECH^FMA_RBICS_REV_CURRENT(30, LOC, \"PORTAGG\")":35.1309906504414,"REFVNDISC-FDS^FG_YIELD(NOW,,,0)":3.0,"REFPEMPR-FDS^PROPER_NAME(0,,,\"SECURITY\",\"NAME\")":"Peru Policy Rate","TRYPH10Y-FDS^PCTCHG(FG_YIELD(0,,,,\"YTM\"),FG_YIELD(-3AM,,,,\"YTM\"))":-7.457696,"VNM^FMA_DIV_YLD(NTMA,NOW,NOW,M,\"PORTAGG\",\"MEANR\")":2.00279736465386,"INDA^FMA_PE(NTMA,0,,,\"PORTAGG\",\"MEANR\")":23.9695956721569,"EWM^FMA_PE(LTM,0,,,\"PORTAGG\",\"MEANR\")":18.7741186964118,"UAE^FG_COMPANY_NAME":"iShares MSCI UAE ETF","USDAED^FG_PRICE_CHANGE(0,-6AM)":0.014972687,"USDZAR^FG_PRICE_CHANGE(0,-6AM)":-6.3892245,"SET-BKK^FMA_DIV_YLD(NTMA,-10AY,0,AM,\"PORTAGG\",\"MEANR\")":[3.43707004705978,3.37540776172513,3.39117897777429,3.40561961016822,3.18064871610355,3.38356394048095,3.36825612617659,3.41945434209236,3.43189216504564,3.45245408598024,3.5789683695209,3.5960669126338,3.58145347706555,3.64187608607543,3.90325772321495,3.93572179962,3.63626802059608,3.41956174883858,3.4600587112987,3.43436339621766,3.33129520096314,3.27860612508998,3.1041761619773,3.36633624538347,3.36711157652626,3.23958010846036,3.23289875036059,3.14572841147475,3.10735446962303,3.20154274763426,3.11508827478885,3.19131735089287,3.21129463397778,3.25021879791259,3.24225362226674,3.09678568126479,2.98287323908845,3.05576908519837,3.04582678247539,2.91766764163712,2.98188727448918,3.07884723657301,3.08120875070697,3.12060853401425,3.19307979421679,3.36959722493498,3.25093993101584,3.3221267881811,3.26627825316545,3.36970551181616,3.43269357959303,3.49852608617782,3.30960596374922,3.3146508913698,3.26838138123857,3.2980474375135,3.23110938962333,3.09536464071265,3.27977989924838,3.21163354272079,3.31553236537168,3.18703284107474,3.31859468442438,3.22977954895949,3.32690879576026,3.85089868172619,3.64230981137505,3.36308235544207,2.9334505770188,3.02351378594891,3.10134914353813,3.14661900170105,3.10450399234218,2.91415183808544,2.71162945250033,2.65208644774564,2.76157004170639,2.72507597645065,2.82371721245246,2.85168461549207,2.80456721053269,2.97701438988637,3.00932133078671,2.82410197235932,2.81647074593208,2.81767119671644,2.91109912841846,2.85475792959727,2.83694324250651,2.96519736341555,2.95152848039508,3.07552460595699,3.05690528082713,3.17562032511851,3.10515656713086,3.04982753296737,3.21067734600844,3.06358790647754,3.05268036833471,2.92501163598955,3.0253827696179,3.12238991389143,3.10173512544079,3.14695406006155,3.110212616219,3.19974340567109,3.11995446657359,3.1003474300345,3.35298199898423,3.44241752808947,3.43935380470114,3.4051803128472,3.49028786636647,3.45841992002633,3.44226029592177,3.63740656362565,3.81111662928683,3.77674301795843,3.86396308213059,3.53324901709484,3.50378424893391],"EPU^FMA_PE(LTMA,-10AY,0,AM,\"PORTAGG\",\"MEANR\")":[14.3355182026822,13.9534276764495,14.4439389726675,13.9761667047701,15.6320106779881,16.1242673130453,16.0079392360641,15.6542476031454,16.2511751046179,15.7955743508538,15.7889261386517,14.5281525982941,15.398173871745,11.5668275022543,10.8720652709734,14.6355230740494,16.9460121390842,22.4902250367515,21.8000777178794,21.4030466860195,20.4665125577679,20.1597762134859,19.2269835504704,18.1395179689711,16.7397204975318,16.4454943845802,15.689246821698,15.6404460370157,17.5121126296527,16.1712786016005,15.6949978924388,14.9791830415117,15.081352944841,14.7273172612091,14.9752018334642,14.8633099284064,16.398067633373,16.5894458185098,16.4027218718066,17.5738830639524,17.5120021671772,19.7374051103529,19.1774886921954,18.6349809810406,17.9383550813718,17.6325849405699,17.7733884463001,16.1122402419633,16.3055925087825,16.6562023584924,17.0868210016274,17.4520546455275,19.0032691421429,20.0570987999643,19.7007318973475,18.555167654813,17.939316829708,17.6607931735141,18.0539748806699,17.2467319126531,16.8405829564541,17.1421599387202,16.1259370184005,16.811575623001,16.805336295012,16.4923266785012,15.5039211076171,16.8702516509527,19.5384853058854,22.4028113457199,26.3685667904474,32.4241105959605,39.3843769989343,42.3640298216901,51.6638321501122,50.0158194802956,46.4242232042958,66.1183636558068,60.3011885255893,54.6083501751325,48.0126123649764,42.180587851446,35.5652880112933,30.7461912635255,26.1667515707258,20.1552701045445,14.755821144412,11.9192389022544,11.929592788774,13.5853544090667,13.0205900401266,11.8508745082675,11.5261753593721,10.4736707363192,10.1796647871721,9.87395701316906,9.266404345522,10.1195180037883,9.91486197594613,10.4526827969452,9.78820958034277,9.38669320690224,9.52293830430774,9.63800845322859,9.88143282171382,10.2273666785952,11.0919899964106,10.8054969192602,10.6747511433234,11.1871552329667,12.7495644975063,14.95227750715,14.6123955574055,15.2102033296628,15.2057836769748,15.3608639169538,14.4215105108932,14.297757278498,13.225321385108,12.9110463218085,13.5074482002727],"EWW^FG_PRICE(0)":54.49,"UAE^P_PRICE(0)/P_PRICE_HIGH_PR(0,,,,,,\"PRICE\",\"INTRA\",\"52W\")":0.95369774,"GREK^P_PRICE(0)/P_PRICE_HIGH_PR(0,,,,,,\"PRICE\",\"INTRA\",\"52W\")":0.93096286,"EWT^PERCENT_CHANGE(FMA_EPS(+1,0,,,,\"PORTAGG\",\"MEAN\"),FMA_EPS(+1,-3AM,,,,\"PORTAGG\",\"MEAN\"))":11.7073577283513,"ECH^FG_TOTAL_RETURNC(0,-3AM)":-1.1156559,"CNYA^FMA_RBICS_REV_CURRENT(30, LOC, \"PORTAGG\")":22.2631145021828,"REFVNDISC-FDS^PROPER_NAME(0,,,\"SECURITY\",\"NAME\")":"Vietnam Discount Rate","GREK^FMA_PE(NTMA,0,,,\"PORTAGG\",\"MEANR\")":6.73527090868393,"CAGDPY@MY^EE_ACTUAL_ANNUAL(MED,0)":1.54713940757014,"USDPLN^FG_PRICE_CHANGE(0,-6AM)":-0.70438385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7296368,51.5269226366261,58.7717056192432,64.972794174405,67.9891570247354],"EPOL^FMA_PE(LTMA,-10AY,0,AM,\"PORTAGG\",\"MEANR\")":[14.4117173155388,14.5942779718977,14.6773496689623,14.536023280073,18.4062805503738,20.1644234255652,19.7913718487234,19.4079223030054,18.2950814074934,17.2774036846837,16.1584256050154,15.1778935566216,14.3540691949508,13.0080336282318,11.1597183004296,10.5737329960506,11.7170236623452,12.2895178394011,12.376623172588,12.1805843767708,12.0308099097419,11.6102321048092,12.3499822230702,12.0736055686712,12.3990669608423,12.7376063361858,13.2512452575683,14.2839935236067,15.1957574762093,15.6849867816447,15.3644884195599,15.2148771240768,14.8673438606963,14.4742465551425,14.3915317950287,13.8810385570771,13.589313358086,12.8681206944801,12.4648132185519,12.4989102257001,12.0439370403688,11.7667196100875,11.7340845461324,11.791903065857,11.646319246057,11.3381338049187,11.5542665032455,11.4991750199818,11.4000292586664,11.3815163204522,11.3968127970917,11.720657492286,11.5798986859787,11.4639423285457,11.6710244156514,11.3671110182196,11.4489843485171,11.5834150647834,10.9967497614941,11.0573349579524,10.7289450424449,11.1820763178693,10.4918819092542,11.0840647694599,11.1393184267791,9.52519030458266,9.89762918199219,10.8575890864044,12.1791858275629,11.8597090628339,12.0563650108327,12.8215832072821,14.3078999659333,18.4238025349504,22.0319624147984,23.7952091316201,15.4422173262795,17.0567884461589,16.6214236208355,16.485878085545,15.9391798003698,15.2536284068208,14.5240417636422,13.988433743795,14.0855967732201,13.1110863242909,10.9186088906704,10.9252679259129,10.8887020121543,9.75187611429531,9.62379749088115,8.74832543598869,8.34766255223181,8.25069070533383,7.13289266327532,6.79616684689747,6.11255678017503,6.58543738553641,5.94172150522048,6.34818194169409,5.40088798842883,5.99860432879093,5.94683048284164,6.15809553859166,6.50454306413979,6.96468384314063,6.8978809331241,6.79649968262997,7.00766162849752,7.47950611670067,8.79461342897696,8.68960388151814,8.60755568732799,8.92170861182764,8.81898760323246,8.97690224577708,8.92837274084754,9.18197074251652,8.67485838905204,8.78941398785021,8.91768388171896],"W-FDS^FG_PRICE_CHANGE(0,-1AY)":8.10205908683974,"EWZ^FMA_COS_UP(\"EPS\",\"1M\",+1,NOW,,,\"PORTAGG\",\"MEANR\")":17.0,"KSA^FG_ROE(0)":11.785465895171,"REFAEREPO-FDS^(SUBARRAY(NOT_NA(NO_REPEAT_F(FG_YIELD(NOW,-10AY,D))),0,1)-SUBARRAY(NOT_NA(NO_REPEAT_F(FG_YIELD(NOW,-10AY,D))),1,1))*100":-50.0,"REFIDRREPO-FDS^FG_YIELD(NOW,,,0)":6.0,"TRYPH10Y-FDS^PCTCHG(FG_YIELD(0,,,,\"YTM\"),FG_YIELD(-1AM,,,,\"YTM\"))":-5.9200153,"VNM^FMA_PE(NTMA,0,,,\"PORTAGG\",\"MEANR\")":13.430800417001,"EZA^FMA_EVAL_EBIT(LTMA,NOW,NOW,M,\"PORTAGG\",\"MEANR\")":13.2604273089389,"EWM^JULIAN(FMA_DIV_YLD(NTMA,NOW,NOW,M,\"PORTAGG\",\"MEANR\").DATES)":45565,"TUR^FG_COMPANY_NAME":"iShares MSCI Turkey ETF","USDAED^FG_PRICE_CHANGE(0,-3AM)":-0.0027239323,"USDZAR^FG_PRICE_CHANGE(0,-3AM)":-3.1799674,"GREK^FMA_DIV_YLD(NTMA,-10AY,0,AM,\"PORTAGG\",\"MEANR\")":[2.45163517119081,2.70953070570575,2.68536884988564,3.65268107476986,3.41408062115659,3.36213819197939,3.39924656384435,3.11314565049604,3.50560257547707,3.25745782527365,4.27949180201033,3.57284543984926,2.98245008906893,3.12088544247316,3.36204938569382,2.72472974713282,3.1310552136526,3.21943419226457,3.42738383221793,2.30993301729858,2.51687277239408,3.07660219508684,2.96911718949853,3.20000184626101,2.96466652896932,3.02898204648084,2.68815139856701,2.85750243334903,3.06621088145359,2.95442851538614,2.58483918628495,2.3199950118518,2.79058277514761,2.487717671429,2.57459585284235,2.63848149943082,2.82773530374095,3.05202872508514,2.92641854152744,2.55391466479068,2.76072674457004,3.08476593415241,3.11365858890999,3.08366514029279,3.42322873787941,3.43384198733022,3.536084776705,3.71507129745341,4.19632737340926,4.17210828750133,4.18125126494744,4.21028379394543,4.37047396111253,3.92708027855142,3.5556328235766,3.79304901409802,3.29527683895315,3.37455959250062,3.3435175679579,3.37629681341389,3.2859690839766,3.31280192296752,3.10932135285985,3.03928727806189,2.87782222211196,4.51481456929428,4.59273836373025,4.86902133212024,3.68458940213407,3.7021062053408,3.68113525170275,3.70470661854235,3.59636933007706,3.84298852789589,3.34577134625054,3.12442158601861,3.40888931869348,3.24606548372388,3.37156290569889,3.08097056784617,2.99000809036718,3.16530472892453,3.04456398380463,3.02033753231272,3.0358502775537,2.98496850019245,3.17758778919551,3.18529885115338,2.88189193140578,3.46488746916465,3.28716943588237,3.58137221635699,3.97362542241248,4.34273565058209,3.97680978002433,4.09565754425673,4.61754093353575,4.4363917376739,4.42718941098918,4.5171962301881,3.99777060288045,4.25647479812965,4.37775640094669,4.18529907236349,4.00664166994683,4.00837047848415,4.23680231802937,4.54913296046789,5.10256792191428,4.75793012667748,4.45211603164929,4.5837534484571,4.45726350831407,4.71821991333558,5.11283675992747,5.2744677481828,5.87952129304946,5.80244881009846,6.49601212258069,6.51657401707214,6.6661233271193],"EPHE^FMA_PE(LTMA,-10AY,0,AM,\"PORTAGG\",\"MEANR\")":[19.4613886580915,19.7887019786005,19.8491949625305,20.3724345191416,20.9350487903794,21.0271888608469,20.986881501638,20.5851026831498,20.0020629240362,19.8781934418469,20.1047203758045,18.7430666481124,19.2049711093602,18.763118772787,18.1362148345183,17.1706266757676,17.2076545109141,16.7250836644318,16.9654928543214,16.7468582304725,17.2663797124929,17.6510259054466,18.5852140915997,18.2486062915975,17.7263776171586,17.0880958681713,17.1627906740052,18.2967858183808,18.0196968149294,17.8236819729801,18.0129837880368,18.1219037949714,18.3436763568795,17.8407757254654,17.7331823149155,18.3603530763964,19.2778838858968,19.7261645724278,19.1361630990837,20.5684623300958,19.2742752582557,19.305922755177,18.849535648496,18.5458099343114,18.5597833926896,17.6268537943359,18.0855972030202,17.0724073683115,15.8401475169092,15.6164791795915,16.2231803774963,17.6887267669018,17.64822098353,16.8055308016734,16.7729157154979,16.5432027165877,16.7414547941992,16.7049200179334,16.351772536707,15.5012416526012,15.0386538094463,15.2998836637924,14.9182500405088,14.8344334563063,14.1717078815841,12.7895124323503,12.488480816172,13.0485296277017,15.2385383054236,15.7716904458777,16.5844883890502,18.3457743618759,19.6180408741754,23.8460165334722,24.6659285482141,25.8598243136799,24.9522289823688,22.7680478918153,21.9966793285249,21.3034834539202,21.7217054693657,21.0638199337338,20.1992198935193,20.6656552613121,20.4280809395788,20.9438454045509,19.964115393471,19.3387205618673,19.6814209098011,19.154950648661,18.7334022132758,18.0582560354819,17.4811023621294,16.7634043624367,16.3147006802887,15.9456976861036,13.9758867738676,13.7823010220847,14.1412859192702,14.1550769649948,14.182577678889,13.2097107849801,13.0904861473903,12.9081897900881,12.2265243452701,11.8812785999895,11.586740008032,11.2899946511684,11.1850653244444,10.6653256100038,9.79838170000659,10.0253772454083,10.4383703348932,10.649290227675,10.4474030491396,10.270378724754,10.0701730135454,10.1236980246272,10.1541196744593,10.557974790015,10.9966490549411],"EWT^FG_PRICE_MAVG(0,,,,200)":49.9682,"UAE^FG_TOTAL_RETURNC(0,-6AM)":3.5183072,"GREK^FG_TOTAL_RETURNC(0,-6AM)":2.0783067,"EWT^PERCENT_CHANGE(FMA_EPS(+1,0,,,,\"PORTAGG\",\"MEAN\"),FMA_EPS(+1,-1AM,,,,\"PORTAGG\",\"MEAN\"))":-0.219457259035507,"ECH^FG_TOTAL_RETURNC(0,-1AM)":6.9589734,"EWJ^FMA_COS_DOWN(\"EPS\",\"1M\",+1,NOW,,,\"PORTAGG\",\"MEANR\")":80.0,"REFCLMPR-FDS^(SUBARRAY(NOT_NA(NO_REPEAT_F(FG_YIELD(NOW,-10AY,D))),0,1)-SUBARRAY(NOT_NA(NO_REPEAT_F(FG_YIELD(NOW,-10AY,D))),1,1))*100":-25.0,"USDPHP^FG_COMPANY_NAME":"Philippines Peso per U.S. Dollar","UAE^FG_TOTAL_RETURNC(0,-12AM)":4.7572136,"EPU^FG_TOTAL_RETURNC(0,-12AM)":54.945957,"MCHI^FMA_COS_DOWN(\"EPS\",\"1M\",+1,NOW,,,\"PORTAGG\",\"MEANR\")":164.0,"REFAEREPO-FDS^FG_YIELD(NOW,,,0)":4.9,"TRYVN10Y-FDS^FG_YIELD(0,,,,\"YTM\")":2.883454,"EPOL^FMA_PE(LTM,0,,,\"PORTAGG\",\"MEANR\")":9.02786880793349,"ECH^JULIAN(FMA_DIV_YLD(NTMA,NOW,NOW,M,\"PORTAGG\",\"MEANR\").DATES)":45565,"CNYA^FMA_EVAL_EBIT(LTMA,NOW,NOW,M,\"PORTAGG\",\"MEANR\")":17.8985119297667,"CNYA^FG_FCF_YIELD_NTM(0)":5.28359138444944,"USDTHB^FG_PRICE_CHANGE(0,-6AM)":-7.6436577,"EIDO^FG_TOTAL_RETURNC(0,-12AM)":3.161645,"TRYMY10Y-FDS^FG_YIELD(0,,,,\"YTM\")":3.796769,"INDA^FMA_EVAL_EBIT(LTMA,NOW,NOW,M,\"PORTAGG\",\"MEANR\")":24.4678115305224,"CNYA^JULIAN(FMA_DIV_YLD(NTMA,NOW,NOW,M,\"PORTAGG\",\"MEANR\").DATES)":45565,"WL-FDS^FG_PRICE(0)/MAX(FG_PRICE(0,-1AY))":0.742336913806655,"REFCNRMB-FDS^FG_YIELD(NOW,,,0)":3.35,"USDINR^FG_PRICE(0)":83.97625,"SET-BKK^FG_TOTAL_RETURNC(0,-12AM)":2.375126,"EIDO^P_PRICE(0)/P_PRICE_HIGH_PR(0,,,,,,\"PRICE\",\"INTRA\",\"52W\")":0.9167902,"USDEUR^FG_PRICE_CHANGE(0,-3AM)":-0.9063482,"EPU^SIZE(FG_CONSTITUENTS)":26,"MCHI^P_PRICE_RETURNS_PR('52W',2,-10AY,0,AM)":[0.40016174,7.535434,-0.252223,15.595781,20.500505,16.064703,37.5558,45.64923,27.827322,12.927759,3.3968449,-10.965485,1.5065432,-1.5054286,-5.58998,-20.451223,-27.141935,-18.224102,-29.266518,-32.320858,-27.533388,-8.651525,-9.330517,10.486269,6.9054604,-0.49572587,4.3951154,17.529129,35.822487,23.851383,23.06491,30.207611,31.337357,30.787527,31.503868,26.587284,34.417664,49.255848,42.71022,55.609333,38.35126,51.622604,39.61102,36.264263,29.511892,20.503056,7.7679873,-5.9369745,-17.579348,-18.15362,-14.551365,-20.169746,-8.822239,-13.92926,-4.6022234,-12.618762,-18.929863,-7.4712634,-11.462248,4.247725,8.160484,11.93006,11.469471,21.345127,9.977961,5.565858,-8.51273,2.0635366,16.704214,27.858139,33.367504,24.836552,38.544655,31.471325,34.910538,32.253883,51.06503,35.686337,40.968204,29.806173,26.953304,4.5936465,1.9425273,0.95933676,-8.521485,-12.912029,-17.17397,-26.592373,-32.55132,-37.59197,-34.97019,-40.14525,-33.755283,-25.730377,-31.659199,-32.080524,-38.99895,-38.907875,-25.054688,-12.9573345,-17.535847,-7.1625414,-4.984027,3.3940196,-12.595404,-17.092197,-1.1716008,-5.197263,8.03417,5.5536985,-15.530598,-24.898827,-26.043022,-16.645628,-15.926904,-0.60558915,-0.94016194,-2.129209,-8.833742,-5.1363525,22.77639],"REFMYON-FDS^PROPER_NAME(0,,,\"SECURITY\",\"NAME\")":"Malaysia Policy Rate - Overnight","EWY^FG_COMPANY_NAME":"iShares MSCI South Korea ETF","EZA^FG_FCF_YIELD_NTM(0)":7.67020789204874,"W-FDS^FG_PRICE_CHANGE(0,-6AM)":8.10205908683974,"GREK^FMA_RBICS_REV_CURRENT(30, LOC, \"PORTAGG\")":42.4590108568552,"EWW^FG_COMPANY_NAME":"iShares MSCI Mexico ETF","CAGDPY@IN^EE_ACTUAL_ANNUAL(MED,+1)":-1.3,"CAGDPY@KR^EE_ACTUAL_ANNUAL(MED,0)":1.90344221708053,"EZA^P_PRICE(0)/P_PRICE_LOW_PR(0,,,,,,\"PRICE\",\"INTRA\",\"52W\")-1":0.34268594,"EZA^FMA_RBICS_REV_CURRENT(30, LOC, \"PORTAGG\")":46.1807049796121,"USDBRL^FG_PRICE_CHANGE(0,-1AY)":9.937167,"VNM^FMA_DIV_YLD(NTMA,-10AY,0,AM,\"PORTAGG\",\"MEANR\")":[2.92521309444372,2.86413184962416,3.17082716371893,3.05091868938933,3.09236182650322,2.93356876708832,2.92335874066594,3.02142059227897,2.75948854633374,4.10502221475241,4.14328298944575,3.56946835227042,3.18818514297506,3.26918515968738,2.49235413852632,null,null,2.70030887773107,3.17357795182459,3.16488712609248,3.63761267985306,3.24985788569663,3.1104979612114,3.16123787409216,2.50826852568469,2.66480842079895,2.98209066302514,2.83828050321891,3.03266763899988,3.19126770591803,2.62472108144818,2.47317759906953,2.0184801931679,1.77056444243707,1.75380275089217,1.72424454167406,1.89011744845805,2.02635798595169,1.78960734104634,1.54797806787328,1.87555609042543,1.67941623759589,1.78628396613231,1.95902018363279,1.55378697103252,1.74713437251594,1.72649067775313,1.67738454442388,1.67383103408013,1.82145168198237,1.62907213416654,1.81317189846883,1.77513065436039,1.59050818779351,1.59675799555574,1.52414465161581,1.58335261457573,1.7624907422135,1.84893930234918,1.93343460448478,1.64403137983913,1.66113847892731,1.62227193321047,1.49257227906953,1.66852039250321,1.67952623003598,1.91392716557175,1.64370059613555,1.31887010597776,1.38722509691779,1.36716437897967,1.3049877394066,1.33898687971424,1.30143560004861,1.18887102828112,1.15007489306865,1.24946086404487,1.25280953247216,1.15488416731196,1.18018221242621,1.18622030018209,1.40333464259871,1.35112451846247,1.39307259975632,1.43147515404882,1.3211358042218,1.52290984071762,1.52464787733985,1.67543015732419,1.82906048428199,1.58299020899311,1.76444976904063,1.78068175448796,1.93422413683522,1.88495185755553,1.97210143693019,2.46232966034397,2.71637942805204,2.55851017299275,2.66412391506368,2.49670054398702,2.47581820955666,2.56411082822318,2.65395462599084,2.57468564162583,2.72995990814973,2.52341655099257,2.57767560775748,2.98656469730402,2.97417283163974,2.84458356328545,2.76966452444383,2.75654767719812,2.70619398682936,2.25140962414952,2.38568416305702,1.93807515038569,1.91829943474504,2.02122584122559,2.01401650596723,1.95340089551201],"EWY^FG_PRICE(0)":63.31,"CAGDPY@PE^EE_ACTUAL_ANNUAL(MED,+1)":0.9,"KSA^FG_FCF_YIELD_NTM(0)":4.41388421780979,"EPU^JULIAN(FMA_DIV_YLD(NTMA,NOW,NOW,M,\"PORTAGG\",\"MEANR\").DATES)":45565,"CNYA^FMA_DIV_YLD(NTMA,-10AY,0,AM,\"PORTAGG\",\"MEANR\")":[null,null,null,null,null,null,null,null,null,null,null,null,null,null,null,null,null,null,null,null,null,2.22588074459295,2.26635467329626,2.19826651732503,2.27604875007411,2.24471681294725,2.18578998909279,2.29075602450959,2.29694198344149,2.31453771473878,2.25876993965521,2.30203975735458,2.11597756587191,2.132116356662,2.19006817194341,2.14324994245346,2.14278711112581,2.06683003947096,2.22419192857673,2.11386572349843,2.39216858685785,2.25928171850003,2.41166684793545,2.64164121650666,2.73746341918733,3.020658743091,3.14909197286173,3.26757248269601,3.23768175344351,3.31211864364529,3.26377215863929,3.33010089851205,3.13494192366531,2.86334240705533,2.60588266299099,2.82938620448377,2.83333644391983,2.71219215915693,2.85290981157615,2.61661225680229,2.70048465846637,2.70373053552714,2.53855282614269,2.40877727537323,2.52983787040313,2.4102568281378,2.51122073821185,2.31062428271622,2.20140477965376,1.8861364701555,1.96732055615865,1.97900174320085,1.95657106675593,1.90751990066715,1.87585079664503,1.66948209276624,1.59245055873188,1.89757914649379,1.91817215944393,1.94447916225139,1.8158196115579,1.85326421061234,1.92474021926003,1.93031107925536,1.98286648935988,2.01039300936685,1.92186776876999,2.02905937432399,2.18873943861463,2.35403661684685,2.39836030557469,2.53361923518901,2.34333666464077,2.29371539110209,2.41635733326694,2.47438241454518,2.74149136864071,2.67104405970304,2.47165761760736,2.46527527671491,2.40871538709796,2.50958069673242,2.4471477423488,2.50729037755553,2.58099570062271,2.60839032214554,2.52249701477284,2.60558542419601,2.67351823090509,2.69345613370723,2.78731025518377,2.90623481810234,2.82933701894146,2.72840203976228,2.81557800346893,2.78940352357669,2.92935662227352,3.08565844102767,3.2744586634184,3.35862088453732,2.6955508219398],"URTH^SIZE(FG_CONSTITUENTS)":1412,"USDSAR^FG_COMPANY_NAME":"Saudi Arabian Riyal per U.S. Dollar","TRYPL10Y-FDS^PCTCHG(FG_YIELD(0,,,,\"YTM\"),FG_YIELD(-1AM,,,,\"YTM\"))":3.713619,"UAE^FMA_EVAL_EBIT(LTMA,NOW,NOW,M,\"PORTAGG\",\"MEANR\")":9.43785982664126,"USDPHP^FG_PRICE(0)":57.36,"QAT^FMA_COS_UP(\"EPS\",\"1M\",+1,NOW,,,\"PORTAGG\",\"MEANR\")":3.0,"MCHI^SIZE(FG_CONSTITUENTS)":597,"^FG_YIELD(-10AY,0,Y,,\"YTM\")":[null,null,null,null,null,null,null,null,null,null],"USDTRY^FG_PRICE_CHANGE(0,-1AY)":23.340273,"DDR3512M-FDS^FG_PRICE_CHANGE(0,-3AM)":-5.60604674929366,"EPU^FG_TOTAL_RETURNC(0,-6AM)":10.4155655,"TUR^FMA_PE(NTMA,0,,,\"PORTAGG\",\"MEANR\")":5.44856405552616,"DDR3512M-FDS^FG_PRICE(0)":0.87525415,"TUR^P_PRICE(0)/P_PRICE_HIGH_PR(0,,,,,,\"PRICE\",\"INTRA\",\"52W\")":0.76199055,"EPHE^PERCENT_CHANGE(FMA_EPS(+1,0,,,,\"PORTAGG\",\"MEAN\"),FMA_EPS(+1,-1AM,,,,\"PORTAGG\",\"MEAN\"))":-0.464342071954107,"REFTR1WREPO-FDS^(SUBARRAY(NOT_NA(NO_REPEAT_F(FG_YIELD(NOW,-10AY,D))),0,1)-SUBARRAY(NOT_NA(NO_REPEAT_F(FG_YIELD(NOW,-10AY,D))),1,1))*100":500.0,"MCHI^JULIAN(FMA_DIV_YLD(NTMA,NOW,NOW,M,\"PORTAGG\",\"MEANR\").DATES)":45565,"CNYA^FMA_EVAL_EBITDA(NTMA,0,,,\"PORTAGG\",\"MEANR\")":10.7246866710185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5345237675,42.8043901360781,51.3054905811326,35.3978176783003,41.6903018879211],"EPHE^FMA_PCT_ABOVE_MAVG(200,0,,,,\"PORTAGG\")":81.8181818181818,"WL-FDS^FG_PRICE_CHANGE(0,-1AY)":-21.2588578574406,"TUR^FG_TOTAL_RETURNC(0,-3AM)":-20.395195,"EWM^FMA_COS_UP(\"EPS\",\"1M\",+1,NOW,,,\"PORTAGG\",\"MEANR\")":8.0,"INDA^FMA_EVAL_EBITDA(NTMA,0,,,\"PORTAGG\",\"MEANR\")":15.6887583477101,"QAT^P_PRICE_RETURNS_PR('52W',2,-10AY,0,AM)":[null,null,null,null,null,null,null,-3.1878948,-8.365393,-7.6819,-9.434319,-13.44961,-14.581042,-19.551212,-18.757702,-23.350502,-23.108906,-15.325874,-15.372687,-19.081228,-16.888786,-14.269322,-4.6098413,-6.0667095,-8.130425,-7.0718527,4.877734,12.780166,15.425992,3.8883686,6.5410733,1.6302586,-2.9972494,-6.149113,-12.069816,-14.592385,-15.932828,-18.496632,-19.08924,-9.977942,-15.4056015,-17.402912,-10.760843,-7.2887716,6.2013984,6.827867,8.932757,14.609575,17.750084,36.90629,40.537727,21.37971,24.141586,21.76255,14.938378,14.5697,8.878493,13.647234,-2.7074218,4.71617,4.431689,-2.3925304,-3.4280837,-5.2793922,-4.312497,-14.179593,-9.768999,-9.2843,-5.3935585,-6.022465,3.894341,1.6714692,7.5077534,3.2941937,6.841767,10.90163,10.710489,28.128696,21.09791,26.904655,19.135618,18.333828,15.40929,15.825582,17.069603,21.493567,12.997699,12.120628,24.351501,32.83526,34.401012,23.631704,19.23889,12.582743,24.72204,15.528429,9.58432,8.021665,0.0032544136,-2.1614015,-17.76405,-19.249409,-23.49394,-14.623612,-13.40931,-10.704845,-16.338211,-14.615715,-19.00503,-18.04452,-10.382915,-5.1747856,0.2380848,-0.19689798,-0.8392155,-8.331281,-5.251527,1.5731215,-0.757283,4.581332,13.191867],"PLATI-FDS^FG_PRICE_MAVG(0,,,,30)":972.4,"EWZ^FG_COMPANY_NAME":"iShares MSCI Brazil ETF","USDZAR^STD(FG_PRICE_CHANGE(0,-3AY,M))":3.90317062459879,"EPU^FMA_COS_DOWN(\"EPS\",\"1M\",+1,NOW,,,\"PORTAGG\",\"MEANR\")":8.0,"GREK^P_PRICE_RETURNS_PR('52W',2,-10AY,0,AM)":[-18.635332,-30.251335,-34.565884,-46.980423,-46.867264,-54.4087,-52.225513,-44.116604,-50.27288,-47.621,-47.077633,-51.1751,-40.867733,-37.639015,-44.939888,-40.33975,-53.140232,-35.26218,-34.17479,-31.726122,-32.07385,-27.867912,-27.608437,-23.910337,-27.107668,-22.711224,3.6261082,13.350582,37.22347,11.269331,15.749764,15.513933,11.629093,54.590523,44.08673,37.684464,29.446316,26.025068,13.876427,33.401096,42.994846,36.71237,27.329327,8.28445,-0.022500753,-8.975697,-11.439448,-14.581853,-18.940622,-13.2887,-17.011929,-27.779007,-27.57107,-22.811062,-14.489913,-19.101984,2.450776,6.5049887,2.4539948,11.40151,27.323055,27.300571,30.066597,37.141407,28.19649,-12.708336,-27.290176,-24.603731,-24.828588,-30.006552,-24.918312,-24.864584,-21.51593,-26.701885,-9.727276,-10.258746,-11.298018,36.1827,60.42682,66.59991,51.29633,45.97912,42.63722,44.057465,38.4765,39.45519,10.712433,6.6060066,27.343882,-5.873746,1.3346314,-11.149377,-14.459825,-14.413559,-7.9902706,-14.234554,-20.19756,-5.7188272,0.328362,6.25726,8.671152,28.553688,16.886414,33.48874,42.133892,71.36165,57.965385,60.54454,53.33221,40.11252,40.756393,40.904976,32.04044,36.444103,33.67796,32.720554,19.590843,13.52663,7.4653745,19.839169,29.958057],"REFPEMPR-FDS^(SUBARRAY(NOT_NA(NO_REPEAT_F(FG_YIELD(NOW,-10AY,D))),0,1)-SUBARRAY(NOT_NA(NO_REPEAT_F(FG_YIELD(NOW,-10AY,D))),1,1))*100":0.0,"USDBRL^FG_PRICE_CHANGE(0,-3AM)":3.3751845,"BRENT-FDS^FG_PRICE_CHANGE(0,-3AM)":0.0,"CNYA^FMA_PCT_ABOVE_MAVG(200,0,,,,\"PORTAGG\")":90.9722222222222,"EZA^FMA_DIV_YLD(NTMA,NOW,NOW,M,\"PORTAGG\",\"MEANR\")":3.72405846799736,"EZA^FG_PRICE_MAVG(0,,,,60)":46.555,"CC_GR^IMF_IFS_RCPI_Q(0)":null,"EWT^FG_COMPANY_NAME":"iShares MSCI Taiwan ETF","BRENT-FDS^FG_PRICE_CHANGE(0,-1AM)":0.0,"EZA^P_PRICE(0)/P_PRICE_HIGH_PR(0,,,,,,\"PRICE\",\"INTRA\",\"52W\")":0.9538185,"CAGDPY@MX^EE_ACTUAL_ANNUAL(MED,+1)":-0.5,"USDBRL^FG_COMPANY_NAME":"Brazilian Real per U.S. Dollar","CC_SA^FG_COMPANY_NAME":"Saudi Arabia","EWY^FG_ROE(0)":7.14509186069058,"USDSAR^FG_PRICE(0)":3.7547,"EPOL^FMA_EVAL_EBITDA(NTMA,0,,,\"PORTAGG\",\"MEANR\")":4.4010970567094,"EWT^FMA_PCT_ABOVE_MAVG(200,0,,,,\"PORTAGG\")":63.6363636363636,"USDAED^STD(FG_PRICE_CHANGE(0,-3AY,M))":0.00874278501095947,"VGK^FMA_COS_UP(\"EPS\",\"1M\",+1,NOW,,,\"PORTAGG\",\"MEANR\")":427.0,"USDAED^FG_COMPANY_NAME":"UAE Dirham per U.S. Dollar"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61247494,23.2814283465185,19.7583571216769,36.4008288961816,47.7168789602001],"EZA^FMA_COS_DOWN(\"EPS\",\"1M\",+1,NOW,,,\"PORTAGG\",\"MEANR\")":13.0,"REFAEREPO-FDS^PROPER_NAME(0,,,\"SECURITY\",\"NAME\")":"United Arab Emirates Repo Rate","USDTRY^FG_PRICE(0)":34.19825,"TRYAE10Y-FDS^FG_YIELD(0,,,,\"YTM\")":null,"TRYCA10Y-FDS^FG_YIELD(-10AY,0,Y,,\"YTM\")":[1.79,1.39,1.72,2.04,1.96,1.7,0.67,1.42,3.3,3.0987],"WL-FDS^MAX(FG_PRICE(0,-5AY))":763.4,"TUR^FG_TOTAL_RETURNC(0,-6AM)":-11.726743,"EWT^SIZE(FG_CONSTITUENTS)":90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31.5746107392056,26.2050262533717,1.45782220011724,14.1863075902305,26.3880518116564,20.4321074051196],"EIDO^P_PRICE(0)/P_PRICE_LOW_PR(0,,,,,,\"PRICE\",\"INTRA\",\"52W\")-1":0.1967938,"TIPSCL10Y-FDS^FG_YIELD(-10AY,0,Y,,\"YTM\")":[null,null,null,null,null,null,null,null,null,null],"REFMYON-FDS^(SUBARRAY(NOT_NA(NO_REPEAT_F(FG_YIELD(NOW,-10AY,D))),0,1)-SUBARRAY(NOT_NA(NO_REPEAT_F(FG_YIELD(NOW,-10AY,D))),1,1))*100":25.0,"SET-BKK^FG_COMPANY_NAME":"Thailand SET","TRYFR10Y-FDS^FG_YIELD(-10AY,0,Y,,\"YTM\")":[0.837,0.9989,0.682,0.785,0.71,0.118,-0.344,0.201,3.07,2.534],"UAE^FG_PRICE_MAVG(0,,,,200)":14.558074,"CPALM-FDS^FG_PRICE_MAVG(0,,,,30)":4101.1,"ECH^PERCENT_CHANGE(FMA_EPS(+1,0,,,,\"PORTAGG\",\"MEAN\"),FMA_EPS(+1,-1AM,,,,\"PORTAGG\",\"MEAN\"))":2.89691348569883,"EZA^FMA_EVAL_EBITDA(NTMA,0,,,\"PORTAGG\",\"MEANR\")":7.6844029806652,"UAE^FG_PRICE_MAVG(0,,,,60)":14.803627,"ECH^FMA_PCT_ABOVE_MAVG(200,0,,,,\"PORTAGG\")":32.1428571428571,"INDA^FG_TOTAL_RETURNC(0,-1AM)":0.10519028,"CC_SA^IMF_IFS_RCPI_Q(0)":null,"EZA^P_PRICE_RETURNS_PR('52W',2,-10AY,0,AM)":[-1.7239988,9.091341,2.0711184,10.76467,21.388197,0.5298853,7.4985623,2.6546955,-5.597848,-5.2580476,-8.66667,-20.140379,-4.9808207,-16.96664,-26.125532,-35.949715,-34.99605,-20.436317,-24.942976,-25.318468,-16.334682,-9.470063,-0.40225387,6.4663887,-3.2213032,-1.564765,14.875067,35.672794,34.057404,19.250631,9.4854355,22.129393,13.313627,8.325362,0.9476781,11.883556,11.682451,17.369997,17.95094,31.099594,23.557209,39.66124,28.750277,16.721498,7.743299,11.633598,-2.6522338,-15.9884815,-18.138647,-11.452031,-17.03871,-17.67094,-12.714338,-26.83729,-12.971777,-13.571912,-10.330004,-5.588281,-15.454388,3.7644506,6.325555,1.0032654,2.4009228,-1.2399793,-5.0668,-16.104126,-38.4515,-33.82337,-19.574339,-22.351473,-14.331091,-15.156013,-10.415518,-6.7205725,1.6750932,-2.6758075,11.744666,35.258057,73.1834,67.09913,49.242054,35.019325,38.35355,31.115997,34.353386,15.991235,8.22097,9.68417,8.661449,9.495724,11.598099,-13.089937,-15.456068,-8.6700735,-3.447342,-11.12085,-20.05462,-4.8639956,-3.193283,-0.17852783,-12.601185,-20.447147,-20.797174,-3.5556495,-6.028676,-5.2285967,-4.8940063,0.03581047,6.8599343,-7.621914,-7.7426615,-12.389642,-9.770632,-0.9381473,-1.2981415,7.4516177,0.42393208,17.177856,11.884701,21.729994,31.283772],"UAE^FG_PRICE_MAVG(0,,,,30)":15.082666,"CNYA^FG_TOTAL_RETURNC(0,-12AM)":12.923002,"CC_VN^IMF_IFS_RCPI_Q(0)":null,"EWM^FG_TOTAL_RETURNC(-10AY,0,AM)":[-6.17978,-0.3326714,-9.012013,-2.7570724,4.3143272,-5.576074,6.0617924,0.88495016,-7.4561415,-2.612567,-7.806081,-11.497325,12.688816,-9.0259075,2.1610975,-4.5337677,7.6923013,4.3367386,7.4572086,-7.6223016,-1.3546765,4.2051554,1.3349533,-2.8742611,0.36991835,-7.6474247,-0.099760294,0.4206419,2.4939418,1.2166262,1.6026735,4.995072,2.4726152,-2.6674628,0.031721592,3.5521746,-0.398165,-1.0147631,2.205658,8.82641,-0.526315,4.085827,2.1745324,-8.817023,1.7580986,-5.047667,4.4800043,-2.8177679,-4.317677,-0.4611373,-2.4156153,5.047214,0.42706728,-1.2757599,-1.0271668,-3.783065,3.2359123,2.8943658,-6.035346,-0.07097125,-2.6278377,5.1057577,-4.0943804,4.78276,-6.005585,-8.803868,-5.9877753,2.5996566,17.652023,-0.25520325,0.1470089,-7.999998,7.6186657,2.0014882,5.922961,-0.92624426,-3.2202184,0.0,-1.1806786,-1.0861754,0.8088827,-6.067419,-2.113241,6.8839073,-0.03811121,-3.2786846,-2.8774202,3.8318872,1.5744805,0.15898943,2.2222161,-7.2981415,-3.8951278,-3.779459,4.6210766,-1.5459299,-9.15209,6.765437,5.041623,2.1684408,0.04351139,-7.0465384,4.0711284,-0.9442389,-6.833005,-0.9424627,7.3610425,-2.0522416,-1.1428535,1.3005853,-0.14265776,4.0451407,-1.8630624,3.5595655,-0.36663413,4.507816,1.3204217,1.7782569,3.5559416,6.9514275,1.60532],"USDBRL^FG_PRICE_CHANGE(0,-1AM)":-0.83584785,"EZA^FG_PRICE_MAVG(0,,,,30)":48.161,"SPY^P_PRICE(0)/P_PRICE_LOW_PR(0,,,,,,\"PRICE\",\"INTRA\",\"52W\")-1":0.40790796,"USDBRL^FG_PRICE(0)":5.58195,"CC_ZA^IMF_IFS_RCPI_Q(0)":null,"COPP-FDS^FG_PRICE(0)/MAX(FG_PRICE(0,-1AY))":0.856612619652276,"EZA^FG_TOTAL_RETURNC(0,-6AM)":24.723017,"VNM^FG_ROE(0)":8.13927893523292,"VWO^SIZE(FG_CONSTITUENTS)":4847,"SET-BKK^FMA_PE(LTMA,-10AY,0,AM,\"PORTAGG\",\"MEANR\")":[18.9422102663319,19.5236489189875,19.848746411712,19.6958098175869,22.5045334338212,23.3534398682354,22.6397296296378,22.2545689516515,21.4343746874475,20.8669303055098,19.8794056651264,19.1736073369487,18.8479668249893,16.52708930904,14.8521838937941,12.7747536193493,16.0782760365773,16.6430933755656,16.4183949339148,16.2992065335183,16.3667657704209,16.4574263758337,16.7654577010109,15.9058403480251,15.79013491875,16.174480674359,16.1778020690434,16.5471995876314,16.6844746724319,16.2809506499232,16.2802520398492,16.1007317256349,16.0378482716915,15.9448144942272,15.9779366672055,16.2862300153306,16.7966658691209,16.9409114513691,17.2431819314674,18.2294795141974,17.9009794034271,17.649400949487,17.3605899240219,17.0729929381309,16.9988660175179,16.4150945482872,16.5565183767651,16.1441859889821,16.1312566655871,15.595350719318,15.2278067936286,14.5622246094084,15.6159490795703,16.1934028198677,16.1518499131655,16.0654539012399,16.1675798864388,16.5680674245448,16.1768448503883,16.6441895833417,16.4572431204196,17.2362191227754,16.7108589391416,17.0171654914256,16.5786637549306,14.7913521070907,15.0484583239502,15.9211995316581,18.1326551101728,18.7511413447585,19.708694656553,20.7199863019197,21.8183468248828,22.1951912898849,25.6958371012391,28.9637880039048,27.4111910134959,27.588704306432,26.7461376765052,25.88156898538,24.6917753614136,23.3374281150433,22.1998433868205,22.1726062976341,21.2981855528854,20.3493767165067,19.1252415624594,19.1013652658282,19.2921964421851,18.7739795162386,18.6614517541982,18.2455860823153,17.9515729522673,17.4440107410457,17.3043415614476,17.0831606276352,16.1981340276468,16.6901645994547,16.6071539911912,17.2007862868274,17.3901327738161,17.3871520638132,17.3146561195119,17.2102966848791,17.2552505229639,17.0728992726,17.3583405216012,17.5582177089077,16.6731347217572,16.1485226829066,15.9964549038325,15.8836518737006,16.2190270834327,16.6624703923068,16.5371260324504,16.276132867502,15.8497610348283,15.693931519135,15.545598887022,16.401412839754,16.8030315359884],"KSA^PERCENT_CHANGE(FMA_EPS(+1,0,,,,\"PORTAGG\",\"MEAN\"),FMA_EPS(+1,-1AM,,,,\"PORTAGG\",\"MEAN\"))":-0.795517115839136,"ECH^PERCENT_CHANGE(FMA_EPS(+1,0,,,,\"PORTAGG\",\"MEAN\"),FMA_EPS(+1,-3AM,,,,\"PORTAGG\",\"MEAN\"))":-5.10242144112686,"TIPSCL10Y-FDS^FG_YIELD(0,,,,\"YTM\")":2.118875,"INDA^P_PRICE_RETURNS_PR('52W',2,-10AY,0,AM)":[24.020779,36.80327,23.988998,28.165304,37.98778,27.138329,26.963436,16.266655,-2.3753047,3.4891963,6.009555,-12.643326,-1.4259815,-13.989449,-13.1774845,-13.94313,-22.709358,-18.603182,-19.720572,-8.923525,-5.096203,-4.2027416,-4.696703,10.2653265,2.4130106,4.0075064,6.146157,6.247437,21.73803,17.377699,22.538996,20.29388,17.944014,17.325508,13.098753,13.527334,14.065456,25.578762,28.508722,36.519848,21.730495,16.821503,10.920525,7.1318746,3.891027,3.3578515,8.124828,0.36239624,-11.702824,-9.253347,-13.048088,-9.311771,-3.937459,-0.860399,2.8029919,-1.344192,6.7195177,3.9449453,-7.8396616,-4.018581,12.39996,11.620331,15.691746,9.095991,9.053993,-9.5337925,-27.660656,-20.42606,-18.07568,-11.039936,2.534759,5.5603385,9.452736,4.9416184,12.534308,19.573868,21.14066,44.88293,64.32432,58.919704,56.82875,44.320415,37.686993,46.42956,40.147675,39.170002,25.756025,21.048487,12.913073,4.7494054,16.533983,3.37497,-5.39335,-2.4760306,2.539122,-5.4460945,-11.682356,-6.2586546,-5.7299376,-10.923308,-10.474926,-7.413512,-12.930661,1.6077995,3.5837412,8.812404,0.46396255,3.003335,9.361935,1.2818933,9.341394,16.800213,26.188076,30.198597,31.026245,23.39288,28.591787,29.958773,26.968597,26.699245,28.055609],"CPALM-FDS^FG_PRICE(0)":4350.0,"REFCLMPR-FDS^FG_YIELD(NOW,,,0)":5.5,"EWZ^FMA_PE(NTMA,0,,,\"PORTAGG\",\"MEANR\")":8.147359792992,"EWJ^FMA_PCT_ABOVE_MAVG(200,0,,,,\"PORTAGG\")":54.2713567839196,"EWW^JULIAN(FMA_DIV_YLD(NTMA,NOW,NOW,M,\"PORTAGG\",\"MEANR\").DATES)":45565,"USDPLN^FG_PRICE_CHANGE(0,-3AM)":0.13978481,"EWW^PERCENT_CHANGE(FMA_EPS(+1,0,,,,\"PORTAGG\",\"MEAN\"),FMA_EPS(+1,-3AM,,,,\"PORTAGG\",\"MEAN\"))":-5.94271426570933,"USDPHP^FG_PRICE_CHANGE(0,-3AM)":-1.6916037,"VNM^JULIAN(FMA_DIV_YLD(NTMA,NOW,NOW,M,\"PORTAGG\",\"MEANR\").DATES)":45565,"USDPHP^FG_PRICE_CHANGE(0,-1AY)":0.854516,"VWO^FMA_COS_DOWN(\"EPS\",\"1M\",+1,NOW,,,\"PORTAGG\",\"MEANR\")":1673.0,"EPOL^FG_FCF_YIELD_NTM(0)":2.11370082875478,"EWW^FMA_PE(LTMA,-10AY,0,AM,\"PORTAGG\",\"MEANR\")":[null,null,null,null,null,null,null,null,null,null,null,null,null,null,null,22.2102073822206,23.1150804428729,24.7668284182468,24.6644045726685,24.4774168833226,23.3582030952637,22.9089632950386,23.0779002840937,22.0713590034806,22.3410806540474,21.0858407181319,21.22411139524,20.3186721114779,21.7642094842767,21.3942477576777,21.1688200738659,20.7284222709077,20.2304194158118,19.875904450892,19.5823984537025,19.2972798969732,18.7523829773761,17.0790916013013,16.9471118553601,16.9838275557922,16.9183249516527,17.9724243795287,17.7823755685245,17.397852346538,17.0625718377135,17.5849677449432,17.1247890545122,17.1180034194597,16.7430914892104,15.5573183555293,14.5563883723616,15.3234714662539,15.1862232602112,15.4188064409523,15.4646108506903,15.1545411666467,15.0482063102025,14.7893118044559,14.4618437195384,14.916097097969,14.968150738339,15.3509215260421,15.0478743916877,15.718491404483,15.507347232615,14.8074032116151,14.2317714957295,16.0155602189382,17.2435525168985,17.730880097952,19.9181391239576,19.3563382282335,20.6423461891065,22.768245273907,27.0039231445296,33.2341262804026,29.3624429285856,26.8140237716264,25.648018378631,24.5258022640527,23.4930780098612,22.1318772688004,20.6226621837829,19.3315143075184,17.7934561674177,16.6318933607848,15.251289721427,14.9858598386967,14.8162786712837,14.8331319355047,14.8359734686751,14.2143200259854,13.8811625235089,13.5159806602616,13.4031810196691,12.9286755161484,12.6111507556116,13.6461875188414,13.2478651613117,13.6388732966317,13.5658084221314,14.5464271156347,14.4044636914627,14.2369415452242,13.7838642002367,13.4930765101671,13.314344573498,12.9759949012506,12.3865765267215,12.6742624217919,13.401910477954,13.5306563728515,14.7195278722462,15.7826274240484,15.5427691940932,15.3299388128508,14.5580045856207,14.3708631634488,13.7174546249336,13.0524026298357,13.023830585785],"VNM^FMA_PCT_ABOVE_MAVG(200,0,,,,\"PORTAGG\")":39.1304347826087,"EWW^FG_PRICE_MAVG(0,,,,200)":61.8367,"URTH^PERCENT_CHANGE(FMA_EPS(+1,0,,,,\"PORTAGG\",\"MEAN\"),FMA_EPS(+1,-3AM,,,,\"PORTAGG\",\"MEAN\"))":0.564302144206768,"CC_BR^IMF_IFS_RCPI_Q(0)":null,"EWT^FMA_DIV_YLD(NTMA,NOW,NOW,M,\"PORTAGG\",\"MEANR\")":3.41325415119676,"CAGDPY@PH^EE_ACTUAL_ANNUAL(MED,0)":-2.70643338027419,"USDMYR^FG_PRICE_CHANGE(0,-1AY)":-9.270615,"COPP-FDS^FG_PRICE_CHANGE(0,-1AY)":20.7323788546255,"EWT^FG_PRICE_MAVG(0,,,,60)":52.7855,"EZA^FG_TOTAL_RETURNC(0,-3AM)":11.088573,"TRYTR7Y-FDS^PCTCHG(FG_YIELD(0,,,,\"YTM\"),FG_YIELD(-3AM,,,,\"YTM\"))":9.000142,"KSA^FMA_EVAL_EBIT(LTMA,NOW,NOW,M,\"PORTAGG\",\"MEANR\")":20.8990504490749,"EWM^FMA_EVAL_EBIT(LTMA,NOW,NOW,M,\"PORTAGG\",\"MEANR\")":16.2766784457475,"USDMYR^FG_PRICE(0)":4.2915,"EPHE^FMA_DIV_YLD(NTMA,-10AY,0,AM,\"PORTAGG\",\"MEANR\")":[2.22182411532847,2.13711859416179,2.16792489030517,2.1167793690948,2.05472500750067,1.90462915280416,1.84427967665659,1.92812516783658,2.02510521816927,1.95493254119068,1.91303213070229,2.11145881709152,1.98606970698635,2.02542252873435,1.98655469340247,2.06181687182778,2.0403953578808,1.90397452953571,1.78481599279454,1.82792552667006,1.70578990597474,1.68708577898489,1.57331416632683,1.69634382740674,1.66002903492423,1.75152091068051,1.70029768131756,1.6287878651509,1.63675784673202,1.67459289603591,1.59790862246442,1.55455504522495,1.520590684402,1.58261016785953,1.58087064109044,1.54749349620599,1.45215622319895,1.45961703374302,1.59397894398204,1.51491150780414,1.56966294126302,1.5831548627577,1.70155608714357,1.76589567379693,1.7270140156134,1.83351380167196,1.72434186921537,1.77025600539019,1.93051597599453,1.92827387119737,1.8473946755812,1.67027923666612,1.65869334740042,1.74809949738917,1.70738052144593,1.8030457673428,1.75244016996432,1.72277772388575,1.81607441719586,1.84519165076047,1.88252859203474,1.81759616400633,1.88220944811047,1.83995695364547,1.87882928090532,2.2286163388554,2.57842327465784,2.41530214521808,2.049632219585,2.07682479112876,2.1274451245903,2.1043392141146,2.00847520352037,1.6335952921038,1.68652654175644,1.68336503182946,1.75058306253924,1.80584682983507,1.93162849728163,2.02845417186259,1.87542696370334,1.94381802406628,2.00428266362486,1.8558508779406,1.88440835450216,1.76546866678749,1.78017078889214,1.81242970072194,1.80887882365711,1.95068586356074,2.05671205212031,2.30488262268974,2.24817940240982,2.42151098665198,2.35754207968856,2.31259613770975,2.73620729300807,2.59249431442407,2.37263663587158,2.30057453493532,2.30840711488549,2.66562647424195,2.77953141031363,2.7394077118098,2.93153548805496,3.05452747207313,3.01630558952315,2.85411439181507,2.89251178923773,3.03688018382842,3.25506762115709,3.13794431549271,2.79651859353645,2.79125613568108,2.8104544284907,2.95033117730302,3.25248465792175,3.35667407156845,3.28073287854201,3.18112790527023,3.09526938684316],"URTH^FMA_PCT_ABOVE_MAVG(200,0,,,,\"PORTAGG\")":67.0931058990761,"EZA^FG_ROE(0)":12.4716928729306,"TRYTR7Y-FDS^PCTCHG(FG_YIELD(0,,,,\"YTM\"),FG_YIELD(-1AM,,,,\"YTM\"))":2.5009067,"EWM^FMA_DIV_YLD(NTMA,NOW,NOW,M,\"PORTAGG\",\"MEANR\")":4.05045383976338,"USDPEN^FG_PRICE_CHANGE(0,-3AM)":-0.42809844,"EPU^FG_PRICE(0)":43.43,"TRYBR10Y-FDS^PCTCHG(FG_YIELD(0,,,,\"YTM\"),FG_YIELD(-3AM,,,,\"YTM\"))":6.735845,"KSA^FMA_EVAL_EBITDA(NTMA,0,,,\"PORTAGG\",\"MEANR\")":11.2157017508089,"ECH^FMA_DIV_YLD(NTMA,-10AY,0,AM,\"PORTAGG\",\"MEANR\")":[3.23821669764924,3.043746655822,3.15956254005982,3.25729350429558,3.21074574531471,3.30022926136148,3.15792161586379,3.15606360063006,3.4238834061889998,3.58308718499741,3.55120723949647,3.61766497612326,3.71893422724586,3.61430014854209,3.76528820408484,3.96665778329367,3.7392213390013,3.48979093849978,3.5271150639029,3.2368056586977,3.21375935280511,3.05920550207628,2.91570189779847,3.00584311086478,2.81547485869758,2.71127187660394,2.7917904902028,2.9769101115304,2.78082761197739,2.75548146198316,2.41437149640122,2.52199329938995,2.63770949544852,2.65376410718889,2.61910934637432,2.52137969449743,2.79108293152315,2.91106454709436,3.29510065325693,2.83207444407215,3.00374928224833,2.96437474544413,3.04280638342732,3.17093039244552,3.18918475960098,3.39616748147498,3.37450293903291,3.58071278933666,3.01420253853958,3.04591962870737,3.10306002272208,3.88308607620033,3.78576309131994,3.91275615816234,4.03976953614556,4.04614423253108,4.40017100855695,3.94054710126276,4.23025165273213,4.11104208252928,4.25943754791887,4.71508104470794,4.59802430677339,4.01485924969492,4.7803074128212,5.27270060577532,4.91171263871904,3.98249701563581,3.21461473688194,3.31988004132713,3.46210365116743,3.87007492714504,3.81544560701609,3.39795887894002,3.21764656157847,3.05140753554024,3.12175992858166,2.77488829688411,2.93792399505705,3.55497209679367,3.85856472447251,4.11373291988919,4.81240163287631,4.56877437080264,4.99156546217694,4.55695375724483,5.04858198767083,5.19335062738098,4.68220806257673,4.88872933350802,4.67104330812879,5.79290514708376,6.51888676259777,7.57537738757646,7.22264428476565,7.29419344034281,7.25423038946085,6.90230758784442,8.62882933575599,8.10205448276758,7.80992265400958,8.12119596428411,8.91028751719934,7.57314665240262,7.089848871127,6.6221934349089,6.28404129960562,6.74914421224953,7.02543949676202,6.95664611997546,9.76261468180791,10.4366371996108,10.7571694413581,9.52011075448861,8.90816296118895,8.61811267319506,5.10088623505597,5.36193891731424,5.51963796092537,4.98515270864591,4.82825097529836],"EWW^FG_TOTAL_RETURNC(0,-3AM)":-9.620166,"EWJ^FMA_COS_UP(\"EPS\",\"1M\",+1,NOW,,,\"PORTAGG\",\"MEANR\")":80.0,"EWZ^FG_ROE(0)":18.3934644801205,"TRYKR10Y-FDS^PCTCHG(FG_YIELD(0,,,,\"YTM\"),FG_YIELD(-3AM,,,,\"YTM\"))":-3.4799733,"EWM^FMA_PE(NTMA,0,,,\"PORTAGG\",\"MEANR\")":14.1661056853189,"USDPEN^FG_PRICE_CHANGE(0,-1AY)":-1.4090061,"EPOL^FG_PRICE_MAVG(0,,,,200)":23.627726,"EWW^FG_TOTAL_RETURNC(0,-1AM)":6.8221927,"TRYPE10Y-FDS^PCTCHG(FG_YIELD(0,,,,\"YTM\"),FG_YIELD(-3AM,,,,\"YTM\"))":-7.4708815,"TRYPL10Y-FDS^PCTCHG(FG_YIELD(0,,,,\"YTM\"),FG_YIELD(-3AM,,,,\"YTM\"))":-4.7563415,"EPOL^FG_PRICE_MAVG(0,,,,60)":23.8985,"VNM^FMA_PE(LTM,0,,,\"PORTAGG\",\"MEANR\")":19.6283580073277,"UAE^FMA_EVAL_EBITDA(NTMA,0,,,\"PORTAGG\",\"MEANR\")":6.43753491065523,"VNM^PERCENT_CHANGE(FMA_EPS(+1,0,,,,\"PORTAGG\",\"MEAN\"),FMA_EPS(+1,-1AM,,,,\"PORTAGG\",\"MEAN\"))":-1.89122871225432,"EWM^FMA_PCT_ABOVE_MAVG(200,0,,,,\"PORTAGG\")":47.0588235294118,"EPOL^FMA_PE(NTMA,0,,,\"PORTAGG\",\"MEANR\")":7.87383766084012,"EWT^FMA_PE(LTMA,-10AY,0,AM,\"PORTAGG\",\"MEANR\")":[14.2768104778553,14.1753375243178,13.7590790693962,13.776923082038,14.0041470226466,14.2607025606646,14.1241117311176,14.0747507409115,13.8481368654081,13.4408070039533,13.138727689401,12.7672533736075,12.799364125174,12.8563878713431,12.3117872633875,11.3464343442893,11.8519403552159,12.4376125887426,12.482929361084,12.364490894559,12.964336577348,13.0468029737457,13.7917550765335,13.9282668231945,14.3795968392508,14.1071216749967,14.4680354251726,14.4143834093814,14.519537223402,14.4603432654834,14.3939637250037,14.3609433111342,14.425360621046,14.5338831629349,14.6339896597068,14.648146170765,14.4777925576465,14.8390515094245,14.396146829279,14.7193429083308,13.9895982450596,14.468069994745,14.3849163009744,14.2893606237159,14.3920030970882,14.0833297826393,14.1893496534279,13.7431177242768,13.3251444991417,12.5612106377245,12.4042161603124,12.6461392730362,13.2704102345858,14.054302754442,14.3875363096935,14.516243193033,14.5624121079588,14.9804219202013,14.8716612759911,15.3375683771041,15.6991387906473,16.6964460265067,16.7219977352196,17.5325873415494,16.9463202881214,16.2587295504667,16.1093985255642,16.47409414024,17.1741348908588,17.6359444543159,17.9917063044518,17.1463999933574,17.3219415172118,17.0354728954468,17.6846661926807,19.2629263143141,18.7783014480236,18.4887691749268,18.1924612626551,17.5302519239031,16.8334445585768,16.3531645699714,15.4201372894949,14.8777803676874,13.8722824358509,13.6204857958599,13.0608541436015,12.9369318317699,12.8944775256464,12.3299821605892,12.2542944561997,11.8975218353288,11.9549075932724,11.1209264193028,11.1449692501866,10.9473544683662,10.3698690591196,10.2188388678858,11.1443975503121,11.3408903980559,12.2660521311688,12.5426793960424,13.0507306552643,13.5066448834671,14.5904296718078,15.0485087262224,15.9210732322724,16.0553902817268,16.5428129446915,16.9356495952372,17.8740820718816,18.5710959630557,19.1126391831271,19.9010627713618,19.8550189270689,19.7185724795239,19.6252201276793,20.3749386627347,18.5848551637341,17.5151984763684,17.9501876396321],"DUMMY^ECON_DATE(45454,,, 'MM/YYYY')":"06/2024","DUMMY^ECON_DATE(45546,,, 'MM/YYYY')":"09/2024","CC_US^IMF_IFS_RCPI_Q(-1AM)":3.19889,"CC_CN^IMF_IFS_RCPI_Q(-1AM)":0.226831,"CC_CL^IMF_IFS_RCPI_Q(-1AM)":null,"CC_ID^IMF_IFS_RCPI_Q(-1AM)":null,"CC_PH^IMF_IFS_RCPI_Q(-1AM)":null,"CC_PL^IMF_IFS_RCPI_Q(-1AM)":2.6024375,"CC_PE^IMF_IFS_RCPI_Q(-1AM)":null,"CC_MY^IMF_IFS_RCPI_Q(-1AM)":null,"CC_TW^IMF_IFS_RCPI_Q(-1AM)":null,"CC_MX^IMF_IFS_RCPI_Q(-1AM)":4.771999,"CC_KR^IMF_IFS_RCPI_Q(-1AM)":2.6691833,"CC_BR^IMF_IFS_RCPI_Q(-1AM)":3.947341,"CC_ZA^IMF_IFS_RCPI_Q(-1AM)":5.0606,"CC_GR^IMF_IFS_RCPI_Q(-1AM)":2.571976,"CC_IN^IMF_IFS_RCPI_Q(-1AM)":null,"CC_QA^IMF_IFS_RCPI_Q(-1AM)":null,"CC_TH^IMF_IFS_RCPI_Q(-1AM)":null,"CC_TR^IMF_IFS_RCPI_Q(-1AM)":72.27338,"CC_AE^IMF_IFS_RCPI_Q(-1AM)":null,"CC_VN^IMF_IFS_RCPI_Q(-1AM)":4.3949327,"CC_SA^IMF_IFS_RCPI_Q(-1AM)":1.5452076,"DUMMY^ECON_EXPR_DATA('FDS_ECON[NTCPMIMFGSA@CN]',09/2024,,Q)":49.840874,"DUMMY^ECON_EXPR_DATA('FDS_ECON[NTCPMIMFGSA@CN]',06/2024,,Q)":51.64454,"DUMMY^ECON_EXPR_DATA('FDS_ECON[NTCPMIMFGSA@CL]',09/2024,,Q)":null,"DUMMY^ECON_EXPR_DATA('FDS_ECON[NTCPMIMFGSA@CL]',06/2024,,Q)":null,"DUMMY^ECON_EXPR_DATA('FDS_ECON[NTCPMIMFGSA@ID]',09/2024,,Q)":49.1036,"DUMMY^ECON_EXPR_DATA('FDS_ECON[NTCPMIMFGSA@ID]',06/2024,,Q)":51.87755,"DUMMY^ECON_EXPR_DATA('FDS_ECON[NTCPMIPHMANHE]',09/2024,,Q)":52.022453,"DUMMY^ECON_EXPR_DATA('FDS_ECON[NTCPMIPHMANHE]',06/2024,,Q)":51.78043,"DUMMY^ECON_EXPR_DATA('FDS_ECON[NTCPMIMFGSA@PL]',09/2024,,Q)":47.9283,"DUMMY^ECON_EXPR_DATA('FDS_ECON[NTCPMIMFGSA@PL]',06/2024,,Q)":45.313137,"DUMMY^ECON_EXPR_DATA('FDS_ECON[NTCPMIMFGSA@PE]',09/2024,,Q)":null,"DUMMY^ECON_EXPR_DATA('FDS_ECON[NTCPMIMFGSA@PE]',06/2024,,Q)":null,"DUMMY^ECON_EXPR_DATA('FDS_ECON[PMIMYMANHE]',09/2024,,Q)":49.64469,"DUMMY^ECON_EXPR_DATA('FDS_ECON[PMIMYMANHE]',06/2024,,Q)":49.6697,"DUMMY^ECON_EXPR_DATA('FDS_ECON[NTCPMIMFGSA@TW]',09/2024,,Q)":51.745625,"DUMMY^ECON_EXPR_DATA('FDS_ECON[NTCPMIMFGSA@TW]',06/2024,,Q)":51.407047,"DUMMY^ECON_EXPR_DATA('FDS_ECON[NTCPMIMFGSA@MX]',09/2024,,Q)":48.471558,"DUMMY^ECON_EXPR_DATA('FDS_ECON[NTCPMIMFGSA@MX]',06/2024,,Q)":51.090343,"DUMMY^ECON_EXPR_DATA('FDS_ECON[NTCPMIMFGSA@KR]',09/2024,,Q)":50.546005,"DUMMY^ECON_EXPR_DATA('FDS_ECON[NTCPMIMFGSA@KR]',06/2024,,Q)":51.02443,"DUMMY^ECON_EXPR_DATA('FDS_ECON[NTCPMIMFGSA@BR]',09/2024,,Q)":52.54214,"DUMMY^ECON_EXPR_DATA('FDS_ECON[NTCPMIMFGSA@BR]',06/2024,,Q)":53.488384,"DUMMY^ECON_EXPR_DATA('FDS_ECON[PMIMFGSA@ZA]',09/2024,,Q)":50.251415,"DUMMY^ECON_EXPR_DATA('FDS_ECON[PMIMFGSA@ZA]',06/2024,,Q)":49.992886,"DUMMY^ECON_EXPR_DATA('FDS_ECON[NTCPMIMFGSA@GR]',09/2024,,Q)":52.121853,"DUMMY^ECON_EXPR_DATA('FDS_ECON[NTCPMIMFGSA@GR]',06/2024,,Q)":54.69078,"DUMMY^ECON_EXPR_DATA('FDS_ECON[NTCPMIMFGSA@IN]',09/2024,,Q)":57.364445,"DUMMY^ECON_EXPR_DATA('FDS_ECON[NTCPMIMFGSA@IN]',06/2024,,Q)":58.243446,"DUMMY^ECON_EXPR_DATA('FDS_ECON[PMIQAWHEHE]',09/2024,,Q)":52.042065,"DUMMY^ECON_EXPR_DATA('FDS_ECON[PMIQAWHEHE]',06/2024,,Q)":53.838383,"DUMMY^ECON_EXPR_DATA('FDS_ECON[NTCPMITHMANHE]',09/2024,,Q)":51.742794,"DUMMY^ECON_EXPR_DATA('FDS_ECON[NTCPMITHMANHE]',06/2024,,Q)":50.221676,"DUMMY^ECON_EXPR_DATA('FDS_ECON[NTCPMIMFGSA@TR]',09/2024,,Q)":46.43233,"DUMMY^ECON_EXPR_DATA('FDS_ECON[NTCPMIMFGSA@TR]',06/2024,,Q)":48.55242,"DUMMY^ECON_EXPR_DATA('FDS_ECON[NTCPMIMFGSA@AE]',09/2024,,Q)":null,"DUMMY^ECON_EXPR_DATA('FDS_ECON[NTCPMIMFGSA@AE]',06/2024,,Q)":null,"DUMMY^ECON_EXPR_DATA('FDS_ECON[NTCPMIMFGSA@VN]',09/2024,,Q)":51.490894,"DUMMY^ECON_EXPR_DATA('FDS_ECON[NTCPMIMFGSA@VN]',06/2024,,Q)":51.776978,"DUMMY^ECON_EXPR_DATA('FDS_ECON[NTCPMIINDEXSA@SA]',09/2024,,Q)":55.200653,"DUMMY^ECON_EXPR_DATA('FDS_ECON[NTCPMIINDEXSA@SA]',06/2024,,Q)":56.14742,"DUMMY^ECON_EXPR_DATA('FDS_ECON[PMIDMMANHE]',09/2024,,Q)":48.213497,"DUMMY^ECON_EXPR_DATA('FDS_ECON[PMIDMMANHE]',06/2024,,Q)":49.418636,"DUMMY^ECON_EXPR_DATA('FDS_ECON[NTCPMIMFGSA@EME]',09/2024,,Q)":50.418407,"DUMMY^ECON_EXPR_DATA('FDS_ECON[NTCPMIMFGSA@EME]',06/2024,,Q)":51.999874,"CC_AE^IMF_IFS_RCPI_Q(-2AM)":null,"CC_QA^IMF_IFS_RCPI_Q(-2AM)":null,"CC_TH^IMF_IFS_RCPI_Q(-2AM)":null,"CC_IN^IMF_IFS_RCPI_Q(-2AM)":null,"CC_PE^IMF_IFS_RCPI_Q(-2AM)":null,"CC_MY^IMF_IFS_RCPI_Q(-2AM)":null,"CC_TW^IMF_IFS_RCPI_Q(-2AM)":null,"CC_CL^IMF_IFS_RCPI_Q(-2AM)":null,"CC_ID^IMF_IFS_RCPI_Q(-2AM)":null,"CC_PH^IMF_IFS_RCPI_Q(-2AM)":null,"CC_CL^IMF_IFS_RCPI_Q(-3AM)":null,"CC_ID^IMF_IFS_RCPI_Q(-3AM)":null,"CC_PH^IMF_IFS_RCPI_Q(-3AM)":null,"CC_PE^IMF_IFS_RCPI_Q(-3AM)":null,"CC_MY^IMF_IFS_RCPI_Q(-3AM)":null,"CC_TW^IMF_IFS_RCPI_Q(-3AM)":null,"CC_IN^IMF_IFS_RCPI_Q(-3AM)":null,"CC_QA^IMF_IFS_RCPI_Q(-3AM)":null,"CC_TH^IMF_IFS_RCPI_Q(-3AM)":null,"CC_AE^IMF_IFS_RCPI_Q(-3AM)":null}]]></FdsFormulaCache>
</file>

<file path=customXml/itemProps1.xml><?xml version="1.0" encoding="utf-8"?>
<ds:datastoreItem xmlns:ds="http://schemas.openxmlformats.org/officeDocument/2006/customXml" ds:itemID="{ABDBCB8C-443F-4261-B997-C4CBB10C5424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2024-10-11T07:11:40Z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