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0A62D0D-15D4-43B6-882F-C5FEAFDEA2BC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D17" i="57" l="1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M13" i="48" a="1"/>
  <c r="M13" i="48" l="1"/>
  <c r="M12" i="48" a="1"/>
  <c r="M12" i="48" l="1"/>
  <c r="M11" i="48" a="1"/>
  <c r="M11" i="48" l="1"/>
  <c r="M10" i="48" a="1"/>
  <c r="M10" i="48" l="1"/>
  <c r="M8" i="48" a="1"/>
  <c r="M8" i="48" l="1"/>
  <c r="M7" i="48" a="1"/>
  <c r="M7" i="48" l="1"/>
  <c r="M5" i="48" a="1"/>
  <c r="M5" i="48" l="1"/>
  <c r="Y2" i="12" l="1"/>
  <c r="F24" i="8"/>
  <c r="E24" i="8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P23" i="12" a="1"/>
  <c r="R21" i="12" a="1"/>
  <c r="K20" i="12" a="1"/>
  <c r="M18" i="12" a="1"/>
  <c r="O14" i="12" a="1"/>
  <c r="Q12" i="12" a="1"/>
  <c r="S10" i="12" a="1"/>
  <c r="L9" i="12" a="1"/>
  <c r="N7" i="12" a="1"/>
  <c r="P5" i="12" a="1"/>
  <c r="R3" i="12" a="1"/>
  <c r="E21" i="12" a="1"/>
  <c r="G13" i="12" a="1"/>
  <c r="F8" i="12" a="1"/>
  <c r="E3" i="12" a="1"/>
  <c r="J12" i="39" a="1"/>
  <c r="H9" i="39" a="1"/>
  <c r="F6" i="39" a="1"/>
  <c r="C3" i="39" a="1"/>
  <c r="K11" i="28" a="1"/>
  <c r="M5" i="28" a="1"/>
  <c r="G12" i="28" a="1"/>
  <c r="G4" i="28" a="1"/>
  <c r="D10" i="28" a="1"/>
  <c r="O14" i="1" a="1"/>
  <c r="H20" i="1" a="1"/>
  <c r="F15" i="1" a="1"/>
  <c r="K12" i="1" a="1"/>
  <c r="I10" i="1" a="1"/>
  <c r="G8" i="1" a="1"/>
  <c r="L5" i="1" a="1"/>
  <c r="J3" i="1" a="1"/>
  <c r="C5" i="1" a="1"/>
  <c r="C21" i="55" a="1"/>
  <c r="C15" i="40" a="1"/>
  <c r="F11" i="60" a="1"/>
  <c r="F7" i="60" a="1"/>
  <c r="F3" i="60" a="1"/>
  <c r="J16" i="48" a="1"/>
  <c r="K2" i="38" a="1"/>
  <c r="AI4" i="9" a="1"/>
  <c r="S4" i="9" a="1"/>
  <c r="C4" i="9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2" i="52" a="1"/>
  <c r="H10" i="52" a="1"/>
  <c r="H8" i="52" a="1"/>
  <c r="H6" i="52" a="1"/>
  <c r="H4" i="52" a="1"/>
  <c r="T17" i="56" a="1"/>
  <c r="T13" i="56" a="1"/>
  <c r="T9" i="56" a="1"/>
  <c r="T5" i="56" a="1"/>
  <c r="H14" i="56" a="1"/>
  <c r="H10" i="56" a="1"/>
  <c r="H6" i="56" a="1"/>
  <c r="B11" i="56" a="1"/>
  <c r="C7" i="13" a="1"/>
  <c r="P22" i="12" a="1"/>
  <c r="R20" i="12" a="1"/>
  <c r="K19" i="12" a="1"/>
  <c r="M15" i="12" a="1"/>
  <c r="O13" i="12" a="1"/>
  <c r="Q11" i="12" a="1"/>
  <c r="S9" i="12" a="1"/>
  <c r="L8" i="12" a="1"/>
  <c r="N6" i="12" a="1"/>
  <c r="P4" i="12" a="1"/>
  <c r="F23" i="12" a="1"/>
  <c r="E18" i="12" a="1"/>
  <c r="G10" i="12" a="1"/>
  <c r="F5" i="12" a="1"/>
  <c r="B7" i="12" a="1"/>
  <c r="J3" i="39" a="1"/>
  <c r="F13" i="39" a="1"/>
  <c r="C10" i="39" a="1"/>
  <c r="L13" i="28" a="1"/>
  <c r="K8" i="28" a="1"/>
  <c r="H15" i="28" a="1"/>
  <c r="H7" i="28" a="1"/>
  <c r="E13" i="28" a="1"/>
  <c r="E5" i="28" a="1"/>
  <c r="O5" i="1" a="1"/>
  <c r="F19" i="1" a="1"/>
  <c r="K13" i="1" a="1"/>
  <c r="I11" i="1" a="1"/>
  <c r="G9" i="1" a="1"/>
  <c r="L6" i="1" a="1"/>
  <c r="J4" i="1" a="1"/>
  <c r="C12" i="1" a="1"/>
  <c r="D10" i="49" a="1"/>
  <c r="C12" i="55" a="1"/>
  <c r="C6" i="40" a="1"/>
  <c r="E9" i="60" a="1"/>
  <c r="E5" i="60" a="1"/>
  <c r="J7" i="48" a="1"/>
  <c r="B2" i="38" a="1"/>
  <c r="Z4" i="9" a="1"/>
  <c r="J4" i="9" a="1"/>
  <c r="H14" i="43" a="1"/>
  <c r="H5" i="43" a="1"/>
  <c r="G15" i="42" a="1"/>
  <c r="D13" i="42" a="1"/>
  <c r="J10" i="42" a="1"/>
  <c r="H8" i="42" a="1"/>
  <c r="F6" i="42" a="1"/>
  <c r="C2" i="15" a="1"/>
  <c r="J2" i="47" a="1"/>
  <c r="F11" i="52" a="1"/>
  <c r="C7" i="52" a="1"/>
  <c r="V12" i="56" a="1"/>
  <c r="G17" i="56" a="1"/>
  <c r="G8" i="56" a="1"/>
  <c r="C11" i="13" a="1"/>
  <c r="S20" i="12" a="1"/>
  <c r="S18" i="12" a="1"/>
  <c r="K13" i="12" a="1"/>
  <c r="M7" i="12" a="1"/>
  <c r="N5" i="12" a="1"/>
  <c r="O3" i="12" a="1"/>
  <c r="G19" i="12" a="1"/>
  <c r="E12" i="12" a="1"/>
  <c r="F6" i="12" a="1"/>
  <c r="B9" i="12" a="1"/>
  <c r="J4" i="39" a="1"/>
  <c r="O13" i="1" a="1"/>
  <c r="F20" i="1" a="1"/>
  <c r="J14" i="1" a="1"/>
  <c r="G12" i="1" a="1"/>
  <c r="K9" i="1" a="1"/>
  <c r="H7" i="1" a="1"/>
  <c r="L4" i="1" a="1"/>
  <c r="C13" i="1" a="1"/>
  <c r="J15" i="48" a="1"/>
  <c r="H2" i="38" a="1"/>
  <c r="AD4" i="9" a="1"/>
  <c r="L4" i="9" a="1"/>
  <c r="F2" i="18" a="1"/>
  <c r="M2" i="7" a="1"/>
  <c r="E2" i="46" a="1"/>
  <c r="D9" i="52" a="1"/>
  <c r="H9" i="43" a="1"/>
  <c r="C7" i="43" a="1"/>
  <c r="E14" i="42" a="1"/>
  <c r="J11" i="42" a="1"/>
  <c r="H9" i="42" a="1"/>
  <c r="F7" i="42" a="1"/>
  <c r="N2" i="18" a="1"/>
  <c r="G2" i="5" a="1"/>
  <c r="F12" i="52" a="1"/>
  <c r="C8" i="52" a="1"/>
  <c r="G3" i="52" a="1"/>
  <c r="T10" i="56" a="1"/>
  <c r="I14" i="56" a="1"/>
  <c r="G10" i="56" a="1"/>
  <c r="B7" i="56" a="1"/>
  <c r="Q21" i="12" a="1"/>
  <c r="R15" i="12" a="1"/>
  <c r="S11" i="12" a="1"/>
  <c r="K10" i="12" a="1"/>
  <c r="J11" i="39" a="1"/>
  <c r="H7" i="39" a="1"/>
  <c r="F3" i="39" a="1"/>
  <c r="K15" i="28" a="1"/>
  <c r="L9" i="28" a="1"/>
  <c r="M3" i="28" a="1"/>
  <c r="H8" i="28" a="1"/>
  <c r="D14" i="28" a="1"/>
  <c r="I3" i="1" a="1"/>
  <c r="C3" i="1" a="1"/>
  <c r="C18" i="55" a="1"/>
  <c r="C11" i="40" a="1"/>
  <c r="E10" i="60" a="1"/>
  <c r="H5" i="60" a="1"/>
  <c r="J5" i="48" a="1"/>
  <c r="AL4" i="9" a="1"/>
  <c r="T4" i="9" a="1"/>
  <c r="C5" i="42" a="1"/>
  <c r="J2" i="15" a="1"/>
  <c r="C2" i="7" a="1"/>
  <c r="M2" i="46" a="1"/>
  <c r="D10" i="52" a="1"/>
  <c r="H5" i="52" a="1"/>
  <c r="U14" i="56" a="1"/>
  <c r="V5" i="56" a="1"/>
  <c r="I5" i="56" a="1"/>
  <c r="Q23" i="12" a="1"/>
  <c r="Q19" i="12" a="1"/>
  <c r="R13" i="12" a="1"/>
  <c r="K8" i="12" a="1"/>
  <c r="L6" i="12" a="1"/>
  <c r="M4" i="12" a="1"/>
  <c r="E22" i="12" a="1"/>
  <c r="G9" i="43" a="1"/>
  <c r="C3" i="43" a="1"/>
  <c r="G13" i="42" a="1"/>
  <c r="I10" i="42" a="1"/>
  <c r="E8" i="42" a="1"/>
  <c r="D3" i="42" a="1"/>
  <c r="L2" i="47" a="1"/>
  <c r="C11" i="52" a="1"/>
  <c r="G8" i="52" a="1"/>
  <c r="D6" i="52" a="1"/>
  <c r="H3" i="52" a="1"/>
  <c r="T14" i="56" a="1"/>
  <c r="U9" i="56" a="1"/>
  <c r="J7" i="56" a="1"/>
  <c r="B14" i="56" a="1"/>
  <c r="O11" i="12" a="1"/>
  <c r="L3" i="12" a="1"/>
  <c r="E10" i="12" a="1"/>
  <c r="E4" i="12" a="1"/>
  <c r="J13" i="39" a="1"/>
  <c r="F2" i="39" a="1"/>
  <c r="L14" i="28" a="1"/>
  <c r="L8" i="28" a="1"/>
  <c r="F9" i="1" a="1"/>
  <c r="I6" i="1" a="1"/>
  <c r="L3" i="1" a="1"/>
  <c r="C10" i="40" a="1"/>
  <c r="G9" i="60" a="1"/>
  <c r="J14" i="48" a="1"/>
  <c r="E2" i="38" a="1"/>
  <c r="X4" i="9" a="1"/>
  <c r="D4" i="9" a="1"/>
  <c r="H5" i="42" a="1"/>
  <c r="I2" i="15" a="1"/>
  <c r="C2" i="5" a="1"/>
  <c r="D2" i="46" a="1"/>
  <c r="I17" i="56" a="1"/>
  <c r="J12" i="56" a="1"/>
  <c r="C6" i="13" a="1"/>
  <c r="L22" i="12" a="1"/>
  <c r="S19" i="12" a="1"/>
  <c r="Q15" i="12" a="1"/>
  <c r="P13" i="12" a="1"/>
  <c r="N9" i="12" a="1"/>
  <c r="L5" i="12" a="1"/>
  <c r="H14" i="28" a="1"/>
  <c r="H5" i="28" a="1"/>
  <c r="E10" i="28" a="1"/>
  <c r="O12" i="1" a="1"/>
  <c r="K19" i="1" a="1"/>
  <c r="G14" i="1" a="1"/>
  <c r="J11" i="1" a="1"/>
  <c r="C4" i="1" a="1"/>
  <c r="H4" i="60" a="1"/>
  <c r="H8" i="43" a="1"/>
  <c r="J15" i="42" a="1"/>
  <c r="F13" i="42" a="1"/>
  <c r="H10" i="42" a="1"/>
  <c r="C8" i="42" a="1"/>
  <c r="C3" i="42" a="1"/>
  <c r="K2" i="47" a="1"/>
  <c r="J10" i="52" a="1"/>
  <c r="F8" i="52" a="1"/>
  <c r="C6" i="52" a="1"/>
  <c r="F3" i="52" a="1"/>
  <c r="S14" i="56" a="1"/>
  <c r="H12" i="56" a="1"/>
  <c r="I7" i="56" a="1"/>
  <c r="B13" i="56" a="1"/>
  <c r="N11" i="12" a="1"/>
  <c r="L7" i="12" a="1"/>
  <c r="K3" i="12" a="1"/>
  <c r="G15" i="12" a="1"/>
  <c r="G9" i="12" a="1"/>
  <c r="G3" i="12" a="1"/>
  <c r="H6" i="39" a="1"/>
  <c r="C14" i="39" a="1"/>
  <c r="K14" i="28" a="1"/>
  <c r="L8" i="1" a="1"/>
  <c r="H6" i="1" a="1"/>
  <c r="K3" i="1" a="1"/>
  <c r="C17" i="55" a="1"/>
  <c r="C9" i="40" a="1"/>
  <c r="F9" i="60" a="1"/>
  <c r="J13" i="48" a="1"/>
  <c r="D2" i="38" a="1"/>
  <c r="W4" i="9" a="1"/>
  <c r="B4" i="9" a="1"/>
  <c r="G5" i="42" a="1"/>
  <c r="H2" i="15" a="1"/>
  <c r="B2" i="5" a="1"/>
  <c r="C2" i="46" a="1"/>
  <c r="S9" i="56" a="1"/>
  <c r="H17" i="56" a="1"/>
  <c r="C5" i="13" a="1"/>
  <c r="K22" i="12" a="1"/>
  <c r="R19" i="12" a="1"/>
  <c r="P15" i="12" a="1"/>
  <c r="H13" i="43" a="1"/>
  <c r="G3" i="43" a="1"/>
  <c r="H14" i="42" a="1"/>
  <c r="C12" i="42" a="1"/>
  <c r="F9" i="42" a="1"/>
  <c r="I6" i="42" a="1"/>
  <c r="L2" i="5" a="1"/>
  <c r="A2" i="47" a="1"/>
  <c r="D12" i="52" a="1"/>
  <c r="D7" i="52" a="1"/>
  <c r="U16" i="56" a="1"/>
  <c r="V11" i="56" a="1"/>
  <c r="V6" i="56" a="1"/>
  <c r="G15" i="56" a="1"/>
  <c r="N10" i="12" a="1"/>
  <c r="K4" i="12" a="1"/>
  <c r="G20" i="12" a="1"/>
  <c r="G12" i="12" a="1"/>
  <c r="G6" i="12" a="1"/>
  <c r="J2" i="39" a="1"/>
  <c r="F10" i="39" a="1"/>
  <c r="C5" i="39" a="1"/>
  <c r="G10" i="1" a="1"/>
  <c r="J7" i="1" a="1"/>
  <c r="F5" i="1" a="1"/>
  <c r="D8" i="49" a="1"/>
  <c r="C18" i="40" a="1"/>
  <c r="G11" i="60" a="1"/>
  <c r="D2" i="18" a="1"/>
  <c r="J9" i="56" a="1"/>
  <c r="Q18" i="12" a="1"/>
  <c r="P14" i="12" a="1"/>
  <c r="N12" i="12" a="1"/>
  <c r="M8" i="12" a="1"/>
  <c r="B8" i="12" a="1"/>
  <c r="M10" i="28" a="1"/>
  <c r="H9" i="28" a="1"/>
  <c r="E14" i="28" a="1"/>
  <c r="D5" i="28" a="1"/>
  <c r="L20" i="1" a="1"/>
  <c r="H6" i="60" a="1"/>
  <c r="G13" i="43" a="1"/>
  <c r="I11" i="42" a="1"/>
  <c r="G4" i="52" a="1"/>
  <c r="T11" i="56" a="1"/>
  <c r="U6" i="56" a="1"/>
  <c r="J14" i="56" a="1"/>
  <c r="M10" i="12" a="1"/>
  <c r="S3" i="12" a="1"/>
  <c r="F12" i="12" a="1"/>
  <c r="H14" i="39" a="1"/>
  <c r="C4" i="39" a="1"/>
  <c r="D7" i="49" a="1"/>
  <c r="AF4" i="9" a="1"/>
  <c r="C2" i="18" a="1"/>
  <c r="C26" i="56" a="1"/>
  <c r="C13" i="13" a="1"/>
  <c r="S22" i="12" a="1"/>
  <c r="Q20" i="12" a="1"/>
  <c r="P18" i="12" a="1"/>
  <c r="M12" i="12" a="1"/>
  <c r="S5" i="12" a="1"/>
  <c r="L10" i="28" a="1"/>
  <c r="G9" i="28" a="1"/>
  <c r="K20" i="1" a="1"/>
  <c r="G15" i="1" a="1"/>
  <c r="K4" i="1" a="1"/>
  <c r="E11" i="60" a="1"/>
  <c r="N2" i="38" a="1"/>
  <c r="AG4" i="9" a="1"/>
  <c r="M4" i="9" a="1"/>
  <c r="E4" i="42" a="1"/>
  <c r="F2" i="7" a="1"/>
  <c r="G9" i="52" a="1"/>
  <c r="G5" i="56" a="1"/>
  <c r="C14" i="13" a="1"/>
  <c r="K23" i="12" a="1"/>
  <c r="K6" i="12" a="1"/>
  <c r="M4" i="28" a="1"/>
  <c r="H15" i="1" a="1"/>
  <c r="C11" i="43" a="1"/>
  <c r="G14" i="42" a="1"/>
  <c r="D9" i="42" a="1"/>
  <c r="H6" i="42" a="1"/>
  <c r="C4" i="42" a="1"/>
  <c r="K2" i="5" a="1"/>
  <c r="C12" i="52" a="1"/>
  <c r="T16" i="56" a="1"/>
  <c r="F20" i="12" a="1"/>
  <c r="F9" i="39" a="1"/>
  <c r="J12" i="1" a="1"/>
  <c r="F10" i="1" a="1"/>
  <c r="I7" i="1" a="1"/>
  <c r="C11" i="1" a="1"/>
  <c r="C17" i="40" a="1"/>
  <c r="M2" i="38" a="1"/>
  <c r="K4" i="9" a="1"/>
  <c r="E2" i="7" a="1"/>
  <c r="L2" i="46" a="1"/>
  <c r="F9" i="52" a="1"/>
  <c r="J6" i="52" a="1"/>
  <c r="I9" i="56" a="1"/>
  <c r="N14" i="12" a="1"/>
  <c r="E6" i="12" a="1"/>
  <c r="L4" i="28" a="1"/>
  <c r="E4" i="28" a="1"/>
  <c r="G6" i="60" a="1"/>
  <c r="G8" i="43" a="1"/>
  <c r="C15" i="42" a="1"/>
  <c r="G11" i="42" a="1"/>
  <c r="J7" i="42" a="1"/>
  <c r="D2" i="47" a="1"/>
  <c r="H11" i="52" a="1"/>
  <c r="E8" i="52" a="1"/>
  <c r="D5" i="52" a="1"/>
  <c r="V15" i="56" a="1"/>
  <c r="J15" i="56" a="1"/>
  <c r="B12" i="56" a="1"/>
  <c r="S12" i="12" a="1"/>
  <c r="L10" i="12" a="1"/>
  <c r="R4" i="12" a="1"/>
  <c r="F11" i="12" a="1"/>
  <c r="J7" i="39" a="1"/>
  <c r="G11" i="28" a="1"/>
  <c r="G19" i="1" a="1"/>
  <c r="I9" i="1" a="1"/>
  <c r="D23" i="1" a="1"/>
  <c r="J12" i="48" a="1"/>
  <c r="AK4" i="9" a="1"/>
  <c r="H4" i="9" a="1"/>
  <c r="H4" i="42" a="1"/>
  <c r="N2" i="15" a="1"/>
  <c r="A2" i="5" a="1"/>
  <c r="V8" i="56" a="1"/>
  <c r="G9" i="56" a="1"/>
  <c r="N23" i="12" a="1"/>
  <c r="O20" i="12" a="1"/>
  <c r="O15" i="12" a="1"/>
  <c r="O7" i="12" a="1"/>
  <c r="F21" i="12" a="1"/>
  <c r="F3" i="12" a="1"/>
  <c r="F8" i="39" a="1"/>
  <c r="K7" i="28" a="1"/>
  <c r="E12" i="28" a="1"/>
  <c r="O11" i="1" a="1"/>
  <c r="L12" i="1" a="1"/>
  <c r="F6" i="1" a="1"/>
  <c r="D5" i="49" a="1"/>
  <c r="F8" i="60" a="1"/>
  <c r="H7" i="43" a="1"/>
  <c r="J14" i="42" a="1"/>
  <c r="F11" i="42" a="1"/>
  <c r="I7" i="42" a="1"/>
  <c r="C2" i="47" a="1"/>
  <c r="G11" i="52" a="1"/>
  <c r="D8" i="52" a="1"/>
  <c r="C5" i="52" a="1"/>
  <c r="T15" i="56" a="1"/>
  <c r="I15" i="56" a="1"/>
  <c r="R12" i="12" a="1"/>
  <c r="Q4" i="12" a="1"/>
  <c r="E11" i="12" a="1"/>
  <c r="J6" i="39" a="1"/>
  <c r="M14" i="28" a="1"/>
  <c r="M6" i="28" a="1"/>
  <c r="H10" i="28" a="1"/>
  <c r="I12" i="1" a="1"/>
  <c r="H9" i="1" a="1"/>
  <c r="C15" i="1" a="1"/>
  <c r="E8" i="60" a="1"/>
  <c r="J11" i="48" a="1"/>
  <c r="AJ4" i="9" a="1"/>
  <c r="G4" i="9" a="1"/>
  <c r="G4" i="42" a="1"/>
  <c r="M2" i="15" a="1"/>
  <c r="N2" i="7" a="1"/>
  <c r="U8" i="56" a="1"/>
  <c r="J8" i="56" a="1"/>
  <c r="B10" i="56" a="1"/>
  <c r="M23" i="12" a="1"/>
  <c r="N20" i="12" a="1"/>
  <c r="N15" i="12" a="1"/>
  <c r="R9" i="12" a="1"/>
  <c r="B15" i="12" a="1"/>
  <c r="F7" i="39" a="1"/>
  <c r="D12" i="28" a="1"/>
  <c r="O10" i="1" a="1"/>
  <c r="L15" i="1" a="1"/>
  <c r="K5" i="1" a="1"/>
  <c r="D4" i="49" a="1"/>
  <c r="C8" i="40" a="1"/>
  <c r="H6" i="43" a="1"/>
  <c r="I14" i="42" a="1"/>
  <c r="D11" i="42" a="1"/>
  <c r="H7" i="42" a="1"/>
  <c r="B2" i="47" a="1"/>
  <c r="E11" i="52" a="1"/>
  <c r="J7" i="52" a="1"/>
  <c r="J4" i="52" a="1"/>
  <c r="S15" i="56" a="1"/>
  <c r="T8" i="56" a="1"/>
  <c r="H15" i="56" a="1"/>
  <c r="P12" i="12" a="1"/>
  <c r="K7" i="12" a="1"/>
  <c r="E20" i="12" a="1"/>
  <c r="J5" i="39" a="1"/>
  <c r="L6" i="28" a="1"/>
  <c r="G10" i="28" a="1"/>
  <c r="H12" i="1" a="1"/>
  <c r="C14" i="1" a="1"/>
  <c r="J10" i="48" a="1"/>
  <c r="F4" i="9" a="1"/>
  <c r="F4" i="42" a="1"/>
  <c r="L2" i="15" a="1"/>
  <c r="L2" i="7" a="1"/>
  <c r="I4" i="52" a="1"/>
  <c r="B9" i="56" a="1"/>
  <c r="M20" i="12" a="1"/>
  <c r="Q9" i="12" a="1"/>
  <c r="O4" i="12" a="1"/>
  <c r="H7" i="60" a="1"/>
  <c r="AH4" i="9" a="1"/>
  <c r="H8" i="56" a="1"/>
  <c r="L23" i="12" a="1"/>
  <c r="F10" i="12" a="1"/>
  <c r="B14" i="12" a="1"/>
  <c r="M13" i="28" a="1"/>
  <c r="H15" i="43" a="1"/>
  <c r="C8" i="43" a="1"/>
  <c r="J12" i="42" a="1"/>
  <c r="I9" i="42" a="1"/>
  <c r="L2" i="18" a="1"/>
  <c r="A2" i="15" a="1"/>
  <c r="A2" i="7" a="1"/>
  <c r="G6" i="52" a="1"/>
  <c r="D3" i="52" a="1"/>
  <c r="T12" i="56" a="1"/>
  <c r="U5" i="56" a="1"/>
  <c r="J11" i="56" a="1"/>
  <c r="C10" i="13" a="1"/>
  <c r="M11" i="12" a="1"/>
  <c r="Q8" i="12" a="1"/>
  <c r="F7" i="12" a="1"/>
  <c r="K3" i="28" a="1"/>
  <c r="D7" i="28" a="1"/>
  <c r="H14" i="1" a="1"/>
  <c r="K7" i="1" a="1"/>
  <c r="H10" i="60" a="1"/>
  <c r="F5" i="60" a="1"/>
  <c r="I2" i="38" a="1"/>
  <c r="U4" i="9" a="1"/>
  <c r="C6" i="42" a="1"/>
  <c r="A2" i="46" a="1"/>
  <c r="J9" i="52" a="1"/>
  <c r="J5" i="56" a="1"/>
  <c r="P21" i="12" a="1"/>
  <c r="K14" i="12" a="1"/>
  <c r="R5" i="12" a="1"/>
  <c r="M3" i="12" a="1"/>
  <c r="G14" i="12" a="1"/>
  <c r="B4" i="12" a="1"/>
  <c r="H5" i="39" a="1"/>
  <c r="C9" i="39" a="1"/>
  <c r="H3" i="28" a="1"/>
  <c r="I20" i="1" a="1"/>
  <c r="F14" i="1" a="1"/>
  <c r="L10" i="1" a="1"/>
  <c r="G4" i="1" a="1"/>
  <c r="D15" i="49" a="1"/>
  <c r="C11" i="55" a="1"/>
  <c r="G14" i="43" a="1"/>
  <c r="C6" i="43" a="1"/>
  <c r="I12" i="42" a="1"/>
  <c r="G9" i="42" a="1"/>
  <c r="K2" i="18" a="1"/>
  <c r="N2" i="5" a="1"/>
  <c r="N2" i="47" a="1"/>
  <c r="F6" i="52" a="1"/>
  <c r="C3" i="52" a="1"/>
  <c r="S12" i="56" a="1"/>
  <c r="I11" i="56" a="1"/>
  <c r="C9" i="13" a="1"/>
  <c r="L11" i="12" a="1"/>
  <c r="P8" i="12" a="1"/>
  <c r="F14" i="12" a="1"/>
  <c r="E7" i="12" a="1"/>
  <c r="C8" i="39" a="1"/>
  <c r="K10" i="28" a="1"/>
  <c r="E6" i="28" a="1"/>
  <c r="K10" i="1" a="1"/>
  <c r="C10" i="55" a="1"/>
  <c r="G10" i="60" a="1"/>
  <c r="G4" i="60" a="1"/>
  <c r="G2" i="38" a="1"/>
  <c r="R4" i="9" a="1"/>
  <c r="J5" i="42" a="1"/>
  <c r="J12" i="52" a="1"/>
  <c r="H9" i="52" a="1"/>
  <c r="S5" i="56" a="1"/>
  <c r="H5" i="56" a="1"/>
  <c r="O21" i="12" a="1"/>
  <c r="R18" i="12" a="1"/>
  <c r="S13" i="12" a="1"/>
  <c r="K11" i="12" a="1"/>
  <c r="Q5" i="12" a="1"/>
  <c r="B3" i="12" a="1"/>
  <c r="H4" i="39" a="1"/>
  <c r="G15" i="28" a="1"/>
  <c r="G3" i="28" a="1"/>
  <c r="L13" i="1" a="1"/>
  <c r="G7" i="1" a="1"/>
  <c r="F4" i="1" a="1"/>
  <c r="D14" i="49" a="1"/>
  <c r="H12" i="43" a="1"/>
  <c r="C5" i="43" a="1"/>
  <c r="H12" i="42" a="1"/>
  <c r="C9" i="42" a="1"/>
  <c r="J2" i="18" a="1"/>
  <c r="J2" i="5" a="1"/>
  <c r="M2" i="47" a="1"/>
  <c r="E6" i="52" a="1"/>
  <c r="V17" i="56" a="1"/>
  <c r="S11" i="56" a="1"/>
  <c r="H11" i="56" a="1"/>
  <c r="C8" i="13" a="1"/>
  <c r="O8" i="12" a="1"/>
  <c r="G23" i="12" a="1"/>
  <c r="E14" i="12" a="1"/>
  <c r="V4" i="9" a="1"/>
  <c r="D7" i="42" a="1"/>
  <c r="I2" i="18" a="1"/>
  <c r="I2" i="7" a="1"/>
  <c r="F7" i="52" a="1"/>
  <c r="S17" i="56" a="1"/>
  <c r="Q14" i="12" a="1"/>
  <c r="O6" i="12" a="1"/>
  <c r="J8" i="39" a="1"/>
  <c r="C12" i="39" a="1"/>
  <c r="G7" i="28" a="1"/>
  <c r="K15" i="1" a="1"/>
  <c r="C9" i="55" a="1"/>
  <c r="G8" i="60" a="1"/>
  <c r="J9" i="48" a="1"/>
  <c r="Q4" i="9" a="1"/>
  <c r="G5" i="43" a="1"/>
  <c r="G12" i="42" a="1"/>
  <c r="G12" i="52" a="1"/>
  <c r="S7" i="56" a="1"/>
  <c r="I10" i="56" a="1"/>
  <c r="C15" i="13" a="1"/>
  <c r="K21" i="12" a="1"/>
  <c r="O10" i="12" a="1"/>
  <c r="G21" i="12" a="1"/>
  <c r="G7" i="12" a="1"/>
  <c r="M7" i="28" a="1"/>
  <c r="D4" i="28" a="1"/>
  <c r="J15" i="1" a="1"/>
  <c r="G11" i="1" a="1"/>
  <c r="J6" i="1" a="1"/>
  <c r="C8" i="1" a="1"/>
  <c r="C7" i="42" a="1"/>
  <c r="H2" i="7" a="1"/>
  <c r="E7" i="52" a="1"/>
  <c r="V16" i="56" a="1"/>
  <c r="M14" i="12" a="1"/>
  <c r="C11" i="39" a="1"/>
  <c r="H6" i="28" a="1"/>
  <c r="C16" i="40" a="1"/>
  <c r="G7" i="60" a="1"/>
  <c r="J8" i="48" a="1"/>
  <c r="P4" i="9" a="1"/>
  <c r="H4" i="43" a="1"/>
  <c r="F12" i="42" a="1"/>
  <c r="G2" i="18" a="1"/>
  <c r="E12" i="52" a="1"/>
  <c r="T6" i="56" a="1"/>
  <c r="C12" i="13" a="1"/>
  <c r="P20" i="12" a="1"/>
  <c r="M6" i="12" a="1"/>
  <c r="F19" i="12" a="1"/>
  <c r="G5" i="12" a="1"/>
  <c r="L7" i="28" a="1"/>
  <c r="AN4" i="9" a="1"/>
  <c r="D15" i="42" a="1"/>
  <c r="I4" i="42" a="1"/>
  <c r="B2" i="15" a="1"/>
  <c r="C10" i="52" a="1"/>
  <c r="N18" i="12" a="1"/>
  <c r="K12" i="12" a="1"/>
  <c r="E13" i="12" a="1"/>
  <c r="M12" i="28" a="1"/>
  <c r="E11" i="28" a="1"/>
  <c r="O4" i="1" a="1"/>
  <c r="D6" i="49" a="1"/>
  <c r="E12" i="60" a="1"/>
  <c r="J9" i="42" a="1"/>
  <c r="J3" i="42" a="1"/>
  <c r="K2" i="46" a="1"/>
  <c r="E9" i="52" a="1"/>
  <c r="E4" i="52" a="1"/>
  <c r="V10" i="56" a="1"/>
  <c r="J13" i="56" a="1"/>
  <c r="C23" i="56" a="1"/>
  <c r="R7" i="12" a="1"/>
  <c r="Q3" i="12" a="1"/>
  <c r="B10" i="12" a="1"/>
  <c r="F14" i="39" a="1"/>
  <c r="L12" i="28" a="1"/>
  <c r="H13" i="28" a="1"/>
  <c r="O3" i="1" a="1"/>
  <c r="H13" i="1" a="1"/>
  <c r="I8" i="1" a="1"/>
  <c r="G3" i="60" a="1"/>
  <c r="AM4" i="9" a="1"/>
  <c r="A4" i="9" a="1"/>
  <c r="F14" i="42" a="1"/>
  <c r="O22" i="12" a="1"/>
  <c r="L18" i="12" a="1"/>
  <c r="R11" i="12" a="1"/>
  <c r="G13" i="28" a="1"/>
  <c r="D11" i="28" a="1"/>
  <c r="G13" i="1" a="1"/>
  <c r="I3" i="42" a="1"/>
  <c r="I2" i="5" a="1"/>
  <c r="J2" i="46" a="1"/>
  <c r="C9" i="52" a="1"/>
  <c r="D4" i="52" a="1"/>
  <c r="U10" i="56" a="1"/>
  <c r="I13" i="56" a="1"/>
  <c r="B17" i="56" a="1"/>
  <c r="Q7" i="12" a="1"/>
  <c r="P3" i="12" a="1"/>
  <c r="G11" i="12" a="1"/>
  <c r="B6" i="12" a="1"/>
  <c r="F12" i="39" a="1"/>
  <c r="K12" i="28" a="1"/>
  <c r="E9" i="28" a="1"/>
  <c r="J20" i="1" a="1"/>
  <c r="AE4" i="9" a="1"/>
  <c r="C14" i="42" a="1"/>
  <c r="J8" i="42" a="1"/>
  <c r="B16" i="56" a="1"/>
  <c r="N22" i="12" a="1"/>
  <c r="K18" i="12" a="1"/>
  <c r="H12" i="28" a="1"/>
  <c r="G20" i="1" a="1"/>
  <c r="F13" i="1" a="1"/>
  <c r="H3" i="1" a="1"/>
  <c r="C19" i="55" a="1"/>
  <c r="E3" i="60" a="1"/>
  <c r="G12" i="43" a="1"/>
  <c r="H3" i="42" a="1"/>
  <c r="H2" i="5" a="1"/>
  <c r="I2" i="46" a="1"/>
  <c r="J8" i="52" a="1"/>
  <c r="C4" i="52" a="1"/>
  <c r="S10" i="56" a="1"/>
  <c r="H13" i="56" a="1"/>
  <c r="P11" i="12" a="1"/>
  <c r="P7" i="12" a="1"/>
  <c r="B5" i="12" a="1"/>
  <c r="F11" i="39" a="1"/>
  <c r="M11" i="28" a="1"/>
  <c r="D9" i="28" a="1"/>
  <c r="F8" i="1" a="1"/>
  <c r="F10" i="60" a="1"/>
  <c r="AC4" i="9" a="1"/>
  <c r="J13" i="42" a="1"/>
  <c r="I8" i="42" a="1"/>
  <c r="B15" i="56" a="1"/>
  <c r="E12" i="42" a="1"/>
  <c r="J4" i="42" a="1"/>
  <c r="D2" i="7" a="1"/>
  <c r="G13" i="56" a="1"/>
  <c r="C4" i="13" a="1"/>
  <c r="S15" i="12" a="1"/>
  <c r="O9" i="12" a="1"/>
  <c r="L4" i="12" a="1"/>
  <c r="D18" i="28" a="1"/>
  <c r="J19" i="1" a="1"/>
  <c r="J6" i="48" a="1"/>
  <c r="I8" i="52" a="1"/>
  <c r="V13" i="56" a="1"/>
  <c r="G12" i="56" a="1"/>
  <c r="L15" i="12" a="1"/>
  <c r="M9" i="12" a="1"/>
  <c r="H3" i="39" a="1"/>
  <c r="M8" i="28" a="1"/>
  <c r="H10" i="1" a="1"/>
  <c r="I4" i="1" a="1"/>
  <c r="C14" i="55" a="1"/>
  <c r="F6" i="60" a="1"/>
  <c r="H11" i="42" a="1"/>
  <c r="G3" i="42" a="1"/>
  <c r="S23" i="12" a="1"/>
  <c r="N3" i="12" a="1"/>
  <c r="E5" i="12" a="1"/>
  <c r="E15" i="28" a="1"/>
  <c r="I19" i="1" a="1"/>
  <c r="J4" i="48" a="1"/>
  <c r="G11" i="43" a="1"/>
  <c r="U13" i="56" a="1"/>
  <c r="K15" i="12" a="1"/>
  <c r="K9" i="12" a="1"/>
  <c r="H2" i="39" a="1"/>
  <c r="K6" i="28" a="1"/>
  <c r="L9" i="1" a="1"/>
  <c r="H4" i="1" a="1"/>
  <c r="C13" i="55" a="1"/>
  <c r="E6" i="60" a="1"/>
  <c r="C11" i="42" a="1"/>
  <c r="F3" i="42" a="1"/>
  <c r="H2" i="47" a="1"/>
  <c r="H7" i="52" a="1"/>
  <c r="G11" i="56" a="1"/>
  <c r="R23" i="12" a="1"/>
  <c r="S14" i="12" a="1"/>
  <c r="G4" i="12" a="1"/>
  <c r="F5" i="39" a="1"/>
  <c r="D15" i="28" a="1"/>
  <c r="H19" i="1" a="1"/>
  <c r="L2" i="38" a="1"/>
  <c r="H10" i="43" a="1"/>
  <c r="S8" i="12" a="1"/>
  <c r="E23" i="12" a="1"/>
  <c r="G3" i="1" a="1"/>
  <c r="I15" i="42" a="1"/>
  <c r="G7" i="42" a="1"/>
  <c r="O12" i="12" a="1"/>
  <c r="P6" i="12" a="1"/>
  <c r="J10" i="39" a="1"/>
  <c r="J13" i="1" a="1"/>
  <c r="D16" i="49" a="1"/>
  <c r="F12" i="60" a="1"/>
  <c r="J6" i="42" a="1"/>
  <c r="J11" i="52" a="1"/>
  <c r="C24" i="56" a="1"/>
  <c r="L12" i="12" a="1"/>
  <c r="J9" i="39" a="1"/>
  <c r="I13" i="1" a="1"/>
  <c r="H11" i="60" a="1"/>
  <c r="L15" i="28" a="1"/>
  <c r="O9" i="1" a="1"/>
  <c r="O4" i="9" a="1"/>
  <c r="G6" i="42" a="1"/>
  <c r="J3" i="52" a="1"/>
  <c r="H13" i="39" a="1"/>
  <c r="D12" i="49" a="1"/>
  <c r="B8" i="56" a="1"/>
  <c r="O8" i="1" a="1"/>
  <c r="J5" i="1" a="1"/>
  <c r="N4" i="9" a="1"/>
  <c r="E6" i="42" a="1"/>
  <c r="J16" i="56" a="1"/>
  <c r="M5" i="12" a="1"/>
  <c r="H12" i="39" a="1"/>
  <c r="L11" i="1" a="1"/>
  <c r="I13" i="42" a="1"/>
  <c r="E2" i="5" a="1"/>
  <c r="B6" i="56" a="1"/>
  <c r="O7" i="1" a="1"/>
  <c r="I4" i="9" a="1"/>
  <c r="H11" i="39" a="1"/>
  <c r="G5" i="28" a="1"/>
  <c r="H13" i="42" a="1"/>
  <c r="B5" i="56" a="1"/>
  <c r="M19" i="12" a="1"/>
  <c r="E9" i="12" a="1"/>
  <c r="H4" i="28" a="1"/>
  <c r="H5" i="1" a="1"/>
  <c r="H8" i="60" a="1"/>
  <c r="E4" i="9" a="1"/>
  <c r="F5" i="42" a="1"/>
  <c r="Y4" i="9" a="1"/>
  <c r="E2" i="15" a="1"/>
  <c r="E5" i="52" a="1"/>
  <c r="S6" i="56" a="1"/>
  <c r="G6" i="56" a="1"/>
  <c r="L20" i="12" a="1"/>
  <c r="E15" i="12" a="1"/>
  <c r="M15" i="28" a="1"/>
  <c r="O15" i="1" a="1"/>
  <c r="H15" i="42" a="1"/>
  <c r="K6" i="1" a="1"/>
  <c r="D13" i="49" a="1"/>
  <c r="D2" i="15" a="1"/>
  <c r="F4" i="52" a="1"/>
  <c r="J17" i="56" a="1"/>
  <c r="P19" i="12" a="1"/>
  <c r="O5" i="12" a="1"/>
  <c r="G8" i="28" a="1"/>
  <c r="F15" i="42" a="1"/>
  <c r="D11" i="52" a="1"/>
  <c r="F13" i="12" a="1"/>
  <c r="F12" i="1" a="1"/>
  <c r="G6" i="1" a="1"/>
  <c r="F2" i="5" a="1"/>
  <c r="O19" i="12" a="1"/>
  <c r="H9" i="60" a="1"/>
  <c r="I10" i="52" a="1"/>
  <c r="E3" i="52" a="1"/>
  <c r="K13" i="28" a="1"/>
  <c r="D11" i="49" a="1"/>
  <c r="N19" i="12" a="1"/>
  <c r="R10" i="12" a="1"/>
  <c r="K5" i="12" a="1"/>
  <c r="F9" i="12" a="1"/>
  <c r="G6" i="28" a="1"/>
  <c r="I5" i="1" a="1"/>
  <c r="I5" i="42" a="1"/>
  <c r="H16" i="56" a="1"/>
  <c r="K11" i="1" a="1"/>
  <c r="D9" i="49" a="1"/>
  <c r="G10" i="52" a="1"/>
  <c r="U17" i="56" a="1"/>
  <c r="Q10" i="12" a="1"/>
  <c r="S4" i="12" a="1"/>
  <c r="L11" i="28" a="1"/>
  <c r="O6" i="1" a="1"/>
  <c r="J2" i="7" a="1"/>
  <c r="F10" i="42" a="1"/>
  <c r="E2" i="47" a="1"/>
  <c r="S21" i="12" a="1"/>
  <c r="S6" i="12" a="1"/>
  <c r="C9" i="1" a="1"/>
  <c r="E4" i="60" a="1"/>
  <c r="J2" i="38" a="1"/>
  <c r="S8" i="56" a="1"/>
  <c r="N21" i="12" a="1"/>
  <c r="B11" i="12" a="1"/>
  <c r="L3" i="28" a="1"/>
  <c r="C7" i="1" a="1"/>
  <c r="H3" i="60" a="1"/>
  <c r="F2" i="38" a="1"/>
  <c r="E10" i="42" a="1"/>
  <c r="H2" i="46" a="1"/>
  <c r="R6" i="12" a="1"/>
  <c r="I14" i="1" a="1"/>
  <c r="M21" i="12" a="1"/>
  <c r="J14" i="39" a="1"/>
  <c r="C6" i="1" a="1"/>
  <c r="C2" i="38" a="1"/>
  <c r="F2" i="46" a="1"/>
  <c r="T7" i="56" a="1"/>
  <c r="L21" i="12" a="1"/>
  <c r="H11" i="28" a="1"/>
  <c r="G8" i="42" a="1"/>
  <c r="H10" i="39" a="1"/>
  <c r="H11" i="1" a="1"/>
  <c r="C20" i="55" a="1"/>
  <c r="I12" i="52" a="1"/>
  <c r="F11" i="1" a="1"/>
  <c r="F10" i="52" a="1"/>
  <c r="O18" i="12" a="1"/>
  <c r="N4" i="12" a="1"/>
  <c r="E18" i="28" a="1"/>
  <c r="AB4" i="9" a="1"/>
  <c r="G14" i="56" a="1"/>
  <c r="H8" i="39" a="1"/>
  <c r="C15" i="55" a="1"/>
  <c r="E10" i="52" a="1"/>
  <c r="R14" i="12" a="1"/>
  <c r="F4" i="39" a="1"/>
  <c r="J9" i="1" a="1"/>
  <c r="AA4" i="9" a="1"/>
  <c r="D5" i="42" a="1"/>
  <c r="G7" i="52" a="1"/>
  <c r="H9" i="56" a="1"/>
  <c r="L14" i="12" a="1"/>
  <c r="E8" i="28" a="1"/>
  <c r="C14" i="40" a="1"/>
  <c r="M2" i="18" a="1"/>
  <c r="Q13" i="12" a="1"/>
  <c r="F22" i="12" a="1"/>
  <c r="K8" i="1" a="1"/>
  <c r="C13" i="39" a="1"/>
  <c r="D8" i="28" a="1"/>
  <c r="C13" i="40" a="1"/>
  <c r="N13" i="12" a="1"/>
  <c r="J8" i="1" a="1"/>
  <c r="G10" i="43" a="1"/>
  <c r="G7" i="56" a="1"/>
  <c r="C7" i="39" a="1"/>
  <c r="H8" i="1" a="1"/>
  <c r="M13" i="12" a="1"/>
  <c r="G18" i="12" a="1"/>
  <c r="C7" i="40" a="1"/>
  <c r="Q22" i="12" a="1"/>
  <c r="G10" i="42" a="1"/>
  <c r="M22" i="12" a="1"/>
  <c r="N8" i="12" a="1"/>
  <c r="K4" i="28" a="1"/>
  <c r="C10" i="1" a="1"/>
  <c r="B12" i="12" a="1"/>
  <c r="K14" i="1" a="1"/>
  <c r="V7" i="56" a="1"/>
  <c r="G14" i="28" a="1"/>
  <c r="C10" i="42" a="1"/>
  <c r="Q6" i="12" a="1"/>
  <c r="A2" i="38" a="1"/>
  <c r="B2" i="46" a="1"/>
  <c r="G16" i="56" a="1"/>
  <c r="L19" i="12" a="1"/>
  <c r="C16" i="55" a="1"/>
  <c r="F8" i="42" a="1"/>
  <c r="J10" i="1" a="1"/>
  <c r="J10" i="56" a="1"/>
  <c r="D13" i="28" a="1"/>
  <c r="G22" i="12" a="1"/>
  <c r="I6" i="52" a="1"/>
  <c r="H7" i="56" a="1"/>
  <c r="E19" i="12" a="1"/>
  <c r="E7" i="28" a="1"/>
  <c r="C12" i="40" a="1"/>
  <c r="E2" i="18" a="1"/>
  <c r="V9" i="56" a="1"/>
  <c r="G6" i="43" a="1"/>
  <c r="J5" i="52" a="1"/>
  <c r="J6" i="56" a="1"/>
  <c r="C6" i="39" a="1"/>
  <c r="D6" i="28" a="1"/>
  <c r="L7" i="1" a="1"/>
  <c r="B2" i="18" a="1"/>
  <c r="L13" i="12" a="1"/>
  <c r="F18" i="12" a="1"/>
  <c r="E3" i="28" a="1"/>
  <c r="G4" i="43" a="1"/>
  <c r="G5" i="52" a="1"/>
  <c r="I6" i="56" a="1"/>
  <c r="H12" i="60" a="1"/>
  <c r="K2" i="15" a="1"/>
  <c r="F15" i="12" a="1"/>
  <c r="C2" i="39" a="1"/>
  <c r="D3" i="28" a="1"/>
  <c r="F7" i="1" a="1"/>
  <c r="C10" i="43" a="1"/>
  <c r="F5" i="52" a="1"/>
  <c r="G8" i="12" a="1"/>
  <c r="M9" i="28" a="1"/>
  <c r="G12" i="60" a="1"/>
  <c r="G2" i="15" a="1"/>
  <c r="S16" i="56" a="1"/>
  <c r="P10" i="12" a="1"/>
  <c r="G5" i="1" a="1"/>
  <c r="C9" i="43" a="1"/>
  <c r="P9" i="12" a="1"/>
  <c r="V14" i="56" a="1"/>
  <c r="E8" i="12" a="1"/>
  <c r="K9" i="28" a="1"/>
  <c r="L19" i="1" a="1"/>
  <c r="G2" i="7" a="1"/>
  <c r="S13" i="56" a="1"/>
  <c r="O23" i="12" a="1"/>
  <c r="F4" i="12" a="1"/>
  <c r="L5" i="28" a="1"/>
  <c r="I15" i="1" a="1"/>
  <c r="E7" i="60" a="1"/>
  <c r="C13" i="42" a="1"/>
  <c r="R22" i="12" a="1"/>
  <c r="R8" i="12" a="1"/>
  <c r="F3" i="1" a="1"/>
  <c r="G2" i="47" a="1"/>
  <c r="K5" i="28" a="1"/>
  <c r="G5" i="60" a="1"/>
  <c r="U12" i="56" a="1"/>
  <c r="B13" i="12" a="1"/>
  <c r="L14" i="1" a="1"/>
  <c r="F2" i="47" a="1"/>
  <c r="F4" i="60" a="1"/>
  <c r="S7" i="12" a="1"/>
  <c r="S7" i="12" l="1"/>
  <c r="F4" i="60"/>
  <c r="F2" i="47"/>
  <c r="L14" i="1"/>
  <c r="B13" i="12"/>
  <c r="U12" i="56"/>
  <c r="G5" i="60"/>
  <c r="K5" i="28"/>
  <c r="G2" i="47"/>
  <c r="F3" i="1"/>
  <c r="R8" i="12"/>
  <c r="R22" i="12"/>
  <c r="C13" i="42"/>
  <c r="E7" i="60"/>
  <c r="I15" i="1"/>
  <c r="L5" i="28"/>
  <c r="F4" i="12"/>
  <c r="O23" i="12"/>
  <c r="S13" i="56"/>
  <c r="G2" i="7"/>
  <c r="L19" i="1"/>
  <c r="K9" i="28"/>
  <c r="E8" i="12"/>
  <c r="V14" i="56"/>
  <c r="P9" i="12"/>
  <c r="C9" i="43"/>
  <c r="G5" i="1"/>
  <c r="P10" i="12"/>
  <c r="S16" i="56"/>
  <c r="G2" i="15"/>
  <c r="G12" i="60"/>
  <c r="M9" i="28"/>
  <c r="G8" i="12"/>
  <c r="F5" i="52"/>
  <c r="C10" i="43"/>
  <c r="F7" i="1"/>
  <c r="D3" i="28"/>
  <c r="C2" i="39"/>
  <c r="F15" i="12"/>
  <c r="K2" i="15"/>
  <c r="H12" i="60"/>
  <c r="I6" i="56"/>
  <c r="G5" i="52"/>
  <c r="G4" i="43"/>
  <c r="E3" i="28"/>
  <c r="F18" i="12"/>
  <c r="L13" i="12"/>
  <c r="B2" i="18"/>
  <c r="L7" i="1"/>
  <c r="D6" i="28"/>
  <c r="C6" i="39"/>
  <c r="J6" i="56"/>
  <c r="J5" i="52"/>
  <c r="G6" i="43"/>
  <c r="V9" i="56"/>
  <c r="E2" i="18"/>
  <c r="C12" i="40"/>
  <c r="E7" i="28"/>
  <c r="E19" i="12"/>
  <c r="H7" i="56"/>
  <c r="I6" i="52"/>
  <c r="G22" i="12"/>
  <c r="D13" i="28"/>
  <c r="J10" i="56"/>
  <c r="J10" i="1"/>
  <c r="F8" i="42"/>
  <c r="C16" i="55"/>
  <c r="L19" i="12"/>
  <c r="G16" i="56"/>
  <c r="B2" i="46"/>
  <c r="A2" i="38"/>
  <c r="Q6" i="12"/>
  <c r="C10" i="42"/>
  <c r="G14" i="28"/>
  <c r="V7" i="56"/>
  <c r="K14" i="1"/>
  <c r="B12" i="12"/>
  <c r="C10" i="1"/>
  <c r="K4" i="28"/>
  <c r="N8" i="12"/>
  <c r="M22" i="12"/>
  <c r="G10" i="42"/>
  <c r="Q22" i="12"/>
  <c r="C7" i="40"/>
  <c r="G18" i="12"/>
  <c r="M13" i="12"/>
  <c r="H8" i="1"/>
  <c r="C7" i="39"/>
  <c r="G7" i="56"/>
  <c r="G10" i="43"/>
  <c r="J8" i="1"/>
  <c r="N13" i="12"/>
  <c r="C13" i="40"/>
  <c r="D8" i="28"/>
  <c r="C13" i="39"/>
  <c r="K8" i="1"/>
  <c r="F22" i="12"/>
  <c r="Q13" i="12"/>
  <c r="M2" i="18"/>
  <c r="C14" i="40"/>
  <c r="E8" i="28"/>
  <c r="L14" i="12"/>
  <c r="H9" i="56"/>
  <c r="G7" i="52"/>
  <c r="D5" i="42"/>
  <c r="AA4" i="9"/>
  <c r="J9" i="1"/>
  <c r="F4" i="39"/>
  <c r="R14" i="12"/>
  <c r="E10" i="52"/>
  <c r="C15" i="55"/>
  <c r="H8" i="39"/>
  <c r="G14" i="56"/>
  <c r="AB4" i="9"/>
  <c r="E18" i="28"/>
  <c r="N4" i="12"/>
  <c r="O18" i="12"/>
  <c r="F10" i="52"/>
  <c r="F11" i="1"/>
  <c r="I12" i="52"/>
  <c r="C20" i="55"/>
  <c r="H11" i="1"/>
  <c r="H10" i="39"/>
  <c r="G8" i="42"/>
  <c r="H11" i="28"/>
  <c r="L21" i="12"/>
  <c r="T7" i="56"/>
  <c r="F2" i="46"/>
  <c r="C2" i="38"/>
  <c r="C6" i="1"/>
  <c r="J14" i="39"/>
  <c r="M21" i="12"/>
  <c r="I14" i="1"/>
  <c r="R6" i="12"/>
  <c r="H2" i="46"/>
  <c r="E10" i="42"/>
  <c r="F2" i="38"/>
  <c r="H3" i="60"/>
  <c r="C7" i="1"/>
  <c r="L3" i="28"/>
  <c r="B11" i="12"/>
  <c r="N21" i="12"/>
  <c r="S8" i="56"/>
  <c r="J2" i="38"/>
  <c r="E4" i="60"/>
  <c r="C9" i="1"/>
  <c r="S6" i="12"/>
  <c r="S21" i="12"/>
  <c r="E2" i="47"/>
  <c r="F10" i="42"/>
  <c r="J2" i="7"/>
  <c r="O6" i="1"/>
  <c r="L11" i="28"/>
  <c r="S4" i="12"/>
  <c r="Q10" i="12"/>
  <c r="U17" i="56"/>
  <c r="G10" i="52"/>
  <c r="D9" i="49"/>
  <c r="K11" i="1"/>
  <c r="H16" i="56"/>
  <c r="I5" i="42"/>
  <c r="I5" i="1"/>
  <c r="G6" i="28"/>
  <c r="F9" i="12"/>
  <c r="K5" i="12"/>
  <c r="R10" i="12"/>
  <c r="N19" i="12"/>
  <c r="D11" i="49"/>
  <c r="K13" i="28"/>
  <c r="E3" i="52"/>
  <c r="I10" i="52"/>
  <c r="H9" i="60"/>
  <c r="O19" i="12"/>
  <c r="F2" i="5"/>
  <c r="G6" i="1"/>
  <c r="F12" i="1"/>
  <c r="F13" i="12"/>
  <c r="D11" i="52"/>
  <c r="F15" i="42"/>
  <c r="G8" i="28"/>
  <c r="O5" i="12"/>
  <c r="P19" i="12"/>
  <c r="J17" i="56"/>
  <c r="F4" i="52"/>
  <c r="D2" i="15"/>
  <c r="D13" i="49"/>
  <c r="K6" i="1"/>
  <c r="H15" i="42"/>
  <c r="O15" i="1"/>
  <c r="M15" i="28"/>
  <c r="E15" i="12"/>
  <c r="L20" i="12"/>
  <c r="G6" i="56"/>
  <c r="S6" i="56"/>
  <c r="E5" i="52"/>
  <c r="E2" i="15"/>
  <c r="Y4" i="9"/>
  <c r="F5" i="42"/>
  <c r="E4" i="9"/>
  <c r="H8" i="60"/>
  <c r="H5" i="1"/>
  <c r="H4" i="28"/>
  <c r="E9" i="12"/>
  <c r="M19" i="12"/>
  <c r="B5" i="56"/>
  <c r="H13" i="42"/>
  <c r="G5" i="28"/>
  <c r="H11" i="39"/>
  <c r="I4" i="9"/>
  <c r="O7" i="1"/>
  <c r="B6" i="56"/>
  <c r="E2" i="5"/>
  <c r="I13" i="42"/>
  <c r="L11" i="1"/>
  <c r="H12" i="39"/>
  <c r="M5" i="12"/>
  <c r="J16" i="56"/>
  <c r="E6" i="42"/>
  <c r="N4" i="9"/>
  <c r="J5" i="1"/>
  <c r="O8" i="1"/>
  <c r="B8" i="56"/>
  <c r="D12" i="49"/>
  <c r="H13" i="39"/>
  <c r="J3" i="52"/>
  <c r="G6" i="42"/>
  <c r="O4" i="9"/>
  <c r="O9" i="1"/>
  <c r="L15" i="28"/>
  <c r="H11" i="60"/>
  <c r="I13" i="1"/>
  <c r="J9" i="39"/>
  <c r="L12" i="12"/>
  <c r="C24" i="56"/>
  <c r="J11" i="52"/>
  <c r="J6" i="42"/>
  <c r="F12" i="60"/>
  <c r="D16" i="49"/>
  <c r="J13" i="1"/>
  <c r="J10" i="39"/>
  <c r="P6" i="12"/>
  <c r="O12" i="12"/>
  <c r="G7" i="42"/>
  <c r="I15" i="42"/>
  <c r="G3" i="1"/>
  <c r="E23" i="12"/>
  <c r="S8" i="12"/>
  <c r="H10" i="43"/>
  <c r="L2" i="38"/>
  <c r="H19" i="1"/>
  <c r="D15" i="28"/>
  <c r="F5" i="39"/>
  <c r="G4" i="12"/>
  <c r="S14" i="12"/>
  <c r="R23" i="12"/>
  <c r="G11" i="56"/>
  <c r="H7" i="52"/>
  <c r="H2" i="47"/>
  <c r="F3" i="42"/>
  <c r="C11" i="42"/>
  <c r="E6" i="60"/>
  <c r="C13" i="55"/>
  <c r="H4" i="1"/>
  <c r="L9" i="1"/>
  <c r="K6" i="28"/>
  <c r="H2" i="39"/>
  <c r="K9" i="12"/>
  <c r="K15" i="12"/>
  <c r="U13" i="56"/>
  <c r="G11" i="43"/>
  <c r="J4" i="48"/>
  <c r="I19" i="1"/>
  <c r="E15" i="28"/>
  <c r="E5" i="12"/>
  <c r="N3" i="12"/>
  <c r="S23" i="12"/>
  <c r="G3" i="42"/>
  <c r="H11" i="42"/>
  <c r="F6" i="60"/>
  <c r="C14" i="55"/>
  <c r="I4" i="1"/>
  <c r="H10" i="1"/>
  <c r="M8" i="28"/>
  <c r="H3" i="39"/>
  <c r="M9" i="12"/>
  <c r="L15" i="12"/>
  <c r="G12" i="56"/>
  <c r="V13" i="56"/>
  <c r="I8" i="52"/>
  <c r="J6" i="48"/>
  <c r="J19" i="1"/>
  <c r="D18" i="28"/>
  <c r="L4" i="12"/>
  <c r="O9" i="12"/>
  <c r="S15" i="12"/>
  <c r="C4" i="13"/>
  <c r="G13" i="56"/>
  <c r="D2" i="7"/>
  <c r="J4" i="42"/>
  <c r="E12" i="42"/>
  <c r="B15" i="56"/>
  <c r="I8" i="42"/>
  <c r="J13" i="42"/>
  <c r="AC4" i="9"/>
  <c r="F10" i="60"/>
  <c r="F8" i="1"/>
  <c r="D9" i="28"/>
  <c r="M11" i="28"/>
  <c r="F11" i="39"/>
  <c r="B5" i="12"/>
  <c r="P7" i="12"/>
  <c r="P11" i="12"/>
  <c r="H13" i="56"/>
  <c r="S10" i="56"/>
  <c r="C4" i="52"/>
  <c r="J8" i="52"/>
  <c r="I2" i="46"/>
  <c r="H2" i="5"/>
  <c r="H3" i="42"/>
  <c r="G12" i="43"/>
  <c r="E3" i="60"/>
  <c r="C19" i="55"/>
  <c r="H3" i="1"/>
  <c r="F13" i="1"/>
  <c r="G20" i="1"/>
  <c r="H12" i="28"/>
  <c r="K18" i="12"/>
  <c r="N22" i="12"/>
  <c r="B16" i="56"/>
  <c r="J8" i="42"/>
  <c r="C14" i="42"/>
  <c r="AE4" i="9"/>
  <c r="J20" i="1"/>
  <c r="E9" i="28"/>
  <c r="K12" i="28"/>
  <c r="F12" i="39"/>
  <c r="B6" i="12"/>
  <c r="G11" i="12"/>
  <c r="P3" i="12"/>
  <c r="Q7" i="12"/>
  <c r="B17" i="56"/>
  <c r="I13" i="56"/>
  <c r="U10" i="56"/>
  <c r="D4" i="52"/>
  <c r="C9" i="52"/>
  <c r="J2" i="46"/>
  <c r="I2" i="5"/>
  <c r="I3" i="42"/>
  <c r="G13" i="1"/>
  <c r="D11" i="28"/>
  <c r="G13" i="28"/>
  <c r="R11" i="12"/>
  <c r="L18" i="12"/>
  <c r="O22" i="12"/>
  <c r="F14" i="42"/>
  <c r="A13" i="9"/>
  <c r="A12" i="9"/>
  <c r="A5" i="9"/>
  <c r="A4" i="9"/>
  <c r="A8" i="9"/>
  <c r="A7" i="9"/>
  <c r="A6" i="9"/>
  <c r="A11" i="9"/>
  <c r="A10" i="9"/>
  <c r="A9" i="9"/>
  <c r="AM4" i="9"/>
  <c r="G3" i="60"/>
  <c r="I8" i="1"/>
  <c r="H13" i="1"/>
  <c r="O3" i="1"/>
  <c r="H13" i="28"/>
  <c r="L12" i="28"/>
  <c r="F14" i="39"/>
  <c r="B10" i="12"/>
  <c r="Q3" i="12"/>
  <c r="R7" i="12"/>
  <c r="C23" i="56"/>
  <c r="J13" i="56"/>
  <c r="V10" i="56"/>
  <c r="E4" i="52"/>
  <c r="E9" i="52"/>
  <c r="K2" i="46"/>
  <c r="J3" i="42"/>
  <c r="J9" i="42"/>
  <c r="E12" i="60"/>
  <c r="D6" i="49"/>
  <c r="O4" i="1"/>
  <c r="E11" i="28"/>
  <c r="M12" i="28"/>
  <c r="E13" i="12"/>
  <c r="K12" i="12"/>
  <c r="N18" i="12"/>
  <c r="C10" i="52"/>
  <c r="B2" i="15"/>
  <c r="I4" i="42"/>
  <c r="D15" i="42"/>
  <c r="AN4" i="9"/>
  <c r="L7" i="28"/>
  <c r="G5" i="12"/>
  <c r="F19" i="12"/>
  <c r="M6" i="12"/>
  <c r="P20" i="12"/>
  <c r="C12" i="13"/>
  <c r="T6" i="56"/>
  <c r="E12" i="52"/>
  <c r="G2" i="18"/>
  <c r="F12" i="42"/>
  <c r="H4" i="43"/>
  <c r="P4" i="9"/>
  <c r="J8" i="48"/>
  <c r="G7" i="60"/>
  <c r="C16" i="40"/>
  <c r="H6" i="28"/>
  <c r="C11" i="39"/>
  <c r="M14" i="12"/>
  <c r="V16" i="56"/>
  <c r="E7" i="52"/>
  <c r="H2" i="7"/>
  <c r="C7" i="42"/>
  <c r="C8" i="1"/>
  <c r="J6" i="1"/>
  <c r="G11" i="1"/>
  <c r="J15" i="1"/>
  <c r="D4" i="28"/>
  <c r="M7" i="28"/>
  <c r="G7" i="12"/>
  <c r="G21" i="12"/>
  <c r="O10" i="12"/>
  <c r="K21" i="12"/>
  <c r="C15" i="13"/>
  <c r="I10" i="56"/>
  <c r="S7" i="56"/>
  <c r="G12" i="52"/>
  <c r="G12" i="42"/>
  <c r="G5" i="43"/>
  <c r="Q4" i="9"/>
  <c r="J9" i="48"/>
  <c r="G8" i="60"/>
  <c r="C9" i="55"/>
  <c r="K15" i="1"/>
  <c r="G7" i="28"/>
  <c r="C12" i="39"/>
  <c r="J8" i="39"/>
  <c r="O6" i="12"/>
  <c r="Q14" i="12"/>
  <c r="S17" i="56"/>
  <c r="F7" i="52"/>
  <c r="I2" i="7"/>
  <c r="I2" i="18"/>
  <c r="D7" i="42"/>
  <c r="V4" i="9"/>
  <c r="E14" i="12"/>
  <c r="G23" i="12"/>
  <c r="O8" i="12"/>
  <c r="C8" i="13"/>
  <c r="H11" i="56"/>
  <c r="S11" i="56"/>
  <c r="V17" i="56"/>
  <c r="E6" i="52"/>
  <c r="M2" i="47"/>
  <c r="J2" i="5"/>
  <c r="J2" i="18"/>
  <c r="C9" i="42"/>
  <c r="H12" i="42"/>
  <c r="C5" i="43"/>
  <c r="H12" i="43"/>
  <c r="D14" i="49"/>
  <c r="F4" i="1"/>
  <c r="G7" i="1"/>
  <c r="L13" i="1"/>
  <c r="G3" i="28"/>
  <c r="G15" i="28"/>
  <c r="H4" i="39"/>
  <c r="B3" i="12"/>
  <c r="Q5" i="12"/>
  <c r="K11" i="12"/>
  <c r="S13" i="12"/>
  <c r="R18" i="12"/>
  <c r="O21" i="12"/>
  <c r="H5" i="56"/>
  <c r="S5" i="56"/>
  <c r="H9" i="52"/>
  <c r="J12" i="52"/>
  <c r="J5" i="42"/>
  <c r="R4" i="9"/>
  <c r="G2" i="38"/>
  <c r="G4" i="60"/>
  <c r="G10" i="60"/>
  <c r="C10" i="55"/>
  <c r="K10" i="1"/>
  <c r="E6" i="28"/>
  <c r="K10" i="28"/>
  <c r="C8" i="39"/>
  <c r="E7" i="12"/>
  <c r="F14" i="12"/>
  <c r="P8" i="12"/>
  <c r="L11" i="12"/>
  <c r="C9" i="13"/>
  <c r="I11" i="56"/>
  <c r="S12" i="56"/>
  <c r="C3" i="52"/>
  <c r="F6" i="52"/>
  <c r="N2" i="47"/>
  <c r="N2" i="5"/>
  <c r="K2" i="18"/>
  <c r="G9" i="42"/>
  <c r="I12" i="42"/>
  <c r="C6" i="43"/>
  <c r="G14" i="43"/>
  <c r="C11" i="55"/>
  <c r="D15" i="49"/>
  <c r="G4" i="1"/>
  <c r="L10" i="1"/>
  <c r="F14" i="1"/>
  <c r="I20" i="1"/>
  <c r="H3" i="28"/>
  <c r="C9" i="39"/>
  <c r="H5" i="39"/>
  <c r="B4" i="12"/>
  <c r="G14" i="12"/>
  <c r="M3" i="12"/>
  <c r="R5" i="12"/>
  <c r="K14" i="12"/>
  <c r="P21" i="12"/>
  <c r="J5" i="56"/>
  <c r="J9" i="52"/>
  <c r="A2" i="46"/>
  <c r="C6" i="42"/>
  <c r="U4" i="9"/>
  <c r="I2" i="38"/>
  <c r="F5" i="60"/>
  <c r="H10" i="60"/>
  <c r="K7" i="1"/>
  <c r="H14" i="1"/>
  <c r="D7" i="28"/>
  <c r="K3" i="28"/>
  <c r="F7" i="12"/>
  <c r="Q8" i="12"/>
  <c r="M11" i="12"/>
  <c r="C10" i="13"/>
  <c r="J11" i="56"/>
  <c r="U5" i="56"/>
  <c r="T12" i="56"/>
  <c r="D3" i="52"/>
  <c r="G6" i="52"/>
  <c r="A2" i="7"/>
  <c r="A2" i="15"/>
  <c r="L2" i="18"/>
  <c r="I9" i="42"/>
  <c r="J12" i="42"/>
  <c r="C8" i="43"/>
  <c r="H15" i="43"/>
  <c r="M13" i="28"/>
  <c r="B14" i="12"/>
  <c r="F10" i="12"/>
  <c r="L23" i="12"/>
  <c r="H8" i="56"/>
  <c r="AH4" i="9"/>
  <c r="H7" i="60"/>
  <c r="O4" i="12"/>
  <c r="Q9" i="12"/>
  <c r="M20" i="12"/>
  <c r="B9" i="56"/>
  <c r="I4" i="52"/>
  <c r="L2" i="7"/>
  <c r="L2" i="15"/>
  <c r="F4" i="42"/>
  <c r="F4" i="9"/>
  <c r="J10" i="48"/>
  <c r="C14" i="1"/>
  <c r="H12" i="1"/>
  <c r="G10" i="28"/>
  <c r="L6" i="28"/>
  <c r="J5" i="39"/>
  <c r="E20" i="12"/>
  <c r="K7" i="12"/>
  <c r="P12" i="12"/>
  <c r="H15" i="56"/>
  <c r="T8" i="56"/>
  <c r="S15" i="56"/>
  <c r="J4" i="52"/>
  <c r="J7" i="52"/>
  <c r="E11" i="52"/>
  <c r="B2" i="47"/>
  <c r="H7" i="42"/>
  <c r="D11" i="42"/>
  <c r="I14" i="42"/>
  <c r="H6" i="43"/>
  <c r="C8" i="40"/>
  <c r="D4" i="49"/>
  <c r="K5" i="1"/>
  <c r="L15" i="1"/>
  <c r="O10" i="1"/>
  <c r="D12" i="28"/>
  <c r="F7" i="39"/>
  <c r="B15" i="12"/>
  <c r="R9" i="12"/>
  <c r="N15" i="12"/>
  <c r="N20" i="12"/>
  <c r="M23" i="12"/>
  <c r="B10" i="56"/>
  <c r="J8" i="56"/>
  <c r="U8" i="56"/>
  <c r="N2" i="7"/>
  <c r="M2" i="15"/>
  <c r="G4" i="42"/>
  <c r="G4" i="9"/>
  <c r="AJ4" i="9"/>
  <c r="J11" i="48"/>
  <c r="E8" i="60"/>
  <c r="C15" i="1"/>
  <c r="H9" i="1"/>
  <c r="I12" i="1"/>
  <c r="H10" i="28"/>
  <c r="M6" i="28"/>
  <c r="M14" i="28"/>
  <c r="J6" i="39"/>
  <c r="E11" i="12"/>
  <c r="Q4" i="12"/>
  <c r="R12" i="12"/>
  <c r="I15" i="56"/>
  <c r="T15" i="56"/>
  <c r="C5" i="52"/>
  <c r="D8" i="52"/>
  <c r="G11" i="52"/>
  <c r="C2" i="47"/>
  <c r="I7" i="42"/>
  <c r="F11" i="42"/>
  <c r="J14" i="42"/>
  <c r="H7" i="43"/>
  <c r="F8" i="60"/>
  <c r="D5" i="49"/>
  <c r="F6" i="1"/>
  <c r="L12" i="1"/>
  <c r="O11" i="1"/>
  <c r="E12" i="28"/>
  <c r="K7" i="28"/>
  <c r="F8" i="39"/>
  <c r="F3" i="12"/>
  <c r="F21" i="12"/>
  <c r="O7" i="12"/>
  <c r="O15" i="12"/>
  <c r="O20" i="12"/>
  <c r="N23" i="12"/>
  <c r="G9" i="56"/>
  <c r="V8" i="56"/>
  <c r="A2" i="5"/>
  <c r="N2" i="15"/>
  <c r="H4" i="42"/>
  <c r="H4" i="9"/>
  <c r="AK4" i="9"/>
  <c r="J12" i="48"/>
  <c r="D23" i="1"/>
  <c r="I9" i="1"/>
  <c r="G19" i="1"/>
  <c r="G11" i="28"/>
  <c r="J7" i="39"/>
  <c r="F11" i="12"/>
  <c r="R4" i="12"/>
  <c r="L10" i="12"/>
  <c r="S12" i="12"/>
  <c r="B12" i="56"/>
  <c r="J15" i="56"/>
  <c r="V15" i="56"/>
  <c r="D5" i="52"/>
  <c r="E8" i="52"/>
  <c r="H11" i="52"/>
  <c r="D2" i="47"/>
  <c r="J7" i="42"/>
  <c r="G11" i="42"/>
  <c r="C15" i="42"/>
  <c r="G8" i="43"/>
  <c r="G6" i="60"/>
  <c r="E4" i="28"/>
  <c r="L4" i="28"/>
  <c r="E6" i="12"/>
  <c r="N14" i="12"/>
  <c r="I9" i="56"/>
  <c r="J6" i="52"/>
  <c r="F9" i="52"/>
  <c r="L2" i="46"/>
  <c r="E2" i="7"/>
  <c r="K4" i="9"/>
  <c r="M2" i="38"/>
  <c r="C17" i="40"/>
  <c r="C11" i="1"/>
  <c r="I7" i="1"/>
  <c r="F10" i="1"/>
  <c r="J12" i="1"/>
  <c r="F9" i="39"/>
  <c r="F20" i="12"/>
  <c r="T16" i="56"/>
  <c r="C12" i="52"/>
  <c r="K2" i="5"/>
  <c r="C4" i="42"/>
  <c r="H6" i="42"/>
  <c r="D9" i="42"/>
  <c r="G14" i="42"/>
  <c r="C11" i="43"/>
  <c r="H15" i="1"/>
  <c r="M4" i="28"/>
  <c r="K6" i="12"/>
  <c r="K23" i="12"/>
  <c r="C14" i="13"/>
  <c r="G5" i="56"/>
  <c r="G9" i="52"/>
  <c r="F2" i="7"/>
  <c r="E4" i="42"/>
  <c r="M4" i="9"/>
  <c r="AG4" i="9"/>
  <c r="N2" i="38"/>
  <c r="E11" i="60"/>
  <c r="K4" i="1"/>
  <c r="G15" i="1"/>
  <c r="K20" i="1"/>
  <c r="G9" i="28"/>
  <c r="L10" i="28"/>
  <c r="S5" i="12"/>
  <c r="M12" i="12"/>
  <c r="P18" i="12"/>
  <c r="Q20" i="12"/>
  <c r="S22" i="12"/>
  <c r="C13" i="13"/>
  <c r="C26" i="56"/>
  <c r="C2" i="18"/>
  <c r="AF4" i="9"/>
  <c r="D7" i="49"/>
  <c r="C4" i="39"/>
  <c r="H14" i="39"/>
  <c r="F12" i="12"/>
  <c r="S3" i="12"/>
  <c r="Y13" i="12" s="1" a="1"/>
  <c r="Y13" i="12" s="1"/>
  <c r="M10" i="12"/>
  <c r="J14" i="56"/>
  <c r="U6" i="56"/>
  <c r="T11" i="56"/>
  <c r="G4" i="52"/>
  <c r="I11" i="42"/>
  <c r="G13" i="43"/>
  <c r="H6" i="60"/>
  <c r="L20" i="1"/>
  <c r="D5" i="28"/>
  <c r="E14" i="28"/>
  <c r="H9" i="28"/>
  <c r="M10" i="28"/>
  <c r="B8" i="12"/>
  <c r="M8" i="12"/>
  <c r="N12" i="12"/>
  <c r="P14" i="12"/>
  <c r="Q18" i="12"/>
  <c r="J9" i="56"/>
  <c r="D2" i="18"/>
  <c r="G11" i="60"/>
  <c r="C18" i="40"/>
  <c r="D8" i="49"/>
  <c r="F5" i="1"/>
  <c r="J7" i="1"/>
  <c r="G10" i="1"/>
  <c r="C5" i="39"/>
  <c r="F10" i="39"/>
  <c r="J2" i="39"/>
  <c r="G6" i="12"/>
  <c r="G12" i="12"/>
  <c r="G20" i="12"/>
  <c r="K4" i="12"/>
  <c r="N10" i="12"/>
  <c r="G15" i="56"/>
  <c r="V6" i="56"/>
  <c r="V11" i="56"/>
  <c r="U16" i="56"/>
  <c r="D7" i="52"/>
  <c r="D12" i="52"/>
  <c r="A2" i="47"/>
  <c r="L2" i="5"/>
  <c r="I6" i="42"/>
  <c r="F9" i="42"/>
  <c r="C12" i="42"/>
  <c r="H14" i="42"/>
  <c r="G3" i="43"/>
  <c r="H13" i="43"/>
  <c r="P15" i="12"/>
  <c r="R19" i="12"/>
  <c r="K22" i="12"/>
  <c r="C5" i="13"/>
  <c r="H17" i="56"/>
  <c r="S9" i="56"/>
  <c r="C2" i="46"/>
  <c r="B2" i="5"/>
  <c r="H2" i="15"/>
  <c r="G5" i="42"/>
  <c r="B4" i="9"/>
  <c r="W4" i="9"/>
  <c r="D2" i="38"/>
  <c r="J13" i="48"/>
  <c r="F9" i="60"/>
  <c r="C9" i="40"/>
  <c r="C17" i="55"/>
  <c r="K3" i="1"/>
  <c r="H6" i="1"/>
  <c r="L8" i="1"/>
  <c r="K14" i="28"/>
  <c r="C14" i="39"/>
  <c r="H6" i="39"/>
  <c r="G3" i="12"/>
  <c r="G9" i="12"/>
  <c r="G15" i="12"/>
  <c r="K3" i="12"/>
  <c r="L7" i="12"/>
  <c r="N11" i="12"/>
  <c r="B13" i="56"/>
  <c r="I7" i="56"/>
  <c r="H12" i="56"/>
  <c r="S14" i="56"/>
  <c r="F3" i="52"/>
  <c r="C6" i="52"/>
  <c r="F8" i="52"/>
  <c r="J10" i="52"/>
  <c r="K2" i="47"/>
  <c r="C3" i="42"/>
  <c r="C8" i="42"/>
  <c r="H10" i="42"/>
  <c r="F13" i="42"/>
  <c r="J15" i="42"/>
  <c r="H8" i="43"/>
  <c r="H4" i="60"/>
  <c r="C4" i="1"/>
  <c r="J11" i="1"/>
  <c r="G14" i="1"/>
  <c r="K19" i="1"/>
  <c r="O12" i="1"/>
  <c r="E10" i="28"/>
  <c r="H5" i="28"/>
  <c r="H14" i="28"/>
  <c r="L5" i="12"/>
  <c r="N9" i="12"/>
  <c r="P13" i="12"/>
  <c r="Q15" i="12"/>
  <c r="S19" i="12"/>
  <c r="L22" i="12"/>
  <c r="C6" i="13"/>
  <c r="J12" i="56"/>
  <c r="I17" i="56"/>
  <c r="D2" i="46"/>
  <c r="C2" i="5"/>
  <c r="I2" i="15"/>
  <c r="H5" i="42"/>
  <c r="D4" i="9"/>
  <c r="X4" i="9"/>
  <c r="E2" i="38"/>
  <c r="J14" i="48"/>
  <c r="G9" i="60"/>
  <c r="C10" i="40"/>
  <c r="L3" i="1"/>
  <c r="I6" i="1"/>
  <c r="F9" i="1"/>
  <c r="L8" i="28"/>
  <c r="L14" i="28"/>
  <c r="F2" i="39"/>
  <c r="J13" i="39"/>
  <c r="E4" i="12"/>
  <c r="E10" i="12"/>
  <c r="L3" i="12"/>
  <c r="O11" i="12"/>
  <c r="B14" i="56"/>
  <c r="J7" i="56"/>
  <c r="U9" i="56"/>
  <c r="T14" i="56"/>
  <c r="H3" i="52"/>
  <c r="D6" i="52"/>
  <c r="G8" i="52"/>
  <c r="C11" i="52"/>
  <c r="L2" i="47"/>
  <c r="D3" i="42"/>
  <c r="E8" i="42"/>
  <c r="I10" i="42"/>
  <c r="G13" i="42"/>
  <c r="C3" i="43"/>
  <c r="G9" i="43"/>
  <c r="E22" i="12"/>
  <c r="M4" i="12"/>
  <c r="L6" i="12"/>
  <c r="K8" i="12"/>
  <c r="R13" i="12"/>
  <c r="Q19" i="12"/>
  <c r="Q23" i="12"/>
  <c r="I5" i="56"/>
  <c r="V5" i="56"/>
  <c r="U14" i="56"/>
  <c r="H5" i="52"/>
  <c r="D10" i="52"/>
  <c r="M2" i="46"/>
  <c r="C2" i="7"/>
  <c r="J2" i="15"/>
  <c r="C5" i="42"/>
  <c r="T4" i="9"/>
  <c r="AL4" i="9"/>
  <c r="J5" i="48"/>
  <c r="H5" i="60"/>
  <c r="E10" i="60"/>
  <c r="C11" i="40"/>
  <c r="C18" i="55"/>
  <c r="C3" i="1"/>
  <c r="I3" i="1"/>
  <c r="D14" i="28"/>
  <c r="H8" i="28"/>
  <c r="M3" i="28"/>
  <c r="L9" i="28"/>
  <c r="K15" i="28"/>
  <c r="F3" i="39"/>
  <c r="H7" i="39"/>
  <c r="J11" i="39"/>
  <c r="K10" i="12"/>
  <c r="S11" i="12"/>
  <c r="R15" i="12"/>
  <c r="Q21" i="12"/>
  <c r="B7" i="56"/>
  <c r="G10" i="56"/>
  <c r="I14" i="56"/>
  <c r="T10" i="56"/>
  <c r="G3" i="52"/>
  <c r="C8" i="52"/>
  <c r="F12" i="52"/>
  <c r="G2" i="5"/>
  <c r="N2" i="18"/>
  <c r="F7" i="42"/>
  <c r="H9" i="42"/>
  <c r="J11" i="42"/>
  <c r="E14" i="42"/>
  <c r="C7" i="43"/>
  <c r="H9" i="43"/>
  <c r="D9" i="52"/>
  <c r="E2" i="46"/>
  <c r="M2" i="7"/>
  <c r="F2" i="18"/>
  <c r="L4" i="9"/>
  <c r="AD4" i="9"/>
  <c r="H2" i="38"/>
  <c r="J15" i="48"/>
  <c r="C13" i="1"/>
  <c r="L4" i="1"/>
  <c r="H7" i="1"/>
  <c r="K9" i="1"/>
  <c r="G12" i="1"/>
  <c r="J14" i="1"/>
  <c r="F20" i="1"/>
  <c r="O13" i="1"/>
  <c r="J4" i="39"/>
  <c r="B9" i="12"/>
  <c r="F6" i="12"/>
  <c r="E12" i="12"/>
  <c r="G19" i="12"/>
  <c r="O3" i="12"/>
  <c r="N5" i="12"/>
  <c r="M7" i="12"/>
  <c r="K13" i="12"/>
  <c r="S18" i="12"/>
  <c r="S20" i="12"/>
  <c r="C11" i="13"/>
  <c r="G8" i="56"/>
  <c r="G17" i="56"/>
  <c r="V12" i="56"/>
  <c r="C7" i="52"/>
  <c r="F11" i="52"/>
  <c r="J2" i="47"/>
  <c r="C2" i="15"/>
  <c r="F6" i="42"/>
  <c r="H8" i="42"/>
  <c r="J10" i="42"/>
  <c r="D13" i="42"/>
  <c r="G15" i="42"/>
  <c r="H5" i="43"/>
  <c r="H14" i="43"/>
  <c r="J4" i="9"/>
  <c r="Z4" i="9"/>
  <c r="B2" i="38"/>
  <c r="J7" i="48"/>
  <c r="E5" i="60"/>
  <c r="E9" i="60"/>
  <c r="C6" i="40"/>
  <c r="C12" i="55"/>
  <c r="D10" i="49"/>
  <c r="C12" i="1"/>
  <c r="J4" i="1"/>
  <c r="L6" i="1"/>
  <c r="G9" i="1"/>
  <c r="I11" i="1"/>
  <c r="K13" i="1"/>
  <c r="F19" i="1"/>
  <c r="O5" i="1"/>
  <c r="E5" i="28"/>
  <c r="E13" i="28"/>
  <c r="H7" i="28"/>
  <c r="H15" i="28"/>
  <c r="K8" i="28"/>
  <c r="L13" i="28"/>
  <c r="C10" i="39"/>
  <c r="F13" i="39"/>
  <c r="J3" i="39"/>
  <c r="B7" i="12"/>
  <c r="F5" i="12"/>
  <c r="G10" i="12"/>
  <c r="E18" i="12"/>
  <c r="F23" i="12"/>
  <c r="P4" i="12"/>
  <c r="N6" i="12"/>
  <c r="L8" i="12"/>
  <c r="S9" i="12"/>
  <c r="Q11" i="12"/>
  <c r="O13" i="12"/>
  <c r="M15" i="12"/>
  <c r="K19" i="12"/>
  <c r="R20" i="12"/>
  <c r="P22" i="12"/>
  <c r="C7" i="13"/>
  <c r="B11" i="56"/>
  <c r="H6" i="56"/>
  <c r="H10" i="56"/>
  <c r="H14" i="56"/>
  <c r="T5" i="56"/>
  <c r="T9" i="56"/>
  <c r="T13" i="56"/>
  <c r="T17" i="56"/>
  <c r="H4" i="52"/>
  <c r="H6" i="52"/>
  <c r="H8" i="52"/>
  <c r="H10" i="52"/>
  <c r="H12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C4" i="9"/>
  <c r="S4" i="9"/>
  <c r="AI4" i="9"/>
  <c r="K2" i="38"/>
  <c r="J16" i="48"/>
  <c r="F3" i="60"/>
  <c r="F7" i="60"/>
  <c r="F11" i="60"/>
  <c r="C15" i="40"/>
  <c r="C21" i="55"/>
  <c r="C5" i="1"/>
  <c r="J3" i="1"/>
  <c r="L5" i="1"/>
  <c r="G8" i="1"/>
  <c r="I10" i="1"/>
  <c r="K12" i="1"/>
  <c r="F15" i="1"/>
  <c r="H20" i="1"/>
  <c r="O14" i="1"/>
  <c r="D10" i="28"/>
  <c r="G4" i="28"/>
  <c r="G12" i="28"/>
  <c r="M5" i="28"/>
  <c r="K11" i="28"/>
  <c r="C3" i="39"/>
  <c r="F6" i="39"/>
  <c r="H9" i="39"/>
  <c r="J12" i="39"/>
  <c r="E3" i="12"/>
  <c r="F8" i="12"/>
  <c r="G13" i="12"/>
  <c r="E21" i="12"/>
  <c r="R3" i="12"/>
  <c r="P5" i="12"/>
  <c r="N7" i="12"/>
  <c r="L9" i="12"/>
  <c r="S10" i="12"/>
  <c r="Q12" i="12"/>
  <c r="O14" i="12"/>
  <c r="M18" i="12"/>
  <c r="K20" i="12"/>
  <c r="R21" i="12"/>
  <c r="P23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AG2" i="12"/>
  <c r="AF2" i="12"/>
  <c r="AE2" i="12"/>
  <c r="Y11" i="12" l="1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J20" i="48" a="1"/>
  <c r="J19" i="48" a="1"/>
  <c r="J19" i="48" l="1"/>
  <c r="J20" i="48"/>
  <c r="O6" i="28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M4" i="48" a="1"/>
  <c r="M6" i="48" a="1"/>
  <c r="M9" i="48" a="1"/>
  <c r="M14" i="48" a="1"/>
  <c r="M15" i="48" a="1"/>
  <c r="M16" i="48" a="1"/>
  <c r="M16" i="48" l="1"/>
  <c r="M15" i="48"/>
  <c r="M14" i="48"/>
  <c r="M9" i="48"/>
  <c r="M6" i="48"/>
  <c r="M4" i="48"/>
  <c r="P14" i="56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K19" i="55"/>
  <c r="R19" i="55" s="1"/>
  <c r="S19" i="55" s="1"/>
  <c r="S12" i="55"/>
  <c r="S16" i="55"/>
  <c r="S20" i="55"/>
  <c r="S10" i="55"/>
  <c r="S14" i="55"/>
  <c r="S17" i="55" l="1"/>
  <c r="S13" i="55"/>
  <c r="S21" i="55"/>
  <c r="S15" i="55"/>
  <c r="S11" i="55"/>
  <c r="S9" i="55"/>
  <c r="R3" i="55"/>
  <c r="S18" i="55"/>
  <c r="S3" i="55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5DF1E41-04D8-4880-8D66-0E7B020C3F9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Timestamp="1717274118"&gt;&lt;FQL&gt;&lt;Q&gt;FC0000ZA^FG_MCAP_IDX(0,,,USD)&lt;/Q&gt;&lt;R&gt;1&lt;/R&gt;&lt;C&gt;1&lt;/C&gt;&lt;D xsi:type="xsd:double"&gt;298772.7&lt;/D&gt;&lt;/FQL&gt;&lt;FQL&gt;&lt;Q&gt;EWI^FREF_MARKET_VALUE_COMPANY(0,,,USD,,0,,"LEGACY")&lt;/Q&gt;&lt;R&gt;1&lt;/R&gt;&lt;C&gt;1&lt;/C&gt;&lt;D xsi:type="xsd:double"&gt;460.1355&lt;/D&gt;&lt;/FQL&gt;&lt;FQL&gt;&lt;Q&gt;FC0000IT^FMA_MCAP(0,,,USD,"PORTAGG")&lt;/Q&gt;&lt;R&gt;1&lt;/R&gt;&lt;C&gt;1&lt;/C&gt;&lt;D xsi:type="xsd:double"&gt;892289&lt;/D&gt;&lt;/FQL&gt;&lt;FQL&gt;&lt;Q&gt;EWD^FREF_MARKET_VALUE_COMPANY(0,,,USD,,0,,"LEGACY")&lt;/Q&gt;&lt;R&gt;1&lt;/R&gt;&lt;C&gt;1&lt;/C&gt;&lt;D xsi:type="xsd:double"&gt;371.0805&lt;/D&gt;&lt;/FQL&gt;&lt;FQL&gt;&lt;Q&gt;FC0000SE^FMA_MCAP(0,,,USD,"PORTAGG")&lt;/Q&gt;&lt;R&gt;1&lt;/R&gt;&lt;C&gt;1&lt;/C&gt;&lt;D xsi:type="xsd:double"&gt;1035232.1&lt;/D&gt;&lt;/FQL&gt;&lt;FQL&gt;&lt;Q&gt;EWN^FREF_MARKET_VALUE_COMPANY(0,,,USD,,0,,"LEGACY")&lt;/Q&gt;&lt;R&gt;1&lt;/R&gt;&lt;C&gt;1&lt;/C&gt;&lt;D xsi:type="xsd:double"&gt;273.8665&lt;/D&gt;&lt;/FQL&gt;&lt;FQL&gt;&lt;Q&gt;FC0000NL^FMA_MCAP(0,,,USD,"PORTAGG")&lt;/Q&gt;&lt;R&gt;1&lt;/R&gt;&lt;C&gt;1&lt;/C&gt;&lt;D xsi:type="xsd:double"&gt;1135350.6&lt;/D&gt;&lt;/FQL&gt;&lt;FQL&gt;&lt;Q&gt;EWQ^FREF_MARKET_VALUE_COMPANY(0,,,USD,,0,,"LEGACY")&lt;/Q&gt;&lt;R&gt;1&lt;/R&gt;&lt;C&gt;1&lt;/C&gt;&lt;D xsi:type="xsd:double"&gt;650.52&lt;/D&gt;&lt;/FQL&gt;&lt;FQL&gt;&lt;Q&gt;FC0000FR^FMA_MCAP(0,,,USD,"PORTAGG")&lt;/Q&gt;&lt;R&gt;1&lt;/R&gt;&lt;C&gt;1&lt;/C&gt;&lt;D xsi:type="xsd:double"&gt;3363082.8&lt;/D&gt;&lt;/FQL&gt;&lt;FQL&gt;&lt;Q&gt;SPY^FREF_MARKET_VALUE_COMPANY(0,,,USD,,0,,"LEGACY")&lt;/Q&gt;&lt;R&gt;1&lt;/R&gt;&lt;C&gt;1&lt;/C&gt;&lt;D xsi:type="xsd:double"&gt;533820.842577&lt;/D&gt;&lt;/FQL&gt;&lt;FQL&gt;&lt;Q&gt;FC0000US^FMA_MCAP(0,,,USD,"PORTAGG")&lt;/Q&gt;&lt;R&gt;1&lt;/R&gt;&lt;C&gt;1&lt;/C&gt;&lt;D xsi:type="xsd:double"&gt;54863860&lt;/D&gt;&lt;/FQL&gt;&lt;FQL&gt;&lt;Q&gt;QQQ^FREF_MARKET_VALUE_COMPANY(0,,,USD,,0,,"LEGACY")&lt;/Q&gt;&lt;R&gt;1&lt;/R&gt;&lt;C&gt;1&lt;/C&gt;&lt;D xsi:type="xsd:double"&gt;269592.1865&lt;/D&gt;&lt;/FQL&gt;&lt;FQL&gt;&lt;Q&gt;EWU^FREF_MARKET_VALUE_COMPANY(0,,,USD,,0,,"LEGACY")&lt;/Q&gt;&lt;R&gt;1&lt;/R&gt;&lt;C&gt;1&lt;/C&gt;&lt;D xsi:type="xsd:double"&gt;2843.856&lt;/D&gt;&lt;/FQL&gt;&lt;FQL&gt;&lt;Q&gt;FC0000GB^FMA_MCAP(0,,,USD,"PORTAGG")&lt;/Q&gt;&lt;R&gt;1&lt;/R&gt;&lt;C&gt;1&lt;/C&gt;&lt;D xsi:type="xsd:double"&gt;3295792.3&lt;/D&gt;&lt;/FQL&gt;&lt;FQL&gt;&lt;Q&gt;EWL^FREF_MARKET_VALUE_COMPANY(0,,,USD,,0,,"LEGACY")&lt;/Q&gt;&lt;R&gt;1&lt;/R&gt;&lt;C&gt;1&lt;/C&gt;&lt;D xsi:type="xsd:double"&gt;1149.115&lt;/D&gt;&lt;/FQL&gt;&lt;FQL&gt;&lt;Q&gt;FC0000CH^FMA_MCAP(0,,,USD,"PORTAGG")&lt;/Q&gt;&lt;R&gt;1&lt;/R&gt;&lt;C&gt;1&lt;/C&gt;&lt;D xsi:type="xsd:double"&gt;2174773.5&lt;/D&gt;&lt;/FQL&gt;&lt;FQL&gt;&lt;Q&gt;EWJ^FREF_MARKET_VALUE_COMPANY(0,,,USD,,0,,"LEGACY")&lt;/Q&gt;&lt;R&gt;1&lt;/R&gt;&lt;C&gt;1&lt;/C&gt;&lt;D xsi:type="xsd:double"&gt;16304.508&lt;/D&gt;&lt;/FQL&gt;&lt;FQL&gt;&lt;Q&gt;FC0000JP^FMA_MCAP(0,,,USD,"PORTAGG")&lt;/Q&gt;&lt;R&gt;1&lt;/R&gt;&lt;C&gt;1&lt;/C&gt;&lt;D xsi:type="xsd:double"&gt;6394057.5&lt;/D&gt;&lt;/FQL&gt;&lt;FQL&gt;&lt;Q&gt;EWG^FREF_MARKET_VALUE_COMPANY(0,,,USD,,0,,"LEGACY")&lt;/Q&gt;&lt;R&gt;1&lt;/R&gt;&lt;C&gt;1&lt;/C&gt;&lt;D xsi:type="xsd:double"&gt;952.182&lt;/D&gt;&lt;/FQL&gt;&lt;FQL&gt;&lt;Q&gt;FC0000DE^FMA_MCAP(0,,,USD,"PORTAGG")&lt;/Q&gt;&lt;R&gt;1&lt;/R&gt;&lt;C&gt;1&lt;/C&gt;&lt;D xsi:type="xsd:double"&gt;2292656.8&lt;/D&gt;&lt;/FQL&gt;&lt;FQL&gt;&lt;Q&gt;EWC^FREF_MARKET_VALUE_COMPANY(0,,,USD,,0,,"LEGACY")&lt;/Q&gt;&lt;R&gt;1&lt;/R&gt;&lt;C&gt;1&lt;/C&gt;&lt;D xsi:type="xsd:double"&gt;2655.244&lt;/D&gt;&lt;/FQL&gt;&lt;FQL&gt;&lt;Q&gt;FC0000CA^FMA_MCAP(0,,,USD,"PORTAGG")&lt;/Q&gt;&lt;R&gt;1&lt;/R&gt;&lt;C&gt;1&lt;/C&gt;&lt;D xsi:type="xsd:double"&gt;2758675.8&lt;/D&gt;&lt;/FQL&gt;&lt;FQL&gt;&lt;Q&gt;EWA^FREF_MARKET_VALUE_COMPANY(0,,,USD,,0,,"LEGACY")&lt;/Q&gt;&lt;R&gt;1&lt;/R&gt;&lt;C&gt;1&lt;/C&gt;&lt;D xsi:type="xsd:double"&gt;1671.27&lt;/D&gt;&lt;/FQL&gt;&lt;FQL&gt;&lt;Q&gt;FC0000AU^FMA_MCAP(0,,,USD,"PORTAGG")&lt;/Q&gt;&lt;R&gt;1&lt;/R&gt;&lt;C&gt;1&lt;/C&gt;&lt;D xsi:type="xsd:double"&gt;1687037.8&lt;/D&gt;&lt;/FQL&gt;&lt;FQL&gt;&lt;Q&gt;ENZL^FREF_MARKET_VALUE_COMPANY(0,,,USD,,0,,"LEGACY")&lt;/Q&gt;&lt;R&gt;1&lt;/R&gt;&lt;C&gt;1&lt;/C&gt;&lt;D xsi:type="xsd:double"&gt;86.3025&lt;/D&gt;&lt;/FQL&gt;&lt;FQL&gt;&lt;Q&gt;FC0000NZ^FMA_MCAP(0,,,USD,"PORTAGG")&lt;/Q&gt;&lt;R&gt;1&lt;/R&gt;&lt;C&gt;1&lt;/C&gt;&lt;D xsi:type="xsd:double"&gt;92717.805&lt;/D&gt;&lt;/FQL&gt;&lt;FQL&gt;&lt;Q&gt;NQG00809^FG_COMPANY_NAME&lt;/Q&gt;&lt;R&gt;1&lt;/R&gt;&lt;C&gt;1&lt;/C&gt;&lt;D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DUMMY^ECON_EXPR_DATA('FDS_ECON[NTCPMIMFGSA@IT]',,,M)&lt;/Q&gt;&lt;R&gt;0&lt;/R&gt;&lt;C&gt;0&lt;/C&gt;&lt;/FQL&gt;&lt;FQL&gt;&lt;Q&gt;DUMMY^ECON_EXPR_DATA('FDS_ECON[]',,,M)&lt;/Q&gt;&lt;R&gt;0&lt;/R&gt;&lt;C&gt;0&lt;/C&gt;&lt;/FQL&gt;&lt;FQL&gt;&lt;Q&gt;DUMMY^ECON_EXPR_DATA('FDS_ECON[NTCPMIMFGSA@NL]',,,M)&lt;/Q&gt;&lt;R&gt;0&lt;/R&gt;&lt;C&gt;0&lt;/C&gt;&lt;/FQL&gt;&lt;FQL&gt;&lt;Q&gt;DUMMY^ECON_EXPR_DATA('FDS_ECON[NTCPMIMFGSA@FR]',,,M)&lt;/Q&gt;&lt;R&gt;1&lt;/R&gt;&lt;C&gt;1&lt;/C&gt;&lt;D xsi:type="xsd:double"&gt;46.653004&lt;/D&gt;&lt;/FQL&gt;&lt;FQL&gt;&lt;Q&gt;DUMMY^ECON_EXPR_DATA('FDS_ECON[NTCPMIMFGMESA@US]',,,M)&lt;/Q&gt;&lt;R&gt;1&lt;/R&gt;&lt;C&gt;1&lt;/C&gt;&lt;D xsi:type="xsd:double"&gt;50.894485&lt;/D&gt;&lt;/FQL&gt;&lt;FQL&gt;&lt;Q&gt;DUMMY^ECON_EXPR_DATA('FDS_ECON[NTCPMIMFGSA@GB]',,,M)&lt;/Q&gt;&lt;R&gt;1&lt;/R&gt;&lt;C&gt;1&lt;/C&gt;&lt;D xsi:type="xsd:double"&gt;51.328297&lt;/D&gt;&lt;/FQL&gt;&lt;FQL&gt;&lt;Q&gt;DUMMY^ECON_EXPR_DATA('FDS_ECON[NTCPMIMFGSA@CH]',,,M)&lt;/Q&gt;&lt;R&gt;0&lt;/R&gt;&lt;C&gt;0&lt;/C&gt;&lt;/FQL&gt;&lt;FQL&gt;&lt;Q&gt;DUMMY^ECON_EXPR_DATA('FDS_ECON[NTCPMIMFGSA@JP]',,,M)&lt;/Q&gt;&lt;R&gt;1&lt;/R&gt;&lt;C&gt;1&lt;/C&gt;&lt;D xsi:type="xsd:double"&gt;50.482227&lt;/D&gt;&lt;/FQL&gt;&lt;FQL&gt;&lt;Q&gt;DUMMY^ECON_EXPR_DATA('FDS_ECON[NTCPMIMFGSA@DE]',,,M)&lt;/Q&gt;&lt;R&gt;1&lt;/R&gt;&lt;C&gt;1&lt;/C&gt;&lt;D xsi:type="xsd:double"&gt;45.432476&lt;/D&gt;&lt;/FQL&gt;&lt;FQL&gt;&lt;Q&gt;DUMMY^ECON_EXPR_DATA('FDS_ECON[NTCPMIMFGSA@CA]',,,M)&lt;/Q&gt;&lt;R&gt;0&lt;/R&gt;&lt;C&gt;0&lt;/C&gt;&lt;/FQL&gt;&lt;FQL&gt;&lt;Q&gt;DUMMY^ECON_EXPR_DATA('FDS_ECON[NTCPMIMFGSA@AU]',,,M)&lt;/Q&gt;&lt;R&gt;1&lt;/R&gt;&lt;C&gt;1&lt;/C&gt;&lt;D xsi:type="xsd:double"&gt;49.59941&lt;/D&gt;&lt;/FQL&gt;&lt;FQL&gt;&lt;Q&gt;DUMMY^ECON_EXPR_DATA('FDS_ECON[NTCPMIMFGSA@NZ]',,,M)&lt;/Q&gt;&lt;R&gt;0&lt;/R&gt;&lt;C&gt;0&lt;/C&gt;&lt;/FQL&gt;&lt;FQL&gt;&lt;Q&gt;DUMMY^ECON_EXPR_DATA('FDS_ECON[NTCPMIMFGSA@EME]',,,M)&lt;/Q&gt;&lt;R&gt;0&lt;/R&gt;&lt;C&gt;0&lt;/C&gt;&lt;/FQL&gt;&lt;FQL&gt;&lt;Q&gt;DUMMY^ECON_EXPR_DATA('FDS_ECON[PMIDMMANHE]',,,M)&lt;/Q&gt;&lt;R&gt;0&lt;/R&gt;&lt;C&gt;0&lt;/C&gt;&lt;/FQL&gt;&lt;FQL&gt;&lt;Q&gt;CAGDPY@US^EE_ACTUAL_ANNUAL(MED,+1)&lt;/Q&gt;&lt;R&gt;1&lt;/R&gt;&lt;C&gt;1&lt;/C&gt;&lt;D xsi:type="xsd:double"&gt;-3&lt;/D&gt;&lt;/FQL&gt;&lt;FQL&gt;&lt;Q&gt;CAGDPY@NZ^EE_ACTUAL_ANNUAL(MED,+1)&lt;/Q&gt;&lt;R&gt;1&lt;/R&gt;&lt;C&gt;1&lt;/C&gt;&lt;D xsi:type="xsd:double"&gt;-6.1&lt;/D&gt;&lt;/FQL&gt;&lt;FQL&gt;&lt;Q&gt;USDITL^FG_PRICE_CHANGE(0,-1AY)&lt;/Q&gt;&lt;R&gt;1&lt;/R&gt;&lt;C&gt;1&lt;/C&gt;&lt;D xsi:type="xsd:double"&gt;-1.7962396&lt;/D&gt;&lt;/FQL&gt;&lt;FQL&gt;&lt;Q&gt;USDANG^FG_PRICE_CHANGE(0,-1AY)&lt;/Q&gt;&lt;R&gt;1&lt;/R&gt;&lt;C&gt;1&lt;/C&gt;&lt;D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xsi:type="xsd:double"&gt;-2.6547313&lt;/D&gt;&lt;/FQL&gt;&lt;FQL&gt;&lt;Q&gt;USDJPY^FG_PRICE_CHANGE(0,-1AY)&lt;/Q&gt;&lt;R&gt;1&lt;/R&gt;&lt;C&gt;1&lt;/C&gt;&lt;D xsi:type="xsd:double"&gt;12.475407&lt;/D&gt;&lt;/FQL&gt;&lt;FQL&gt;&lt;Q&gt;USDCAD^FG_PRICE_CHANGE(0,-1AY)&lt;/Q&gt;&lt;R&gt;1&lt;/R&gt;&lt;C&gt;1&lt;/C&gt;&lt;D xsi:type="xsd:double"&gt;0.28322935&lt;/D&gt;&lt;/FQL&gt;&lt;FQL&gt;&lt;Q&gt;USDNZD^FG_PRICE_CHANGE(0,-1AY)&lt;/Q&gt;&lt;R&gt;1&lt;/R&gt;&lt;C&gt;1&lt;/C&gt;&lt;D xsi:type="xsd:double"&gt;-2.4495482&lt;/D&gt;&lt;/FQL&gt;&lt;FQL&gt;&lt;Q&gt;EWA^JULIAN(FMA_EPS(NTMA,-20AY,0,CY,,"PORTAGG","MEANR").DATES)&lt;/Q&gt;&lt;R&gt;20&lt;/R&gt;&lt;C&gt;1&lt;/C&gt;&lt;D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xsi:type="xsd:double"&gt;0.32547712&lt;/D&gt;&lt;D xsi:type="xsd:double"&gt;-1.8920124&lt;/D&gt;&lt;D xsi:type="xsd:double"&gt;-3.316319&lt;/D&gt;&lt;D xsi:type="xsd:double"&gt;-0.19056797&lt;/D&gt;&lt;D xsi:type="xsd:double"&gt;-2.8051078&lt;/D&gt;&lt;D xsi:type="xsd:double"&gt;-0.5137563&lt;/D&gt;&lt;D xsi:type="xsd:double"&gt;1.8529773&lt;/D&gt;&lt;D xsi:type="xsd:double"&gt;-4.8536777&lt;/D&gt;&lt;D xsi:type="xsd:double"&gt;2.4313211&lt;/D&gt;&lt;D xsi:type="xsd:double"&gt;7.028365&lt;/D&gt;&lt;D xsi:type="xsd:double"&gt;-3.5714328&lt;/D&gt;&lt;D xsi:type="xsd:double"&gt;1.6129017&lt;/D&gt;&lt;D xsi:type="xsd:double"&gt;-0.17637014&lt;/D&gt;&lt;D xsi:type="xsd:double"&gt;-3.1572282&lt;/D&gt;&lt;D xsi:type="xsd:double"&gt;0.84985495&lt;/D&gt;&lt;D xsi:type="xsd:double"&gt;-5.321479&lt;/D&gt;&lt;D xsi:type="xsd:double"&gt;-4.3019533&lt;/D&gt;&lt;D xsi:type="xsd:double"&gt;3.8580775&lt;/D&gt;&lt;D xsi:type="xsd:double"&gt;0.39801598&lt;/D&gt;&lt;D xsi:type="xsd:double"&gt;-3.5153747&lt;/D&gt;&lt;D xsi:type="xsd:double"&gt;-6.2028766&lt;/D&gt;&lt;D xsi:type="xsd:double"&gt;0.2557516&lt;/D&gt;&lt;D xsi:type="xsd:double"&gt;7.325077&lt;/D&gt;&lt;D xsi:type="xsd:double"&gt;2.6485562&lt;/D&gt;&lt;D xsi:type="xsd:double"&gt;-2.2494197&lt;/D&gt;&lt;D xsi:type="xsd:double"&gt;-3.7806869&lt;/D&gt;&lt;D xsi:type="xsd:double"&gt;2.4862885&lt;/D&gt;&lt;D xsi:type="xsd:double"&gt;1.8908262&lt;/D&gt;&lt;D xsi:type="xsd:double"&gt;1.7857194&lt;/D&gt;&lt;D xsi:type="xsd:double"&gt;-5.263156&lt;/D&gt;&lt;D xsi:type="xsd:double"&gt;-0.18155575&lt;/D&gt;&lt;D xsi:type="xsd:double"&gt;4.5285583&lt;/D&gt;&lt;D xsi:type="xsd:double"&gt;6.1608076&lt;/D&gt;&lt;D xsi:type="xsd:double"&gt;-0.622952&lt;/D&gt;&lt;D xsi:type="xsd:double"&gt;4.1570425&lt;/D&gt;&lt;D xsi:type="xsd:double"&gt;4.878056&lt;/D&gt;&lt;D xsi:type="xsd:double"&gt;2.839017&lt;/D&gt;&lt;D xsi:type="xsd:double"&gt;1.8807054&lt;/D&gt;&lt;D xsi:type="xsd:double"&gt;0.67807436&lt;/D&gt;&lt;D xsi:type="xsd:double"&gt;1.6691089&lt;/D&gt;&lt;D xsi:type="xsd:double"&gt;3.3410192&lt;/D&gt;&lt;D xsi:type="xsd:double"&gt;-0.8361161&lt;/D&gt;&lt;D xsi:type="xsd:double"&gt;-3.6537468&lt;/D&gt;&lt;D xsi:type="xsd:double"&gt;-0.118625164&lt;/D&gt;&lt;D xsi:type="xsd:double"&gt;6.2536836&lt;/D&gt;&lt;D xsi:type="xsd:double"&gt;-5.830103&lt;/D&gt;&lt;D xsi:type="xsd:double"&gt;-1.297164&lt;/D&gt;&lt;D xsi:type="xsd:double"&gt;-1.8817246&lt;/D&gt;&lt;D xsi:type="xsd:double"&gt;-1.3394177&lt;/D&gt;&lt;D xsi:type="xsd:double"&gt;-1.4758289&lt;/D&gt;&lt;D xsi:type="xsd:double"&gt;5.9652567&lt;/D&gt;&lt;D xsi:type="xsd:double"&gt;-1.4228284&lt;/D&gt;&lt;D xsi:type="xsd:double"&gt;2.9808521&lt;/D&gt;&lt;D xsi:type="xsd:double"&gt;-10.542351&lt;/D&gt;&lt;D xsi:type="xsd:double"&gt;-0.6812036&lt;/D&gt;&lt;D xsi:type="xsd:double"&gt;-3.0971527&lt;/D&gt;&lt;D xsi:type="xsd:double"&gt;5.5948973&lt;/D&gt;&lt;D xsi:type="xsd:double"&gt;1.1401772&lt;/D&gt;&lt;D xsi:type="xsd:double"&gt;0.19893646&lt;/D&gt;&lt;D xsi:type="xsd:double"&gt;6.5850377&lt;/D&gt;&lt;D xsi:type="xsd:double"&gt;-9.407014&lt;/D&gt;&lt;D xsi:type="xsd:double"&gt;9.072518&lt;/D&gt;&lt;D xsi:type="xsd:double"&gt;-5.2853465&lt;/D&gt;&lt;D xsi:type="xsd:double"&gt;-3.0469&lt;/D&gt;&lt;D xsi:type="xsd:double"&gt;3.9901137&lt;/D&gt;&lt;D xsi:type="xsd:double"&gt;7.028866&lt;/D&gt;&lt;D xsi:type="xsd:double"&gt;0.6345153&lt;/D&gt;&lt;D xsi:type="xsd:double"&gt;5.020213&lt;/D&gt;&lt;D xsi:type="xsd:double"&gt;-2.7051747&lt;/D&gt;&lt;D xsi:type="xsd:double"&gt;-5.092156&lt;/D&gt;&lt;D xsi:type="xsd:double"&gt;-15.766949&lt;/D&gt;&lt;D xsi:type="xsd:double"&gt;7.2293878&lt;/D&gt;&lt;D xsi:type="xsd:double"&gt;10.021866&lt;/D&gt;&lt;D xsi:type="xsd:double"&gt;3.2384515&lt;/D&gt;&lt;D xsi:type="xsd:double"&gt;8.979726&lt;/D&gt;&lt;D xsi:type="xsd:double"&gt;5.4046035&lt;/D&gt;&lt;D xsi:type="xsd:double"&gt;-1.0647178&lt;/D&gt;&lt;D xsi:type="xsd:double"&gt;-4.333055&lt;/D&gt;&lt;D xsi:type="xsd:double"&gt;15.186501&lt;/D&gt;&lt;D xsi:type="xsd:double"&gt;3.0528545&lt;/D&gt;&lt;D xsi:type="xsd:double"&gt;2.2361755&lt;/D&gt;&lt;D xsi:type="xsd:double"&gt;3.2686234&lt;/D&gt;&lt;D xsi:type="xsd:double"&gt;6.0447454&lt;/D&gt;&lt;D xsi:type="xsd:double"&gt;4.174137&lt;/D&gt;&lt;D xsi:type="xsd:double"&gt;4.4162035&lt;/D&gt;&lt;D xsi:type="xsd:double"&gt;-2.0414293&lt;/D&gt;&lt;D xsi:type="xsd:double"&gt;4.3318987&lt;/D&gt;&lt;D xsi:type="xsd:double"&gt;-1.0328472&lt;/D&gt;&lt;D xsi:type="xsd:double"&gt;-6.386977&lt;/D&gt;&lt;D xsi:type="xsd:double"&gt;6.822741&lt;/D&gt;&lt;D xsi:type="xsd:double"&gt;-5.948651&lt;/D&gt;&lt;D xsi:type="xsd:double"&gt;6.0512066&lt;/D&gt;&lt;D xsi:type="xsd:double"&gt;-8.892733&lt;/D&gt;&lt;D xsi:type="xsd:double"&gt;-10.400379&lt;/D&gt;&lt;D xsi:type="xsd:double"&gt;2.7234197&lt;/D&gt;&lt;D xsi:type="xsd:double"&gt;-7.567567&lt;/D&gt;&lt;D xsi:type="xsd:double"&gt;1.643002&lt;/D&gt;&lt;D xsi:type="xsd:double"&gt;-14.160574&lt;/D&gt;&lt;D xsi:type="xsd:double"&gt;11.691284&lt;/D&gt;&lt;D xsi:type="xsd:double"&gt;-11.555422&lt;/D&gt;&lt;D xsi:type="xsd:double"&gt;-9.408241&lt;/D&gt;&lt;D xsi:type="xsd:double"&gt;8.110094&lt;/D&gt;&lt;D xsi:type="xsd:double"&gt;13.679576&lt;/D&gt;&lt;D xsi:type="xsd:double"&gt;-2.911818&lt;/D&gt;&lt;D xsi:type="xsd:double"&gt;8.103919&lt;/D&gt;&lt;D xsi:type="xsd:double"&gt;1.05865&lt;/D&gt;&lt;D xsi:type="xsd:double"&gt;0.62288046&lt;/D&gt;&lt;D xsi:type="xsd:double"&gt;4.6989202&lt;/D&gt;&lt;D xsi:type="xsd:double"&gt;-7.7129784&lt;/D&gt;&lt;D xsi:type="xsd:double"&gt;3.1450152&lt;/D&gt;&lt;D xsi:type="xsd:double"&gt;0.95990896&lt;/D&gt;&lt;D xsi:type="xsd:double"&gt;-6.8232656&lt;/D&gt;&lt;D xsi:type="xsd:double"&gt;-1.0504127&lt;/D&gt;&lt;D xsi:type="xsd:double"&gt;-4.5799255&lt;/D&gt;&lt;D xsi:type="xsd:double"&gt;14.462805&lt;/D&gt;&lt;D xsi:type="xsd:double"&gt;12.315154&lt;/D&gt;&lt;D xsi:type="xsd:double"&gt;-5.396509&lt;/D&gt;&lt;D xsi:type="xsd:double"&gt;5.891812&lt;/D&gt;&lt;D xsi:type="xsd:double"&gt;1.0622144&lt;/D&gt;&lt;D xsi:type="xsd:double"&gt;-3.9289296&lt;/D&gt;&lt;D xsi:type="xsd:double"&gt;9.2211485&lt;/D&gt;&lt;/FQL&gt;&lt;FQL&gt;&lt;Q&gt;EWQ^FMA_DIV_YLD(NTMA,-10AY,0,AM,"PORTAGG","MEANR")&lt;/Q&gt;&lt;R&gt;121&lt;/R&gt;&lt;C&gt;1&lt;/C&gt;&lt;D xsi:type="xsd:double"&gt;3.39359337378639&lt;/D&gt;&lt;D xsi:type="xsd:double"&gt;3.44587947002543&lt;/D&gt;&lt;D xsi:type="xsd:double"&gt;3.60011437417528&lt;/D&gt;&lt;D xsi:type="xsd:double"&gt;3.53449264250309&lt;/D&gt;&lt;D xsi:type="xsd:double"&gt;3.56585820246979&lt;/D&gt;&lt;D xsi:type="xsd:double"&gt;3.69761747281395&lt;/D&gt;&lt;D xsi:type="xsd:double"&gt;3.56431452312046&lt;/D&gt;&lt;D xsi:type="xsd:double"&gt;3.63053966972835&lt;/D&gt;&lt;D xsi:type="xsd:double"&gt;3.36958589368047&lt;/D&gt;&lt;D xsi:type="xsd:double"&gt;3.12865411889008&lt;/D&gt;&lt;D xsi:type="xsd:double"&gt;3.19901480716328&lt;/D&gt;&lt;D xsi:type="xsd:double"&gt;3.25019470721028&lt;/D&gt;&lt;D xsi:type="xsd:double"&gt;3.29678485145618&lt;/D&gt;&lt;D xsi:type="xsd:double"&gt;3.45590838943805&lt;/D&gt;&lt;D xsi:type="xsd:double"&gt;3.291572031812&lt;/D&gt;&lt;D xsi:type="xsd:double"&gt;3.61108848162825&lt;/D&gt;&lt;D xsi:type="xsd:double"&gt;3.76040764584429&lt;/D&gt;&lt;D xsi:type="xsd:double"&gt;3.43210607938344&lt;/D&gt;&lt;D xsi:type="xsd:double"&gt;3.39176964451464&lt;/D&gt;&lt;D xsi:type="xsd:double"&gt;3.60193863288813&lt;/D&gt;&lt;D xsi:type="xsd:double"&gt;3.76745889317465&lt;/D&gt;&lt;D xsi:type="xsd:double"&gt;3.82314253795407&lt;/D&gt;&lt;D xsi:type="xsd:double"&gt;3.76061173427166&lt;/D&gt;&lt;D xsi:type="xsd:double"&gt;3.72354967436848&lt;/D&gt;&lt;D xsi:type="xsd:double"&gt;3.6837621936706&lt;/D&gt;&lt;D xsi:type="xsd:double"&gt;3.9079517608912&lt;/D&gt;&lt;D xsi:type="xsd:double"&gt;3.72646040247659&lt;/D&gt;&lt;D xsi:type="xsd:double"&gt;3.74106865472365&lt;/D&gt;&lt;D xsi:type="xsd:double"&gt;3.72463199024037&lt;/D&gt;&lt;D xsi:type="xsd:double"&gt;3.73256533431996&lt;/D&gt;&lt;D xsi:type="xsd:double"&gt;3.67001073071492&lt;/D&gt;&lt;D xsi:type="xsd:double"&gt;3.46627926955841&lt;/D&gt;&lt;D xsi:type="xsd:double"&gt;3.53542239667734&lt;/D&gt;&lt;D xsi:type="xsd:double"&gt;3.51220981378499&lt;/D&gt;&lt;D xsi:type="xsd:double"&gt;3.34878974588245&lt;/D&gt;&lt;D xsi:type="xsd:double"&gt;3.26205326860896&lt;/D&gt;&lt;D xsi:type="xsd:double"&gt;3.25996356409299&lt;/D&gt;&lt;D xsi:type="xsd:double"&gt;3.38892587160361&lt;/D&gt;&lt;D xsi:type="xsd:double"&gt;3.40777580532569&lt;/D&gt;&lt;D xsi:type="xsd:double"&gt;3.42559145894213&lt;/D&gt;&lt;D xsi:type="xsd:double"&gt;3.2946530053581&lt;/D&gt;&lt;D xsi:type="xsd:double"&gt;3.23572559847068&lt;/D&gt;&lt;D xsi:type="xsd:double"&gt;3.30423420163778&lt;/D&gt;&lt;D xsi:type="xsd:double"&gt;3.32111484492617&lt;/D&gt;&lt;D xsi:type="xsd:double"&gt;3.22139255716709&lt;/D&gt;&lt;D xsi:type="xsd:double"&gt;3.36432495116874&lt;/D&gt;&lt;D xsi:type="xsd:double"&gt;3.4649735497601&lt;/D&gt;&lt;D xsi:type="xsd:double"&gt;3.30003068688359&lt;/D&gt;&lt;D xsi:type="xsd:double"&gt;3.40191582795219&lt;/D&gt;&lt;D xsi:type="xsd:double"&gt;3.46150214120478&lt;/D&gt;&lt;D xsi:type="xsd:double"&gt;3.37282465684928&lt;/D&gt;&lt;D xsi:type="xsd:double"&gt;3.45504612316079&lt;/D&gt;&lt;D xsi:type="xsd:double"&gt;3.43057471304561&lt;/D&gt;&lt;D xsi:type="xsd:double"&gt;3.71659490018968&lt;/D&gt;&lt;D xsi:type="xsd:double"&gt;3.79446278583538&lt;/D&gt;&lt;D xsi:type="xsd:double"&gt;4.00551852013093&lt;/D&gt;&lt;D xsi:type="xsd:double"&gt;3.79568933463754&lt;/D&gt;&lt;D xsi:type="xsd:double"&gt;3.63806080754626&lt;/D&gt;&lt;D xsi:type="xsd:double"&gt;3.60714051352918&lt;/D&gt;&lt;D xsi:type="xsd:double"&gt;3.46884743174883&lt;/D&gt;&lt;D xsi:type="xsd:double"&gt;3.72724093589846&lt;/D&gt;&lt;D xsi:type="xsd:double"&gt;3.5258989526078&lt;/D&gt;&lt;D xsi:type="xsd:double"&gt;3.55953688305894&lt;/D&gt;&lt;D xsi:type="xsd:double"&gt;3.60141430704515&lt;/D&gt;&lt;D xsi:type="xsd:double"&gt;3.49087482827431&lt;/D&gt;&lt;D xsi:type="xsd:double"&gt;3.45096996139151&lt;/D&gt;&lt;D xsi:type="xsd:double"&gt;3.37893160974465&lt;/D&gt;&lt;D xsi:type="xsd:double"&gt;3.35245756834803&lt;/D&gt;&lt;D xsi:type="xsd:double"&gt;3.4330016179014&lt;/D&gt;&lt;D xsi:type="xsd:double"&gt;3.72782087479976&lt;/D&gt;&lt;D xsi:type="xsd:double"&gt;4.30607543948277&lt;/D&gt;&lt;D xsi:type="xsd:double"&gt;3.54312790782791&lt;/D&gt;&lt;D xsi:type="xsd:double"&gt;3.3247358146188&lt;/D&gt;&lt;D xsi:type="xsd:double"&gt;3.15997145716439&lt;/D&gt;&lt;D xsi:type="xsd:double"&gt;3.23491884614065&lt;/D&gt;&lt;D xsi:type="xsd:double"&gt;3.14802506993395&lt;/D&gt;&lt;D xsi:type="xsd:double"&gt;3.28898769296717&lt;/D&gt;&lt;D xsi:type="xsd:double"&gt;3.44528026932278&lt;/D&gt;&lt;D xsi:type="xsd:double"&gt;2.9069512262158&lt;/D&gt;&lt;D xsi:type="xsd:double"&gt;2.93955435270377&lt;/D&gt;&lt;D xsi:type="xsd:double"&gt;3.02601494764651&lt;/D&gt;&lt;D xsi:type="xsd:double"&gt;2.88006277519383&lt;/D&gt;&lt;D xsi:type="xsd:double"&gt;2.7579355960171&lt;/D&gt;&lt;D xsi:type="xsd:double"&gt;2.70594869243793&lt;/D&gt;&lt;D xsi:type="xsd:double"&gt;2.66882638839735&lt;/D&gt;&lt;D xsi:type="xsd:double"&gt;2.71085713233112&lt;/D&gt;&lt;D xsi:type="xsd:double"&gt;2.71441558918384&lt;/D&gt;&lt;D xsi:type="xsd:double"&gt;2.7574410398847&lt;/D&gt;&lt;D xsi:type="xsd:double"&gt;2.86208998931658&lt;/D&gt;&lt;D xsi:type="xsd:double"&gt;2.7856432323528&lt;/D&gt;&lt;D xsi:type="xsd:double"&gt;2.89026023620957&lt;/D&gt;&lt;D xsi:type="xsd:double"&gt;2.7387953498537&lt;/D&gt;&lt;D xsi:type="xsd:double"&gt;2.8604089011345&lt;/D&gt;&lt;D xsi:type="xsd:double"&gt;3.08298630648192&lt;/D&gt;&lt;D xsi:type="xsd:double"&gt;3.08776200901209&lt;/D&gt;&lt;D xsi:type="xsd:double"&gt;3.14918620428629&lt;/D&gt;&lt;D xsi:type="xsd:double"&gt;3.21467183215228&lt;/D&gt;&lt;D xsi:type="xsd:double"&gt;3.54005705684578&lt;/D&gt;&lt;D xsi:type="xsd:double"&gt;3.28559973068363&lt;/D&gt;&lt;D xsi:type="xsd:double"&gt;3.5103686384899&lt;/D&gt;&lt;D xsi:type="xsd:double"&gt;3.77229923365667&lt;/D&gt;&lt;D xsi:type="xsd:double"&gt;3.51048981532136&lt;/D&gt;&lt;D xsi:type="xsd:double"&gt;3.26540840477694&lt;/D&gt;&lt;D xsi:type="xsd:double"&gt;3.38079486625485&lt;/D&gt;&lt;D xsi:type="xsd:double"&gt;3.11729794581202&lt;/D&gt;&lt;D xsi:type="xsd:double"&gt;3.15712768720056&lt;/D&gt;&lt;D xsi:type="xsd:double"&gt;3.17295241079551&lt;/D&gt;&lt;D xsi:type="xsd:double"&gt;3.11736704463588&lt;/D&gt;&lt;D xsi:type="xsd:double"&gt;3.35518330750327&lt;/D&gt;&lt;D xsi:type="xsd:double"&gt;3.22608407133038&lt;/D&gt;&lt;D xsi:type="xsd:double"&gt;3.2263959636555&lt;/D&gt;&lt;D xsi:type="xsd:double"&gt;3.33038840518653&lt;/D&gt;&lt;D xsi:type="xsd:double"&gt;3.42144306544155&lt;/D&gt;&lt;D xsi:type="xsd:double"&gt;3.54509130296987&lt;/D&gt;&lt;D xsi:type="xsd:double"&gt;3.34225530520006&lt;/D&gt;&lt;D xsi:type="xsd:double"&gt;3.23038691254293&lt;/D&gt;&lt;D xsi:type="xsd:double"&gt;3.1720993001125&lt;/D&gt;&lt;D xsi:type="xsd:double"&gt;3.13245542886384&lt;/D&gt;&lt;D xsi:type="xsd:double"&gt;3.0531297300006&lt;/D&gt;&lt;D xsi:type="xsd:double"&gt;3.14682611644802&lt;/D&gt;&lt;D xsi:type="xsd:double"&gt;3.1887245822556&lt;/D&gt;&lt;/FQL&gt;&lt;FQL&gt;&lt;Q&gt;QQQ^FMA_PE(NTMA,-10AY,0,AM,"PORTAGG","MEANR")&lt;/Q&gt;&lt;R&gt;121&lt;/R&gt;&lt;C&gt;1&lt;/C&gt;&lt;D xsi:type="xsd:double"&gt;17.1885584047914&lt;/D&gt;&lt;D xsi:type="xsd:double"&gt;17.4789277366458&lt;/D&gt;&lt;D xsi:type="xsd:double"&gt;17.2212957126412&lt;/D&gt;&lt;D xsi:type="xsd:double"&gt;17.8774265439494&lt;/D&gt;&lt;D xsi:type="xsd:double"&gt;17.4677204030199&lt;/D&gt;&lt;D xsi:type="xsd:double"&gt;17.6885889608936&lt;/D&gt;&lt;D xsi:type="xsd:double"&gt;18.3086652065781&lt;/D&gt;&lt;D xsi:type="xsd:double"&gt;17.4439790635812&lt;/D&gt;&lt;D xsi:type="xsd:double"&gt;16.9367245315482&lt;/D&gt;&lt;D xsi:type="xsd:double"&gt;18.0987091619455&lt;/D&gt;&lt;D xsi:type="xsd:double"&gt;17.6798881273489&lt;/D&gt;&lt;D xsi:type="xsd:double"&gt;17.8210248117624&lt;/D&gt;&lt;D xsi:type="xsd:double"&gt;18.0168586017461&lt;/D&gt;&lt;D xsi:type="xsd:double"&gt;17.4863357511584&lt;/D&gt;&lt;D xsi:type="xsd:double"&gt;18.6258597243979&lt;/D&gt;&lt;D xsi:type="xsd:double"&gt;17.2803696461137&lt;/D&gt;&lt;D xsi:type="xsd:double"&gt;16.8116582233009&lt;/D&gt;&lt;D xsi:type="xsd:double"&gt;18.5452036629595&lt;/D&gt;&lt;D xsi:type="xsd:double"&gt;18.6702024983941&lt;/D&gt;&lt;D xsi:type="xsd:double"&gt;18.4588215357575&lt;/D&gt;&lt;D xsi:type="xsd:double"&gt;17.3170674814134&lt;/D&gt;&lt;D xsi:type="xsd:double"&gt;16.8542378058808&lt;/D&gt;&lt;D xsi:type="xsd:double"&gt;17.8971881464719&lt;/D&gt;&lt;D xsi:type="xsd:double"&gt;17.4707196772289&lt;/D&gt;&lt;D xsi:type="xsd:double"&gt;18.0299239710819&lt;/D&gt;&lt;D xsi:type="xsd:double"&gt;17.6101070744047&lt;/D&gt;&lt;D xsi:type="xsd:double"&gt;18.6503515019565&lt;/D&gt;&lt;D xsi:type="xsd:double"&gt;18.5027139618188&lt;/D&gt;&lt;D xsi:type="xsd:double"&gt;18.6686139794025&lt;/D&gt;&lt;D xsi:type="xsd:double"&gt;18.1479464629767&lt;/D&gt;&lt;D xsi:type="xsd:double"&gt;18.035569103604&lt;/D&gt;&lt;D xsi:type="xsd:double"&gt;18.0470918716454&lt;/D&gt;&lt;D xsi:type="xsd:double"&gt;19.1181852728181&lt;/D&gt;&lt;D xsi:type="xsd:double"&gt;20.0414707039038&lt;/D&gt;&lt;D xsi:type="xsd:double"&gt;20.1485369307087&lt;/D&gt;&lt;D xsi:type="xsd:double"&gt;20.3610006572493&lt;/D&gt;&lt;D xsi:type="xsd:double"&gt;20.9124470287159&lt;/D&gt;&lt;D xsi:type="xsd:double"&gt;20.0519431453177&lt;/D&gt;&lt;D xsi:type="xsd:double"&gt;20.6774624963896&lt;/D&gt;&lt;D xsi:type="xsd:double"&gt;20.7108746205758&lt;/D&gt;&lt;D xsi:type="xsd:double"&gt;20.37612210329&lt;/D&gt;&lt;D xsi:type="xsd:double"&gt;20.8216764830886&lt;/D&gt;&lt;D xsi:type="xsd:double"&gt;20.9143750068727&lt;/D&gt;&lt;D xsi:type="xsd:double"&gt;20.7947525332183&lt;/D&gt;&lt;D xsi:type="xsd:double"&gt;21.7857276711409&lt;/D&gt;&lt;D xsi:type="xsd:double"&gt;20.7809153180452&lt;/D&gt;&lt;D xsi:type="xsd:double"&gt;19.7763057603438&lt;/D&gt;&lt;D xsi:type="xsd:double"&gt;19.3304905058398&lt;/D&gt;&lt;D xsi:type="xsd:double"&gt;20.0614960707973&lt;/D&gt;&lt;D xsi:type="xsd:double"&gt;20.087014612319&lt;/D&gt;&lt;D xsi:type="xsd:double"&gt;20.2355761996586&lt;/D&gt;&lt;D xsi:type="xsd:double"&gt;21.1439522256258&lt;/D&gt;&lt;D xsi:type="xsd:double"&gt;20.8792510819679&lt;/D&gt;&lt;D xsi:type="xsd:double"&gt;18.8292124772494&lt;/D&gt;&lt;D xsi:type="xsd:double"&gt;18.8114498633601&lt;/D&gt;&lt;D xsi:type="xsd:double"&gt;17.1033334043296&lt;/D&gt;&lt;D xsi:type="xsd:double"&gt;19.0814159505369&lt;/D&gt;&lt;D xsi:type="xsd:double"&gt;19.6719211421104&lt;/D&gt;&lt;D xsi:type="xsd:double"&gt;20.3249038810677&lt;/D&gt;&lt;D xsi:type="xsd:double"&gt;21.284881852963&lt;/D&gt;&lt;D xsi:type="xsd:double"&gt;19.3503560143766&lt;/D&gt;&lt;D xsi:type="xsd:double"&gt;20.8118707315187&lt;/D&gt;&lt;D xsi:type="xsd:double"&gt;21.0139009068341&lt;/D&gt;&lt;D xsi:type="xsd:double"&gt;20.4554378513343&lt;/D&gt;&lt;D xsi:type="xsd:double"&gt;20.4354404960158&lt;/D&gt;&lt;D xsi:type="xsd:double"&gt;21.1239565351403&lt;/D&gt;&lt;D xsi:type="xsd:double"&gt;22.0033636281151&lt;/D&gt;&lt;D xsi:type="xsd:double"&gt;22.7334003839279&lt;/D&gt;&lt;D xsi:type="xsd:double"&gt;22.777200936904&lt;/D&gt;&lt;D xsi:type="xsd:double"&gt;21.3634002431728&lt;/D&gt;&lt;D xsi:type="xsd:double"&gt;20.6848443859268&lt;/D&gt;&lt;D xsi:type="xsd:double"&gt;25.2882534030122&lt;/D&gt;&lt;D xsi:type="xsd:double"&gt;27.3863827374721&lt;/D&gt;&lt;D xsi:type="xsd:double"&gt;28.3585599858694&lt;/D&gt;&lt;D xsi:type="xsd:double"&gt;28.9096785265755&lt;/D&gt;&lt;D xsi:type="xsd:double"&gt;31.5519587456558&lt;/D&gt;&lt;D xsi:type="xsd:double"&gt;29.242738369147&lt;/D&gt;&lt;D xsi:type="xsd:double"&gt;27.3491681956232&lt;/D&gt;&lt;D xsi:type="xsd:double"&gt;29.6343385310269&lt;/D&gt;&lt;D xsi:type="xsd:double"&gt;30.0918514845951&lt;/D&gt;&lt;D xsi:type="xsd:double"&gt;28.8909634923666&lt;/D&gt;&lt;D xsi:type="xsd:double"&gt;27.8476226580619&lt;/D&gt;&lt;D xsi:type="xsd:double"&gt;27.975596339282&lt;/D&gt;&lt;D xsi:type="xsd:double"&gt;27.7969176363141&lt;/D&gt;&lt;D xsi:type="xsd:double"&gt;26.9600675910178&lt;/D&gt;&lt;D xsi:type="xsd:double"&gt;28.3378338323752&lt;/D&gt;&lt;D xsi:type="xsd:double"&gt;27.9887797630624&lt;/D&gt;&lt;D xsi:type="xsd:double"&gt;28.6884056007691&lt;/D&gt;&lt;D xsi:type="xsd:double"&gt;26.8767808639492&lt;/D&gt;&lt;D xsi:type="xsd:double"&gt;28.9228227475444&lt;/D&gt;&lt;D xsi:type="xsd:double"&gt;29.0189825801105&lt;/D&gt;&lt;D xsi:type="xsd:double"&gt;29.1673117399636&lt;/D&gt;&lt;D xsi:type="xsd:double"&gt;26.2060106927917&lt;/D&gt;&lt;D xsi:type="xsd:double"&gt;24.7940749786898&lt;/D&gt;&lt;D xsi:type="xsd:double"&gt;25.5937038317838&lt;/D&gt;&lt;D xsi:type="xsd:double"&gt;22.460155339003&lt;/D&gt;&lt;D xsi:type="xsd:double"&gt;21.8191763621371&lt;/D&gt;&lt;D xsi:type="xsd:double"&gt;19.7994457916489&lt;/D&gt;&lt;D xsi:type="xsd:double"&gt;23.0159826618407&lt;/D&gt;&lt;D xsi:type="xsd:double"&gt;21.8184117704497&lt;/D&gt;&lt;D xsi:type="xsd:double"&gt;19.5241373574786&lt;/D&gt;&lt;D xsi:type="xsd:double"&gt;21.0990982285211&lt;/D&gt;&lt;D xsi:type="xsd:double"&gt;22.3438225173909&lt;/D&gt;&lt;D xsi:type="xsd:double"&gt;20.8845994764384&lt;/D&gt;&lt;D xsi:type="xsd:double"&gt;23.4002194958861&lt;/D&gt;&lt;D xsi:type="xsd:double"&gt;23.0997179357423&lt;/D&gt;&lt;D xsi:type="xsd:double"&gt;25.0734269257497&lt;/D&gt;&lt;D xsi:type="xsd:double"&gt;24.597945619426&lt;/D&gt;&lt;D xsi:type="xsd:double"&gt;25.6511922202955&lt;/D&gt;&lt;D xsi:type="xsd:double"&gt;26.7921812331499&lt;/D&gt;&lt;D xsi:type="xsd:double"&gt;25.8523770254118&lt;/D&gt;&lt;D xsi:type="xsd:double"&gt;24.6941769000145&lt;/D&gt;&lt;D xsi:type="xsd:double"&gt;23.1717902415329&lt;/D&gt;&lt;D xsi:type="xsd:double"&gt;22.295188853399&lt;/D&gt;&lt;D xsi:type="xsd:double"&gt;24.2248687743815&lt;/D&gt;&lt;D xsi:type="xsd:double"&gt;25.0896939322298&lt;/D&gt;&lt;D xsi:type="xsd:double"&gt;25.4316377328559&lt;/D&gt;&lt;D xsi:type="xsd:double"&gt;26.2090172659902&lt;/D&gt;&lt;D xsi:type="xsd:double"&gt;26.1887302802726&lt;/D&gt;&lt;D xsi:type="xsd:double"&gt;24.7782572845862&lt;/D&gt;&lt;D xsi:type="xsd:double"&gt;25.7464296072419&lt;/D&gt;&lt;/FQL&gt;&lt;FQL&gt;&lt;Q&gt;EWL^FMA_PE(LTMA,-10AY,0,AM,"PORTAGG","MEANR")&lt;/Q&gt;&lt;R&gt;121&lt;/R&gt;&lt;C&gt;1&lt;/C&gt;&lt;D xsi:type="xsd:double"&gt;17.2291407636119&lt;/D&gt;&lt;D xsi:type="xsd:double"&gt;17.1405487147752&lt;/D&gt;&lt;D xsi:type="xsd:double"&gt;17.0929386902405&lt;/D&gt;&lt;D xsi:type="xsd:double"&gt;17.3539928572813&lt;/D&gt;&lt;D xsi:type="xsd:double"&gt;17.2999707493507&lt;/D&gt;&lt;D xsi:type="xsd:double"&gt;17.3080166035208&lt;/D&gt;&lt;D xsi:type="xsd:double"&gt;17.86211683113&lt;/D&gt;&lt;D xsi:type="xsd:double"&gt;17.2391332882042&lt;/D&gt;&lt;D xsi:type="xsd:double"&gt;16.6929993068285&lt;/D&gt;&lt;D xsi:type="xsd:double"&gt;17.9927049686476&lt;/D&gt;&lt;D xsi:type="xsd:double"&gt;18.0041654324486&lt;/D&gt;&lt;D xsi:type="xsd:double"&gt;18.0797320464797&lt;/D&gt;&lt;D xsi:type="xsd:double"&gt;18.0693604212683&lt;/D&gt;&lt;D xsi:type="xsd:double"&gt;17.6814412646697&lt;/D&gt;&lt;D xsi:type="xsd:double"&gt;18.2155542852859&lt;/D&gt;&lt;D xsi:type="xsd:double"&gt;17.4236415869431&lt;/D&gt;&lt;D xsi:type="xsd:double"&gt;16.9608866391751&lt;/D&gt;&lt;D xsi:type="xsd:double"&gt;17.7635359195173&lt;/D&gt;&lt;D xsi:type="xsd:double"&gt;17.6451575845375&lt;/D&gt;&lt;D xsi:type="xsd:double"&gt;17.3781775117904&lt;/D&gt;&lt;D xsi:type="xsd:double"&gt;16.8363858727615&lt;/D&gt;&lt;D xsi:type="xsd:double"&gt;16.5783891912488&lt;/D&gt;&lt;D xsi:type="xsd:double"&gt;16.654982261016&lt;/D&gt;&lt;D xsi:type="xsd:double"&gt;16.824160045369&lt;/D&gt;&lt;D xsi:type="xsd:double"&gt;17.135778287939&lt;/D&gt;&lt;D xsi:type="xsd:double"&gt;17.1166451542298&lt;/D&gt;&lt;D xsi:type="xsd:double"&gt;17.5095143018059&lt;/D&gt;&lt;D xsi:type="xsd:double"&gt;17.8477824476703&lt;/D&gt;&lt;D xsi:type="xsd:double"&gt;18.0270248722881&lt;/D&gt;&lt;D xsi:type="xsd:double"&gt;17.6156546769258&lt;/D&gt;&lt;D xsi:type="xsd:double"&gt;17.4991138636389&lt;/D&gt;&lt;D xsi:type="xsd:double"&gt;18.2312249975706&lt;/D&gt;&lt;D xsi:type="xsd:double"&gt;18.475934345828&lt;/D&gt;&lt;D xsi:type="xsd:double"&gt;19.6747100975888&lt;/D&gt;&lt;D xsi:type="xsd:double"&gt;19.4836656134011&lt;/D&gt;&lt;D xsi:type="xsd:double"&gt;19.4973317145334&lt;/D&gt;&lt;D xsi:type="xsd:double"&gt;19.519142762937&lt;/D&gt;&lt;D xsi:type="xsd:double"&gt;19.3423476611755&lt;/D&gt;&lt;D xsi:type="xsd:double"&gt;19.3498522025176&lt;/D&gt;&lt;D xsi:type="xsd:double"&gt;19.0963942199313&lt;/D&gt;&lt;D xsi:type="xsd:double"&gt;19.4599988337422&lt;/D&gt;&lt;D xsi:type="xsd:double"&gt;20.2673218313071&lt;/D&gt;&lt;D xsi:type="xsd:double"&gt;20.4609574665676&lt;/D&gt;&lt;D xsi:type="xsd:double"&gt;20.7340196335678&lt;/D&gt;&lt;D xsi:type="xsd:double"&gt;21.8075893787204&lt;/D&gt;&lt;D xsi:type="xsd:double"&gt;21.2302793261804&lt;/D&gt;&lt;D xsi:type="xsd:double"&gt;20.7201011040339&lt;/D&gt;&lt;D xsi:type="xsd:double"&gt;20.3109973029499&lt;/D&gt;&lt;D xsi:type="xsd:double"&gt;19.6352206315947&lt;/D&gt;&lt;D xsi:type="xsd:double"&gt;19.276078670819&lt;/D&gt;&lt;D xsi:type="xsd:double"&gt;19.2873125729907&lt;/D&gt;&lt;D xsi:type="xsd:double"&gt;18.7977019411547&lt;/D&gt;&lt;D xsi:type="xsd:double"&gt;18.5872699523067&lt;/D&gt;&lt;D xsi:type="xsd:double"&gt;17.9313759114278&lt;/D&gt;&lt;D xsi:type="xsd:double"&gt;17.7037866596995&lt;/D&gt;&lt;D xsi:type="xsd:double"&gt;16.1867705047708&lt;/D&gt;&lt;D xsi:type="xsd:double"&gt;17.5859729363534&lt;/D&gt;&lt;D xsi:type="xsd:double"&gt;18.3536329338024&lt;/D&gt;&lt;D xsi:type="xsd:double"&gt;18.2760040041127&lt;/D&gt;&lt;D xsi:type="xsd:double"&gt;18.2944232236495&lt;/D&gt;&lt;D xsi:type="xsd:double"&gt;18.0480416723578&lt;/D&gt;&lt;D xsi:type="xsd:double"&gt;18.3689302500905&lt;/D&gt;&lt;D xsi:type="xsd:double"&gt;18.330145434028&lt;/D&gt;&lt;D xsi:type="xsd:double"&gt;18.2372817421703&lt;/D&gt;&lt;D xsi:type="xsd:double"&gt;18.4449217329299&lt;/D&gt;&lt;D xsi:type="xsd:double"&gt;18.7014370567458&lt;/D&gt;&lt;D xsi:type="xsd:double"&gt;19.0487546820496&lt;/D&gt;&lt;D xsi:type="xsd:double"&gt;19.6199312565469&lt;/D&gt;&lt;D xsi:type="xsd:double"&gt;19.6783186172664&lt;/D&gt;&lt;D xsi:type="xsd:double"&gt;18.0103108276406&lt;/D&gt;&lt;D xsi:type="xsd:double"&gt;17.8093253926501&lt;/D&gt;&lt;D xsi:type="xsd:double"&gt;18.5487064366282&lt;/D&gt;&lt;D xsi:type="xsd:double"&gt;19.1148205219934&lt;/D&gt;&lt;D xsi:type="xsd:double"&gt;19.5433492880116&lt;/D&gt;&lt;D xsi:type="xsd:double"&gt;19.9094463440796&lt;/D&gt;&lt;D xsi:type="xsd:double"&gt;20.6226992913485&lt;/D&gt;&lt;D xsi:type="xsd:double"&gt;20.7175176002774&lt;/D&gt;&lt;D xsi:type="xsd:double"&gt;19.6743356945416&lt;/D&gt;&lt;D xsi:type="xsd:double"&gt;21.3471541780448&lt;/D&gt;&lt;D xsi:type="xsd:double"&gt;22.0192335076548&lt;/D&gt;&lt;D xsi:type="xsd:double"&gt;21.0579697707616&lt;/D&gt;&lt;D xsi:type="xsd:double"&gt;20.4823143891709&lt;/D&gt;&lt;D xsi:type="xsd:double"&gt;20.4256822136813&lt;/D&gt;&lt;D xsi:type="xsd:double"&gt;20.1108644172687&lt;/D&gt;&lt;D xsi:type="xsd:double"&gt;20.6227092593136&lt;/D&gt;&lt;D xsi:type="xsd:double"&gt;20.8571106089522&lt;/D&gt;&lt;D xsi:type="xsd:double"&gt;20.9458493427101&lt;/D&gt;&lt;D xsi:type="xsd:double"&gt;21.1763545184337&lt;/D&gt;&lt;D xsi:type="xsd:double"&gt;20.0864072663652&lt;/D&gt;&lt;D xsi:type="xsd:double"&gt;20.6505894312832&lt;/D&gt;&lt;D xsi:type="xsd:double"&gt;20.3294625703009&lt;/D&gt;&lt;D xsi:type="xsd:double"&gt;21.6670376324775&lt;/D&gt;&lt;D xsi:type="xsd:double"&gt;20.0401824258787&lt;/D&gt;&lt;D xsi:type="xsd:double"&gt;18.497536832785&lt;/D&gt;&lt;D xsi:type="xsd:double"&gt;18.5854857146333&lt;/D&gt;&lt;D xsi:type="xsd:double"&gt;18.5252337933173&lt;/D&gt;&lt;D xsi:type="xsd:double"&gt;18.222977537241&lt;/D&gt;&lt;D xsi:type="xsd:double"&gt;17.5730319671738&lt;/D&gt;&lt;D xsi:type="xsd:double"&gt;18.3072357900102&lt;/D&gt;&lt;D xsi:type="xsd:double"&gt;17.835262794357&lt;/D&gt;&lt;D xsi:type="xsd:double"&gt;16.9641631423621&lt;/D&gt;&lt;D xsi:type="xsd:double"&gt;17.8147197051466&lt;/D&gt;&lt;D xsi:type="xsd:double"&gt;19.6303206207619&lt;/D&gt;&lt;D xsi:type="xsd:double"&gt;20.0573075428435&lt;/D&gt;&lt;D xsi:type="xsd:double"&gt;20.8484576427988&lt;/D&gt;&lt;D xsi:type="xsd:double"&gt;20.6998200244037&lt;/D&gt;&lt;D xsi:type="xsd:double"&gt;20.4309085273748&lt;/D&gt;&lt;D xsi:type="xsd:double"&gt;20.3020936492928&lt;/D&gt;&lt;D xsi:type="xsd:double"&gt;19.7305853831942&lt;/D&gt;&lt;D xsi:type="xsd:double"&gt;19.2961850249866&lt;/D&gt;&lt;D xsi:type="xsd:double"&gt;19.2562558656981&lt;/D&gt;&lt;D xsi:type="xsd:double"&gt;18.9551236461445&lt;/D&gt;&lt;D xsi:type="xsd:double"&gt;18.4173647036501&lt;/D&gt;&lt;D xsi:type="xsd:double"&gt;17.468010485593&lt;/D&gt;&lt;D xsi:type="xsd:double"&gt;18.0840811616244&lt;/D&gt;&lt;D xsi:type="xsd:double"&gt;18.4310130999125&lt;/D&gt;&lt;D xsi:type="xsd:double"&gt;18.6760529985481&lt;/D&gt;&lt;D xsi:type="xsd:double"&gt;19.1942433043024&lt;/D&gt;&lt;D xsi:type="xsd:double"&gt;19.1652790583609&lt;/D&gt;&lt;D xsi:type="xsd:double"&gt;18.7388769447232&lt;/D&gt;&lt;D xsi:type="xsd:double"&gt;18.7541617245975&lt;/D&gt;&lt;/FQL&gt;&lt;FQL&gt;&lt;Q&gt;WL-FDS^FG_PRICE(0)/MAX(FG_PRICE(0,-1AY))&lt;/Q&gt;&lt;R&gt;1&lt;/R&gt;&lt;C&gt;1&lt;/C&gt;&lt;D xsi:type="xsd:double"&gt;0.709588682211161&lt;/D&gt;&lt;/FQL&gt;&lt;FQL&gt;&lt;Q&gt;NI-FDS^FG_PRICE(0)/MAX(FG_PRICE(0,-1AY))&lt;/Q&gt;&lt;R&gt;1&lt;/R&gt;&lt;C&gt;1&lt;/C&gt;&lt;D xsi:type="xsd:double"&gt;0.856957649092481&lt;/D&gt;&lt;/FQL&gt;&lt;FQL&gt;&lt;Q&gt;CPALM-FDS^FG_PRICE(0)/MAX(FG_PRICE(0,-1AY))&lt;/Q&gt;&lt;R&gt;1&lt;/R&gt;&lt;C&gt;1&lt;/C&gt;&lt;D xsi:type="xsd:double"&gt;0.888621969862415&lt;/D&gt;&lt;/FQL&gt;&lt;FQL&gt;&lt;Q&gt;BRENT-FDS^FG_PRICE(0)/MAX(FG_PRICE(0,-1AY))&lt;/Q&gt;&lt;R&gt;1&lt;/R&gt;&lt;C&gt;1&lt;/C&gt;&lt;D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xsi:type="xsd:double"&gt;0.815899001109878&lt;/D&gt;&lt;/FQL&gt;&lt;FQL&gt;&lt;Q&gt;FC0000US^FG_PRICE(0)&lt;/Q&gt;&lt;R&gt;1&lt;/R&gt;&lt;C&gt;1&lt;/C&gt;&lt;D xsi:type="xsd:double"&gt;395.7852&lt;/D&gt;&lt;/FQL&gt;&lt;FQL&gt;&lt;Q&gt;FC0000GB^FG_PRICE(0)&lt;/Q&gt;&lt;R&gt;1&lt;/R&gt;&lt;C&gt;1&lt;/C&gt;&lt;D xsi:type="xsd:double"&gt;129.11266&lt;/D&gt;&lt;/FQL&gt;&lt;FQL&gt;&lt;Q&gt;FC0000CA^FG_PRICE(0)&lt;/Q&gt;&lt;R&gt;1&lt;/R&gt;&lt;C&gt;1&lt;/C&gt;&lt;D xsi:type="xsd:double"&gt;293.96243&lt;/D&gt;&lt;/FQL&gt;&lt;FQL&gt;&lt;Q&gt;EWD^FG_PRICE_MAVG(0,,,,60)&lt;/Q&gt;&lt;R&gt;1&lt;/R&gt;&lt;C&gt;1&lt;/C&gt;&lt;D xsi:type="xsd:double"&gt;40.205917&lt;/D&gt;&lt;/FQL&gt;&lt;FQL&gt;&lt;Q&gt;QQQ^FG_PRICE_MAVG(0,,,,60)&lt;/Q&gt;&lt;R&gt;1&lt;/R&gt;&lt;C&gt;1&lt;/C&gt;&lt;D xsi:type="xsd:double"&gt;440.25916&lt;/D&gt;&lt;/FQL&gt;&lt;FQL&gt;&lt;Q&gt;EWG^FG_PRICE_MAVG(0,,,,60)&lt;/Q&gt;&lt;R&gt;1&lt;/R&gt;&lt;C&gt;1&lt;/C&gt;&lt;D xsi:type="xsd:double"&gt;31.349833&lt;/D&gt;&lt;/FQL&gt;&lt;FQL&gt;&lt;Q&gt;EWD^FG_COMPANY_NAME&lt;/Q&gt;&lt;R&gt;1&lt;/R&gt;&lt;C&gt;1&lt;/C&gt;&lt;D xsi:type="xsd:string"&gt;iShares MSCI Sweden ETF&lt;/D&gt;&lt;/FQL&gt;&lt;FQL&gt;&lt;Q&gt;EWI^FG_COMPANY_NAME&lt;/Q&gt;&lt;R&gt;1&lt;/R&gt;&lt;C&gt;1&lt;/C&gt;&lt;D xsi:type="xsd:string"&gt;iShares MSCI Italy ETF&lt;/D&gt;&lt;/FQL&gt;&lt;FQL&gt;&lt;Q&gt;FXI^FG_TOTAL_RETURNC(0,-6AM)&lt;/Q&gt;&lt;R&gt;1&lt;/R&gt;&lt;C&gt;1&lt;/C&gt;&lt;D xsi:type="xsd:double"&gt;8.648944&lt;/D&gt;&lt;/FQL&gt;&lt;FQL&gt;&lt;Q&gt;EWJ^P_PRICE(0)/P_PRICE_LOW_PR(0,,,,,,"PRICE","INTRA","52W")-1&lt;/Q&gt;&lt;R&gt;1&lt;/R&gt;&lt;C&gt;1&lt;/C&gt;&lt;D xsi:type="xsd:double"&gt;0.20576918&lt;/D&gt;&lt;/FQL&gt;&lt;FQL&gt;&lt;Q&gt;URTH^FMA_PCT_ABOVE_MAVG(200,0,,,,"PORTAGG")&lt;/Q&gt;&lt;R&gt;1&lt;/R&gt;&lt;C&gt;1&lt;/C&gt;&lt;D xsi:type="xsd:double"&gt;64.8630136986301&lt;/D&gt;&lt;/FQL&gt;&lt;FQL&gt;&lt;Q&gt;VGK^PERCENT_CHANGE(FMA_EPS(+1,0,,,,"PORTAGG","MEAN"),FMA_EPS(+1,-3AM,,,,"PORTAGG","MEAN"))&lt;/Q&gt;&lt;R&gt;1&lt;/R&gt;&lt;C&gt;1&lt;/C&gt;&lt;D xsi:type="xsd:double"&gt;-1.87391517084022&lt;/D&gt;&lt;/FQL&gt;&lt;FQL&gt;&lt;Q&gt;EWD^FG_TOTAL_RETURNC(0,-3AM)&lt;/Q&gt;&lt;R&gt;1&lt;/R&gt;&lt;C&gt;1&lt;/C&gt;&lt;D xsi:type="xsd:double"&gt;6.044507&lt;/D&gt;&lt;/FQL&gt;&lt;FQL&gt;&lt;Q&gt;EWQ^P_PRICE(0)/P_PRICE_HIGH_PR(0,,,,,,"PRICE","INTRA","52W")&lt;/Q&gt;&lt;R&gt;1&lt;/R&gt;&lt;C&gt;1&lt;/C&gt;&lt;D xsi:type="xsd:double"&gt;0.9788733&lt;/D&gt;&lt;/FQL&gt;&lt;FQL&gt;&lt;Q&gt;QQQ^FG_TOTAL_RETURNC(0,-12AM)&lt;/Q&gt;&lt;R&gt;1&lt;/R&gt;&lt;C&gt;1&lt;/C&gt;&lt;D xsi:type="xsd:double"&gt;30.380201&lt;/D&gt;&lt;/FQL&gt;&lt;FQL&gt;&lt;Q&gt;EWU^PERCENT_CHANGE(FMA_EPS(+1,0,,,,"PORTAGG","MEAN"),FMA_EPS(+1,-1AM,,,,"PORTAGG","MEAN"))&lt;/Q&gt;&lt;R&gt;1&lt;/R&gt;&lt;C&gt;1&lt;/C&gt;&lt;D xsi:type="xsd:double"&gt;2.59594154351481&lt;/D&gt;&lt;/FQL&gt;&lt;FQL&gt;&lt;Q&gt;EWJ^FG_TOTAL_RETURNC(0,-1AM)&lt;/Q&gt;&lt;R&gt;1&lt;/R&gt;&lt;C&gt;1&lt;/C&gt;&lt;D xsi:type="xsd:double"&gt;2.5271416&lt;/D&gt;&lt;/FQL&gt;&lt;FQL&gt;&lt;Q&gt;EWC^FG_TOTAL_RETURNC(0,-6AM)&lt;/Q&gt;&lt;R&gt;1&lt;/R&gt;&lt;C&gt;1&lt;/C&gt;&lt;D xsi:type="xsd:double"&gt;10.86706&lt;/D&gt;&lt;/FQL&gt;&lt;FQL&gt;&lt;Q&gt;ENZL^P_PRICE(0)/P_PRICE_LOW_PR(0,,,,,,"PRICE","INTRA","52W")-1&lt;/Q&gt;&lt;R&gt;1&lt;/R&gt;&lt;C&gt;1&lt;/C&gt;&lt;D xsi:type="xsd:double"&gt;0.13697016&lt;/D&gt;&lt;/FQL&gt;&lt;FQL&gt;&lt;Q&gt;EWJ^FMA_COS_UP("EPS","1M",+1,0,,,"PORTAGG","MEANR")&lt;/Q&gt;&lt;R&gt;1&lt;/R&gt;&lt;C&gt;1&lt;/C&gt;&lt;D xsi:type="xsd:double"&gt;128&lt;/D&gt;&lt;/FQL&gt;&lt;FQL&gt;&lt;Q&gt;EWN^SIZE(FG_CONSTITUENTS)&lt;/Q&gt;&lt;R&gt;1&lt;/R&gt;&lt;C&gt;1&lt;/C&gt;&lt;D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xsi:type="xsd:double"&gt;13&lt;/D&gt;&lt;/FQL&gt;&lt;FQL&gt;&lt;Q&gt;ENZL^FMA_COS_UP("EPS","1M",+1,0,,,"PORTAGG","MEANR")&lt;/Q&gt;&lt;R&gt;1&lt;/R&gt;&lt;C&gt;1&lt;/C&gt;&lt;D xsi:type="xsd:double"&gt;4&lt;/D&gt;&lt;/FQL&gt;&lt;FQL&gt;&lt;Q&gt;EWN^FMA_RBICS_REV_CURRENT(30, LOC, "PORTAGG")&lt;/Q&gt;&lt;R&gt;1&lt;/R&gt;&lt;C&gt;1&lt;/C&gt;&lt;D xsi:type="xsd:double"&gt;25.1822237253434&lt;/D&gt;&lt;/FQL&gt;&lt;FQL&gt;&lt;Q&gt;QQQ^FG_ROE(0)&lt;/Q&gt;&lt;R&gt;1&lt;/R&gt;&lt;C&gt;1&lt;/C&gt;&lt;D xsi:type="xsd:double"&gt;22.7175020821369&lt;/D&gt;&lt;/FQL&gt;&lt;FQL&gt;&lt;Q&gt;TRYJP10Y-FDS^FG_YIELD_NAME&lt;/Q&gt;&lt;R&gt;1&lt;/R&gt;&lt;C&gt;1&lt;/C&gt;&lt;D xsi:type="xsd:string"&gt;Japan Benchmark Bond - 10 Year&lt;/D&gt;&lt;/FQL&gt;&lt;FQL&gt;&lt;Q&gt;EWA^FG_COMPANY_NAME&lt;/Q&gt;&lt;R&gt;1&lt;/R&gt;&lt;C&gt;1&lt;/C&gt;&lt;D xsi:type="xsd:string"&gt;iShares MSCI Australia ETF&lt;/D&gt;&lt;/FQL&gt;&lt;FQL&gt;&lt;Q&gt;REFFFUND-FDS^PROPER_NAME(0,,,"SECURITY","NAME")&lt;/Q&gt;&lt;R&gt;1&lt;/R&gt;&lt;C&gt;1&lt;/C&gt;&lt;D xsi:type="xsd:string"&gt;US Federal Funds Target Rate&lt;/D&gt;&lt;/FQL&gt;&lt;FQL&gt;&lt;Q&gt;REFCATARG-FDS^(SUBARRAY(NOT_NA(NO_REPEAT_F(FG_YIELD(NOW,-10AY,D))),0,1)-SUBARRAY(NOT_NA(NO_REPEAT_F(FG_YIELD(NOW,-10AY,D))),1,1))*100&lt;/Q&gt;&lt;R&gt;1&lt;/R&gt;&lt;C&gt;1&lt;/C&gt;&lt;D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xsi:type="xsd:double"&gt;25&lt;/D&gt;&lt;/FQL&gt;&lt;FQL&gt;&lt;Q&gt;TRYFR10Y-FDS^PCTCHG(FG_YIELD(0,,,,"YTM"),FG_YIELD(-1AM,,,,"YTM"))&lt;/Q&gt;&lt;R&gt;1&lt;/R&gt;&lt;C&gt;1&lt;/C&gt;&lt;D xsi:type="xsd:double"&gt;2.420678&lt;/D&gt;&lt;/FQL&gt;&lt;FQL&gt;&lt;Q&gt;TRYAU10Y-FDS^PCTCHG(FG_YIELD(0,,,,"YTM"),FG_YIELD(-1AM,,,,"YTM"))&lt;/Q&gt;&lt;R&gt;1&lt;/R&gt;&lt;C&gt;1&lt;/C&gt;&lt;D xsi:type="xsd:double"&gt;-0.27137232&lt;/D&gt;&lt;/FQL&gt;&lt;FQL&gt;&lt;Q&gt;TRYUS10Y-FDS^FG_YIELD_NAME&lt;/Q&gt;&lt;R&gt;1&lt;/R&gt;&lt;C&gt;1&lt;/C&gt;&lt;D xsi:type="xsd:string"&gt;US Benchmark Bond - 10 Year&lt;/D&gt;&lt;/FQL&gt;&lt;FQL&gt;&lt;Q&gt;CC_SE^IMF_IFS_RCPI_Q(0)&lt;/Q&gt;&lt;R&gt;1&lt;/R&gt;&lt;C&gt;1&lt;/C&gt;&lt;D xsi:type="xsd:double"&gt;4.6701536&lt;/D&gt;&lt;/FQL&gt;&lt;FQL&gt;&lt;Q&gt;VWO^FG_PE_NTM(0,,,90,0)&lt;/Q&gt;&lt;R&gt;1&lt;/R&gt;&lt;C&gt;1&lt;/C&gt;&lt;D xsi:type="xsd:double"&gt;12.7459399706105&lt;/D&gt;&lt;/FQL&gt;&lt;FQL&gt;&lt;Q&gt;EWI^JULIAN(FMA_DIV_YLD(NTMA,NOW,NOW,M,"PORTAGG","MEANR").DATES)&lt;/Q&gt;&lt;R&gt;1&lt;/R&gt;&lt;C&gt;1&lt;/C&gt;&lt;D xsi:type="xsd:long"&gt;45442&lt;/D&gt;&lt;/FQL&gt;&lt;FQL&gt;&lt;Q&gt;EWQ^FMA_EVAL_EBITDA(NTMA,0,,,"PORTAGG","MEANR")&lt;/Q&gt;&lt;R&gt;1&lt;/R&gt;&lt;C&gt;1&lt;/C&gt;&lt;D xsi:type="xsd:double"&gt;9.26099906474287&lt;/D&gt;&lt;/FQL&gt;&lt;FQL&gt;&lt;Q&gt;QQQ^FMA_DIV_YLD(NTMA,NOW,NOW,M,"PORTAGG","MEANR")&lt;/Q&gt;&lt;R&gt;1&lt;/R&gt;&lt;C&gt;1&lt;/C&gt;&lt;D xsi:type="xsd:double"&gt;0.896392968215715&lt;/D&gt;&lt;/FQL&gt;&lt;FQL&gt;&lt;Q&gt;EWL^FMA_PE(LTM,0,,,"PORTAGG","MEANR")&lt;/Q&gt;&lt;R&gt;1&lt;/R&gt;&lt;C&gt;1&lt;/C&gt;&lt;D xsi:type="xsd:double"&gt;15.82221236263</t>
        </r>
      </text>
    </comment>
    <comment ref="A2" authorId="0" shapeId="0" xr:uid="{142DE49E-71C5-43DB-BA04-BD9E162690A4}">
      <text>
        <r>
          <rPr>
            <b/>
            <sz val="9"/>
            <color indexed="81"/>
            <rFont val="Tahoma"/>
            <charset val="1"/>
          </rPr>
          <t>5&lt;/D&gt;&lt;/FQL&gt;&lt;FQL&gt;&lt;Q&gt;EWC^FMA_EVAL_EBIT(LTMA,NOW,NOW,M,"PORTAGG","MEANR")&lt;/Q&gt;&lt;R&gt;1&lt;/R&gt;&lt;C&gt;1&lt;/C&gt;&lt;D xsi:type="xsd:double"&gt;16.2118234832117&lt;/D&gt;&lt;/FQL&gt;&lt;FQL&gt;&lt;Q&gt;ENZL^FG_FCF_YIELD_NTM(0)&lt;/Q&gt;&lt;R&gt;1&lt;/R&gt;&lt;C&gt;1&lt;/C&gt;&lt;D xsi:type="xsd:double"&gt;0.488897780712506&lt;/D&gt;&lt;/FQL&gt;&lt;FQL&gt;&lt;Q&gt;EWC^FG_COMPANY_NAME&lt;/Q&gt;&lt;R&gt;1&lt;/R&gt;&lt;C&gt;1&lt;/C&gt;&lt;D xsi:type="xsd:string"&gt;iShares MSCI Canada ETF&lt;/D&gt;&lt;/FQL&gt;&lt;FQL&gt;&lt;Q&gt;EWQ^FG_COMPANY_NAME&lt;/Q&gt;&lt;R&gt;1&lt;/R&gt;&lt;C&gt;1&lt;/C&gt;&lt;D xsi:type="xsd:string"&gt;iShares MSCI France ETF&lt;/D&gt;&lt;/FQL&gt;&lt;FQL&gt;&lt;Q&gt;VGK^FG_TOTAL_RETURNC(0,-3AM)&lt;/Q&gt;&lt;R&gt;1&lt;/R&gt;&lt;C&gt;1&lt;/C&gt;&lt;D xsi:type="xsd:double"&gt;7.693875&lt;/D&gt;&lt;/FQL&gt;&lt;FQL&gt;&lt;Q&gt;QQQ^FG_TOTAL_RETURNC(0,-3AM)&lt;/Q&gt;&lt;R&gt;1&lt;/R&gt;&lt;C&gt;1&lt;/C&gt;&lt;D xsi:type="xsd:double"&gt;2.8020024&lt;/D&gt;&lt;/FQL&gt;&lt;FQL&gt;&lt;Q&gt;VWO^FG_TOTAL_RETURNC(0,-3AM)&lt;/Q&gt;&lt;R&gt;1&lt;/R&gt;&lt;C&gt;1&lt;/C&gt;&lt;D xsi:type="xsd:double"&gt;5.119145&lt;/D&gt;&lt;/FQL&gt;&lt;FQL&gt;&lt;Q&gt;EWQ^FMA_ROE(NTMA,-20AY,NOW,FY,"PORTAGG","MEANR")&lt;/Q&gt;&lt;R&gt;20&lt;/R&gt;&lt;C&gt;1&lt;/C&gt;&lt;D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xsi:type="xsd:double"&gt;8.94223448963437&lt;/D&gt;&lt;D xsi:type="xsd:double"&gt;12.2539555438325&lt;/D&gt;&lt;D xsi:type="xsd:double"&gt;13.1476341644672&lt;/D&gt;&lt;D xsi:type="xsd:double"&gt;13.2209624082426&lt;/D&gt;&lt;/FQL&gt;&lt;FQL&gt;&lt;Q&gt;TRYID10Y-FDS^FG_YIELD(-10AY,0,Y,,"YTM")&lt;/Q&gt;&lt;R&gt;10&lt;/R&gt;&lt;C&gt;1&lt;/C&gt;&lt;D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xsi:type="xsd:double"&gt;5.1912&lt;/D&gt;&lt;/FQL&gt;&lt;FQL&gt;&lt;Q&gt;CAGDPY@IT^EE_ACTUAL_ANNUAL(MED,0)&lt;/Q&gt;&lt;R&gt;1&lt;/R&gt;&lt;C&gt;1&lt;/C&gt;&lt;D xsi:type="xsd:double"&gt;0.508205811941024&lt;/D&gt;&lt;/FQL&gt;&lt;FQL&gt;&lt;Q&gt;CAGDPY@JP^EE_ACTUAL_ANNUAL(MED,0)&lt;/Q&gt;&lt;R&gt;1&lt;/R&gt;&lt;C&gt;1&lt;/C&gt;&lt;D xsi:type="xsd:double"&gt;3.61053955442387&lt;/D&gt;&lt;/FQL&gt;&lt;FQL&gt;&lt;Q&gt;CC_AU^FG_COMPANY_NAME&lt;/Q&gt;&lt;R&gt;1&lt;/R&gt;&lt;C&gt;1&lt;/C&gt;&lt;D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xsi:type="xsd:double"&gt;10.5172&lt;/D&gt;&lt;/FQL&gt;&lt;FQL&gt;&lt;Q&gt;USDCHF^FG_PRICE(0)&lt;/Q&gt;&lt;R&gt;1&lt;/R&gt;&lt;C&gt;1&lt;/C&gt;&lt;D xsi:type="xsd:double"&gt;0.90215&lt;/D&gt;&lt;/FQL&gt;&lt;FQL&gt;&lt;Q&gt;USDUSD^FG_PRICE(0)&lt;/Q&gt;&lt;R&gt;1&lt;/R&gt;&lt;C&gt;1&lt;/C&gt;&lt;D xsi:type="xsd:double"&gt;1&lt;/D&gt;&lt;/FQL&gt;&lt;FQL&gt;&lt;Q&gt;USDEUR^FG_PRICE(0)&lt;/Q&gt;&lt;R&gt;1&lt;/R&gt;&lt;C&gt;1&lt;/C&gt;&lt;D xsi:type="xsd:double"&gt;0.9211496&lt;/D&gt;&lt;/FQL&gt;&lt;FQL&gt;&lt;Q&gt;USDAUD^FG_PRICE(0)&lt;/Q&gt;&lt;R&gt;1&lt;/R&gt;&lt;C&gt;1&lt;/C&gt;&lt;D xsi:type="xsd:double"&gt;1.5036464&lt;/D&gt;&lt;/FQL&gt;&lt;FQL&gt;&lt;Q&gt;EWU^FMA_EPS(NTMA,-20AY,0,CY,,"PORTAGG","MEANR")&lt;/Q&gt;&lt;R&gt;20&lt;/R&gt;&lt;C&gt;1&lt;/C&gt;&lt;D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xsi:type="xsd:double"&gt;2.53165988191107&lt;/D&gt;&lt;D xsi:type="xsd:double"&gt;2.03175158414603&lt;/D&gt;&lt;D xsi:type="xsd:double"&gt;2.71088692776499&lt;/D&gt;&lt;D xsi:type="xsd:double"&gt;3.12397902102839&lt;/D&gt;&lt;D xsi:type="xsd:double"&gt;3.0028044332351&lt;/D&gt;&lt;/FQL&gt;&lt;FQL&gt;&lt;Q&gt;EWJ^P_PRICE_RETURNS_PR('52W',2,-10AY,0,AM)&lt;/Q&gt;&lt;R&gt;121&lt;/R&gt;&lt;C&gt;1&lt;/C&gt;&lt;D xsi:type="xsd:double"&gt;5.6366444&lt;/D&gt;&lt;D xsi:type="xsd:double"&gt;8.841324&lt;/D&gt;&lt;D xsi:type="xsd:double"&gt;8.431411&lt;/D&gt;&lt;D xsi:type="xsd:double"&gt;7.9221606&lt;/D&gt;&lt;D xsi:type="xsd:double"&gt;0.15218258&lt;/D&gt;&lt;D xsi:type="xsd:double"&gt;2.7491212&lt;/D&gt;&lt;D xsi:type="xsd:double"&gt;-2.3529649&lt;/D&gt;&lt;D xsi:type="xsd:double"&gt;-6.22353&lt;/D&gt;&lt;D xsi:type="xsd:double"&gt;0.01475811&lt;/D&gt;&lt;D xsi:type="xsd:double"&gt;8.291769&lt;/D&gt;&lt;D xsi:type="xsd:double"&gt;12.003506&lt;/D&gt;&lt;D xsi:type="xsd:double"&gt;17.547035&lt;/D&gt;&lt;D xsi:type="xsd:double"&gt;14.33078&lt;/D&gt;&lt;D xsi:type="xsd:double"&gt;7.5614095&lt;/D&gt;&lt;D xsi:type="xsd:double"&gt;8.93091&lt;/D&gt;&lt;D xsi:type="xsd:double"&gt;3.8375497&lt;/D&gt;&lt;D xsi:type="xsd:double"&gt;-1.8243968&lt;/D&gt;&lt;D xsi:type="xsd:double"&gt;8.398808&lt;/D&gt;&lt;D xsi:type="xsd:double"&gt;7.7080965&lt;/D&gt;&lt;D xsi:type="xsd:double"&gt;9.162164&lt;/D&gt;&lt;D xsi:type="xsd:double"&gt;-0.4092157&lt;/D&gt;&lt;D xsi:type="xsd:double"&gt;-10.731804&lt;/D&gt;&lt;D xsi:type="xsd:double"&gt;-7.812852&lt;/D&gt;&lt;D xsi:type="xsd:double"&gt;-12.41535&lt;/D&gt;&lt;D xsi:type="xsd:double"&gt;-8.538336&lt;/D&gt;&lt;D xsi:type="xsd:double"&gt;-8.855295&lt;/D&gt;&lt;D xsi:type="xsd:double"&gt;-4.416937&lt;/D&gt;&lt;D xsi:type="xsd:double"&gt;2.8675795&lt;/D&gt;&lt;D xsi:type="xsd:double"&gt;11.386883&lt;/D&gt;&lt;D xsi:type="xsd:double"&gt;4.0819526&lt;/D&gt;&lt;D xsi:type="xsd:double"&gt;2.285874&lt;/D&gt;&lt;D xsi:type="xsd:double"&gt;1.7673969&lt;/D&gt;&lt;D xsi:type="xsd:double"&gt;12.106741&lt;/D&gt;&lt;D xsi:type="xsd:double"&gt;18.088018&lt;/D&gt;&lt;D xsi:type="xsd:double"&gt;15.068984&lt;/D&gt;&lt;D xsi:type="xsd:double"&gt;14.766895&lt;/D&gt;&lt;D xsi:type="xsd:double"&gt;15.230799&lt;/D&gt;&lt;D xsi:type="xsd:double"&gt;18.7585&lt;/D&gt;&lt;D xsi:type="xsd:double"&gt;15.586972&lt;/D&gt;&lt;D xsi:type="xsd:double"&gt;13.412571&lt;/D&gt;&lt;D xsi:type="xsd:double"&gt;12.911022&lt;/D&gt;&lt;D xsi:type="xsd:double"&gt;18.210888&lt;/D&gt;&lt;D xsi:type="xsd:double"&gt;22.275269&lt;/D&gt;&lt;D xsi:type="xsd:double"&gt;24.223019&lt;/D&gt;&lt;D xsi:type="xsd:double"&gt;26.10221&lt;/D&gt;&lt;D xsi:type="xsd:double"&gt;20.779312&lt;/D&gt;&lt;D xsi:type="xsd:double"&gt;17.620241&lt;/D&gt;&lt;D xsi:type="xsd:double"&gt;18.471981&lt;/D&gt;&lt;D xsi:type="xsd:double"&gt;13.581729&lt;/D&gt;&lt;D xsi:type="xsd:double"&gt;9.883261&lt;/D&gt;&lt;D xsi:type="xsd:double"&gt;8.4434395&lt;/D&gt;&lt;D xsi:type="xsd:double"&gt;7.967663&lt;/D&gt;&lt;D xsi:type="xsd:double"&gt;9.709907&lt;/D&gt;&lt;D xsi:type="xsd:double"&gt;-5.1324663&lt;/D&gt;&lt;D xsi:type="xsd:double"&gt;-6.280917&lt;/D&gt;&lt;D xsi:type="xsd:double"&gt;-14.094437&lt;/D&gt;&lt;D xsi:type="xsd:double"&gt;-12.409628&lt;/D&gt;&lt;D xsi:type="xsd:double"&gt;-9.594506&lt;/D&gt;&lt;D xsi:type="xsd:double"&gt;-8.410894&lt;/D&gt;&lt;D xsi:type="xsd:double"&gt;-7.1780624&lt;/D&gt;&lt;D xsi:type="xsd:double"&gt;-10.369987&lt;/D&gt;&lt;D xsi:type="xsd:double"&gt;-4.470372&lt;/D&gt;&lt;D xsi:type="xsd:double"&gt;-5.5718064&lt;/D&gt;&lt;D xsi:type="xsd:double"&gt;-5.625552&lt;/D&gt;&lt;D xsi:type="xsd:double"&gt;-4.2018414&lt;/D&gt;&lt;D xsi:type="xsd:double"&gt;8.811129&lt;/D&gt;&lt;D xsi:type="xsd:double"&gt;9.304941&lt;/D&gt;&lt;D xsi:type="xsd:double"&gt;19.328808&lt;/D&gt;&lt;D xsi:type="xsd:double"&gt;8.633733&lt;/D&gt;&lt;D xsi:type="xsd:double"&gt;-0.5233705&lt;/D&gt;&lt;D xsi:type="xsd:double"&gt;-7.839364&lt;/D&gt;&lt;D xsi:type="xsd:double"&gt;-4.6369195&lt;/D&gt;&lt;D xsi:type="xsd:double"&gt;6.648636&lt;/D&gt;&lt;D xsi:type="xsd:double"&gt;2.6342034&lt;/D&gt;&lt;D xsi:type="xsd:double"&gt;1.9612908&lt;/D&gt;&lt;D xsi:type="xsd:double"&gt;9.754669&lt;/D&gt;&lt;D xsi:type="xsd:double"&gt;6.1873436&lt;/D&gt;&lt;D xsi:type="xsd:double"&gt;1.2512684&lt;/D&gt;&lt;D xsi:type="xsd:double"&gt;10.511589&lt;/D&gt;&lt;D xsi:type="xsd:double"&gt;15.40935&lt;/D&gt;&lt;D xsi:type="xsd:double"&gt;15.311586&lt;/D&gt;&lt;D xsi:type="xsd:double"&gt;25.749361&lt;/D&gt;&lt;D xsi:type="xsd:double"&gt;40.392757&lt;/D&gt;&lt;D xsi:type="xsd:double"&gt;31.813824&lt;/D&gt;&lt;D xsi:type="xsd:double"&gt;24.195969&lt;/D&gt;&lt;D xsi:type="xsd:double"&gt;24.36701&lt;/D&gt;&lt;D xsi:type="xsd:double"&gt;21.691776&lt;/D&gt;&lt;D xsi:type="xsd:double"&gt;19.221067&lt;/D&gt;&lt;D xsi:type="xsd:double"&gt;20.269085&lt;/D&gt;&lt;D xsi:type="xsd:double"&gt;18.081356&lt;/D&gt;&lt;D xsi:type="xsd:double"&gt;4.175651&lt;/D&gt;&lt;D xsi:type="xsd:double"&gt;1.1650205&lt;/D&gt;&lt;D xsi:type="xsd:double"&gt;-2.3624003&lt;/D&gt;&lt;D xsi:type="xsd:double"&gt;-5.8284817&lt;/D&gt;&lt;D xsi:type="xsd:double"&gt;-8.222037&lt;/D&gt;&lt;D xsi:type="xsd:double"&gt;-15.060425&lt;/D&gt;&lt;D xsi:type="xsd:double"&gt;-14.270651&lt;/D&gt;&lt;D xsi:type="xsd:double"&gt;-19.965708&lt;/D&gt;&lt;D xsi:type="xsd:double"&gt;-15.324754&lt;/D&gt;&lt;D xsi:type="xsd:double"&gt;-19.835121&lt;/D&gt;&lt;D xsi:type="xsd:double"&gt;-28.85003&lt;/D&gt;&lt;D xsi:type="xsd:double"&gt;-25.22033&lt;/D&gt;&lt;D xsi:type="xsd:double"&gt;-13.924265&lt;/D&gt;&lt;D xsi:type="xsd:double"&gt;-17.658394&lt;/D&gt;&lt;D xsi:type="xsd:double"&gt;-7.341379&lt;/D&gt;&lt;D xsi:type="xsd:double"&gt;-10.052729&lt;/D&gt;&lt;D xsi:type="xsd:double"&gt;-3.5937607&lt;/D&gt;&lt;D xsi:type="xsd:double"&gt;3.922677&lt;/D&gt;&lt;D xsi:type="xsd:double"&gt;4.2598963&lt;/D&gt;&lt;D xsi:type="xsd:double"&gt;18.257702&lt;/D&gt;&lt;D xsi:type="xsd:double"&gt;13.997639&lt;/D&gt;&lt;D xsi:type="xsd:double"&gt;16.090929&lt;/D&gt;&lt;D xsi:type="xsd:double"&gt;23.529387&lt;/D&gt;&lt;D xsi:type="xsd:double"&gt;19.040215&lt;/D&gt;&lt;D xsi:type="xsd:double"&gt;13.247574&lt;/D&gt;&lt;D xsi:type="xsd:double"&gt;19.378971&lt;/D&gt;&lt;D xsi:type="xsd:double"&gt;15.250122&lt;/D&gt;&lt;D xsi:type="xsd:double"&gt;26.187157&lt;/D&gt;&lt;D xsi:type="xsd:double"&gt;26.746368&lt;/D&gt;&lt;D xsi:type="xsd:double"&gt;16.756905&lt;/D&gt;&lt;D xsi:type="xsd:double"&gt;18.69886&lt;/D&gt;&lt;/FQL&gt;&lt;FQL&gt;&lt;Q&gt;EWC^FG_TOTAL_RETURNC(-10AY,0,AM)&lt;/Q&gt;&lt;R&gt;121&lt;/R&gt;&lt;C&gt;1&lt;/C&gt;&lt;D xsi:type="xsd:double"&gt;0.523901&lt;/D&gt;&lt;D xsi:type="xsd:double"&gt;5.696845&lt;/D&gt;&lt;D xsi:type="xsd:double"&gt;-0.15522838&lt;/D&gt;&lt;D xsi:type="xsd:double"&gt;2.1766186&lt;/D&gt;&lt;D xsi:type="xsd:double"&gt;-6.603771&lt;/D&gt;&lt;D xsi:type="xsd:double"&gt;-2.5089622&lt;/D&gt;&lt;D xsi:type="xsd:double"&gt;0.06684065&lt;/D&gt;&lt;D xsi:type="xsd:double"&gt;-2.2760987&lt;/D&gt;&lt;D xsi:type="xsd:double"&gt;-8.385306&lt;/D&gt;&lt;D xsi:type="xsd:double"&gt;5.975795&lt;/D&gt;&lt;D xsi:type="xsd:double"&gt;-2.9978573&lt;/D&gt;&lt;D xsi:type="xsd:double"&gt;7.1376085&lt;/D&gt;&lt;D xsi:type="xsd:double"&gt;-4.601651&lt;/D&gt;&lt;D xsi:type="xsd:double"&gt;-3.256613&lt;/D&gt;&lt;D xsi:type="xsd:double"&gt;-4.199481&lt;/D&gt;&lt;D xsi:type="xsd:double"&gt;-5.0097823&lt;/D&gt;&lt;D xsi:type="xsd:double"&gt;-5.232799&lt;/D&gt;&lt;D xsi:type="xsd:double"&gt;3.478253&lt;/D&gt;&lt;D xsi:type="xsd:double"&gt;-2.2268832&lt;/D&gt;&lt;D xsi:type="xsd:double"&gt;-6.3515244&lt;/D&gt;&lt;D xsi:type="xsd:double"&gt;-2.744186&lt;/D&gt;&lt;D xsi:type="xsd:double"&gt;3.4433246&lt;/D&gt;&lt;D xsi:type="xsd:double"&gt;9.61628&lt;/D&gt;&lt;D xsi:type="xsd:double"&gt;7.1277976&lt;/D&gt;&lt;D xsi:type="xsd:double"&gt;-3.622049&lt;/D&gt;&lt;D xsi:type="xsd:double"&gt;0.91763735&lt;/D&gt;&lt;D xsi:type="xsd:double"&gt;2.9783726&lt;/D&gt;&lt;D xsi:type="xsd:double"&gt;0.2773404&lt;/D&gt;&lt;D xsi:type="xsd:double"&gt;1.5013814&lt;/D&gt;&lt;D xsi:type="xsd:double"&gt;-1.3234735&lt;/D&gt;&lt;D xsi:type="xsd:double"&gt;2.6035547&lt;/D&gt;&lt;D xsi:type="xsd:double"&gt;1.5428066&lt;/D&gt;&lt;D xsi:type="xsd:double"&gt;3.938818&lt;/D&gt;&lt;D xsi:type="xsd:double"&gt;-1.8027961&lt;/D&gt;&lt;D xsi:type="xsd:double"&gt;0.7118702&lt;/D&gt;&lt;D xsi:type="xsd:double"&gt;-2.3065448&lt;/D&gt;&lt;D xsi:type="xsd:double"&gt;-0.38080812&lt;/D&gt;&lt;D xsi:type="xsd:double"&gt;3.1372428&lt;/D&gt;&lt;D xsi:type="xsd:double"&gt;4.260087&lt;/D&gt;&lt;D xsi:type="xsd:double"&gt;-0.10752082&lt;/D&gt;&lt;D xsi:type="xsd:double"&gt;3.8392544&lt;/D&gt;&lt;D xsi:type="xsd:double"&gt;-0.51831007&lt;/D&gt;&lt;D xsi:type="xsd:double"&gt;0.5210161&lt;/D&gt;&lt;D xsi:type="xsd:double"&gt;3.7305117&lt;/D&gt;&lt;D xsi:type="xsd:double"&gt;0.8097172&lt;/D&gt;&lt;D xsi:type="xsd:double"&gt;-6.994641&lt;/D&gt;&lt;D xsi:type="xsd:double"&gt;-0.8276403&lt;/D&gt;&lt;D xsi:type="xsd:double"&gt;2.0682096&lt;/D&gt;&lt;D xsi:type="xsd:double"&gt;2.1685004&lt;/D&gt;&lt;D xsi:type="xsd:double"&gt;-0.0126719475&lt;/D&gt;&lt;D xsi:type="xsd:double"&gt;2.4552703&lt;/D&gt;&lt;D xsi:type="xsd:double"&gt;-1.4036298&lt;/D&gt;&lt;D xsi:type="xsd:double"&gt;-0.06943941&lt;/D&gt;&lt;D xsi:type="xsd:double"&gt;-7.887423&lt;/D&gt;&lt;D xsi:type="xsd:double"&gt;0.49037933&lt;/D&gt;&lt;D xsi:type="xsd:double"&gt;-8.554143&lt;/D&gt;&lt;D xsi:type="xsd:double"&gt;12.89649&lt;/D&gt;&lt;D xsi:type="xsd:double"&gt;2.957487&lt;/D&gt;&lt;D xsi:type="xsd:double"&gt;-0.7540405&lt;/D&gt;&lt;D xsi:type="xsd:double"&gt;3.292334&lt;/D&gt;&lt;D xsi:type="xsd:double"&gt;-4.2732&lt;/D&gt;&lt;D xsi:type="xsd:double"&gt;5.6715846&lt;/D&gt;&lt;D xsi:type="xsd:double"&gt;-0.8036375&lt;/D&gt;&lt;D xsi:type="xsd:double"&gt;-0.7044673&lt;/D&gt;&lt;D xsi:type="xsd:double"&gt;2.518618&lt;/D&gt;&lt;D xsi:type="xsd:double"&gt;-0.41522384&lt;/D&gt;&lt;D xsi:type="xsd:double"&gt;2.953434&lt;/D&gt;&lt;D xsi:type="xsd:double"&gt;2.224052&lt;/D&gt;&lt;D xsi:type="xsd:double"&gt;-0.73602796&lt;/D&gt;&lt;D xsi:type="xsd:double"&gt;-7.010448&lt;/D&gt;&lt;D xsi:type="xsd:double"&gt;-20.804638&lt;/D&gt;&lt;D xsi:type="xsd:double"&gt;11.1212845&lt;/D&gt;&lt;D xsi:type="xsd:double"&gt;3.542006&lt;/D&gt;&lt;D xsi:type="xsd:double"&gt;3.9797068&lt;/D&gt;&lt;D xsi:type="xsd:double"&gt;5.5255055&lt;/D&gt;&lt;D xsi:type="xsd:double"&gt;5.1263213&lt;/D&gt;&lt;D xsi:type="xsd:double"&gt;-4.5280337&lt;/D&gt;&lt;D xsi:type="xsd:double"&gt;-3.429407&lt;/D&gt;&lt;D xsi:type="xsd:double"&gt;14.393663&lt;/D&gt;&lt;D xsi:type="xsd:double"&gt;3.124082&lt;/D&gt;&lt;D xsi:type="xsd:double"&gt;-0.77821016&lt;/D&gt;&lt;D xsi:type="xsd:double"&gt;5.130708&lt;/D&gt;&lt;D xsi:type="xsd:double"&gt;5.8439612&lt;/D&gt;&lt;D xsi:type="xsd:double"&gt;4.581499&lt;/D&gt;&lt;D xsi:type="xsd:double"&gt;6.346524&lt;/D&gt;&lt;D xsi:type="xsd:double"&gt;-0.97858906&lt;/D&gt;&lt;D xsi:type="xsd:double"&gt;0.16099215&lt;/D&gt;&lt;D xsi:type="xsd:double"&gt;0.026786327&lt;/D&gt;&lt;D xsi:type="xsd:double"&gt;-2.7852178&lt;/D&gt;&lt;D xsi:type="xsd:double"&gt;7.933891&lt;/D&gt;&lt;D xsi:type="xsd:double"&gt;-4.5941772&lt;/D&gt;&lt;D xsi:type="xsd:double"&gt;4.139745&lt;/D&gt;&lt;D xsi:type="xsd:double"&gt;-0.6245136&lt;/D&gt;&lt;D xsi:type="xsd:double"&gt;0.07855892&lt;/D&gt;&lt;D xsi:type="xsd:double"&gt;5.206692&lt;/D&gt;&lt;D xsi:type="xsd:double"&gt;-7.8587413&lt;/D&gt;&lt;D xsi:type="xsd:double"&gt;2.1052718&lt;/D&gt;&lt;D xsi:type="xsd:double"&gt;-10.306478&lt;/D&gt;&lt;D xsi:type="xsd:double"&gt;4.8396707&lt;/D&gt;&lt;D xsi:type="xsd:double"&gt;-4.587942&lt;/D&gt;&lt;D xsi:type="xsd:double"&gt;-8.696938&lt;/D&gt;&lt;D xsi:type="xsd:double"&gt;7.3797107&lt;/D&gt;&lt;D xsi:type="xsd:double"&gt;6.5395117&lt;/D&gt;&lt;D xsi:type="xsd:double"&gt;-5.635345&lt;/D&gt;&lt;D xsi:type="xsd:double"&gt;9.47144&lt;/D&gt;&lt;D xsi:type="xsd:double"&gt;-4.96791&lt;/D&gt;&lt;D xsi:type="xsd:double"&gt;0.3817916&lt;/D&gt;&lt;D xsi:type="xsd:double"&gt;2.984202&lt;/D&gt;&lt;D xsi:type="xsd:double"&gt;-5.5113735&lt;/D&gt;&lt;D xsi:type="xsd:double"&gt;6.267345&lt;/D&gt;&lt;D xsi:type="xsd:double"&gt;3.1151772&lt;/D&gt;&lt;D xsi:type="xsd:double"&gt;-3.8525581&lt;/D&gt;&lt;D xsi:type="xsd:double"&gt;-3.5456896&lt;/D&gt;&lt;D xsi:type="xsd:double"&gt;-5.1404657&lt;/D&gt;&lt;D xsi:type="xsd:double"&gt;10.207939&lt;/D&gt;&lt;D xsi:type="xsd:double"&gt;6.2886477&lt;/D&gt;&lt;D xsi:type="xsd:double"&gt;-0.89967847&lt;/D&gt;&lt;D xsi:type="xsd:double"&gt;1.155436&lt;/D&gt;&lt;D xsi:type="xsd:double"&gt;4.106605&lt;/D&gt;&lt;D xsi:type="xsd:double"&gt;-3.5527706&lt;/D&gt;&lt;D xsi:type="xsd:double"&gt;3.6294699&lt;/D&gt;&lt;/FQL&gt;&lt;FQL&gt;&lt;Q&gt;ENZL^FMA_DIV_YLD(NTMA,-10AY,0,AM,"PORTAGG","MEANR")&lt;/Q&gt;&lt;R&gt;121&lt;/R&gt;&lt;C&gt;1&lt;/C&gt;&lt;D xsi:type="xsd:double"&gt;4.15093424529461&lt;/D&gt;&lt;D xsi:type="xsd:double"&gt;4.44635847787635&lt;/D&gt;&lt;D xsi:type="xsd:double"&gt;4.45447848898395&lt;/D&gt;&lt;D xsi:type="xsd:double"&gt;4.53899776998386&lt;/D&gt;&lt;D xsi:type="xsd:double"&gt;4.57563562116515&lt;/D&gt;&lt;D xsi:type="xsd:double"&gt;4.50483954106414&lt;/D&gt;&lt;D xsi:type="xsd:double"&gt;4.54861858802081&lt;/D&gt;&lt;D xsi:type="xsd:double"&gt;4.43603649853718&lt;/D&gt;&lt;D xsi:type="xsd:double"&gt;4.33415341945234&lt;/D&gt;&lt;D xsi:type="xsd:double"&gt;4.26227285815805&lt;/D&gt;&lt;D xsi:type="xsd:double"&gt;4.41727382325709&lt;/D&gt;&lt;D xsi:type="xsd:double"&gt;4.47976050628451&lt;/D&gt;&lt;D xsi:type="xsd:double"&gt;4.40904628672229&lt;/D&gt;&lt;D xsi:type="xsd:double"&gt;4.69007941914783&lt;/D&gt;&lt;D xsi:type="xsd:double"&gt;4.55337120119166&lt;/D&gt;&lt;D xsi:type="xsd:double"&gt;5.10063471403319&lt;/D&gt;&lt;D xsi:type="xsd:double"&gt;5.29585908655342&lt;/D&gt;&lt;D xsi:type="xsd:double"&gt;4.92397416743627&lt;/D&gt;&lt;D xsi:type="xsd:double"&gt;4.81655952502069&lt;/D&gt;&lt;D xsi:type="xsd:double"&gt;4.72515980905889&lt;/D&gt;&lt;D xsi:type="xsd:double"&gt;4.87497697761261&lt;/D&gt;&lt;D xsi:type="xsd:double"&gt;4.86408658009916&lt;/D&gt;&lt;D xsi:type="xsd:double"&gt;4.54717627768767&lt;/D&gt;&lt;D xsi:type="xsd:double"&gt;4.58125161388613&lt;/D&gt;&lt;D xsi:type="xsd:double"&gt;4.42135044013803&lt;/D&gt;&lt;D xsi:type="xsd:double"&gt;4.41967132656854&lt;/D&gt;&lt;D xsi:type="xsd:double"&gt;4.12344472784573&lt;/D&gt;&lt;D xsi:type="xsd:double"&gt;4.20890283621875&lt;/D&gt;&lt;D xsi:type="xsd:double"&gt;4.32040439452407&lt;/D&gt;&lt;D xsi:type="xsd:double"&gt;4.57508204943216&lt;/D&gt;&lt;D xsi:type="xsd:double"&gt;4.59043335654791&lt;/D&gt;&lt;D xsi:type="xsd:double"&gt;4.6345425267273&lt;/D&gt;&lt;D xsi:type="xsd:double"&gt;4.53366169241361&lt;/D&gt;&lt;D xsi:type="xsd:double"&gt;4.65708432864585&lt;/D&gt;&lt;D xsi:type="xsd:double"&gt;4.57882710059766&lt;/D&gt;&lt;D xsi:type="xsd:double"&gt;4.45831054108891&lt;/D&gt;&lt;D xsi:type="xsd:double"&gt;4.46136048341554&lt;/D&gt;&lt;D xsi:type="xsd:double"&gt;4.39307428705327&lt;/D&gt;&lt;D xsi:type="xsd:double"&gt;4.40149109406376&lt;/D&gt;&lt;D xsi:type="xsd:double"&gt;4.31869741215347&lt;/D&gt;&lt;D xsi:type="xsd:double"&gt;4.41229401725204&lt;/D&gt;&lt;D xsi:type="xsd:double"&gt;4.33999058119265&lt;/D&gt;&lt;D xsi:type="xsd:double"&gt;4.34615181075149&lt;/D&gt;&lt;D xsi:type="xsd:double"&gt;4.20128758471335&lt;/D&gt;&lt;D xsi:type="xsd:double"&gt;4.19090030605804&lt;/D&gt;&lt;D xsi:type="xsd:double"&gt;4.17407572230652&lt;/D&gt;&lt;D xsi:type="xsd:double"&gt;4.3162273701021&lt;/D&gt;&lt;D xsi:type="xsd:double"&gt;4.27199749613393&lt;/D&gt;&lt;D xsi:type="xsd:double"&gt;4.20757474748852&lt;/D&gt;&lt;D xsi:type="xsd:double"&gt;4.05433947621799&lt;/D&gt;&lt;D xsi:type="xsd:double"&gt;4.1065199933973&lt;/D&gt;&lt;D xsi:type="xsd:double"&gt;3.89557331235409&lt;/D&gt;&lt;D xsi:type="xsd:double"&gt;3.97900716158369&lt;/D&gt;&lt;D xsi:type="xsd:double"&gt;4.2861412935281&lt;/D&gt;&lt;D xsi:type="xsd:double"&gt;4.25832976064396&lt;/D&gt;&lt;D xsi:type="xsd:double"&gt;4.18061240383847&lt;/D&gt;&lt;D xsi:type="xsd:double"&gt;4.1045755782806&lt;/D&gt;&lt;D xsi:type="xsd:double"&gt;3.96160583866143&lt;/D&gt;&lt;D xsi:type="xsd:double"&gt;3.76110018677953&lt;/D&gt;&lt;D xsi:type="xsd:double"&gt;3.68288747940181&lt;/D&gt;&lt;D xsi:type="xsd:double"&gt;3.70790683248854&lt;/D&gt;&lt;D xsi:type="xsd:double"&gt;3.56275271946662&lt;/D&gt;&lt;D xsi:type="xsd:double"&gt;3.40786842753309&lt;/D&gt;&lt;D xsi:type="xsd:double"&gt;3.43300478864385&lt;/D&gt;&lt;D xsi:type="xsd:double"&gt;3.34994965152498&lt;/D&gt;&lt;D xsi:type="xsd:double"&gt;3.37706910509559&lt;/D&gt;&lt;D xsi:type="xsd:double"&gt;3.22070206143111&lt;/D&gt;&lt;D xsi:type="xsd:double"&gt;3.180368626039&lt;/D&gt;&lt;D xsi:type="xsd:double"&gt;3.10302790525696&lt;/D&gt;&lt;D xsi:type="xsd:double"&gt;3.16993345843362&lt;/D&gt;&lt;D xsi:type="xsd:double"&gt;3.33003337382973&lt;/D&gt;&lt;D xsi:type="xsd:double"&gt;2.68962518480868&lt;/D&gt;&lt;D xsi:type="xsd:double"&gt;2.49348548155558&lt;/D&gt;&lt;D xsi:type="xsd:double"&gt;2.48070679622262&lt;/D&gt;&lt;D xsi:type="xsd:double"&gt;2.39843697141942&lt;/D&gt;&lt;D xsi:type="xsd:double"&gt;2.3259965713648&lt;/D&gt;&lt;D xsi:type="xsd:double"&gt;2.46760240719835&lt;/D&gt;&lt;D xsi:type="xsd:double"&gt;2.43693764007441&lt;/D&gt;&lt;D xsi:type="xsd:double"&gt;2.43031551326855&lt;/D&gt;&lt;D xsi:type="xsd:double"&gt;2.40539263641599&lt;/D&gt;&lt;D xsi:type="xsd:double"&gt;2.46449164328886&lt;/D&gt;&lt;D xsi:type="xsd:double"&gt;2.63905375014513&lt;/D&gt;&lt;D xsi:type="xsd:double"&gt;2.57441668169446&lt;/D&gt;&lt;D xsi:type="xsd:double"&gt;2.58809487322422&lt;/D&gt;&lt;D xsi:type="xsd:double"&gt;2.74304334825687&lt;/D&gt;&lt;D xsi:type="xsd:double"&gt;2.66050035419267&lt;/D&gt;&lt;D xsi:type="xsd:double"&gt;2.6580797025583&lt;/D&gt;&lt;D xsi:type="xsd:double"&gt;2.56263888277214&lt;/D&gt;&lt;D xsi:type="xsd:double"&gt;2.62102511919572&lt;/D&gt;&lt;D xsi:type="xsd:double"&gt;2.66070089637992&lt;/D&gt;&lt;D xsi:type="xsd:double"&gt;2.74861291753547&lt;/D&gt;&lt;D xsi:type="xsd:double"&gt;2.76511566800919&lt;/D&gt;&lt;D xsi:type="xsd:double"&gt;3.06864738080324&lt;/D&gt;&lt;D xsi:type="xsd:double"&gt;3.05800894408413&lt;/D&gt;&lt;D xsi:type="xsd:double"&gt;3.06788726730755&lt;/D&gt;&lt;D xsi:type="xsd:double"&gt;3.05983317463859&lt;/D&gt;&lt;D xsi:type="xsd:double"&gt;3.19444679667501&lt;/D&gt;&lt;D xsi:type="xsd:double"&gt;3.37969433288887&lt;/D&gt;&lt;D xsi:type="xsd:double"&gt;3.2689264032382&lt;/D&gt;&lt;D xsi:type="xsd:double"&gt;3.17297912849243&lt;/D&gt;&lt;D xsi:type="xsd:double"&gt;3.42620608411407&lt;/D&gt;&lt;D xsi:type="xsd:double"&gt;3.36445592198771&lt;/D&gt;&lt;D xsi:type="xsd:double"&gt;3.37383271357914&lt;/D&gt;&lt;D xsi:type="xsd:double"&gt;3.48175951513012&lt;/D&gt;&lt;D xsi:type="xsd:double"&gt;3.32613390052128&lt;/D&gt;&lt;D xsi:type="xsd:double"&gt;3.37058087818336&lt;/D&gt;&lt;D xsi:type="xsd:double"&gt;3.3968483428021&lt;/D&gt;&lt;D xsi:type="xsd:double"&gt;3.38217498951632&lt;/D&gt;&lt;D xsi:type="xsd:double"&gt;3.51278317828213&lt;/D&gt;&lt;D xsi:type="xsd:double"&gt;3.41941461587257&lt;/D&gt;&lt;D xsi:type="xsd:double"&gt;3.38748591149554&lt;/D&gt;&lt;D xsi:type="xsd:double"&gt;3.47385697401087&lt;/D&gt;&lt;D xsi:type="xsd:double"&gt;3.42427644033148&lt;/D&gt;&lt;D xsi:type="xsd:double"&gt;3.57803011161154&lt;/D&gt;&lt;D xsi:type="xsd:double"&gt;3.25846393195073&lt;/D&gt;&lt;D xsi:type="xsd:double"&gt;2.96827759625584&lt;/D&gt;&lt;D xsi:type="xsd:double"&gt;3.00519985198877&lt;/D&gt;&lt;D xsi:type="xsd:double"&gt;2.89706492726687&lt;/D&gt;&lt;D xsi:type="xsd:double"&gt;2.74179906309109&lt;/D&gt;&lt;D xsi:type="xsd:double"&gt;2.74633533534531&lt;/D&gt;&lt;D xsi:type="xsd:double"&gt;2.7593830697208&lt;/D&gt;&lt;/FQL&gt;&lt;FQL&gt;&lt;Q&gt;EWI^FMA_PE(LTMA,-10AY,0,AM,"PORTAGG","MEANR")&lt;/Q&gt;&lt;R&gt;121&lt;/R&gt;&lt;C&gt;1&lt;/C&gt;&lt;D xsi:type="xsd:double"&gt;17.1325885819188&lt;/D&gt;&lt;D xsi:type="xsd:double"&gt;17.400432404164&lt;/D&gt;&lt;D xsi:type="xsd:double"&gt;17.0829669448767&lt;/D&gt;&lt;D xsi:type="xsd:double"&gt;17.5675207028686&lt;/D&gt;&lt;D xsi:type="xsd:double"&gt;17.6066634323071&lt;/D&gt;&lt;D xsi:type="xsd:double"&gt;17.2201366552846&lt;/D&gt;&lt;D xsi:type="xsd:double"&gt;18.1616559059125&lt;/D&gt;&lt;D xsi:type="xsd:double"&gt;18.2391023727132&lt;/D&gt;&lt;D xsi:type="xsd:double"&gt;23.6420497500349&lt;/D&gt;&lt;D xsi:type="xsd:double"&gt;45.3660681485857&lt;/D&gt;&lt;D xsi:type="xsd:double"&gt;42.444495443557&lt;/D&gt;&lt;D xsi:type="xsd:double"&gt;39.6510864592434&lt;/D&gt;&lt;D xsi:type="xsd:double"&gt;37.0356016652559&lt;/D&gt;&lt;D xsi:type="xsd:double"&gt;33.6205905524019&lt;/D&gt;&lt;D xsi:type="xsd:double"&gt;31.3328382271907&lt;/D&gt;&lt;D xsi:type="xsd:double"&gt;27.851463704235&lt;/D&gt;&lt;D xsi:type="xsd:double"&gt;24.9738258764605&lt;/D&gt;&lt;D xsi:type="xsd:double"&gt;23.3228676094371&lt;/D&gt;&lt;D xsi:type="xsd:double"&gt;21.5479458580417&lt;/D&gt;&lt;D xsi:type="xsd:double"&gt;17.9614432089949&lt;/D&gt;&lt;D xsi:type="xsd:double"&gt;15.2240940767902&lt;/D&gt;&lt;D xsi:type="xsd:double"&gt;15.3964541226054&lt;/D&gt;&lt;D xsi:type="xsd:double"&gt;15.3076241216757&lt;/D&gt;&lt;D xsi:type="xsd:double"&gt;15.2931220355081&lt;/D&gt;&lt;D xsi:type="xsd:double"&gt;15.4691856630637&lt;/D&gt;&lt;D xsi:type="xsd:double"&gt;14.4062851700679&lt;/D&gt;&lt;D xsi:type="xsd:double"&gt;14.7343350315856&lt;/D&gt;&lt;D xsi:type="xsd:double"&gt;15.0865656249653&lt;/D&gt;&lt;D xsi:type="xsd:double"&gt;14.6807457855707&lt;/D&gt;&lt;D xsi:type="xsd:double"&gt;14.8958549149288&lt;/D&gt;&lt;D xsi:type="xsd:double"&gt;14.9430930448662&lt;/D&gt;&lt;D xsi:type="xsd:double"&gt;27.6594648643477&lt;/D&gt;&lt;D xsi:type="xsd:double"&gt;19.3039796683095&lt;/D&gt;&lt;D xsi:type="xsd:double"&gt;85.9689272923756&lt;/D&gt;&lt;D xsi:type="xsd:double"&gt;78.8542286422471&lt;/D&gt;&lt;D xsi:type="xsd:double"&gt;72.2320717746234&lt;/D&gt;&lt;D xsi:type="xsd:double"&gt;64.4574477612396&lt;/D&gt;&lt;D xsi:type="xsd:double"&gt;57.3506552325927&lt;/D&gt;&lt;D xsi:type="xsd:double"&gt;50.4742375230658&lt;/D&gt;&lt;D xsi:type="xsd:double"&gt;43.088260238978&lt;/D&gt;&lt;D xsi:type="xsd:double"&gt;36.6466347019993&lt;/D&gt;&lt;D xsi:type="xsd:double"&gt;29.3946110105148&lt;/D&gt;&lt;D xsi:type="xsd:double"&gt;22.3870119374509&lt;/D&gt;&lt;D xsi:type="xsd:double"&gt;15.5073974754213&lt;/D&gt;&lt;D xsi:type="xsd:double"&gt;15.6290013826463&lt;/D&gt;&lt;D xsi:type="xsd:double"&gt;14.2133860010366&lt;/D&gt;&lt;D xsi:type="xsd:double"&gt;14.0836991602724&lt;/D&gt;&lt;D xsi:type="xsd:double"&gt;14.1853625337352&lt;/D&gt;&lt;D xsi:type="xsd:double"&gt;13.4169063385909&lt;/D&gt;&lt;D xsi:type="xsd:double"&gt;13.2895626234646&lt;/D&gt;&lt;D xsi:type="xsd:double"&gt;13.3608723048161&lt;/D&gt;&lt;D xsi:type="xsd:double"&gt;12.4458594415345&lt;/D&gt;&lt;D xsi:type="xsd:double"&gt;12.333076822306&lt;/D&gt;&lt;D xsi:type="xsd:double"&gt;11.440603687089&lt;/D&gt;&lt;D xsi:type="xsd:double"&gt;11.2217000747596&lt;/D&gt;&lt;D xsi:type="xsd:double"&gt;10.387179484885&lt;/D&gt;&lt;D xsi:type="xsd:double"&gt;11.1378662596426&lt;/D&gt;&lt;D xsi:type="xsd:double"&gt;11.3132451904946&lt;/D&gt;&lt;D xsi:type="xsd:double"&gt;11.324216150149&lt;/D&gt;&lt;D xsi:type="xsd:double"&gt;11.3584520167683&lt;/D&gt;&lt;D xsi:type="xsd:double"&gt;10.836667034931&lt;/D&gt;&lt;D xsi:type="xsd:double"&gt;11.1091412017896&lt;/D&gt;&lt;D xsi:type="xsd:double"&gt;11.1574943905921&lt;/D&gt;&lt;D xsi:type="xsd:double"&gt;11.1152851854124&lt;/D&gt;&lt;D xsi:type="xsd:double"&gt;11.3435956581048&lt;/D&gt;&lt;D xsi:type="xsd:double"&gt;11.6569554758363&lt;/D&gt;&lt;D xsi:type="xsd:double"&gt;11.9159892515684&lt;/D&gt;&lt;D xsi:type="xsd:double"&gt;12.1127684771213&lt;/D&gt;&lt;D xsi:type="xsd:double"&gt;11.9865593742223&lt;/D&gt;&lt;D xsi:type="xsd:double"&gt;11.3567081312941&lt;/D&gt;&lt;D xsi:type="xsd:double"&gt;11.0975959101267&lt;/D&gt;&lt;D xsi:type="xsd:double"&gt;12.5411222602117&lt;/D&gt;&lt;D xsi:type="xsd:double"&gt;14.4046913543627&lt;/D&gt;&lt;D xsi:type="xsd:double"&gt;16.3494164457349&lt;/D&gt;&lt;D xsi:type="xsd:double"&gt;17.0026583394091&lt;/D&gt;&lt;D xsi:type="xsd:double"&gt;17.7895110690699&lt;/D&gt;&lt;D xsi:type="xsd:double"&gt;18.1870952853322&lt;/D&gt;&lt;D xsi:type="xsd:double"&gt;17.9766294783645&lt;/D&gt;&lt;D xsi:type="xsd:double"&gt;21.8777841761335&lt;/D&gt;&lt;D xsi:type="xsd:double"&gt;23.3237130000973&lt;/D&gt;&lt;D xsi:type="xsd:double"&gt;20.2234159826661&lt;/D&gt;&lt;D xsi:type="xsd:double"&gt;20.3525735166553&lt;/D&gt;&lt;D xsi:type="xsd:double"&gt;19.7997045145137&lt;/D&gt;&lt;D xsi:type="xsd:double"&gt;19.1070181825205&lt;/D&gt;&lt;D xsi:type="xsd:double"&gt;18.636459448785&lt;/D&gt;&lt;D xsi:type="xsd:double"&gt;17.9612326901376&lt;/D&gt;&lt;D xsi:type="xsd:double"&gt;17.2330261415573&lt;/D&gt;&lt;D xsi:type="xsd:double"&gt;15.6905260480938&lt;/D&gt;&lt;D xsi:type="xsd:double"&gt;14.7264374191639&lt;/D&gt;&lt;D xsi:type="xsd:double"&gt;14.2235277460482&lt;/D&gt;&lt;D xsi:type="xsd:double"&gt;12.5489093620277&lt;/D&gt;&lt;D xsi:type="xsd:double"&gt;12.0674553868396&lt;/D&gt;&lt;D xsi:type="xsd:double"&gt;11.8119159668388&lt;/D&gt;&lt;D xsi:type="xsd:double"&gt;10.6475829192046&lt;/D&gt;&lt;D xsi:type="xsd:double"&gt;10.56757720407&lt;/D&gt;&lt;D xsi:type="xsd:double"&gt;10.4148019498813&lt;/D&gt;&lt;D xsi:type="xsd:double"&gt;10.0936737816603&lt;/D&gt;&lt;D xsi:type="xsd:double"&gt;9.31580625186718&lt;/D&gt;&lt;D xsi:type="xsd:double"&gt;8.9997182757173&lt;/D&gt;&lt;D xsi:type="xsd:double"&gt;8.26394334267618&lt;/D&gt;&lt;D xsi:type="xsd:double"&gt;8.02900297750191&lt;/D&gt;&lt;D xsi:type="xsd:double"&gt;8.09134235765443&lt;/D&gt;&lt;D xsi:type="xsd:double"&gt;8.06737821797396&lt;/D&gt;&lt;D xsi:type="xsd:double"&gt;7.3748312726829&lt;/D&gt;&lt;D xsi:type="xsd:double"&gt;8.11922418612386&lt;/D&gt;&lt;D xsi:type="xsd:double"&gt;8.22912587318896&lt;/D&gt;&lt;D xsi:type="xsd:double"&gt;8.29933443405496&lt;/D&gt;&lt;D xsi:type="xsd:double"&gt;8.37785429534273&lt;/D&gt;&lt;D xsi:type="xsd:double"&gt;8.12700445531521&lt;/D&gt;&lt;D xsi:type="xsd:double"&gt;8.59929106788544&lt;/D&gt;&lt;D xsi:type="xsd:double"&gt;8.53619927481284&lt;/D&gt;&lt;D xsi:type="xsd:double"&gt;8.32560739619034&lt;/D&gt;&lt;D xsi:type="xsd:double"&gt;8.25238875038986&lt;/D&gt;&lt;D xsi:type="xsd:double"&gt;7.98868575312923&lt;/D&gt;&lt;D xsi:type="xsd:double"&gt;8.34889446252909&lt;/D&gt;&lt;D xsi:type="xsd:double"&gt;8.85440833166031&lt;/D&gt;&lt;D xsi:type="xsd:double"&gt;9.10411109825948&lt;/D&gt;&lt;D xsi:type="xsd:double"&gt;9.34647597709894&lt;/D&gt;&lt;D xsi:type="xsd:double"&gt;9.48249309998736&lt;/D&gt;&lt;D xsi:type="xsd:double"&gt;9.44237897116439&lt;/D&gt;&lt;D xsi:type="xsd:double"&gt;9.56322988014965&lt;/D&gt;&lt;/FQL&gt;&lt;FQL&gt;&lt;Q&gt;DDR3512M-FDS^FG_PRICE_CHANGE(0,-1AY)&lt;/Q&gt;&lt;R&gt;1&lt;/R&gt;&lt;C&gt;1&lt;/C&gt;&lt;D xsi:type="xsd:double"&gt;-5.77116550111984&lt;/D&gt;&lt;/FQL&gt;&lt;FQL&gt;&lt;Q&gt;PASP-FDS^FG_PRICE_CHANGE(0,-1AY)&lt;/Q&gt;&lt;R&gt;1&lt;/R&gt;&lt;C&gt;1&lt;/C&gt;&lt;D xsi:type="xsd:double"&gt;-31.4285714285714&lt;/D&gt;&lt;/FQL&gt;&lt;FQL&gt;&lt;Q&gt;PLATI-FDS^FG_PRICE_CHANGE(0,-1AY)&lt;/Q&gt;&lt;R&gt;1&lt;/R&gt;&lt;C&gt;1&lt;/C&gt;&lt;D xsi:type="xsd:double"&gt;2.47524752475248&lt;/D&gt;&lt;/FQL&gt;&lt;FQL&gt;&lt;Q&gt;W-FDS^FG_PRICE_CHANGE(0,-1AY)&lt;/Q&gt;&lt;R&gt;1&lt;/R&gt;&lt;C&gt;1&lt;/C&gt;&lt;D xsi:type="xsd:double"&gt;14.1775347076146&lt;/D&gt;&lt;/FQL&gt;&lt;FQL&gt;&lt;Q&gt;COPP-FDS^FG_PRICE_CHANGE(0,-1AY)&lt;/Q&gt;&lt;R&gt;1&lt;/R&gt;&lt;C&gt;1&lt;/C&gt;&lt;D xsi:type="xsd:double"&gt;26.9622693472873&lt;/D&gt;&lt;/FQL&gt;&lt;FQL&gt;&lt;Q&gt;FC0000JP^FG_PRICE(0)&lt;/Q&gt;&lt;R&gt;1&lt;/R&gt;&lt;C&gt;1&lt;/C&gt;&lt;D xsi:type="xsd:double"&gt;172.84569&lt;/D&gt;&lt;/FQL&gt;&lt;FQL&gt;&lt;Q&gt;FC0000NZ^FG_PRICE(0)&lt;/Q&gt;&lt;R&gt;1&lt;/R&gt;&lt;C&gt;1&lt;/C&gt;&lt;D xsi:type="xsd:double"&gt;394.242&lt;/D&gt;&lt;/FQL&gt;&lt;FQL&gt;&lt;Q&gt;EWQ^FG_PRICE_MAVG(0,,,,30)&lt;/Q&gt;&lt;R&gt;1&lt;/R&gt;&lt;C&gt;1&lt;/C&gt;&lt;D xsi:type="xsd:double"&gt;41.292&lt;/D&gt;&lt;/FQL&gt;&lt;FQL&gt;&lt;Q&gt;EWL^FG_PRICE_MAVG(0,,,,30)&lt;/Q&gt;&lt;R&gt;1&lt;/R&gt;&lt;C&gt;1&lt;/C&gt;&lt;D xsi:type="xsd:double"&gt;47.300335&lt;/D&gt;&lt;/FQL&gt;&lt;FQL&gt;&lt;Q&gt;EWA^FG_PRICE_MAVG(0,,,,30)&lt;/Q&gt;&lt;R&gt;1&lt;/R&gt;&lt;C&gt;1&lt;/C&gt;&lt;D xsi:type="xsd:double"&gt;24.319334&lt;/D&gt;&lt;/FQL&gt;&lt;FQL&gt;&lt;Q&gt;EWU^FG_COMPANY_NAME&lt;/Q&gt;&lt;R&gt;1&lt;/R&gt;&lt;C&gt;1&lt;/C&gt;&lt;D xsi:type="xsd:string"&gt;iShares MSCI United Kingdom ETF&lt;/D&gt;&lt;/FQL&gt;&lt;FQL&gt;&lt;Q&gt;EWG^FG_COMPANY_NAME&lt;/Q&gt;&lt;R&gt;1&lt;/R&gt;&lt;C&gt;1&lt;/C&gt;&lt;D xsi:type="xsd:string"&gt;iShares MSCI Germany ETF&lt;/D&gt;&lt;/FQL&gt;&lt;FQL&gt;&lt;Q&gt;SPY^FG_TOTAL_RETURNC(0,-6AM)&lt;/Q&gt;&lt;R&gt;1&lt;/R&gt;&lt;C&gt;1&lt;/C&gt;&lt;D xsi:type="xsd:double"&gt;16.382195&lt;/D&gt;&lt;/FQL&gt;&lt;FQL&gt;&lt;Q&gt;URTH^P_PRICE(0)/P_PRICE_LOW_PR(0,,,,,,"PRICE","INTRA","52W")-1&lt;/Q&gt;&lt;R&gt;1&lt;/R&gt;&lt;C&gt;1&lt;/C&gt;&lt;D xsi:type="xsd:double"&gt;0.2703575&lt;/D&gt;&lt;/FQL&gt;&lt;FQL&gt;&lt;Q&gt;VWO^FMA_PCT_ABOVE_MAVG(200,0,,,,"PORTAGG")&lt;/Q&gt;&lt;R&gt;1&lt;/R&gt;&lt;C&gt;1&lt;/C&gt;&lt;D xsi:type="xsd:double"&gt;46.87432867884&lt;/D&gt;&lt;/FQL&gt;&lt;FQL&gt;&lt;Q&gt;EWI^PERCENT_CHANGE(FMA_EPS(+1,0,,,,"PORTAGG","MEAN"),FMA_EPS(+1,-3AM,,,,"PORTAGG","MEAN"))&lt;/Q&gt;&lt;R&gt;1&lt;/R&gt;&lt;C&gt;1&lt;/C&gt;&lt;D xsi:type="xsd:double"&gt;2.27534023451777&lt;/D&gt;&lt;/FQL&gt;&lt;FQL&gt;&lt;Q&gt;EWN^FG_TOTAL_RETURNC(0,-3AM)&lt;/Q&gt;&lt;R&gt;1&lt;/R&gt;&lt;C&gt;1&lt;/C&gt;&lt;D xsi:type="xsd:double"&gt;7.226634&lt;/D&gt;&lt;/FQL&gt;&lt;FQL&gt;&lt;Q&gt;SPY^P_PRICE(0)/P_PRICE_HIGH_PR(0,,,,,,"PRICE","INTRA","52W")&lt;/Q&gt;&lt;R&gt;1&lt;/R&gt;&lt;C&gt;1&lt;/C&gt;&lt;D xsi:type="xsd:double"&gt;0.9893072&lt;/D&gt;&lt;/FQL&gt;&lt;FQL&gt;&lt;Q&gt;EWU^FG_TOTAL_RETURNC(0,-12AM)&lt;/Q&gt;&lt;R&gt;1&lt;/R&gt;&lt;C&gt;1&lt;/C&gt;&lt;D xsi:type="xsd:double"&gt;18.739557&lt;/D&gt;&lt;/FQL&gt;&lt;FQL&gt;&lt;Q&gt;EWL^PERCENT_CHANGE(FMA_EPS(+1,0,,,,"PORTAGG","MEAN"),FMA_EPS(+1,-1AM,,,,"PORTAGG","MEAN"))&lt;/Q&gt;&lt;R&gt;1&lt;/R&gt;&lt;C&gt;1&lt;/C&gt;&lt;D xsi:type="xsd:double"&gt;2.42405721924344&lt;/D&gt;&lt;/FQL&gt;&lt;FQL&gt;&lt;Q&gt;EWG^FG_TOTAL_RETURNC(0,-1AM)&lt;/Q&gt;&lt;R&gt;1&lt;/R&gt;&lt;C&gt;1&lt;/C&gt;&lt;D xsi:type="xsd:double"&gt;5.2528024&lt;/D&gt;&lt;/FQL&gt;&lt;FQL&gt;&lt;Q&gt;EWA^FG_TOTAL_RETURNC(0,-6AM)&lt;/Q&gt;&lt;R&gt;1&lt;/R&gt;&lt;C&gt;1&lt;/C&gt;&lt;D xsi:type="xsd:double"&gt;12.061798&lt;/D&gt;&lt;/FQL&gt;&lt;FQL&gt;&lt;Q&gt;FXI^FMA_COS_DOWN("EPS","1M",+1,0,,,"PORTAGG","MEANR")&lt;/Q&gt;&lt;R&gt;1&lt;/R&gt;&lt;C&gt;1&lt;/C&gt;&lt;D xsi:type="xsd:double"&gt;22&lt;/D&gt;&lt;/FQL&gt;&lt;FQL&gt;&lt;Q&gt;VGK^FMA_COS_UP("EPS","1M",+1,0,,,"PORTAGG","MEANR")&lt;/Q&gt;&lt;R&gt;1&lt;/R&gt;&lt;C&gt;1&lt;/C&gt;&lt;D xsi:type="xsd:double"&gt;465&lt;/D&gt;&lt;/FQL&gt;&lt;FQL&gt;&lt;Q&gt;QQQ^SIZE(FG_CONSTITUENTS)&lt;/Q&gt;&lt;R&gt;1&lt;/R&gt;&lt;C&gt;1&lt;/C&gt;&lt;D xsi:type="xsd:long"&gt;102&lt;/D&gt;&lt;/FQL&gt;&lt;FQL&gt;&lt;Q&gt;EWC^FMA_COS_DOWN("EPS","1M",+1,0,,,"PORTAGG","MEANR")&lt;/Q&gt;&lt;R&gt;1&lt;/R&gt;&lt;C&gt;1&lt;/C&gt;&lt;D xsi:type="xsd:double"&gt;36&lt;/D&gt;&lt;/FQL&gt;&lt;FQL&gt;&lt;Q&gt;EWJ^FG_COMPANY_NAME&lt;/Q&gt;&lt;R&gt;1&lt;/R&gt;&lt;C&gt;1&lt;/C&gt;&lt;D xsi:type="xsd:string"&gt;iShares MSCI Japan ETF&lt;/D&gt;&lt;/FQL&gt;&lt;FQL&gt;&lt;Q&gt;EWA^FMA_RBICS_REV_CURRENT(30, LOC, "PORTAGG")&lt;/Q&gt;&lt;R&gt;1&lt;/R&gt;&lt;C&gt;1&lt;/C&gt;&lt;D xsi:type="xsd:double"&gt;40.999425073797&lt;/D&gt;&lt;/FQL&gt;&lt;FQL&gt;&lt;Q&gt;TRYSE10Y-FDS^FG_YIELD_NAME&lt;/Q&gt;&lt;R&gt;1&lt;/R&gt;&lt;C&gt;1&lt;/C&gt;&lt;D xsi:type="xsd:string"&gt;Sweden Benchmark Bond - 10 Year&lt;/D&gt;&lt;/FQL&gt;&lt;FQL&gt;&lt;Q&gt;SPY^FG_COMPANY_NAME&lt;/Q&gt;&lt;R&gt;1&lt;/R&gt;&lt;C&gt;1&lt;/C&gt;&lt;D xsi:type="xsd:string"&gt;SPDR S&amp;amp;P 500 ETF Trust&lt;/D&gt;&lt;/FQL&gt;&lt;FQL&gt;&lt;Q&gt;REFEUREFI-FDS^FG_YIELD(NOW,,,0)&lt;/Q&gt;&lt;R&gt;1&lt;/R&gt;&lt;C&gt;1&lt;/C&gt;&lt;D xsi:type="xsd:double"&gt;4.5&lt;/D&gt;&lt;/FQL&gt;&lt;FQL&gt;&lt;Q&gt;REFCHMPR-FDS^PROPER_NAME(0,,,"SECURITY","NAME")&lt;/Q&gt;&lt;R&gt;1&lt;/R&gt;&lt;C&gt;1&lt;/C&gt;&lt;D xsi:type="xsd:string"&gt;Swiss Policy Rate - Sight Deposit Rate&lt;/D&gt;&lt;/FQL&gt;&lt;FQL&gt;&lt;Q&gt;TRYIT10Y-FDS^PCTCHG(FG_YIELD(0,,,,"YTM"),FG_YIELD(-3AM,,,,"YTM"))&lt;/Q&gt;&lt;R&gt;1&lt;/R&gt;&lt;C&gt;1&lt;/C&gt;&lt;D xsi:type="xsd:double"&gt;2.967973&lt;/D&gt;&lt;/FQL&gt;&lt;FQL&gt;&lt;Q&gt;TRYJP10Y-FDS^PCTCHG(FG_YIELD(0,,,,"YTM"),FG_YIELD(-3AM,,,,"YTM"))&lt;/Q&gt;&lt;R&gt;1&lt;/R&gt;&lt;C&gt;1&lt;/C&gt;&lt;D xsi:type="xsd:double"&gt;49.656147&lt;/D&gt;&lt;/FQL&gt;&lt;FQL&gt;&lt;Q&gt;TRYNL10Y-FDS^FG_YIELD(0,,,,"YTM")&lt;/Q&gt;&lt;R&gt;1&lt;/R&gt;&lt;C&gt;1&lt;/C&gt;&lt;D xsi:type="xsd:double"&gt;2.933&lt;/D&gt;&lt;/FQL&gt;&lt;FQL&gt;&lt;Q&gt;TRYCA10Y-FDS^FG_YIELD(0,,,,"YTM")&lt;/Q&gt;&lt;R&gt;1&lt;/R&gt;&lt;C&gt;1&lt;/C&gt;&lt;D xsi:type="xsd:double"&gt;3.6301&lt;/D&gt;&lt;/FQL&gt;&lt;FQL&gt;&lt;Q&gt;CC_CA^IMF_IFS_RCPI_Q(0)&lt;/Q&gt;&lt;R&gt;1&lt;/R&gt;&lt;C&gt;1&lt;/C&gt;&lt;D xsi:type="xsd:double"&gt;2.8466706&lt;/D&gt;&lt;/FQL&gt;&lt;FQL&gt;&lt;Q&gt;VGK^JULIAN(FMA_DIV_YLD(NTMA,NOW,NOW,M,"PORTAGG","MEANR").DATES)&lt;/Q&gt;&lt;R&gt;1&lt;/R&gt;&lt;C&gt;1&lt;/C&gt;&lt;D xsi:type="xsd:long"&gt;45412&lt;/D&gt;&lt;/FQL&gt;&lt;FQL&gt;&lt;Q&gt;EWN^FMA_EVAL_EBITDA(NTMA,0,,,"PORTAGG","MEANR")&lt;/Q&gt;&lt;R&gt;1&lt;/R&gt;&lt;C&gt;1&lt;/C&gt;&lt;D xsi:type="xsd:double"&gt;12.4467109355692&lt;/D&gt;&lt;/FQL&gt;&lt;FQL&gt;&lt;Q&gt;SPY^FMA_DIV_YLD(NTMA,NOW,NOW,M,"PORTAGG","MEANR")&lt;/Q&gt;&lt;R&gt;1&lt;/R&gt;&lt;C&gt;1&lt;/C&gt;&lt;D xsi:type="xsd:double"&gt;1.4636113624261&lt;/D&gt;&lt;/FQL&gt;&lt;FQL&gt;&lt;Q&gt;EWU^FMA_PE(LTM,0,,,"PORTAGG","MEANR")&lt;/Q&gt;&lt;R&gt;1&lt;/R&gt;&lt;C&gt;1&lt;/C&gt;&lt;D xsi:type="xsd:double"&gt;12.8207655261288&lt;/D&gt;&lt;/FQL&gt;&lt;FQL&gt;&lt;Q&gt;EWG^FMA_EVAL_EBIT(LTMA,NOW,NOW,M,"PORTAGG","MEANR")&lt;/Q&gt;&lt;R&gt;1&lt;/R&gt;&lt;C&gt;1&lt;/C&gt;&lt;D xsi:type="xsd:double"&gt;13.4001088828955&lt;/D&gt;&lt;/FQL&gt;&lt;FQL&gt;&lt;Q&gt;EWA^FG_FCF_YIELD_NTM(0)&lt;/Q&gt;&lt;R&gt;1&lt;/R&gt;&lt;C&gt;1&lt;/C&gt;&lt;D xsi:type="xsd:double"&gt;5.15154279911116&lt;/D&gt;&lt;/FQL&gt;&lt;FQL&gt;&lt;Q&gt;EWL^FG_COMPANY_NAME&lt;/Q&gt;&lt;R&gt;1&lt;/R&gt;&lt;C&gt;1&lt;/C&gt;&lt;D xsi:type="xsd:string"&gt;iShares MSCI Switzerland ETF&lt;/D&gt;&lt;/FQL&gt;&lt;FQL&gt;&lt;Q&gt;USO^FG_TOTAL_RETURNC(0,-1AM)&lt;/Q&gt;&lt;R&gt;1&lt;/R&gt;&lt;C&gt;1&lt;/C&gt;&lt;D xsi:type="xsd:double"&gt;-4.5419693&lt;/D&gt;&lt;/FQL&gt;&lt;FQL&gt;&lt;Q&gt;GLD^FG_TOTAL_RETURNC(0,-1AM)&lt;/Q&gt;&lt;R&gt;1&lt;/R&gt;&lt;C&gt;1&lt;/C&gt;&lt;D xsi:type="xsd:double"&gt;1.6189218&lt;/D&gt;&lt;/FQL&gt;&lt;FQL&gt;&lt;Q&gt;ENZL^FMA_ROE(NTMA,-20AY,NOW,FY,"PORTAGG","MEANR")&lt;/Q&gt;&lt;R&gt;20&lt;/R&gt;&lt;C&gt;1&lt;/C&gt;&lt;D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xsi:type="xsd:double"&gt;5.4&lt;/D&gt;&lt;/FQL&gt;&lt;FQL&gt;&lt;Q&gt;CAGDPY@CA^EE_ACTUAL_ANNUAL(MED,+1)&lt;/Q&gt;&lt;R&gt;1&lt;/R&gt;&lt;C&gt;1&lt;/C&gt;&lt;D xsi:type="xsd:double"&gt;-0.8&lt;/D&gt;&lt;/FQL&gt;&lt;FQL&gt;&lt;Q&gt;USDITL^FG_PRICE_CHANGE(0,-3AM)&lt;/Q&gt;&lt;R&gt;1&lt;/R&gt;&lt;C&gt;1&lt;/C&gt;&lt;D xsi:type="xsd:double"&gt;-0.31779408&lt;/D&gt;&lt;/FQL&gt;&lt;FQL&gt;&lt;Q&gt;USDANG^FG_PRICE(0)&lt;/Q&gt;&lt;R&gt;1&lt;/R&gt;&lt;C&gt;1&lt;/C&gt;&lt;D xsi:type="xsd:double"&gt;1.79&lt;/D&gt;&lt;/FQL&gt;&lt;FQL&gt;&lt;Q&gt;USDUSD^STD(FG_PRICE_CHANGE(0,-3AY,M))&lt;/Q&gt;&lt;R&gt;1&lt;/R&gt;&lt;C&gt;1&lt;/C&gt;&lt;D xsi:type="xsd:double"&gt;0&lt;/D&gt;&lt;/FQL&gt;&lt;FQL&gt;&lt;Q&gt;USDCHF^FG_PRICE_CHANGE(0,-6AM)&lt;/Q&gt;&lt;R&gt;1&lt;/R&gt;&lt;C&gt;1&lt;/C&gt;&lt;D xsi:type="xsd:double"&gt;3.7490606&lt;/D&gt;&lt;/FQL&gt;&lt;FQL&gt;&lt;Q&gt;USDEUR^FG_PRICE_CHANGE(0,-1AM)&lt;/Q&gt;&lt;R&gt;1&lt;/R&gt;&lt;C&gt;1&lt;/C&gt;&lt;D xsi:type="xsd:double"&gt;-1.5060782&lt;/D&gt;&lt;/FQL&gt;&lt;FQL&gt;&lt;Q&gt;EWA^P_PRICE_RETURNS_PR('52W',2,-10AY,0,AM)&lt;/Q&gt;&lt;R&gt;121&lt;/R&gt;&lt;C&gt;1&lt;/C&gt;&lt;D xsi:type="xsd:double"&gt;11.27342&lt;/D&gt;&lt;D xsi:type="xsd:double"&gt;20.494186&lt;/D&gt;&lt;D xsi:type="xsd:double"&gt;19.030785&lt;/D&gt;&lt;D xsi:type="xsd:double"&gt;20.751774&lt;/D&gt;&lt;D xsi:type="xsd:double"&gt;-1.35625&lt;/D&gt;&lt;D xsi:type="xsd:double"&gt;-0.71719885&lt;/D&gt;&lt;D xsi:type="xsd:double"&gt;-3.4360647&lt;/D&gt;&lt;D xsi:type="xsd:double"&gt;-4.656953&lt;/D&gt;&lt;D x</t>
        </r>
      </text>
    </comment>
    <comment ref="A3" authorId="0" shapeId="0" xr:uid="{F7B879AA-640E-49C0-AE5B-503A46F72649}">
      <text>
        <r>
          <rPr>
            <b/>
            <sz val="9"/>
            <color indexed="81"/>
            <rFont val="Tahoma"/>
            <charset val="1"/>
          </rPr>
          <t>si:type="xsd:double"&gt;-1.3607144&lt;/D&gt;&lt;D xsi:type="xsd:double"&gt;-0.88799596&lt;/D&gt;&lt;D xsi:type="xsd:double"&gt;-7.389826&lt;/D&gt;&lt;D xsi:type="xsd:double"&gt;-7.5979233&lt;/D&gt;&lt;D xsi:type="xsd:double"&gt;-11.657154&lt;/D&gt;&lt;D xsi:type="xsd:double"&gt;-14.888782&lt;/D&gt;&lt;D xsi:type="xsd:double"&gt;-16.79867&lt;/D&gt;&lt;D xsi:type="xsd:double"&gt;-27.383387&lt;/D&gt;&lt;D xsi:type="xsd:double"&gt;-20.84092&lt;/D&gt;&lt;D xsi:type="xsd:double"&gt;-20.916193&lt;/D&gt;&lt;D xsi:type="xsd:double"&gt;-14.566308&lt;/D&gt;&lt;D xsi:type="xsd:double"&gt;-9.960371&lt;/D&gt;&lt;D xsi:type="xsd:double"&gt;-15.7730465&lt;/D&gt;&lt;D xsi:type="xsd:double"&gt;-23.17136&lt;/D&gt;&lt;D xsi:type="xsd:double"&gt;-11.020088&lt;/D&gt;&lt;D xsi:type="xsd:double"&gt;-11.872995&lt;/D&gt;&lt;D xsi:type="xsd:double"&gt;-9.1496105&lt;/D&gt;&lt;D xsi:type="xsd:double"&gt;-3.5823345&lt;/D&gt;&lt;D xsi:type="xsd:double"&gt;4.7514915&lt;/D&gt;&lt;D xsi:type="xsd:double"&gt;13.026058&lt;/D&gt;&lt;D xsi:type="xsd:double"&gt;21.586275&lt;/D&gt;&lt;D xsi:type="xsd:double"&gt;11.743725&lt;/D&gt;&lt;D xsi:type="xsd:double"&gt;11.622381&lt;/D&gt;&lt;D xsi:type="xsd:double"&gt;9.94482&lt;/D&gt;&lt;D xsi:type="xsd:double"&gt;25.3806&lt;/D&gt;&lt;D xsi:type="xsd:double"&gt;32.11827&lt;/D&gt;&lt;D xsi:type="xsd:double"&gt;21.861887&lt;/D&gt;&lt;D xsi:type="xsd:double"&gt;17.702663&lt;/D&gt;&lt;D xsi:type="xsd:double"&gt;15.051222&lt;/D&gt;&lt;D xsi:type="xsd:double"&gt;16.96211&lt;/D&gt;&lt;D xsi:type="xsd:double"&gt;14.023137&lt;/D&gt;&lt;D xsi:type="xsd:double"&gt;17.541862&lt;/D&gt;&lt;D xsi:type="xsd:double"&gt;13.532352&lt;/D&gt;&lt;D xsi:type="xsd:double"&gt;17.452824&lt;/D&gt;&lt;D xsi:type="xsd:double"&gt;16.892778&lt;/D&gt;&lt;D xsi:type="xsd:double"&gt;19.05055&lt;/D&gt;&lt;D xsi:type="xsd:double"&gt;17.188286&lt;/D&gt;&lt;D xsi:type="xsd:double"&gt;8.865595&lt;/D&gt;&lt;D xsi:type="xsd:double"&gt;1.3550639&lt;/D&gt;&lt;D xsi:type="xsd:double"&gt;3.4563422&lt;/D&gt;&lt;D xsi:type="xsd:double"&gt;9.977711&lt;/D&gt;&lt;D xsi:type="xsd:double"&gt;8.347929&lt;/D&gt;&lt;D xsi:type="xsd:double"&gt;5.478823&lt;/D&gt;&lt;D xsi:type="xsd:double"&gt;3.7284255&lt;/D&gt;&lt;D xsi:type="xsd:double"&gt;3.3913374&lt;/D&gt;&lt;D xsi:type="xsd:double"&gt;-5.197912&lt;/D&gt;&lt;D xsi:type="xsd:double"&gt;-4.5717773&lt;/D&gt;&lt;D xsi:type="xsd:double"&gt;-12.024254&lt;/D&gt;&lt;D xsi:type="xsd:double"&gt;-8.275485&lt;/D&gt;&lt;D xsi:type="xsd:double"&gt;-1.2551844&lt;/D&gt;&lt;D xsi:type="xsd:double"&gt;3.486383&lt;/D&gt;&lt;D xsi:type="xsd:double"&gt;3.8865685&lt;/D&gt;&lt;D xsi:type="xsd:double"&gt;2.2782207&lt;/D&gt;&lt;D xsi:type="xsd:double"&gt;6.216693&lt;/D&gt;&lt;D xsi:type="xsd:double"&gt;3.6228418&lt;/D&gt;&lt;D xsi:type="xsd:double"&gt;1.1743426&lt;/D&gt;&lt;D xsi:type="xsd:double"&gt;6.6039085&lt;/D&gt;&lt;D xsi:type="xsd:double"&gt;15.910351&lt;/D&gt;&lt;D xsi:type="xsd:double"&gt;15.106928&lt;/D&gt;&lt;D xsi:type="xsd:double"&gt;22.4123&lt;/D&gt;&lt;D xsi:type="xsd:double"&gt;12.524784&lt;/D&gt;&lt;D xsi:type="xsd:double"&gt;-1.5908062&lt;/D&gt;&lt;D xsi:type="xsd:double"&gt;-24.839771&lt;/D&gt;&lt;D xsi:type="xsd:double"&gt;-18.531345&lt;/D&gt;&lt;D xsi:type="xsd:double"&gt;-13.654709&lt;/D&gt;&lt;D xsi:type="xsd:double"&gt;-11.505604&lt;/D&gt;&lt;D xsi:type="xsd:double"&gt;-8.036107&lt;/D&gt;&lt;D xsi:type="xsd:double"&gt;-0.73797107&lt;/D&gt;&lt;D xsi:type="xsd:double"&gt;-8.258713&lt;/D&gt;&lt;D xsi:type="xsd:double"&gt;-9.928715&lt;/D&gt;&lt;D xsi:type="xsd:double"&gt;3.0126095&lt;/D&gt;&lt;D xsi:type="xsd:double"&gt;8.265495&lt;/D&gt;&lt;D xsi:type="xsd:double"&gt;6.42128&lt;/D&gt;&lt;D xsi:type="xsd:double"&gt;18.37864&lt;/D&gt;&lt;D xsi:type="xsd:double"&gt;63.262524&lt;/D&gt;&lt;D xsi:type="xsd:double"&gt;55.437447&lt;/D&gt;&lt;D xsi:type="xsd:double"&gt;48.008095&lt;/D&gt;&lt;D xsi:type="xsd:double"&gt;37.86012&lt;/D&gt;&lt;D xsi:type="xsd:double"&gt;29.80746&lt;/D&gt;&lt;D xsi:type="xsd:double"&gt;27.485788&lt;/D&gt;&lt;D xsi:type="xsd:double"&gt;28.69928&lt;/D&gt;&lt;D xsi:type="xsd:double"&gt;36.167408&lt;/D&gt;&lt;D xsi:type="xsd:double"&gt;10.085308&lt;/D&gt;&lt;D xsi:type="xsd:double"&gt;8.950353&lt;/D&gt;&lt;D xsi:type="xsd:double"&gt;1.0624886&lt;/D&gt;&lt;D xsi:type="xsd:double"&gt;3.1167507&lt;/D&gt;&lt;D xsi:type="xsd:double"&gt;12.041283&lt;/D&gt;&lt;D xsi:type="xsd:double"&gt;-1.8955946&lt;/D&gt;&lt;D xsi:type="xsd:double"&gt;-3.00681&lt;/D&gt;&lt;D xsi:type="xsd:double"&gt;-12.610107&lt;/D&gt;&lt;D xsi:type="xsd:double"&gt;-6.4942956&lt;/D&gt;&lt;D xsi:type="xsd:double"&gt;-9.559631&lt;/D&gt;&lt;D xsi:type="xsd:double"&gt;-15.423012&lt;/D&gt;&lt;D xsi:type="xsd:double"&gt;-16.217201&lt;/D&gt;&lt;D xsi:type="xsd:double"&gt;3.624761&lt;/D&gt;&lt;D xsi:type="xsd:double"&gt;-6.4979553&lt;/D&gt;&lt;D xsi:type="xsd:double"&gt;14.452875&lt;/D&gt;&lt;D xsi:type="xsd:double"&gt;0.037443638&lt;/D&gt;&lt;D xsi:type="xsd:double"&gt;-8.732128&lt;/D&gt;&lt;D xsi:type="xsd:double"&gt;-2.5924623&lt;/D&gt;&lt;D xsi:type="xsd:double"&gt;-6.819439&lt;/D&gt;&lt;D xsi:type="xsd:double"&gt;10.292578&lt;/D&gt;&lt;D xsi:type="xsd:double"&gt;6.617248&lt;/D&gt;&lt;D xsi:type="xsd:double"&gt;5.2086234&lt;/D&gt;&lt;D xsi:type="xsd:double"&gt;11.6234665&lt;/D&gt;&lt;D xsi:type="xsd:double"&gt;3.887701&lt;/D&gt;&lt;D xsi:type="xsd:double"&gt;-1.6450107&lt;/D&gt;&lt;D xsi:type="xsd:double"&gt;13.24848&lt;/D&gt;&lt;D xsi:type="xsd:double"&gt;-1.1974692&lt;/D&gt;&lt;D xsi:type="xsd:double"&gt;8.716261&lt;/D&gt;&lt;D xsi:type="xsd:double"&gt;14.737356&lt;/D&gt;&lt;D xsi:type="xsd:double"&gt;4.8882484&lt;/D&gt;&lt;D xsi:type="xsd:double"&gt;17.20804&lt;/D&gt;&lt;/FQL&gt;&lt;FQL&gt;&lt;Q&gt;SPY^FMA_PE(NTMA,-10AY,0,AM,"PORTAGG","MEANR")&lt;/Q&gt;&lt;R&gt;121&lt;/R&gt;&lt;C&gt;1&lt;/C&gt;&lt;D xsi:type="xsd:double"&gt;15.1972418974431&lt;/D&gt;&lt;D xsi:type="xsd:double"&gt;15.3598789871011&lt;/D&gt;&lt;D xsi:type="xsd:double"&gt;14.8993398538785&lt;/D&gt;&lt;D xsi:type="xsd:double"&gt;15.3577342548639&lt;/D&gt;&lt;D xsi:type="xsd:double"&gt;15.0329874489975&lt;/D&gt;&lt;D xsi:type="xsd:double"&gt;15.4981269408046&lt;/D&gt;&lt;D xsi:type="xsd:double"&gt;15.8455797276342&lt;/D&gt;&lt;D xsi:type="xsd:double"&gt;15.9714623301085&lt;/D&gt;&lt;D xsi:type="xsd:double"&gt;16.0390602016943&lt;/D&gt;&lt;D xsi:type="xsd:double"&gt;16.9007316344402&lt;/D&gt;&lt;D xsi:type="xsd:double"&gt;16.4786587537508&lt;/D&gt;&lt;D xsi:type="xsd:double"&gt;16.550809312854&lt;/D&gt;&lt;D xsi:type="xsd:double"&gt;16.545466872968&lt;/D&gt;&lt;D xsi:type="xsd:double"&gt;16.0969758291435&lt;/D&gt;&lt;D xsi:type="xsd:double"&gt;16.4284707165386&lt;/D&gt;&lt;D xsi:type="xsd:double"&gt;15.3510588136906&lt;/D&gt;&lt;D xsi:type="xsd:double"&gt;14.9497270784572&lt;/D&gt;&lt;D xsi:type="xsd:double"&gt;16.2707714578122&lt;/D&gt;&lt;D xsi:type="xsd:double"&gt;16.2490757069104&lt;/D&gt;&lt;D xsi:type="xsd:double"&gt;15.991430392029&lt;/D&gt;&lt;D xsi:type="xsd:double"&gt;15.5099438140132&lt;/D&gt;&lt;D xsi:type="xsd:double"&gt;15.5167363536305&lt;/D&gt;&lt;D xsi:type="xsd:double"&gt;16.5004635460184&lt;/D&gt;&lt;D xsi:type="xsd:double"&gt;16.5226770167304&lt;/D&gt;&lt;D xsi:type="xsd:double"&gt;16.5915096363715&lt;/D&gt;&lt;D xsi:type="xsd:double"&gt;16.4947111918806&lt;/D&gt;&lt;D xsi:type="xsd:double"&gt;16.9727355062268&lt;/D&gt;&lt;D xsi:type="xsd:double"&gt;16.7753633427191&lt;/D&gt;&lt;D xsi:type="xsd:double"&gt;16.6490222435307&lt;/D&gt;&lt;D xsi:type="xsd:double"&gt;16.1941216076089&lt;/D&gt;&lt;D xsi:type="xsd:double"&gt;16.6787826269209&lt;/D&gt;&lt;D xsi:type="xsd:double"&gt;16.8042774932923&lt;/D&gt;&lt;D xsi:type="xsd:double"&gt;17.0586133299669&lt;/D&gt;&lt;D xsi:type="xsd:double"&gt;17.6584703048047&lt;/D&gt;&lt;D xsi:type="xsd:double"&gt;17.5096202630589&lt;/D&gt;&lt;D xsi:type="xsd:double"&gt;17.4451564315849&lt;/D&gt;&lt;D xsi:type="xsd:double"&gt;17.4850708746702&lt;/D&gt;&lt;D xsi:type="xsd:double"&gt;17.4139594236772&lt;/D&gt;&lt;D xsi:type="xsd:double"&gt;17.6335942964245&lt;/D&gt;&lt;D xsi:type="xsd:double"&gt;17.5004353800958&lt;/D&gt;&lt;D xsi:type="xsd:double"&gt;17.7326589226952&lt;/D&gt;&lt;D xsi:type="xsd:double"&gt;17.9392460199811&lt;/D&gt;&lt;D xsi:type="xsd:double"&gt;18.2431706573784&lt;/D&gt;&lt;D xsi:type="xsd:double"&gt;18.1253195758661&lt;/D&gt;&lt;D xsi:type="xsd:double"&gt;18.0072792101675&lt;/D&gt;&lt;D xsi:type="xsd:double"&gt;16.8778820674624&lt;/D&gt;&lt;D xsi:type="xsd:double"&gt;16.3326334585674&lt;/D&gt;&lt;D xsi:type="xsd:double"&gt;16.0751455820917&lt;/D&gt;&lt;D xsi:type="xsd:double"&gt;16.1773488905342&lt;/D&gt;&lt;D xsi:type="xsd:double"&gt;16.1229719405181&lt;/D&gt;&lt;D xsi:type="xsd:double"&gt;16.4759223970176&lt;/D&gt;&lt;D xsi:type="xsd:double"&gt;16.8103827441345&lt;/D&gt;&lt;D xsi:type="xsd:double"&gt;16.7792914495823&lt;/D&gt;&lt;D xsi:type="xsd:double"&gt;15.4886956985307&lt;/D&gt;&lt;D xsi:type="xsd:double"&gt;15.7392730597703&lt;/D&gt;&lt;D xsi:type="xsd:double"&gt;14.3997586310989&lt;/D&gt;&lt;D xsi:type="xsd:double"&gt;15.7584852838784&lt;/D&gt;&lt;D xsi:type="xsd:double"&gt;16.2188096213021&lt;/D&gt;&lt;D xsi:type="xsd:double"&gt;16.4297279067491&lt;/D&gt;&lt;D xsi:type="xsd:double"&gt;16.918644927487&lt;/D&gt;&lt;D xsi:type="xsd:double"&gt;15.6848930281418&lt;/D&gt;&lt;D xsi:type="xsd:double"&gt;16.7334242570441&lt;/D&gt;&lt;D xsi:type="xsd:double"&gt;16.9326194620502&lt;/D&gt;&lt;D xsi:type="xsd:double"&gt;16.5612797272388&lt;/D&gt;&lt;D xsi:type="xsd:double"&gt;16.7958989911584&lt;/D&gt;&lt;D xsi:type="xsd:double"&gt;17.1735129176193&lt;/D&gt;&lt;D xsi:type="xsd:double"&gt;17.7141978000442&lt;/D&gt;&lt;D xsi:type="xsd:double"&gt;18.1539903657972&lt;/D&gt;&lt;D xsi:type="xsd:double"&gt;18.0535864909754&lt;/D&gt;&lt;D xsi:type="xsd:double"&gt;16.5763462992433&lt;/D&gt;&lt;D xsi:type="xsd:double"&gt;15.5863705439929&lt;/D&gt;&lt;D xsi:type="xsd:double"&gt;20.3547536093809&lt;/D&gt;&lt;D xsi:type="xsd:double"&gt;21.6721592936287&lt;/D&gt;&lt;D xsi:type="xsd:double"&gt;21.6867494651205&lt;/D&gt;&lt;D xsi:type="xsd:double"&gt;21.9340536091396&lt;/D&gt;&lt;D xsi:type="xsd:double"&gt;22.868013290548&lt;/D&gt;&lt;D xsi:type="xsd:double"&gt;21.5283100425293&lt;/D&gt;&lt;D xsi:type="xsd:double"&gt;20.2298039962337&lt;/D&gt;&lt;D xsi:type="xsd:double"&gt;21.7705530959548&lt;/D&gt;&lt;D xsi:type="xsd:double"&gt;22.4393922440473&lt;/D&gt;&lt;D xsi:type="xsd:double"&gt;21.3120607334042&lt;/D&gt;&lt;D xsi:type="xsd:double"&gt;21.3859405349516&lt;/D&gt;&lt;D xsi:type="xsd:double"&gt;21.8308982112781&lt;/D&gt;&lt;D xsi:type="xsd:double"&gt;21.6513602535872&lt;/D&gt;&lt;D xsi:type="xsd:double"&gt;21.2541114686894&lt;/D&gt;&lt;D xsi:type="xsd:double"&gt;21.3504940478911&lt;/D&gt;&lt;D xsi:type="xsd:double"&gt;20.9654683060067&lt;/D&gt;&lt;D xsi:type="xsd:double"&gt;21.2251142889785&lt;/D&gt;&lt;D xsi:type="xsd:double"&gt;20.1161723526364&lt;/D&gt;&lt;D xsi:type="xsd:double"&gt;21.1688060426535&lt;/D&gt;&lt;D xsi:type="xsd:double"&gt;20.688219588369&lt;/D&gt;&lt;D xsi:type="xsd:double"&gt;21.3209246647739&lt;/D&gt;&lt;D xsi:type="xsd:double"&gt;19.9418730343545&lt;/D&gt;&lt;D xsi:type="xsd:double"&gt;19.1028318178253&lt;/D&gt;&lt;D xsi:type="xsd:double"&gt;19.4419015281017&lt;/D&gt;&lt;D xsi:type="xsd:double"&gt;17.5400421003117&lt;/D&gt;&lt;D xsi:type="xsd:double"&gt;17.3531229904437&lt;/D&gt;&lt;D xsi:type="xsd:double"&gt;15.7972345302635&lt;/D&gt;&lt;D xsi:type="xsd:double"&gt;17.4326538282806&lt;/D&gt;&lt;D xsi:type="xsd:double"&gt;16.6518163093042&lt;/D&gt;&lt;D xsi:type="xsd:double"&gt;15.1562944997678&lt;/D&gt;&lt;D xsi:type="xsd:double"&gt;16.6869703640217&lt;/D&gt;&lt;D xsi:type="xsd:double"&gt;17.6282717656537&lt;/D&gt;&lt;D xsi:type="xsd:double"&gt;16.650131237619&lt;/D&gt;&lt;D xsi:type="xsd:double"&gt;17.9683497530464&lt;/D&gt;&lt;D xsi:type="xsd:double"&gt;17.4942955155514&lt;/D&gt;&lt;D xsi:type="xsd:double"&gt;18.0597010934251&lt;/D&gt;&lt;D xsi:type="xsd:double"&gt;18.1738024511627&lt;/D&gt;&lt;D xsi:type="xsd:double"&gt;18.0319625173079&lt;/D&gt;&lt;D xsi:type="xsd:double"&gt;19.13965126229&lt;/D&gt;&lt;D xsi:type="xsd:double"&gt;19.5656438235044&lt;/D&gt;&lt;D xsi:type="xsd:double"&gt;18.8629881179325&lt;/D&gt;&lt;D xsi:type="xsd:double"&gt;17.8412646628174&lt;/D&gt;&lt;D xsi:type="xsd:double"&gt;17.3449449231255&lt;/D&gt;&lt;D xsi:type="xsd:double"&gt;18.7237808627055&lt;/D&gt;&lt;D xsi:type="xsd:double"&gt;19.5251873155661&lt;/D&gt;&lt;D xsi:type="xsd:double"&gt;19.7840390328127&lt;/D&gt;&lt;D xsi:type="xsd:double"&gt;20.4877360595346&lt;/D&gt;&lt;D xsi:type="xsd:double"&gt;20.9578601445582&lt;/D&gt;&lt;D xsi:type="xsd:double"&gt;19.831246872954&lt;/D&gt;&lt;D xsi:type="xsd:double"&gt;20.3156903048109&lt;/D&gt;&lt;/FQL&gt;&lt;FQL&gt;&lt;Q&gt;WL-FDS^FG_PRICE_CHANGE(0,-3AM)&lt;/Q&gt;&lt;R&gt;1&lt;/R&gt;&lt;C&gt;1&lt;/C&gt;&lt;D xsi:type="xsd:double"&gt;-11.9330190212973&lt;/D&gt;&lt;/FQL&gt;&lt;FQL&gt;&lt;Q&gt;CPALM-FDS^FG_PRICE(0)&lt;/Q&gt;&lt;R&gt;1&lt;/R&gt;&lt;C&gt;1&lt;/C&gt;&lt;D xsi:type="xsd:double"&gt;4069&lt;/D&gt;&lt;/FQL&gt;&lt;FQL&gt;&lt;Q&gt;EWI^FG_PRICE(0)&lt;/Q&gt;&lt;R&gt;1&lt;/R&gt;&lt;C&gt;1&lt;/C&gt;&lt;D xsi:type="xsd:double"&gt;38.83&lt;/D&gt;&lt;/FQL&gt;&lt;FQL&gt;&lt;Q&gt;EWG^FG_PRICE(0)&lt;/Q&gt;&lt;R&gt;1&lt;/R&gt;&lt;C&gt;1&lt;/C&gt;&lt;D xsi:type="xsd:double"&gt;32.06&lt;/D&gt;&lt;/FQL&gt;&lt;FQL&gt;&lt;Q&gt;QQQ^FG_COMPANY_NAME&lt;/Q&gt;&lt;R&gt;1&lt;/R&gt;&lt;C&gt;1&lt;/C&gt;&lt;D xsi:type="xsd:string"&gt;Invesco QQQ Trust Series I&lt;/D&gt;&lt;/FQL&gt;&lt;FQL&gt;&lt;Q&gt;URTH^FG_TOTAL_RETURNC(0,-12AM)&lt;/Q&gt;&lt;R&gt;1&lt;/R&gt;&lt;C&gt;1&lt;/C&gt;&lt;D xsi:type="xsd:double"&gt;25.088871&lt;/D&gt;&lt;/FQL&gt;&lt;FQL&gt;&lt;Q&gt;VGK^FG_TOTAL_RETURNC(0,-12AM)&lt;/Q&gt;&lt;R&gt;1&lt;/R&gt;&lt;C&gt;1&lt;/C&gt;&lt;D xsi:type="xsd:double"&gt;20.10889&lt;/D&gt;&lt;/FQL&gt;&lt;FQL&gt;&lt;Q&gt;EWN^FMA_PCT_ABOVE_MAVG(200,0,,,,"PORTAGG")&lt;/Q&gt;&lt;R&gt;1&lt;/R&gt;&lt;C&gt;1&lt;/C&gt;&lt;D xsi:type="xsd:double"&gt;68.5185185185185&lt;/D&gt;&lt;/FQL&gt;&lt;FQL&gt;&lt;Q&gt;EWJ^PERCENT_CHANGE(FMA_EPS(+1,0,,,,"PORTAGG","MEAN"),FMA_EPS(+1,-3AM,,,,"PORTAGG","MEAN"))&lt;/Q&gt;&lt;R&gt;1&lt;/R&gt;&lt;C&gt;1&lt;/C&gt;&lt;D xsi:type="xsd:double"&gt;-3.66648090028033&lt;/D&gt;&lt;/FQL&gt;&lt;FQL&gt;&lt;Q&gt;EWC^FG_TOTAL_RETURNC(0,-1AM)&lt;/Q&gt;&lt;R&gt;1&lt;/R&gt;&lt;C&gt;1&lt;/C&gt;&lt;D xsi:type="xsd:double"&gt;3.6294699&lt;/D&gt;&lt;/FQL&gt;&lt;FQL&gt;&lt;Q&gt;ENZL^FG_TOTAL_RETURNC(0,-3AM)&lt;/Q&gt;&lt;R&gt;1&lt;/R&gt;&lt;C&gt;1&lt;/C&gt;&lt;D xsi:type="xsd:double"&gt;3.5745978&lt;/D&gt;&lt;/FQL&gt;&lt;FQL&gt;&lt;Q&gt;VWO^SIZE(FG_CONSTITUENTS)&lt;/Q&gt;&lt;R&gt;1&lt;/R&gt;&lt;C&gt;1&lt;/C&gt;&lt;D xsi:type="xsd:long"&gt;4781&lt;/D&gt;&lt;/FQL&gt;&lt;FQL&gt;&lt;Q&gt;EWQ^FMA_COS_UP("EPS","1M",+1,0,,,"PORTAGG","MEANR")&lt;/Q&gt;&lt;R&gt;1&lt;/R&gt;&lt;C&gt;1&lt;/C&gt;&lt;D xsi:type="xsd:double"&gt;27&lt;/D&gt;&lt;/FQL&gt;&lt;FQL&gt;&lt;Q&gt;EWG^FMA_COS_DOWN("EPS","1M",+1,0,,,"PORTAGG","MEANR")&lt;/Q&gt;&lt;R&gt;1&lt;/R&gt;&lt;C&gt;1&lt;/C&gt;&lt;D xsi:type="xsd:double"&gt;25&lt;/D&gt;&lt;/FQL&gt;&lt;FQL&gt;&lt;Q&gt;EWC^FMA_RBICS_REV_CURRENT(30, LOC, "PORTAGG")&lt;/Q&gt;&lt;R&gt;1&lt;/R&gt;&lt;C&gt;1&lt;/C&gt;&lt;D xsi:type="xsd:double"&gt;40.0308181746705&lt;/D&gt;&lt;/FQL&gt;&lt;FQL&gt;&lt;Q&gt;CC_NL^IMF_IFS_RCPI_Q(0)&lt;/Q&gt;&lt;R&gt;1&lt;/R&gt;&lt;C&gt;1&lt;/C&gt;&lt;D xsi:type="xsd:double"&gt;3.0237906&lt;/D&gt;&lt;/FQL&gt;&lt;FQL&gt;&lt;Q&gt;VWO^JULIAN(FMA_DIV_YLD(NTMA,NOW,NOW,M,"PORTAGG","MEANR").DATES)&lt;/Q&gt;&lt;R&gt;1&lt;/R&gt;&lt;C&gt;1&lt;/C&gt;&lt;D xsi:type="xsd:long"&gt;45412&lt;/D&gt;&lt;/FQL&gt;&lt;FQL&gt;&lt;Q&gt;EWD^FG_FCF_YIELD_NTM(0)&lt;/Q&gt;&lt;R&gt;1&lt;/R&gt;&lt;C&gt;1&lt;/C&gt;&lt;D xsi:type="xsd:double"&gt;5.04424688505214&lt;/D&gt;&lt;/FQL&gt;&lt;FQL&gt;&lt;Q&gt;EWQ^FMA_PE(LTM,0,,,"PORTAGG","MEANR")&lt;/Q&gt;&lt;R&gt;1&lt;/R&gt;&lt;C&gt;1&lt;/C&gt;&lt;D xsi:type="xsd:double"&gt;16.3295731951592&lt;/D&gt;&lt;/FQL&gt;&lt;FQL&gt;&lt;Q&gt;EWU^FMA_EVAL_EBITDA(NTMA,0,,,"PORTAGG","MEANR")&lt;/Q&gt;&lt;R&gt;1&lt;/R&gt;&lt;C&gt;1&lt;/C&gt;&lt;D xsi:type="xsd:double"&gt;7.50357356181292&lt;/D&gt;&lt;/FQL&gt;&lt;FQL&gt;&lt;Q&gt;EWJ^FMA_PE(NTMA,0,,,"PORTAGG","MEANR")&lt;/Q&gt;&lt;R&gt;1&lt;/R&gt;&lt;C&gt;1&lt;/C&gt;&lt;D xsi:type="xsd:double"&gt;15.4383438074015&lt;/D&gt;&lt;/FQL&gt;&lt;FQL&gt;&lt;Q&gt;EWA^FMA_EVAL_EBIT(LTMA,NOW,NOW,M,"PORTAGG","MEANR")&lt;/Q&gt;&lt;R&gt;1&lt;/R&gt;&lt;C&gt;1&lt;/C&gt;&lt;D xsi:type="xsd:double"&gt;12.4031201472173&lt;/D&gt;&lt;/FQL&gt;&lt;FQL&gt;&lt;Q&gt;EWN^FG_COMPANY_NAME&lt;/Q&gt;&lt;R&gt;1&lt;/R&gt;&lt;C&gt;1&lt;/C&gt;&lt;D xsi:type="xsd:string"&gt;iShares MSCI Netherlands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xsi:type="xsd:double"&gt;12.8750463355076&lt;/D&gt;&lt;D xsi:type="xsd:double"&gt;11.2075006645331&lt;/D&gt;&lt;D xsi:type="xsd:double"&gt;13.9275873524292&lt;/D&gt;&lt;D xsi:type="xsd:double"&gt;15.8682653993366&lt;/D&gt;&lt;D xsi:type="xsd:double"&gt;14.7207288829901&lt;/D&gt;&lt;/FQL&gt;&lt;FQL&gt;&lt;Q&gt;TRYQA10Y-FDS^FG_YIELD(-10AY,0,Y,,"YTM")&lt;/Q&gt;&lt;R&gt;10&lt;/R&gt;&lt;C&gt;1&lt;/C&gt;&lt;D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xsi:type="xsd:double"&gt;3.67789542177964&lt;/D&gt;&lt;D xsi:type="xsd:double"&gt;4.61613856769821&lt;/D&gt;&lt;D xsi:type="xsd:double"&gt;4.46089543101883&lt;/D&gt;&lt;D xsi:type="xsd:double"&gt;4.5665392599763&lt;/D&gt;&lt;/FQL&gt;&lt;FQL&gt;&lt;Q&gt;EWD^FMA_DIV_YLD(NTMA,-10AY,0,AM,"PORTAGG","MEANR")&lt;/Q&gt;&lt;R&gt;121&lt;/R&gt;&lt;C&gt;1&lt;/C&gt;&lt;D xsi:type="xsd:double"&gt;4.01238401400224&lt;/D&gt;&lt;D xsi:type="xsd:double"&gt;4.14235487318192&lt;/D&gt;&lt;D xsi:type="xsd:double"&gt;4.22819934477658&lt;/D&gt;&lt;D xsi:type="xsd:double"&gt;4.21684436152782&lt;/D&gt;&lt;D xsi:type="xsd:double"&gt;4.2038214346268&lt;/D&gt;&lt;D xsi:type="xsd:double"&gt;4.17581124548666&lt;/D&gt;&lt;D xsi:type="xsd:double"&gt;4.08056320879611&lt;/D&gt;&lt;D xsi:type="xsd:double"&gt;4.09244209913544&lt;/D&gt;&lt;D xsi:type="xsd:double"&gt;3.84971001423877&lt;/D&gt;&lt;D xsi:type="xsd:double"&gt;3.59445421457265&lt;/D&gt;&lt;D xsi:type="xsd:double"&gt;3.67165085769548&lt;/D&gt;&lt;D xsi:type="xsd:double"&gt;3.79715282883423&lt;/D&gt;&lt;D xsi:type="xsd:double"&gt;3.79279278099801&lt;/D&gt;&lt;D xsi:type="xsd:double"&gt;4.07651330287123&lt;/D&gt;&lt;D xsi:type="xsd:double"&gt;3.95540930877743&lt;/D&gt;&lt;D xsi:type="xsd:double"&gt;4.29970539980132&lt;/D&gt;&lt;D xsi:type="xsd:double"&gt;4.58001361323281&lt;/D&gt;&lt;D xsi:type="xsd:double"&gt;4.20417517764823&lt;/D&gt;&lt;D xsi:type="xsd:double"&gt;4.08428523262456&lt;/D&gt;&lt;D xsi:type="xsd:double"&gt;4.31327587806828&lt;/D&gt;&lt;D xsi:type="xsd:double"&gt;4.44125226129347&lt;/D&gt;&lt;D xsi:type="xsd:double"&gt;4.37272326157481&lt;/D&gt;&lt;D xsi:type="xsd:double"&gt;4.38600563545594&lt;/D&gt;&lt;D xsi:type="xsd:double"&gt;4.36143114167431&lt;/D&gt;&lt;D xsi:type="xsd:double"&gt;4.3734088202366&lt;/D&gt;&lt;D xsi:type="xsd:double"&gt;4.5139516406762&lt;/D&gt;&lt;D xsi:type="xsd:double"&gt;4.30723822955297&lt;/D&gt;&lt;D xsi:type="xsd:double"&gt;4.22952061712099&lt;/D&gt;&lt;D xsi:type="xsd:double"&gt;4.18832765952657&lt;/D&gt;&lt;D xsi:type="xsd:double"&gt;4.14527525373276&lt;/D&gt;&lt;D xsi:type="xsd:double"&gt;4.03261146257449&lt;/D&gt;&lt;D xsi:type="xsd:double"&gt;3.90395724923268&lt;/D&gt;&lt;D xsi:type="xsd:double"&gt;3.69833968143094&lt;/D&gt;&lt;D xsi:type="xsd:double"&gt;3.6475444971784&lt;/D&gt;&lt;D xsi:type="xsd:double"&gt;3.63049849076176&lt;/D&gt;&lt;D xsi:type="xsd:double"&gt;3.54135253784062&lt;/D&gt;&lt;D xsi:type="xsd:double"&gt;3.36906242553249&lt;/D&gt;&lt;D xsi:type="xsd:double"&gt;3.60866009285285&lt;/D&gt;&lt;D xsi:type="xsd:double"&gt;3.73804140896614&lt;/D&gt;&lt;D xsi:type="xsd:double"&gt;3.78014789485592&lt;/D&gt;&lt;D xsi:type="xsd:double"&gt;3.55487277913198&lt;/D&gt;&lt;D xsi:type="xsd:double"&gt;3.51678176354259&lt;/D&gt;&lt;D xsi:type="xsd:double"&gt;3.67535097398225&lt;/D&gt;&lt;D xsi:type="xsd:double"&gt;3.77433533207484&lt;/D&gt;&lt;D xsi:type="xsd:double"&gt;3.7577973844007&lt;/D&gt;&lt;D xsi:type="xsd:double"&gt;3.83889594769335&lt;/D&gt;&lt;D xsi:type="xsd:double"&gt;4.03733643537522&lt;/D&gt;&lt;D xsi:type="xsd:double"&gt;4.03620983251451&lt;/D&gt;&lt;D xsi:type="xsd:double"&gt;4.11654119455698&lt;/D&gt;&lt;D xsi:type="xsd:double"&gt;4.13224540751474&lt;/D&gt;&lt;D xsi:type="xsd:double"&gt;4.08072062719281&lt;/D&gt;&lt;D xsi:type="xsd:double"&gt;4.01946392634289&lt;/D&gt;&lt;D xsi:type="xsd:double"&gt;4.02562062467823&lt;/D&gt;&lt;D xsi:type="xsd:double"&gt;4.35328256036553&lt;/D&gt;&lt;D xsi:type="xsd:double"&gt;4.46122081358196&lt;/D&gt;&lt;D xsi:type="xsd:double"&gt;4.73856562537439&lt;/D&gt;&lt;D xsi:type="xsd:double"&gt;4.35120534413385&lt;/D&gt;&lt;D xsi:type="xsd:double"&gt;4.16382933288108&lt;/D&gt;&lt;D xsi:type="xsd:double"&gt;4.21418489544559&lt;/D&gt;&lt;D xsi:type="xsd:double"&gt;4.01325278457009&lt;/D&gt;&lt;D xsi:type="xsd:double"&gt;4.44006874496555&lt;/D&gt;&lt;D xsi:type="xsd:double"&gt;4.16855820315024&lt;/D&gt;&lt;D xsi:type="xsd:double"&gt;4.06480193929416&lt;/D&gt;&lt;D xsi:type="xsd:double"&gt;4.218100884622&lt;/D&gt;&lt;D xsi:type="xsd:double"&gt;3.904158962602&lt;/D&gt;&lt;D xsi:type="xsd:double"&gt;3.73587973776257&lt;/D&gt;&lt;D xsi:type="xsd:double"&gt;3.71438287245855&lt;/D&gt;&lt;D xsi:type="xsd:double"&gt;3.62646329948458&lt;/D&gt;&lt;D xsi:type="xsd:double"&gt;3.62938633069582&lt;/D&gt;&lt;D xsi:type="xsd:double"&gt;3.83213371744875&lt;/D&gt;&lt;D xsi:type="xsd:double"&gt;4.09096064998633&lt;/D&gt;&lt;D xsi:type="xsd:double"&gt;3.29314453267689&lt;/D&gt;&lt;D xsi:type="xsd:double"&gt;3.16114635595413&lt;/D&gt;&lt;D xsi:type="xsd:double"&gt;3.06954270042031&lt;/D&gt;&lt;D xsi:type="xsd:double"&gt;3.07720203974979&lt;/D&gt;&lt;D xsi:type="xsd:double"&gt;3.02409746435153&lt;/D&gt;&lt;D xsi:type="xsd:double"&gt;3.00568745069656&lt;/D&gt;&lt;D xsi:type="xsd:double"&gt;3.33006982345775&lt;/D&gt;&lt;D xsi:type="xsd:double"&gt;3.03365427948671&lt;/D&gt;&lt;D xsi:type="xsd:double"&gt;3.10752944200219&lt;/D&gt;&lt;D xsi:type="xsd:double"&gt;3.03296298377465&lt;/D&gt;&lt;D xsi:type="xsd:double"&gt;2.99054585448251&lt;/D&gt;&lt;D xsi:type="xsd:double"&gt;2.76338576176031&lt;/D&gt;&lt;D xsi:type="xsd:double"&gt;2.83949378994675&lt;/D&gt;&lt;D xsi:type="xsd:double"&gt;2.70485352903729&lt;/D&gt;&lt;D xsi:type="xsd:double"&gt;2.71509294408482&lt;/D&gt;&lt;D xsi:type="xsd:double"&gt;2.73377226526125&lt;/D&gt;&lt;D xsi:type="xsd:double"&gt;2.74668073000798&lt;/D&gt;&lt;D xsi:type="xsd:double"&gt;2.89107210637441&lt;/D&gt;&lt;D xsi:type="xsd:double"&gt;3.04446819194531&lt;/D&gt;&lt;D xsi:type="xsd:double"&gt;3.10066297169557&lt;/D&gt;&lt;D xsi:type="xsd:double"&gt;2.83243607318585&lt;/D&gt;&lt;D xsi:type="xsd:double"&gt;2.87266579806305&lt;/D&gt;&lt;D xsi:type="xsd:double"&gt;3.14735600064147&lt;/D&gt;&lt;D xsi:type="xsd:double"&gt;3.13625052893094&lt;/D&gt;&lt;D xsi:type="xsd:double"&gt;3.27519893619115&lt;/D&gt;&lt;D xsi:type="xsd:double"&gt;3.35464185982927&lt;/D&gt;&lt;D xsi:type="xsd:double"&gt;3.65239599841089&lt;/D&gt;&lt;D xsi:type="xsd:double"&gt;3.43703960025648&lt;/D&gt;&lt;D xsi:type="xsd:double"&gt;3.69855895847365&lt;/D&gt;&lt;D xsi:type="xsd:double"&gt;3.79156443937652&lt;/D&gt;&lt;D xsi:type="xsd:double"&gt;3.75508056057485&lt;/D&gt;&lt;D xsi:type="xsd:double"&gt;3.61569960794633&lt;/D&gt;&lt;D xsi:type="xsd:double"&gt;3.76642395091561&lt;/D&gt;&lt;D xsi:type="xsd:double"&gt;3.59201025511037&lt;/D&gt;&lt;D xsi:type="xsd:double"&gt;3.55284359218596&lt;/D&gt;&lt;D xsi:type="xsd:double"&gt;3.63055477297283&lt;/D&gt;&lt;D xsi:type="xsd:double"&gt;3.63869488743079&lt;/D&gt;&lt;D xsi:type="xsd:double"&gt;3.82974136238087&lt;/D&gt;&lt;D xsi:type="xsd:double"&gt;3.71306750072914&lt;/D&gt;&lt;D xsi:type="xsd:double"&gt;3.77785480112729&lt;/D&gt;&lt;D xsi:type="xsd:double"&gt;3.9427345699463&lt;/D&gt;&lt;D xsi:type="xsd:double"&gt;4.00795290468536&lt;/D&gt;&lt;D xsi:type="xsd:double"&gt;3.97621879701104&lt;/D&gt;&lt;D xsi:type="xsd:double"&gt;3.64080369242294&lt;/D&gt;&lt;D xsi:type="xsd:double"&gt;2.92065549436807&lt;/D&gt;&lt;D xsi:type="xsd:double"&gt;3.3505536088412&lt;/D&gt;&lt;D xsi:type="xsd:double"&gt;3.30623753592336&lt;/D&gt;&lt;D xsi:type="xsd:double"&gt;3.2305999509816&lt;/D&gt;&lt;D xsi:type="xsd:double"&gt;3.27458581335411&lt;/D&gt;&lt;D xsi:type="xsd:double"&gt;3.21957058157903&lt;/D&gt;&lt;/FQL&gt;&lt;FQL&gt;&lt;Q&gt;EWG^FMA_PE(LTMA,-10AY,0,AM,"PORTAGG","MEANR")&lt;/Q&gt;&lt;R&gt;121&lt;/R&gt;&lt;C&gt;1&lt;/C&gt;&lt;D xsi:type="xsd:double"&gt;14.7139062165845&lt;/D&gt;&lt;D xsi:type="xsd:double"&gt;14.5852851279965&lt;/D&gt;&lt;D xsi:type="xsd:double"&gt;14.2102224990751&lt;/D&gt;&lt;D xsi:type="xsd:double"&gt;14.1541128765517&lt;/D&gt;&lt;D xsi:type="xsd:double"&gt;14.0523575010898&lt;/D&gt;&lt;D xsi:type="xsd:double"&gt;13.7675510419231&lt;/D&gt;&lt;D xsi:type="xsd:double"&gt;14.5040611433695&lt;/D&gt;&lt;D xsi:type="xsd:double"&gt;14.3005596447529&lt;/D&gt;&lt;D xsi:type="xsd:double"&gt;15.4501111188346&lt;/D&gt;&lt;D xsi:type="xsd:double"&gt;16.4876845059821&lt;/D&gt;&lt;D xsi:type="xsd:double"&gt;16.5250129616904&lt;/D&gt;&lt;D xsi:type="xsd:double"&gt;16.2086574864787&lt;/D&gt;&lt;D xsi:type="xsd:double"&gt;15.9189706267038&lt;/D&gt;&lt;D xsi:type="xsd:double"&gt;15.4066731634345&lt;/D&gt;&lt;D xsi:type="xsd:double"&gt;15.4623519316004&lt;/D&gt;&lt;D xsi:type="xsd:double"&gt;14.4144997149727&lt;/D&gt;&lt;D xsi:type="xsd:double"&gt;13.8057172669835&lt;/D&gt;&lt;D xsi:type="xsd:double"&gt;14.5204785615287&lt;/D&gt;&lt;D xsi:type="xsd:double"&gt;15.0221866457845&lt;/D&gt;&lt;D xsi:type="xsd:double"&gt;14.0285507216998&lt;/D&gt;&lt;D xsi:type="xsd:double"&gt;12.9203121797463&lt;/D&gt;&lt;D xsi:type="xsd:double"&gt;12.6455940636623&lt;/D&gt;&lt;D xsi:type="xsd:double"&gt;12.7823942358322&lt;/D&gt;&lt;D xsi:type="xsd:double"&gt;12.8774956899626&lt;/D&gt;&lt;D xsi:type="xsd:double"&gt;12.9478407823057&lt;/D&gt;&lt;D xsi:type="xsd:double"&gt;12.6531602583139&lt;/D&gt;&lt;D xsi:type="xsd:double"&gt;13.1261045937001&lt;/D&gt;&lt;D xsi:type="xsd:double"&gt;13.4016988098601&lt;/D&gt;&lt;D xsi:type="xsd:double"&gt;13.577312567197&lt;/D&gt;&lt;D xsi:type="xsd:double"&gt;13.7907152249944&lt;/D&gt;&lt;D xsi:type="xsd:double"&gt;13.7223912085183&lt;/D&gt;&lt;D xsi:type="xsd:double"&gt;14.7976712735815&lt;/D&gt;&lt;D xsi:type="xsd:double"&gt;14.8035204396724&lt;/D&gt;&lt;D xsi:type="xsd:double"&gt;14.9651402877224&lt;/D&gt;&lt;D xsi:type="xsd:double"&gt;14.9705781965843&lt;/D&gt;&lt;D xsi:type="xsd:double"&gt;14.9052500055754&lt;/D&gt;&lt;D xsi:type="xsd:double"&gt;14.7632235527817&lt;/D&gt;&lt;D xsi:type="xsd:double"&gt;14.4898674106417&lt;/D&gt;&lt;D xsi:type="xsd:double"&gt;14.2839267154719&lt;/D&gt;&lt;D xsi:type="xsd:double"&gt;14.0651107985865&lt;/D&gt;&lt;D xsi:type="xsd:double"&gt;14.620290824259&lt;/D&gt;&lt;D xsi:type="xsd:double"&gt;15.1936640058717&lt;/D&gt;&lt;D xsi:type="xsd:double"&gt;15.2668492111483&lt;/D&gt;&lt;D xsi:type="xsd:double"&gt;15.2737781513871&lt;/D&gt;&lt;D xsi:type="xsd:double"&gt;15.3171741111833&lt;/D&gt;&lt;D xsi:type="xsd:double"&gt;14.2561362408636&lt;/D&gt;&lt;D xsi:type="xsd:double"&gt;14.0968131677569&lt;/D&gt;&lt;D xsi:type="xsd:double"&gt;14.1568036161807&lt;/D&gt;&lt;D xsi:type="xsd:double"&gt;13.9907187288819&lt;/D&gt;&lt;D xsi:type="xsd:double"&gt;13.8875658519637&lt;/D&gt;&lt;D xsi:type="xsd:double"&gt;14.1842015035427&lt;/D&gt;&lt;D xsi:type="xsd:double"&gt;14.0214033605298&lt;/D&gt;&lt;D xsi:type="xsd:double"&gt;13.90480165962&lt;/D&gt;&lt;D xsi:type="xsd:double"&gt;13.0693197740243&lt;/D&gt;&lt;D xsi:type="xsd:double"&gt;12.8828774173161&lt;/D&gt;&lt;D xsi:type="xsd:double"&gt;12.0117474275311&lt;/D&gt;&lt;D xsi:type="xsd:double"&gt;12.8093115058477&lt;/D&gt;&lt;D xsi:type="xsd:double"&gt;13.2194048887983&lt;/D&gt;&lt;D xsi:type="xsd:double"&gt;13.1627985387774&lt;/D&gt;&lt;D xsi:type="xsd:double"&gt;13.404609382727&lt;/D&gt;&lt;D xsi:type="xsd:double"&gt;13.0896201183251&lt;/D&gt;&lt;D xsi:type="xsd:double"&gt;13.4330279335727&lt;/D&gt;&lt;D xsi:type="xsd:double"&gt;13.5865996593443&lt;/D&gt;&lt;D xsi:type="xsd:double"&gt;13.5188905032313&lt;/D&gt;&lt;D xsi:type="xsd:double"&gt;14.0965748871289&lt;/D&gt;&lt;D xsi:type="xsd:double"&gt;14.749505900578&lt;/D&gt;&lt;D xsi:type="xsd:double"&gt;15.237152155503&lt;/D&gt;&lt;D xsi:type="xsd:double"&gt;15.4728375894394&lt;/D&gt;&lt;D xsi:type="xsd:double"&gt;15.0341086969967&lt;/D&gt;&lt;D xsi:type="xsd:double"&gt;14.0375587989804&lt;/D&gt;&lt;D xsi:type="xsd:double"&gt;13.8574665560313&lt;/D&gt;&lt;D xsi:type="xsd:double"&gt;15.0234054301475&lt;/D&gt;&lt;D xsi:type="xsd:double"&gt;16.1874562198896&lt;/D&gt;&lt;D xsi:type="xsd:double"&gt;17.6313154625719&lt;/D&gt;&lt;D xsi:type="xsd:double"&gt;18.4977538774007&lt;/D&gt;&lt;D xsi:type="xsd:double"&gt;19.974428188912&lt;/D&gt;&lt;D xsi:type="xsd:double"&gt;20.3685701659738&lt;/D&gt;&lt;D xsi:type="xsd:double"&gt;18.3927645225934&lt;/D&gt;&lt;D xsi:type="xsd:double"&gt;21.8058807140949&lt;/D&gt;&lt;D xsi:type="xsd:double"&gt;22.1267684635384&lt;/D&gt;&lt;D xsi:type="xsd:double"&gt;20.7439723697634&lt;/D&gt;&lt;D xsi:type="xsd:double"&gt;20.2950863016861&lt;/D&gt;&lt;D xsi:type="xsd:double"&gt;20.0572581335731&lt;/D&gt;&lt;D xsi:type="xsd:double"&gt;19.3918044331191&lt;/D&gt;&lt;D xsi:type="xsd:double"&gt;18.8793861133493&lt;/D&gt;&lt;D xsi:type="xsd:double"&gt;18.3232177204663&lt;/D&gt;&lt;D xsi:type="xsd:double"&gt;17.5383914581113&lt;/D&gt;&lt;D xsi:type="xsd:double"&gt;16.9150535535586&lt;/D&gt;&lt;D xsi:type="xsd:double"&gt;15.9285498545228&lt;/D&gt;&lt;D xsi:type="xsd:double"&gt;15.6146080613151&lt;/D&gt;&lt;D xsi:type="xsd:double"&gt;14.1168995762653&lt;/D&gt;&lt;D xsi:type="xsd:double"&gt;14.1378654604296&lt;/D&gt;&lt;D xsi:type="xsd:double"&gt;13.5606617935883&lt;/D&gt;&lt;D xsi:type="xsd:double"&gt;12.5328882361799&lt;/D&gt;&lt;D xsi:type="xsd:double"&gt;12.4465192684938&lt;/D&gt;&lt;D xsi:type="xsd:double"&gt;12.2663865298395&lt;/D&gt;&lt;D xsi:type="xsd:double"&gt;12.1142330690553&lt;/D&gt;&lt;D xsi:type="xsd:double"&gt;11.378829557802&lt;/D&gt;&lt;D xsi:type="xsd:double"&gt;11.4952851030175&lt;/D&gt;&lt;D xsi:type="xsd:double"&gt;10.6912817048378&lt;/D&gt;&lt;D xsi:type="xsd:double"&gt;10.1258062443327&lt;/D&gt;&lt;D xsi:type="xsd:double"&gt;10.4922317994643&lt;/D&gt;&lt;D xsi:type="xsd:double"&gt;11.1006442515832&lt;/D&gt;&lt;D xsi:type="xsd:double"&gt;10.4151947731043&lt;/D&gt;&lt;D xsi:type="xsd:double"&gt;11.4430864624447&lt;/D&gt;&lt;D xsi:type="xsd:double"&gt;11.3463293345368&lt;/D&gt;&lt;D xsi:type="xsd:double"&gt;11.3853145706614&lt;/D&gt;&lt;D xsi:type="xsd:double"&gt;11.4300404391818&lt;/D&gt;&lt;D xsi:type="xsd:double"&gt;11.18792351209&lt;/D&gt;&lt;D xsi:type="xsd:double"&gt;11.3062516655622&lt;/D&gt;&lt;D xsi:type="xsd:double"&gt;11.4392773519279&lt;/D&gt;&lt;D xsi:type="xsd:double"&gt;11.2484813367979&lt;/D&gt;&lt;D xsi:type="xsd:double"&gt;11.0545024951529&lt;/D&gt;&lt;D xsi:type="xsd:double"&gt;10.6824016187118&lt;/D&gt;&lt;D xsi:type="xsd:double"&gt;11.5993377259164&lt;/D&gt;&lt;D xsi:type="xsd:double"&gt;11.9633111578336&lt;/D&gt;&lt;D xsi:type="xsd:double"&gt;12.0634541949063&lt;/D&gt;&lt;D xsi:type="xsd:double"&gt;12.5082374868334&lt;/D&gt;&lt;D xsi:type="xsd:double"&gt;12.6044413095275&lt;/D&gt;&lt;D xsi:type="xsd:double"&gt;12.4902403236177&lt;/D&gt;&lt;D xsi:type="xsd:double"&gt;12.4901069564722&lt;/D&gt;&lt;/FQL&gt;&lt;FQL&gt;&lt;Q&gt;NI-FDS^FG_PRICE_MAVG(0,,,,30)&lt;/Q&gt;&lt;R&gt;1&lt;/R&gt;&lt;C&gt;1&lt;/C&gt;&lt;D xsi:type="xsd:double"&gt;19354.5&lt;/D&gt;&lt;/FQL&gt;&lt;FQL&gt;&lt;Q&gt;CAGDPY@GB^EE_ACTUAL_ANNUAL(MED,+1)&lt;/Q&gt;&lt;R&gt;1&lt;/R&gt;&lt;C&gt;1&lt;/C&gt;&lt;D xsi:type="xsd:double"&gt;-2.8&lt;/D&gt;&lt;/FQL&gt;&lt;FQL&gt;&lt;Q&gt;CC_JP^FG_COMPANY_NAME&lt;/Q&gt;&lt;R&gt;1&lt;/R&gt;&lt;C&gt;1&lt;/C&gt;&lt;D xsi:type="xsd:string"&gt;Japan&lt;/D&gt;&lt;/FQL&gt;&lt;FQL&gt;&lt;Q&gt;USDSEK^FG_PRICE_CHANGE(0,-1AY)&lt;/Q&gt;&lt;R&gt;1&lt;/R&gt;&lt;C&gt;1&lt;/C&gt;&lt;D xsi:type="xsd:double"&gt;-3.36653&lt;/D&gt;&lt;/FQL&gt;&lt;FQL&gt;&lt;Q&gt;USDGBP^FG_PRICE_CHANGE(0,-6AM)&lt;/Q&gt;&lt;R&gt;1&lt;/R&gt;&lt;C&gt;1&lt;/C&gt;&lt;D xsi:type="xsd:double"&gt;-0.569433&lt;/D&gt;&lt;/FQL&gt;&lt;FQL&gt;&lt;Q&gt;USDJPY^FG_PRICE_CHANGE(0,-1AM)&lt;/Q&gt;&lt;R&gt;1&lt;/R&gt;&lt;C&gt;1&lt;/C&gt;&lt;D xsi:type="xsd:double"&gt;-0.1398027&lt;/D&gt;&lt;/FQL&gt;&lt;FQL&gt;&lt;Q&gt;EWI^FMA_EPS(NTMA,-20AY,0,CY,,"PORTAGG","MEANR")&lt;/Q&gt;&lt;R&gt;20&lt;/R&gt;&lt;C&gt;1&lt;/C&gt;&lt;D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xsi:type="xsd:double"&gt;3.81180271683843&lt;/D&gt;&lt;/FQL&gt;&lt;FQL&gt;&lt;Q&gt;EWL^FG_TOTAL_RETURNC(-10AY,0,AM)&lt;/Q&gt;&lt;R&gt;121&lt;/R&gt;&lt;C&gt;1&lt;/C&gt;&lt;D xsi:type="xsd:double"&gt;0.6565809&lt;/D&gt;&lt;D xsi:type="xsd:double"&gt;-0.4290223&lt;/D&gt;&lt;D xsi:type="xsd:double"&gt;-4.4289055&lt;/D&gt;&lt;D xsi:type="xsd:double"&gt;2.5304914&lt;/D&gt;&lt;D xsi:type="xsd:double"&gt;-3.3303678&lt;/D&gt;&lt;D xsi:type="xsd:double"&gt;-0.4306376&lt;/D&gt;&lt;D xsi:type="xsd:double"&gt;2.5332093&lt;/D&gt;&lt;D xsi:type="xsd:double"&gt;-4.519427&lt;/D&gt;&lt;D xsi:type="xsd:double"&gt;0.1893282&lt;/D&gt;&lt;D xsi:type="xsd:double"&gt;4.944885&lt;/D&gt;&lt;D xsi:type="xsd:double"&gt;-0.33013225&lt;/D&gt;&lt;D xsi:type="xsd:double"&gt;4.004824&lt;/D&gt;&lt;D xsi:type="xsd:double"&gt;2.4898648&lt;/D&gt;&lt;D xsi:type="xsd:double"&gt;-5.2762747&lt;/D&gt;&lt;D xsi:type="xsd:double"&gt;4.122138&lt;/D&gt;&lt;D xsi:type="xsd:double"&gt;-6.6862164&lt;/D&gt;&lt;D xsi:type="xsd:double"&gt;-3.8654923&lt;/D&gt;&lt;D xsi:type="xsd:double"&gt;3.8574696&lt;/D&gt;&lt;D xsi:type="xsd:double"&gt;-2.7699113&lt;/D&gt;&lt;D xsi:type="xsd:double"&gt;0.48559904&lt;/D&gt;&lt;D xsi:type="xsd:double"&gt;-6.056702&lt;/D&gt;&lt;D xsi:type="xsd:double"&gt;-2.8463662&lt;/D&gt;&lt;D xsi:type="xsd:double"&gt;4.9417615&lt;/D&gt;&lt;D xsi:type="xsd:double"&gt;2.9599786&lt;/D&gt;&lt;D xsi:type="xsd:double"&gt;-0.22868514&lt;/D&gt;&lt;D xsi:type="xsd:double"&gt;-0.32966137&lt;/D&gt;&lt;D xsi:type="xsd:double"&gt;1.8887043&lt;/D&gt;&lt;D xsi:type="xsd:double"&gt;-0.09930134&lt;/D&gt;&lt;D xsi:type="xsd:double"&gt;1.2259722&lt;/D&gt;&lt;D xsi:type="xsd:double"&gt;-5.0409136&lt;/D&gt;&lt;D xsi:type="xsd:double"&gt;-2.2750795&lt;/D&gt;&lt;D xsi:type="xsd:double"&gt;3.9801717&lt;/D&gt;&lt;D xsi:type="xsd:double"&gt;4.31093&lt;/D&gt;&lt;D xsi:type="xsd:double"&gt;1.0087848&lt;/D&gt;&lt;D xsi:type="xsd:double"&gt;3.028345&lt;/D&gt;&lt;D xsi:type="xsd:double"&gt;3.9399743&lt;/D&gt;&lt;D xsi:type="xsd:double"&gt;5.0842285&lt;/D&gt;&lt;D xsi:type="xsd:double"&gt;0.32516718&lt;/D&gt;&lt;D xsi:type="xsd:double"&gt;0.46633482&lt;/D&gt;&lt;D xsi:type="xsd:double"&gt;-0.46417117&lt;/D&gt;&lt;D xsi:type="xsd:double"&gt;2.0985007&lt;/D&gt;&lt;D xsi:type="xsd:double"&gt;-1.4273465&lt;/D&gt;&lt;D xsi:type="xsd:double"&gt;1.3032198&lt;/D&gt;&lt;D xsi:type="xsd:double"&gt;1.7152667&lt;/D&gt;&lt;D xsi:type="xsd:double"&gt;4.4687867&lt;/D&gt;&lt;D xsi:type="xsd:double"&gt;-6.053269&lt;/D&gt;&lt;D xsi:type="xsd:double"&gt;-1.5750289&lt;/D&gt;&lt;D xsi:type="xsd:double"&gt;-0.96013546&lt;/D&gt;&lt;D xsi:type="xsd:double"&gt;-2.262044&lt;/D&gt;&lt;D xsi:type="xsd:double"&gt;0.38169622&lt;/D&gt;&lt;D xsi:type="xsd:double"&gt;6.507051&lt;/D&gt;&lt;D xsi:type="xsd:double"&gt;0.20172596&lt;/D&gt;&lt;D xsi:type="xsd:double"&gt;-0.23008585&lt;/D&gt;&lt;D xsi:type="xsd:double"&gt;-4.583454&lt;/D&gt;&lt;D xsi:type="xsd:double"&gt;0.33233166&lt;/D&gt;&lt;D xsi:type="xsd:double"&gt;-5.0888243&lt;/D&gt;&lt;D xsi:type="xsd:double"&gt;5.7106614&lt;/D&gt;&lt;D xsi:type="xsd:double"&gt;3.7515044&lt;/D&gt;&lt;D xsi:type="xsd:double"&gt;2.3141384&lt;/D&gt;&lt;D xsi:type="xsd:double"&gt;2.346623&lt;/D&gt;&lt;D xsi:type="xsd:double"&gt;-0.6629884&lt;/D&gt;&lt;D xsi:type="xsd:double"&gt;6.5958023&lt;/D&gt;&lt;D xsi:type="xsd:double"&gt;-1.0383487&lt;/D&gt;&lt;D xsi:type="xsd:double"&gt;0.8071065&lt;/D&gt;&lt;D xsi:type="xsd:double"&gt;0.61382055&lt;/D&gt;&lt;D xsi:type="xsd:double"&gt;2.3342252&lt;/D&gt;&lt;D xsi:type="xsd:double"&gt;0.8294463&lt;/D&gt;&lt;D xsi:type="xsd:double"&gt;4.4730067&lt;/D&gt;&lt;D xsi:type="xsd:double"&gt;0.24607182&lt;/D&gt;&lt;D xsi:type="xsd:double"&gt;-7.020128&lt;/D&gt;&lt;D xsi:type="xsd:double"&gt;-6.652588&lt;/D&gt;&lt;D xsi:type="xsd:double"&gt;4.2986393&lt;/D&gt;&lt;D xsi:type="xsd:double"&gt;3.877437&lt;/D&gt;&lt;D xsi:type="xsd:double"&gt;3.3503056&lt;/D&gt;&lt;D xsi:type="xsd:double"&gt;4.0297747&lt;/D&gt;&lt;D xsi:type="xsd:double"&gt;2.9607773&lt;/D&gt;&lt;D xsi:type="xsd:double"&gt;-1.5815973&lt;/D&gt;&lt;D xsi:type="xsd:double"&gt;-5.210614&lt;/D&gt;&lt;D xsi:type="xsd:double"&gt;9.247362&lt;/D&gt;&lt;D xsi:type="xsd:double"&gt;5.1101565&lt;/D&gt;&lt;D xsi:type="xsd:double"&gt;-1.4547944&lt;/D&gt;&lt;D xsi:type="xsd:double"&gt;-1.8169403&lt;/D&gt;&lt;D xsi:type="xsd:double"&gt;2.2669435&lt;/D&gt;&lt;D xsi:type="xsd:double"&gt;4.704821&lt;/D&gt;&lt;D xsi:type="xsd:double"&gt;5.271113&lt;/D&gt;&lt;D xsi:type="xsd:double"&gt;1.6354799&lt;/D&gt;&lt;D xsi:type="xsd:double"&gt;3.3107162&lt;/D&gt;&lt;D xsi:type="xsd:double"&gt;1.1942625&lt;/D&gt;&lt;D xsi:type="xsd:double"&gt;-8.379227&lt;/D&gt;&lt;D xsi:type="xsd:double"&gt;6.977248&lt;/D&gt;&lt;D xsi:type="xsd:double"&gt;-0.90307&lt;/D&gt;&lt;D xsi:type="xsd:double"&gt;6.784117&lt;/D&gt;&lt;D xsi:type="xsd:double"&gt;-6.447935&lt;/D&gt;&lt;D xsi:type="xsd:double"&gt;-2.817762&lt;/D&gt;&lt;D xsi:type="xsd:double"&gt;2.4196863&lt;/D&gt;&lt;D xsi:type="xsd:double"&gt;-5.4989758&lt;/D&gt;&lt;D xsi:type="xsd:double"&gt;-1.8319011&lt;/D&gt;&lt;D xsi:type="xsd:double"&gt;-6.9652557&lt;/D&gt;&lt;D xsi:type="xsd:double"&gt;4.719484&lt;/D&gt;&lt;D xsi:type="xsd:double"&gt;-6.6222134&lt;/D&gt;&lt;D xsi:type="xsd:double"&gt;-7.781333&lt;/D&gt;&lt;D xsi:type="xsd:double"&gt;4.432571&lt;/D&gt;&lt;D xsi:type="xsd:double"&gt;9.665049&lt;/D&gt;&lt;D xsi:type="xsd:double"&gt;-2.2382796&lt;/D&gt;&lt;D xsi:type="xsd:double"&gt;7.9179525&lt;/D&gt;&lt;D xsi:type="xsd:double"&gt;-4.1547003&lt;/D&gt;&lt;D xsi:type="xsd:double"&gt;4.496193&lt;/D&gt;&lt;D xsi:type="xsd:double"&gt;6.1120987&lt;/D&gt;&lt;D xsi:type="xsd:double"&gt;-3.784567&lt;/D&gt;&lt;D xsi:type="xsd:double"&gt;2.1123648&lt;/D&gt;&lt;D xsi:type="xsd:double"&gt;3.246045&lt;/D&gt;&lt;D xsi:type="xsd:double"&gt;-3.3116698&lt;/D&gt;&lt;D xsi:type="xsd:double"&gt;-5.549538&lt;/D&gt;&lt;D xsi:type="xsd:double"&gt;-3.787011&lt;/D&gt;&lt;D xsi:type="xsd:double"&gt;8.349239&lt;/D&gt;&lt;D xsi:type="xsd:double"&gt;6.2747717&lt;/D&gt;&lt;D xsi:type="xsd:double"&gt;-1.5744805&lt;/D&gt;&lt;D xsi:type="xsd:double"&gt;-1.4523208&lt;/D&gt;&lt;D xsi:type="xsd:double"&gt;1.6659498&lt;/D&gt;&lt;D xsi:type="xsd:double"&gt;-4.7058764&lt;/D&gt;&lt;D xsi:type="xsd:double"&gt;8.37742&lt;/D&gt;&lt;/FQL&gt;&lt;FQL&gt;&lt;Q&gt;DDR3512M-FDS^FG_PRICE_CHANGE(0,-3AM)&lt;/Q&gt;&lt;R&gt;1&lt;/R&gt;&lt;C&gt;1&lt;/C&gt;&lt;D xsi:type="xsd:double"&gt;-0.758506230437272&lt;/D&gt;&lt;/FQL&gt;&lt;FQL&gt;&lt;Q&gt;PLATI-FDS^FG_PRICE(0)&lt;/Q&gt;&lt;R&gt;1&lt;/R&gt;&lt;C&gt;1&lt;/C&gt;&lt;D xsi:type="xsd:double"&gt;1035&lt;/D&gt;&lt;/FQL&gt;&lt;FQL&gt;&lt;Q&gt;TIOS-FDS^FG_PRICE_CHANGE(0,-6AM)&lt;/Q&gt;&lt;R&gt;1&lt;/R&gt;&lt;C&gt;1&lt;/C&gt;&lt;D xsi:type="xsd:double"&gt;-9.84209719454239&lt;/D&gt;&lt;/FQL&gt;&lt;FQL&gt;&lt;Q&gt;FC0000CH^FG_PRICE(0)&lt;/Q&gt;&lt;R&gt;1</t>
        </r>
      </text>
    </comment>
    <comment ref="A4" authorId="0" shapeId="0" xr:uid="{58704673-D629-4D92-BBD9-59EEF91C42E6}">
      <text>
        <r>
          <rPr>
            <b/>
            <sz val="9"/>
            <color indexed="81"/>
            <rFont val="Tahoma"/>
            <charset val="1"/>
          </rPr>
          <t>&lt;/R&gt;&lt;C&gt;1&lt;/C&gt;&lt;D xsi:type="xsd:double"&gt;328.8932&lt;/D&gt;&lt;/FQL&gt;&lt;FQL&gt;&lt;Q&gt;EWQ^FG_PRICE_MAVG(0,,,,60)&lt;/Q&gt;&lt;R&gt;1&lt;/R&gt;&lt;C&gt;1&lt;/C&gt;&lt;D xsi:type="xsd:double"&gt;41.1005&lt;/D&gt;&lt;/FQL&gt;&lt;FQL&gt;&lt;Q&gt;EWL^FG_PRICE(0)&lt;/Q&gt;&lt;R&gt;1&lt;/R&gt;&lt;C&gt;1&lt;/C&gt;&lt;D xsi:type="xsd:double"&gt;49.16&lt;/D&gt;&lt;/FQL&gt;&lt;FQL&gt;&lt;Q&gt;EWJ^P_PRICE(0)/P_PRICE_HIGH_PR(0,,,,,,"PRICE","INTRA","52W")&lt;/Q&gt;&lt;R&gt;1&lt;/R&gt;&lt;C&gt;1&lt;/C&gt;&lt;D xsi:type="xsd:double"&gt;0.95705265&lt;/D&gt;&lt;/FQL&gt;&lt;FQL&gt;&lt;Q&gt;EWI^P_PRICE(0)/P_PRICE_LOW_PR(0,,,,,,"PRICE","INTRA","52W")-1&lt;/Q&gt;&lt;R&gt;1&lt;/R&gt;&lt;C&gt;1&lt;/C&gt;&lt;D xsi:type="xsd:double"&gt;0.3382734&lt;/D&gt;&lt;/FQL&gt;&lt;FQL&gt;&lt;Q&gt;SPY^FG_TOTAL_RETURNC(0,-12AM)&lt;/Q&gt;&lt;R&gt;1&lt;/R&gt;&lt;C&gt;1&lt;/C&gt;&lt;D xsi:type="xsd:double"&gt;28.048897&lt;/D&gt;&lt;/FQL&gt;&lt;FQL&gt;&lt;Q&gt;QQQ^FMA_PCT_ABOVE_MAVG(200,0,,,,"PORTAGG")&lt;/Q&gt;&lt;R&gt;1&lt;/R&gt;&lt;C&gt;1&lt;/C&gt;&lt;D xsi:type="xsd:double"&gt;61.7647058823529&lt;/D&gt;&lt;/FQL&gt;&lt;FQL&gt;&lt;Q&gt;EWQ^FMA_RBICS_REV_CURRENT(30, LOC, "PORTAGG")&lt;/Q&gt;&lt;R&gt;1&lt;/R&gt;&lt;C&gt;1&lt;/C&gt;&lt;D xsi:type="xsd:double"&gt;11.6274292606377&lt;/D&gt;&lt;/FQL&gt;&lt;FQL&gt;&lt;Q&gt;EWL^FG_ROE(0)&lt;/Q&gt;&lt;R&gt;1&lt;/R&gt;&lt;C&gt;1&lt;/C&gt;&lt;D xsi:type="xsd:double"&gt;24.1224248411715&lt;/D&gt;&lt;/FQL&gt;&lt;FQL&gt;&lt;Q&gt;TRYAU10Y-FDS^FG_YIELD_NAME&lt;/Q&gt;&lt;R&gt;1&lt;/R&gt;&lt;C&gt;1&lt;/C&gt;&lt;D xsi:type="xsd:string"&gt;Australia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Rate&lt;/D&gt;&lt;/FQL&gt;&lt;FQL&gt;&lt;Q&gt;REFGBBANK-FDS^FG_YIELD(NOW,,,0)&lt;/Q&gt;&lt;R&gt;1&lt;/R&gt;&lt;C&gt;1&lt;/C&gt;&lt;D xsi:type="xsd:double"&gt;5.25&lt;/D&gt;&lt;/FQL&gt;&lt;FQL&gt;&lt;Q&gt;REFNZOCR-FDS^(SUBARRAY(NOT_NA(NO_REPEAT_F(FG_YIELD(NOW,-10AY,D))),0,1)-SUBARRAY(NOT_NA(NO_REPEAT_F(FG_YIELD(NOW,-10AY,D))),1,1))*100&lt;/Q&gt;&lt;R&gt;1&lt;/R&gt;&lt;C&gt;1&lt;/C&gt;&lt;D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xsi:type="xsd:double"&gt;25&lt;/D&gt;&lt;/FQL&gt;&lt;FQL&gt;&lt;Q&gt;TRYCH10Y-FDS^PCTCHG(FG_YIELD(0,,,,"YTM"),FG_YIELD(-3AM,,,,"YTM"))&lt;/Q&gt;&lt;R&gt;1&lt;/R&gt;&lt;C&gt;1&lt;/C&gt;&lt;D xsi:type="xsd:double"&gt;10.061352&lt;/D&gt;&lt;/FQL&gt;&lt;FQL&gt;&lt;Q&gt;ENZL^FMA_DIV_YLD(NTMA,NOW,NOW,M,"PORTAGG","MEANR")&lt;/Q&gt;&lt;R&gt;1&lt;/R&gt;&lt;C&gt;1&lt;/C&gt;&lt;D xsi:type="xsd:double"&gt;2.7593830697208&lt;/D&gt;&lt;/FQL&gt;&lt;FQL&gt;&lt;Q&gt;ENZL^FG_COMPANY_NAME&lt;/Q&gt;&lt;R&gt;1&lt;/R&gt;&lt;C&gt;1&lt;/C&gt;&lt;D xsi:type="xsd:string"&gt;iShares MSCI New Zealand ETF&lt;/D&gt;&lt;/FQL&gt;&lt;FQL&gt;&lt;Q&gt;TLT^FG_TOTAL_RETURNC(0,-1AM)&lt;/Q&gt;&lt;R&gt;1&lt;/R&gt;&lt;C&gt;1&lt;/C&gt;&lt;D xsi:type="xsd:double"&gt;2.8840423&lt;/D&gt;&lt;/FQL&gt;&lt;FQL&gt;&lt;Q&gt;GLD^P_PRICE(0)/P_PRICE_HIGH_PR(0,,,USD,,,"PRICE","INTRA","52W")&lt;/Q&gt;&lt;R&gt;1&lt;/R&gt;&lt;C&gt;1&lt;/C&gt;&lt;D xsi:type="xsd:double"&gt;0.95409024&lt;/D&gt;&lt;/FQL&gt;&lt;FQL&gt;&lt;Q&gt;TRYVN10Y-FDS^FG_YIELD(-10AY,0,Y,,"YTM")&lt;/Q&gt;&lt;R&gt;10&lt;/R&gt;&lt;C&gt;1&lt;/C&gt;&lt;D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xsi:type="xsd:double"&gt;3.534&lt;/D&gt;&lt;/FQL&gt;&lt;FQL&gt;&lt;Q&gt;USDCAD^FG_COMPANY_NAME&lt;/Q&gt;&lt;R&gt;1&lt;/R&gt;&lt;C&gt;1&lt;/C&gt;&lt;D xsi:type="xsd:string"&gt;Canadian Dollar per U.S. Dollar&lt;/D&gt;&lt;/FQL&gt;&lt;FQL&gt;&lt;Q&gt;SPY^P_PRICE_RETURNS_PR('52W',2,-10AY,0,AM)&lt;/Q&gt;&lt;R&gt;121&lt;/R&gt;&lt;C&gt;1&lt;/C&gt;&lt;D xsi:type="xsd:double"&gt;18.533861&lt;/D&gt;&lt;D xsi:type="xsd:double"&gt;24.403309&lt;/D&gt;&lt;D xsi:type="xsd:double"&gt;16.700876&lt;/D&gt;&lt;D xsi:type="xsd:double"&gt;24.660957&lt;/D&gt;&lt;D xsi:type="xsd:double"&gt;19.54503&lt;/D&gt;&lt;D xsi:type="xsd:double"&gt;16.945076&lt;/D&gt;&lt;D xsi:type="xsd:double"&gt;16.62178&lt;/D&gt;&lt;D xsi:type="xsd:double"&gt;13.462114&lt;/D&gt;&lt;D xsi:type="xsd:double"&gt;13.454378&lt;/D&gt;&lt;D xsi:type="xsd:double"&gt;15.581285&lt;/D&gt;&lt;D xsi:type="xsd:double"&gt;12.539196&lt;/D&gt;&lt;D xsi:type="xsd:double"&gt;12.861323&lt;/D&gt;&lt;D xsi:type="xsd:double"&gt;11.89971&lt;/D&gt;&lt;D xsi:type="xsd:double"&gt;7.2401047&lt;/D&gt;&lt;D xsi:type="xsd:double"&gt;11.156249&lt;/D&gt;&lt;D xsi:type="xsd:double"&gt;0.41838884&lt;/D&gt;&lt;D xsi:type="xsd:double"&gt;-0.7667005&lt;/D&gt;&lt;D xsi:type="xsd:double"&gt;6.39956&lt;/D&gt;&lt;D xsi:type="xsd:double"&gt;2.7581215&lt;/D&gt;&lt;D xsi:type="xsd:double"&gt;1.2520194&lt;/D&gt;&lt;D xsi:type="xsd:double"&gt;-2.0977497&lt;/D&gt;&lt;D xsi:type="xsd:double"&gt;-6.2048674&lt;/D&gt;&lt;D xsi:type="xsd:double"&gt;1.7034411&lt;/D&gt;&lt;D xsi:type="xsd:double"&gt;0.097203255&lt;/D&gt;&lt;D xsi:type="xsd:double"&gt;1.524806&lt;/D&gt;&lt;D xsi:type="xsd:double"&gt;3.9874315&lt;/D&gt;&lt;D xsi:type="xsd:double"&gt;5.266583&lt;/D&gt;&lt;D xsi:type="xsd:double"&gt;12.377238&lt;/D&gt;&lt;D xsi:type="xsd:double"&gt;15.318548&lt;/D&gt;&lt;D xsi:type="xsd:double"&gt;4.4359684&lt;/D&gt;&lt;D xsi:type="xsd:double"&gt;7.8888774&lt;/D&gt;&lt;D xsi:type="xsd:double"&gt;10.880923&lt;/D&gt;&lt;D xsi:type="xsd:double"&gt;19.978392&lt;/D&gt;&lt;D xsi:type="xsd:double"&gt;23.81791&lt;/D&gt;&lt;D xsi:type="xsd:double"&gt;17.08033&lt;/D&gt;&lt;D xsi:type="xsd:double"&gt;17.143845&lt;/D&gt;&lt;D xsi:type="xsd:double"&gt;17.442608&lt;/D&gt;&lt;D xsi:type="xsd:double"&gt;17.782104&lt;/D&gt;&lt;D xsi:type="xsd:double"&gt;15.970575&lt;/D&gt;&lt;D xsi:type="xsd:double"&gt;16.169823&lt;/D&gt;&lt;D xsi:type="xsd:double"&gt;19.394566&lt;/D&gt;&lt;D xsi:type="xsd:double"&gt;23.432648&lt;/D&gt;&lt;D xsi:type="xsd:double"&gt;22.685932&lt;/D&gt;&lt;D xsi:type="xsd:double"&gt;21.255516&lt;/D&gt;&lt;D xsi:type="xsd:double"&gt;26.29918&lt;/D&gt;&lt;D xsi:type="xsd:double"&gt;17.105639&lt;/D&gt;&lt;D xsi:type="xsd:double"&gt;13.848591&lt;/D&gt;&lt;D xsi:type="xsd:double"&gt;13.216103&lt;/D&gt;&lt;D xsi:type="xsd:double"&gt;14.354408&lt;/D&gt;&lt;D xsi:type="xsd:double"&gt;14.497126&lt;/D&gt;&lt;D xsi:type="xsd:double"&gt;16.130901&lt;/D&gt;&lt;D xsi:type="xsd:double"&gt;19.489134&lt;/D&gt;&lt;D xsi:type="xsd:double"&gt;18.240929&lt;/D&gt;&lt;D xsi:type="xsd:double"&gt;7.1593046&lt;/D&gt;&lt;D xsi:type="xsd:double"&gt;5.9098125&lt;/D&gt;&lt;D xsi:type="xsd:double"&gt;-4.557073&lt;/D&gt;&lt;D xsi:type="xsd:double"&gt;-2.4151802&lt;/D&gt;&lt;D xsi:type="xsd:double"&gt;4.549575&lt;/D&gt;&lt;D xsi:type="xsd:double"&gt;9.4401&lt;/D&gt;&lt;D xsi:type="xsd:double"&gt;13.325298&lt;/D&gt;&lt;D xsi:type="xsd:double"&gt;3.580451&lt;/D&gt;&lt;D xsi:type="xsd:double"&gt;10.313547&lt;/D&gt;&lt;D xsi:type="xsd:double"&gt;7.8258753&lt;/D&gt;&lt;D xsi:type="xsd:double"&gt;2.7445555&lt;/D&gt;&lt;D xsi:type="xsd:double"&gt;4.1229367&lt;/D&gt;&lt;D xsi:type="xsd:double"&gt;14.324867&lt;/D&gt;&lt;D xsi:type="xsd:double"&gt;17.014767&lt;/D&gt;&lt;D xsi:type="xsd:double"&gt;31.221748&lt;/D&gt;&lt;D xsi:type="xsd:double"&gt;21.445179&lt;/D&gt;&lt;D xsi:type="xsd:double"&gt;8.319605&lt;/D&gt;&lt;D xsi:type="xsd:double"&gt;-6.865406&lt;/D&gt;&lt;D xsi:type="xsd:double"&gt;0.84153414&lt;/D&gt;&lt;D xsi:type="xsd:double"&gt;11.625695&lt;/D&gt;&lt;D xsi:type="xsd:double"&gt;7.3739767&lt;/D&gt;&lt;D xsi:type="xsd:double"&gt;12.00403&lt;/D&gt;&lt;D xsi:type="xsd:double"&gt;21.861912&lt;/D&gt;&lt;D xsi:type="xsd:double"&gt;15.06319&lt;/D&gt;&lt;D xsi:type="xsd:double"&gt;9.475517&lt;/D&gt;&lt;D xsi:type="xsd:double"&gt;17.456352&lt;/D&gt;&lt;D xsi:type="xsd:double"&gt;18.373215&lt;/D&gt;&lt;D xsi:type="xsd:double"&gt;15.459394&lt;/D&gt;&lt;D xsi:type="xsd:double"&gt;24.429953&lt;/D&gt;&lt;D xsi:type="xsd:double"&gt;56.24609&lt;/D&gt;&lt;D xsi:type="xsd:double"&gt;45.97652&lt;/D&gt;&lt;D xsi:type="xsd:double"&gt;40.877594&lt;/D&gt;&lt;D xsi:type="xsd:double"&gt;40.901947&lt;/D&gt;&lt;D xsi:type="xsd:double"&gt;37.39109&lt;/D&gt;&lt;D xsi:type="xsd:double"&gt;31.212402&lt;/D&gt;&lt;D xsi:type="xsd:double"&gt;29.96148&lt;/D&gt;&lt;D xsi:type="xsd:double"&gt;41.14951&lt;/D&gt;&lt;D xsi:type="xsd:double"&gt;27.609455&lt;/D&gt;&lt;D xsi:type="xsd:double"&gt;28.745068&lt;/D&gt;&lt;D xsi:type="xsd:double"&gt;23.210453&lt;/D&gt;&lt;D xsi:type="xsd:double"&gt;16.338802&lt;/D&gt;&lt;D xsi:type="xsd:double"&gt;15.465248&lt;/D&gt;&lt;D xsi:type="xsd:double"&gt;-0.6193757&lt;/D&gt;&lt;D xsi:type="xsd:double"&gt;-0.3903091&lt;/D&gt;&lt;D xsi:type="xsd:double"&gt;-10.613799&lt;/D&gt;&lt;D xsi:type="xsd:double"&gt;-5.1715193&lt;/D&gt;&lt;D xsi:type="xsd:double"&gt;-11.238348&lt;/D&gt;&lt;D xsi:type="xsd:double"&gt;-15.506047&lt;/D&gt;&lt;D xsi:type="xsd:double"&gt;-14.628708&lt;/D&gt;&lt;D xsi:type="xsd:double"&gt;-9.152842&lt;/D&gt;&lt;D xsi:type="xsd:double"&gt;-18.377907&lt;/D&gt;&lt;D xsi:type="xsd:double"&gt;-8.1831875&lt;/D&gt;&lt;D xsi:type="xsd:double"&gt;-7.7693224&lt;/D&gt;&lt;D xsi:type="xsd:double"&gt;-7.8076067&lt;/D&gt;&lt;D xsi:type="xsd:double"&gt;-1.1174798&lt;/D&gt;&lt;D xsi:type="xsd:double"&gt;2.9186726&lt;/D&gt;&lt;D xsi:type="xsd:double"&gt;19.439352&lt;/D&gt;&lt;D xsi:type="xsd:double"&gt;12.947905&lt;/D&gt;&lt;D xsi:type="xsd:double"&gt;15.838718&lt;/D&gt;&lt;D xsi:type="xsd:double"&gt;19.705069&lt;/D&gt;&lt;D xsi:type="xsd:double"&gt;10.0050335&lt;/D&gt;&lt;D xsi:type="xsd:double"&gt;13.730848&lt;/D&gt;&lt;D xsi:type="xsd:double"&gt;25.857162&lt;/D&gt;&lt;D xsi:type="xsd:double"&gt;20.614195&lt;/D&gt;&lt;D xsi:type="xsd:double"&gt;30.18179&lt;/D&gt;&lt;D xsi:type="xsd:double"&gt;34.14805&lt;/D&gt;&lt;D xsi:type="xsd:double"&gt;22.44668&lt;/D&gt;&lt;D xsi:type="xsd:double"&gt;28.048897&lt;/D&gt;&lt;/FQL&gt;&lt;FQL&gt;&lt;Q&gt;EWA^FMA_DIV_YLD(NTMA,-10AY,0,AM,"PORTAGG","MEANR")&lt;/Q&gt;&lt;R&gt;121&lt;/R&gt;&lt;C&gt;1&lt;/C&gt;&lt;D xsi:type="xsd:double"&gt;4.76787007711511&lt;/D&gt;&lt;D xsi:type="xsd:double"&gt;4.8614252043805&lt;/D&gt;&lt;D xsi:type="xsd:double"&gt;4.65091816289275&lt;/D&gt;&lt;D xsi:type="xsd:double"&gt;4.68770238647863&lt;/D&gt;&lt;D xsi:type="xsd:double"&gt;5.06983065302606&lt;/D&gt;&lt;D xsi:type="xsd:double"&gt;4.82442256969284&lt;/D&gt;&lt;D xsi:type="xsd:double"&gt;5.05729751582958&lt;/D&gt;&lt;D xsi:type="xsd:double"&gt;4.96554929207771&lt;/D&gt;&lt;D xsi:type="xsd:double"&gt;4.85263383422431&lt;/D&gt;&lt;D xsi:type="xsd:double"&gt;4.54828740335052&lt;/D&gt;&lt;D xsi:type="xsd:double"&gt;4.60296014744335&lt;/D&gt;&lt;D xsi:type="xsd:double"&gt;4.66908395864275&lt;/D&gt;&lt;D xsi:type="xsd:double"&gt;4.72128589665948&lt;/D&gt;&lt;D xsi:type="xsd:double"&gt;4.97760974693421&lt;/D&gt;&lt;D xsi:type="xsd:double"&gt;4.80219644739101&lt;/D&gt;&lt;D xsi:type="xsd:double"&gt;5.31708946470305&lt;/D&gt;&lt;D xsi:type="xsd:double"&gt;5.48236505579358&lt;/D&gt;&lt;D xsi:type="xsd:double"&gt;5.23404955292721&lt;/D&gt;&lt;D xsi:type="xsd:double"&gt;5.280516439438&lt;/D&gt;&lt;D xsi:type="xsd:double"&gt;5.09625601977213&lt;/D&gt;&lt;D xsi:type="xsd:double"&gt;5.16485227293288&lt;/D&gt;&lt;D xsi:type="xsd:double"&gt;5.06107515679422&lt;/D&gt;&lt;D xsi:type="xsd:double"&gt;4.84025061307237&lt;/D&gt;&lt;D xsi:type="xsd:double"&gt;4.66488079401308&lt;/D&gt;&lt;D xsi:type="xsd:double"&gt;4.55981713538301&lt;/D&gt;&lt;D xsi:type="xsd:double"&gt;4.68345254893275&lt;/D&gt;&lt;D xsi:type="xsd:double"&gt;4.4165776472972&lt;/D&gt;&lt;D xsi:type="xsd:double"&gt;4.53525403229593&lt;/D&gt;&lt;D xsi:type="xsd:double"&gt;4.54194004314948&lt;/D&gt;&lt;D xsi:type="xsd:double"&gt;4.65249662183751&lt;/D&gt;&lt;D xsi:type="xsd:double"&gt;4.5918415003042&lt;/D&gt;&lt;D xsi:type="xsd:double"&gt;4.5298092555234&lt;/D&gt;&lt;D xsi:type="xsd:double"&gt;4.57119355962778&lt;/D&gt;&lt;D xsi:type="xsd:double"&gt;4.5717486002536&lt;/D&gt;&lt;D xsi:type="xsd:double"&gt;4.50467500361871&lt;/D&gt;&lt;D xsi:type="xsd:double"&gt;4.48460239361545&lt;/D&gt;&lt;D xsi:type="xsd:double"&gt;4.66491201326183&lt;/D&gt;&lt;D xsi:type="xsd:double"&gt;4.6242746098921&lt;/D&gt;&lt;D xsi:type="xsd:double"&gt;4.5923885840702&lt;/D&gt;&lt;D xsi:type="xsd:double"&gt;4.58664417733871&lt;/D&gt;&lt;D xsi:type="xsd:double"&gt;4.61835372653978&lt;/D&gt;&lt;D xsi:type="xsd:double"&gt;4.50389159340749&lt;/D&gt;&lt;D xsi:type="xsd:double"&gt;4.48604957366464&lt;/D&gt;&lt;D xsi:type="xsd:double"&gt;4.44755058472285&lt;/D&gt;&lt;D xsi:type="xsd:double"&gt;4.51570974612668&lt;/D&gt;&lt;D xsi:type="xsd:double"&gt;4.59136730906863&lt;/D&gt;&lt;D xsi:type="xsd:double"&gt;4.85353405226345&lt;/D&gt;&lt;D xsi:type="xsd:double"&gt;4.71986028972854&lt;/D&gt;&lt;D xsi:type="xsd:double"&gt;4.73531609167068&lt;/D&gt;&lt;D xsi:type="xsd:double"&gt;4.59945664941218&lt;/D&gt;&lt;D xsi:type="xsd:double"&gt;4.57955121599332&lt;/D&gt;&lt;D xsi:type="xsd:double"&gt;4.61443164962547&lt;/D&gt;&lt;D xsi:type="xsd:double"&gt;4.74035855664265&lt;/D&gt;&lt;D xsi:type="xsd:double"&gt;5.05946048350328&lt;/D&gt;&lt;D xsi:type="xsd:double"&gt;5.32008527872189&lt;/D&gt;&lt;D xsi:type="xsd:double"&gt;5.36029790381623&lt;/D&gt;&lt;D xsi:type="xsd:double"&gt;5.10922260102648&lt;/D&gt;&lt;D xsi:type="xsd:double"&gt;4.92273926541311&lt;/D&gt;&lt;D xsi:type="xsd:double"&gt;4.95245111544423&lt;/D&gt;&lt;D xsi:type="xsd:double"&gt;4.89848222344739&lt;/D&gt;&lt;D xsi:type="xsd:double"&gt;4.84599235793604&lt;/D&gt;&lt;D xsi:type="xsd:double"&gt;4.61133917838727&lt;/D&gt;&lt;D xsi:type="xsd:double"&gt;4.51610995562603&lt;/D&gt;&lt;D xsi:type="xsd:double"&gt;4.67175098058672&lt;/D&gt;&lt;D xsi:type="xsd:double"&gt;4.45019366044331&lt;/D&gt;&lt;D xsi:type="xsd:double"&gt;4.40895685526193&lt;/D&gt;&lt;D xsi:type="xsd:double"&gt;4.2750688237062&lt;/D&gt;&lt;D xsi:type="xsd:double"&gt;4.30780774994785&lt;/D&gt;&lt;D xsi:type="xsd:double"&gt;4.1711082845887&lt;/D&gt;&lt;D xsi:type="xsd:double"&gt;4.49462427624511&lt;/D&gt;&lt;D xsi:type="xsd:double"&gt;5.2341534429209&lt;/D&gt;&lt;D xsi:type="xsd:double"&gt;3.85929479664901&lt;/D&gt;&lt;D xsi:type="xsd:double"&gt;3.59095620411203&lt;/D&gt;&lt;D xsi:type="xsd:double"&gt;3.46735963901637&lt;/D&gt;&lt;D xsi:type="xsd:double"&gt;3.42710956751037&lt;/D&gt;&lt;D xsi:type="xsd:double"&gt;3.40169490572535&lt;/D&gt;&lt;D xsi:type="xsd:double"&gt;3.70449545854221&lt;/D&gt;&lt;D xsi:type="xsd:double"&gt;3.78674181142676&lt;/D&gt;&lt;D xsi:type="xsd:double"&gt;3.51390267288056&lt;/D&gt;&lt;D xsi:type="xsd:double"&gt;3.58444483548155&lt;/D&gt;&lt;D xsi:type="xsd:double"&gt;3.68018032105607&lt;/D&gt;&lt;D xsi:type="xsd:double"&gt;3.92576677494895&lt;/D&gt;&lt;D xsi:type="xsd:double"&gt;3.9892559805893&lt;/D&gt;&lt;D xsi:type="xsd:double"&gt;3.93143691502429&lt;/D&gt;&lt;D xsi:type="xsd:double"&gt;3.87746931847295&lt;/D&gt;&lt;D xsi:type="xsd:double"&gt;4.05043862947018&lt;/D&gt;&lt;D xsi:type="xsd:double"&gt;4.12057268951881&lt;/D&gt;&lt;D xsi:type="xsd:double"&gt;4.02826857563785&lt;/D&gt;&lt;D xsi:type="xsd:double"&gt;4.06921988670776&lt;/D&gt;&lt;D xsi:type="xsd:double"&gt;3.98050528180388&lt;/D&gt;&lt;D xsi:type="xsd:double"&gt;4.0905809432237&lt;/D&gt;&lt;D xsi:type="xsd:double"&gt;3.87524385841503&lt;/D&gt;&lt;D xsi:type="xsd:double"&gt;4.32610454806441&lt;/D&gt;&lt;D xsi:type="xsd:double"&gt;4.3854093997208&lt;/D&gt;&lt;D xsi:type="xsd:double"&gt;4.17617756879285&lt;/D&gt;&lt;D xsi:type="xsd:double"&gt;4.46012951298553&lt;/D&gt;&lt;D xsi:type="xsd:double"&gt;4.71298515581349&lt;/D&gt;&lt;D xsi:type="xsd:double"&gt;5.25134644177273&lt;/D&gt;&lt;D xsi:type="xsd:double"&gt;4.83355219496024&lt;/D&gt;&lt;D xsi:type="xsd:double"&gt;4.74955568925461&lt;/D&gt;&lt;D xsi:type="xsd:double"&gt;5.2635282249166&lt;/D&gt;&lt;D xsi:type="xsd:double"&gt;4.97106485578871&lt;/D&gt;&lt;D xsi:type="xsd:double"&gt;4.46241891506754&lt;/D&gt;&lt;D xsi:type="xsd:double"&gt;4.5472140818103&lt;/D&gt;&lt;D xsi:type="xsd:double"&gt;4.28041534778076&lt;/D&gt;&lt;D xsi:type="xsd:double"&gt;4.4748128289896&lt;/D&gt;&lt;D xsi:type="xsd:double"&gt;4.54282694819021&lt;/D&gt;&lt;D xsi:type="xsd:double"&gt;4.42963180770204&lt;/D&gt;&lt;D xsi:type="xsd:double"&gt;4.56615726670654&lt;/D&gt;&lt;D xsi:type="xsd:double"&gt;4.2992331256683&lt;/D&gt;&lt;D xsi:type="xsd:double"&gt;4.07073225680667&lt;/D&gt;&lt;D xsi:type="xsd:double"&gt;4.12702321226136&lt;/D&gt;&lt;D xsi:type="xsd:double"&gt;4.29654795202818&lt;/D&gt;&lt;D xsi:type="xsd:double"&gt;4.55575710142028&lt;/D&gt;&lt;D xsi:type="xsd:double"&gt;4.29478564494486&lt;/D&gt;&lt;D xsi:type="xsd:double"&gt;3.97495871443751&lt;/D&gt;&lt;D xsi:type="xsd:double"&gt;3.95317385597796&lt;/D&gt;&lt;D xsi:type="xsd:double"&gt;3.9839710917345&lt;/D&gt;&lt;D xsi:type="xsd:double"&gt;3.89800473260612&lt;/D&gt;&lt;D xsi:type="xsd:double"&gt;4.01562454510399&lt;/D&gt;&lt;D xsi:type="xsd:double"&gt;4.03071317759373&lt;/D&gt;&lt;/FQL&gt;&lt;FQL&gt;&lt;Q&gt;EWD^FMA_PE(LTMA,-10AY,0,AM,"PORTAGG","MEANR")&lt;/Q&gt;&lt;R&gt;121&lt;/R&gt;&lt;C&gt;1&lt;/C&gt;&lt;D xsi:type="xsd:double"&gt;15.7451402480134&lt;/D&gt;&lt;D xsi:type="xsd:double"&gt;15.7580758413011&lt;/D&gt;&lt;D xsi:type="xsd:double"&gt;15.9380656639025&lt;/D&gt;&lt;D xsi:type="xsd:double"&gt;15.8372840366843&lt;/D&gt;&lt;D xsi:type="xsd:double"&gt;16.097189181004&lt;/D&gt;&lt;D xsi:type="xsd:double"&gt;16.3360450818904&lt;/D&gt;&lt;D xsi:type="xsd:double"&gt;17.3208469203877&lt;/D&gt;&lt;D xsi:type="xsd:double"&gt;17.5843936947817&lt;/D&gt;&lt;D xsi:type="xsd:double"&gt;18.7007555337374&lt;/D&gt;&lt;D xsi:type="xsd:double"&gt;20.3028254397121&lt;/D&gt;&lt;D xsi:type="xsd:double"&gt;19.9672398714517&lt;/D&gt;&lt;D xsi:type="xsd:double"&gt;19.2653648066019&lt;/D&gt;&lt;D xsi:type="xsd:double"&gt;19.3143446016606&lt;/D&gt;&lt;D xsi:type="xsd:double"&gt;18.4735083284141&lt;/D&gt;&lt;D xsi:type="xsd:double"&gt;18.4990183364309&lt;/D&gt;&lt;D xsi:type="xsd:double"&gt;17.4821422358902&lt;/D&gt;&lt;D xsi:type="xsd:double"&gt;16.474867702628&lt;/D&gt;&lt;D xsi:type="xsd:double"&gt;17.193332412251&lt;/D&gt;&lt;D xsi:type="xsd:double"&gt;17.0076008159945&lt;/D&gt;&lt;D xsi:type="xsd:double"&gt;16.0162580656525&lt;/D&gt;&lt;D xsi:type="xsd:double"&gt;14.8347806892059&lt;/D&gt;&lt;D xsi:type="xsd:double"&gt;15.5788877722231&lt;/D&gt;&lt;D xsi:type="xsd:double"&gt;15.5688489885308&lt;/D&gt;&lt;D xsi:type="xsd:double"&gt;15.654626448611&lt;/D&gt;&lt;D xsi:type="xsd:double"&gt;15.5810379588542&lt;/D&gt;&lt;D xsi:type="xsd:double"&gt;15.3620786372076&lt;/D&gt;&lt;D xsi:type="xsd:double"&gt;15.8425074431522&lt;/D&gt;&lt;D xsi:type="xsd:double"&gt;16.0726220422973&lt;/D&gt;&lt;D xsi:type="xsd:double"&gt;16.4554693449696&lt;/D&gt;&lt;D xsi:type="xsd:double"&gt;17.2817936170811&lt;/D&gt;&lt;D xsi:type="xsd:double"&gt;17.3917000392558&lt;/D&gt;&lt;D xsi:type="xsd:double"&gt;18.1859107293486&lt;/D&gt;&lt;D xsi:type="xsd:double"&gt;18.0732720093617&lt;/D&gt;&lt;D xsi:type="xsd:double"&gt;17.4411948352494&lt;/D&gt;&lt;D xsi:type="xsd:double"&gt;17.6049334019684&lt;/D&gt;&lt;D xsi:type="xsd:double"&gt;17.6333708179951&lt;/D&gt;&lt;D xsi:type="xsd:double"&gt;18.100098450887&lt;/D&gt;&lt;D xsi:type="xsd:double"&gt;17.4990003834848&lt;/D&gt;&lt;D xsi:type="xsd:double"&gt;17.0615360152742&lt;/D&gt;&lt;D xsi:type="xsd:double"&gt;16.8530498214739&lt;/D&gt;&lt;D xsi:type="xsd:double"&gt;17.7146987001221&lt;/D&gt;&lt;D xsi:type="xsd:double"&gt;18.631176188588&lt;/D&gt;&lt;D xsi:type="xsd:double"&gt;17.9831686838286&lt;/D&gt;&lt;D xsi:type="xsd:double"&gt;17.8917428432806&lt;/D&gt;&lt;D xsi:type="xsd:double"&gt;18.698155855043&lt;/D&gt;&lt;D xsi:type="xsd:double"&gt;16.9913152915228&lt;/D&gt;&lt;D xsi:type="xsd:double"&gt;16.8339577519838&lt;/D&gt;&lt;D xsi:type="xsd:double"&gt;16.7954418953087&lt;/D&gt;&lt;D xsi:type="xsd:double"&gt;16.5642717442294&lt;/D&gt;&lt;D xsi:type="xsd:double"&gt;16.4769912290327&lt;/D&gt;&lt;D xsi:type="xsd:double"&gt;16.637170380723&lt;/D&gt;&lt;D xsi:type="xsd:double"&gt;16.8131756196541&lt;/D&gt;&lt;D xsi:type="xsd:double"&gt;16.930242746771&lt;/D&gt;&lt;D xsi:type="xsd:double"&gt;15.3250642200012&lt;/D&gt;&lt;D xsi:type="xsd:double"&gt;14.8233032959828&lt;/D&gt;&lt;D xsi:type="xsd:double"&gt;13.8015710705117&lt;/D&gt;&lt;D xsi:type="xsd:double"&gt;16.0633534429438&lt;/D&gt;&lt;D xsi:type="xsd:double"&gt;18.1595410936155&lt;/D&gt;&lt;D xsi:type="xsd:double"&gt;17.8396800527696&lt;/D&gt;&lt;D xsi:type="xsd:double"&gt;17.8878899439379&lt;/D&gt;&lt;D xsi:type="xsd:double"&gt;16.9717150991156&lt;/D&gt;&lt;D xsi:type="xsd:double"&gt;17.1318598119642&lt;/D&gt;&lt;D xsi:type="xsd:double"&gt;16.8142201062076&lt;/D&gt;&lt;D xsi:type="xsd:double"&gt;15.7954335539401&lt;/D&gt;&lt;D xsi:type="xsd:double"&gt;16.4963606302415&lt;/D&gt;&lt;D xsi:type="xsd:double"&gt;16.8046876798181&lt;/D&gt;&lt;D xsi:type="xsd:double"&gt;15.8831275329608&lt;/D&gt;&lt;D xsi:type="xsd:double"&gt;16.1722447509129&lt;/D&gt;&lt;D xsi:type="xsd:double"&gt;13.818045937379&lt;/D&gt;&lt;D xsi:type="xsd:double"&gt;12.8814431365747&lt;/D&gt;&lt;D xsi:type="xsd:double"&gt;12.979578003227&lt;/D&gt;&lt;D xsi:type="xsd:double"&gt;14.5160519252829&lt;/D&gt;&lt;D xsi:type="xsd:double"&gt;15.7765877299044&lt;/D&gt;&lt;D xsi:type="xsd:double"&gt;17.2533309147371&lt;/D&gt;&lt;D xsi:type="xsd:double"&gt;16.8694335747451&lt;/D&gt;&lt;D xsi:type="xsd:double"&gt;17.2029269133297&lt;/D&gt;&lt;D xsi:type="xsd:double"&gt;18.115578059276&lt;/D&gt;&lt;D xsi:type="xsd:double"&gt;15.0098709375956&lt;/D&gt;&lt;D xsi:type="xsd:double"&gt;16.8143784229845&lt;/D&gt;&lt;D xsi:type="xsd:double"&gt;17.9141111017309&lt;/D&gt;&lt;D xsi:type="xsd:double"&gt;17.8797877396813&lt;/D&gt;&lt;D xsi:type="xsd:double"&gt;17.5604128865816&lt;/D&gt;&lt;D xsi:type="xsd:double"&gt;18.1538333079748&lt;/D&gt;&lt;D xsi:type="xsd:double"&gt;17.842205264548&lt;/D&gt;&lt;D xsi:type="xsd:double"&gt;17.7605343244215&lt;/D&gt;&lt;D xsi:type="xsd:double"&gt;17.8941999617055&lt;/D&gt;&lt;D xsi:type="xsd:double"&gt;17.5041910697617&lt;/D&gt;&lt;D xsi:type="xsd:double"&gt;17.4465645600101&lt;/D&gt;&lt;D xsi:type="xsd:double"&gt;16.9899769713474&lt;/D&gt;&lt;D xsi:type="xsd:double"&gt;16.4257302007284&lt;/D&gt;&lt;D xsi:type="xsd:double"&gt;16.3317147978605&lt;/D&gt;&lt;D xsi:type="xsd:double"&gt;16.8898189173051&lt;/D&gt;&lt;D xsi:type="xsd:double"&gt;12.2227705636803&lt;/D&gt;&lt;D xsi:type="xsd:double"&gt;11.6552366179579&lt;/D&gt;&lt;D xsi:type="xsd:double"&gt;12.0371219696064&lt;/D&gt;&lt;D xsi:type="xsd:double"&gt;12.2495902229145&lt;/D&gt;&lt;D xsi:type="xsd:double"&gt;13.6973653769337&lt;/D&gt;&lt;D xsi:type="xsd:double"&gt;13.2508592159055&lt;/D&gt;&lt;D xsi:type="xsd:double"&gt;14.7340592634055&lt;/D&gt;&lt;D xsi:type="xsd:double"&gt;14.420284064999&lt;/D&gt;&lt;D xsi:type="xsd:double"&gt;14.3110336907539&lt;/D&gt;&lt;D xsi:type="xsd:double"&gt;13.4035826385983&lt;/D&gt;&lt;D xsi:type="xsd:double"&gt;14.2621742992069&lt;/D&gt;&lt;D xsi:type="xsd:double"&gt;15.4453401904452&lt;/D&gt;&lt;D xsi:type="xsd:double"&gt;24.414106400722&lt;/D&gt;&lt;D xsi:type="xsd:double"&gt;25.6790377269273&lt;/D&gt;&lt;D xsi:type="xsd:double"&gt;24.447430349432&lt;/D&gt;&lt;D xsi:type="xsd:double"&gt;23.3628183076313&lt;/D&gt;&lt;D xsi:type="xsd:double"&gt;21.9287604214749&lt;/D&gt;&lt;D xsi:type="xsd:double"&gt;20.9228819471348&lt;/D&gt;&lt;D xsi:type="xsd:double"&gt;19.560105557109&lt;/D&gt;&lt;D xsi:type="xsd:double"&gt;17.8353293574686&lt;/D&gt;&lt;D xsi:type="xsd:double"&gt;16.7595290657134&lt;/D&gt;&lt;D xsi:type="xsd:double"&gt;15.7093974455797&lt;/D&gt;&lt;D xsi:type="xsd:double"&gt;16.0134780705313&lt;/D&gt;&lt;D xsi:type="xsd:double"&gt;17.9664134762761&lt;/D&gt;&lt;D xsi:type="xsd:double"&gt;15.4288680529925&lt;/D&gt;&lt;D xsi:type="xsd:double"&gt;15.7867160603531&lt;/D&gt;&lt;D xsi:type="xsd:double"&gt;15.9085794415529&lt;/D&gt;&lt;D xsi:type="xsd:double"&gt;15.9096999557959&lt;/D&gt;&lt;D xsi:type="xsd:double"&gt;15.9925349265853&lt;/D&gt;&lt;/FQL&gt;&lt;FQL&gt;&lt;Q&gt;PASP-FDS^FG_PRICE_MAVG(0,,,,30)&lt;/Q&gt;&lt;R&gt;1&lt;/R&gt;&lt;C&gt;1&lt;/C&gt;&lt;D xsi:type="xsd:double"&gt;989.56665&lt;/D&gt;&lt;/FQL&gt;&lt;FQL&gt;&lt;Q&gt;BRENT-FDS^FG_PRICE_CHANGE(0,-1AY)&lt;/Q&gt;&lt;R&gt;1&lt;/R&gt;&lt;C&gt;1&lt;/C&gt;&lt;D xsi:type="xsd:double"&gt;17.713188922402&lt;/D&gt;&lt;/FQL&gt;&lt;FQL&gt;&lt;Q&gt;ENZL^FG_PRICE_MAVG(0,,,,60)&lt;/Q&gt;&lt;R&gt;1&lt;/R&gt;&lt;C&gt;1&lt;/C&gt;&lt;D xsi:type="xsd:double"&gt;45.146797&lt;/D&gt;&lt;/FQL&gt;&lt;FQL&gt;&lt;Q&gt;FXI^P_PRICE(0)/P_PRICE_HIGH_PR(0,,,,,,"PRICE","INTRA","52W")&lt;/Q&gt;&lt;R&gt;1&lt;/R&gt;&lt;C&gt;1&lt;/C&gt;&lt;D xsi:type="xsd:double"&gt;0.87197113&lt;/D&gt;&lt;/FQL&gt;&lt;FQL&gt;&lt;Q&gt;VWO^P_PRICE(0)/P_PRICE_HIGH_PR(0,,,,,,"PRICE","INTRA","52W")&lt;/Q&gt;&lt;R&gt;1&lt;/R&gt;&lt;C&gt;1&lt;/C&gt;&lt;D xsi:type="xsd:double"&gt;0.9580594&lt;/D&gt;&lt;/FQL&gt;&lt;FQL&gt;&lt;Q&gt;EWN^P_PRICE(0)/P_PRICE_LOW_PR(0,,,,,,"PRICE","INTRA","52W")-1&lt;/Q&gt;&lt;R&gt;1&lt;/R&gt;&lt;C&gt;1&lt;/C&gt;&lt;D xsi:type="xsd:double"&gt;0.41058135&lt;/D&gt;&lt;/FQL&gt;&lt;FQL&gt;&lt;Q&gt;EWL^FMA_PCT_ABOVE_MAVG(200,0,,,,"PORTAGG")&lt;/Q&gt;&lt;R&gt;1&lt;/R&gt;&lt;C&gt;1&lt;/C&gt;&lt;D xsi:type="xsd:double"&gt;62.2222222222222&lt;/D&gt;&lt;/FQL&gt;&lt;FQL&gt;&lt;Q&gt;EWG^PERCENT_CHANGE(FMA_EPS(+1,0,,,,"PORTAGG","MEAN"),FMA_EPS(+1,-1AM,,,,"PORTAGG","MEAN"))&lt;/Q&gt;&lt;R&gt;1&lt;/R&gt;&lt;C&gt;1&lt;/C&gt;&lt;D xsi:type="xsd:double"&gt;3.83971432018701&lt;/D&gt;&lt;/FQL&gt;&lt;FQL&gt;&lt;Q&gt;EWA^PERCENT_CHANGE(FMA_EPS(+1,0,,,,"PORTAGG","MEAN"),FMA_EPS(+1,-3AM,,,,"PORTAGG","MEAN"))&lt;/Q&gt;&lt;R&gt;1&lt;/R&gt;&lt;C&gt;1&lt;/C&gt;&lt;D xsi:type="xsd:double"&gt;2.10322752624375&lt;/D&gt;&lt;/FQL&gt;&lt;FQL&gt;&lt;Q&gt;SPY^FMA_COS_UP("EPS","1M",+1,0,,,"PORTAGG","MEANR")&lt;/Q&gt;&lt;R&gt;1&lt;/R&gt;&lt;C&gt;1&lt;/C&gt;&lt;D xsi:type="xsd:double"&gt;223&lt;/D&gt;&lt;/FQL&gt;&lt;FQL&gt;&lt;Q&gt;CAGDPY@GB^EE_ACTUAL_ANNUAL(MED,0)&lt;/Q&gt;&lt;R&gt;1&lt;/R&gt;&lt;C&gt;1&lt;/C&gt;&lt;D xsi:type="xsd:double"&gt;-3.3&lt;/D&gt;&lt;/FQL&gt;&lt;FQL&gt;&lt;Q&gt;CC_NZ^FG_COMPANY_NAME&lt;/Q&gt;&lt;R&gt;1&lt;/R&gt;&lt;C&gt;1&lt;/C&gt;&lt;D xsi:type="xsd:string"&gt;New Zealand&lt;/D&gt;&lt;/FQL&gt;&lt;FQL&gt;&lt;Q&gt;USDANG^FG_PRICE_CHANGE(0,-3AM)&lt;/Q&gt;&lt;R&gt;1&lt;/R&gt;&lt;C&gt;1&lt;/C&gt;&lt;D xsi:type="xsd:double"&gt;0&lt;/D&gt;&lt;/FQL&gt;&lt;FQL&gt;&lt;Q&gt;USDUSD^STD(FG_PRICE_CHANGE(0,-1AY,AM))&lt;/Q&gt;&lt;R&gt;1&lt;/R&gt;&lt;C&gt;1&lt;/C&gt;&lt;D xsi:type="xsd:double"&gt;0&lt;/D&gt;&lt;/FQL&gt;&lt;FQL&gt;&lt;Q&gt;USDCHF^FG_PRICE_CHANGE(0,-1AY)&lt;/Q&gt;&lt;R&gt;1&lt;/R&gt;&lt;C&gt;1&lt;/C&gt;&lt;D xsi:type="xsd:double"&gt;-1.3126969&lt;/D&gt;&lt;/FQL&gt;&lt;FQL&gt;&lt;Q&gt;USDNZD^FG_PRICE(0)&lt;/Q&gt;&lt;R&gt;1&lt;/R&gt;&lt;C&gt;1&lt;/C&gt;&lt;D xsi:type="xsd:double"&gt;1.6276041&lt;/D&gt;&lt;/FQL&gt;&lt;FQL&gt;&lt;Q&gt;EWN^FMA_PE(NTMA,-10AY,0,AM,"PORTAGG","MEANR")&lt;/Q&gt;&lt;R&gt;121&lt;/R&gt;&lt;C&gt;1&lt;/C&gt;&lt;D xsi:type="xsd:double"&gt;14.3355719632522&lt;/D&gt;&lt;D xsi:type="xsd:double"&gt;14.5244310277177&lt;/D&gt;&lt;D xsi:type="xsd:double"&gt;14.0133930291893&lt;/D&gt;&lt;D xsi:type="xsd:double"&gt;14.4572310569034&lt;/D&gt;&lt;D xsi:type="xsd:double"&gt;14.6588479027252&lt;/D&gt;&lt;D xsi:type="xsd:double"&gt;14.6029947441027&lt;/D&gt;&lt;D xsi:type="xsd:double"&gt;15.2708740916053&lt;/D&gt;&lt;D xsi:type="xsd:double"&gt;14.8474962949318&lt;/D&gt;&lt;D xsi:type="xsd:double"&gt;15.7673862704467&lt;/D&gt;&lt;D xsi:type="xsd:double"&gt;16.9244555464129&lt;/D&gt;&lt;D xsi:type="xsd:double"&gt;17.1393963639161&lt;/D&gt;&lt;D xsi:type="xsd:double"&gt;16.899703396284&lt;/D&gt;&lt;D xsi:type="xsd:double"&gt;17.0008564848339&lt;/D&gt;&lt;D xsi:type="xsd:double"&gt;16.1758437499415&lt;/D&gt;&lt;D xsi:type="xsd:double"&gt;16.8091333988136&lt;/D&gt;&lt;D xsi:type="xsd:double"&gt;15.0417455724395&lt;/D&gt;&lt;D xsi:type="xsd:double"&gt;14.3290898284518&lt;/D&gt;&lt;D xsi:type="xsd:double"&gt;15.8345823022642&lt;/D&gt;&lt;D xsi:type="xsd:double"&gt;16.4755893395924&lt;/D&gt;&lt;D xsi:type="xsd:double"&gt;15.3744123294909&lt;/D&gt;&lt;D xsi:type="xsd:double"&gt;15.0778451205177&lt;/D&gt;&lt;D xsi:type="xsd:double"&gt;14.8648040793015&lt;/D&gt;&lt;D xsi:type="xsd:double"&gt;15.3025945897703&lt;/D&gt;&lt;D xsi:type="xsd:double"&gt;14.946129809202&lt;/D&gt;&lt;D xsi:type="xsd:double"&gt;15.3186071877111&lt;/D&gt;&lt;D xsi:type="xsd:double"&gt;14.1493337998427&lt;/D&gt;&lt;D xsi:type="xsd:double"&gt;14.7851056451738&lt;/D&gt;&lt;D xsi:type="xsd:double"&gt;14.970452520999&lt;/D&gt;&lt;D xsi:type="xsd:double"&gt;14.9630416582273&lt;/D&gt;&lt;D xsi:type="xsd:double"&gt;14.7288844051714&lt;/D&gt;&lt;D xsi:type="xsd:double"&gt;14.6202978154517&lt;/D&gt;&lt;D xsi:type="xsd:double"&gt;15.0459531872303&lt;/D&gt;&lt;D xsi:type="xsd:double"&gt;14.8942772124415&lt;/D&gt;&lt;D xsi:type="xsd:double"&gt;15.4775278626066&lt;/D&gt;&lt;D xsi:type="xsd:double"&gt;16.086544809033&lt;/D&gt;&lt;D xsi:type="xsd:double"&gt;16.3456238317593&lt;/D&gt;&lt;D xsi:type="xsd:double"&gt;16.260813959052&lt;/D&gt;&lt;D xsi:type="xsd:double"&gt;15.6412271612394&lt;/D&gt;&lt;D xsi:type="xsd:double"&gt;15.9734890114289&lt;/D&gt;&lt;D xsi:type="xsd:double"&gt;15.6538832000291&lt;/D&gt;&lt;D xsi:type="xsd:double"&gt;16.0204057170152&lt;/D&gt;&lt;D xsi:type="xsd:double"&gt;16.348989016967&lt;/D&gt;&lt;D xsi:type="xsd:double"&gt;15.935676149453&lt;/D&gt;&lt;D xsi:type="xsd:double"&gt;15.907886313488&lt;/D&gt;&lt;D xsi:type="xsd:double"&gt;16.2347494310565&lt;/D&gt;&lt;D xsi:type="xsd:double"&gt;15.6135502244024&lt;/D&gt;&lt;D xsi:type="xsd:double"&gt;15.3810444251276&lt;/D&gt;&lt;D xsi:type="xsd:double"&gt;15.6689313104486&lt;/D&gt;&lt;D xsi:type="xsd:double"&gt;15.6505084054599&lt;/D&gt;&lt;D xsi:type="xsd:double"&gt;15.5222598755721&lt;/D&gt;&lt;D xsi:type="xsd:double"&gt;15.9805915688357&lt;/D&gt;&lt;D xsi:type="xsd:double"&gt;15.4862825689879&lt;/D&gt;&lt;D xsi:type="xsd:double"&gt;14.9443294080648&lt;/D&gt;&lt;D xsi:type="xsd:double"&gt;14.0141960198466&lt;/D&gt;&lt;D xsi:type="xsd:double"&gt;14.122416896252&lt;/D&gt;&lt;D xsi:type="xsd:double"&gt;13.0874773100853&lt;/D&gt;&lt;D xsi:type="xsd:double"&gt;14.0907039039889&lt;/D&gt;&lt;D xsi:type="xsd:double"&gt;14.8504332804713&lt;/D&gt;&lt;D xsi:type="xsd:double"&gt;15.1517121988869&lt;/D&gt;&lt;D xsi:type="xsd:double"&gt;15.8109121539052&lt;/D&gt;&lt;D xsi:type="xsd:double"&gt;14.8405745987493&lt;/D&gt;&lt;D xsi:type="xsd:double"&gt;15.4834378485148&lt;/D&gt;&lt;D xsi:type="xsd:double"&gt;15.7164271951198&lt;/D&gt;&lt;D xsi:type="xsd:double"&gt;15.411123426451&lt;/D&gt;&lt;D xsi:type="xsd:double"&gt;16.3268498149704&lt;/D&gt;&lt;D xsi:type="xsd:double"&gt;16.1963162754287&lt;/D&gt;&lt;D xsi:type="xsd:double"&gt;16.7305213072439&lt;/D&gt;&lt;D xsi:type="xsd:double"&gt;17.007742429646&lt;/D&gt;&lt;D xsi:type="xsd:double"&gt;16.8189456167575&lt;/D&gt;&lt;D xsi:type="xsd:double"&gt;15.6522151155051&lt;/D&gt;&lt;D xsi:type="xsd:double"&gt;14.3927232746588&lt;/D&gt;&lt;D xsi:type="xsd:double"&gt;17.2663608432009&lt;/D&gt;&lt;D xsi:type="xsd:double"&gt;18.4182831593396&lt;/D&gt;&lt;D xsi:type="xsd:double"&gt;19.4645503819679&lt;/D&gt;&lt;D xsi:type="xsd:double"&gt;19.4070701657064&lt;/D&gt;&lt;D xsi:type="xsd:double"&gt;19.5003162651232&lt;/D&gt;&lt;D xsi:type="xsd:double"&gt;19.1928443394362&lt;/D&gt;&lt;D xsi:type="xsd:double"&gt;18.5871180103249&lt;/D&gt;&lt;D xsi:type="xsd:double"&gt;20.6779772404281&lt;/D&gt;&lt;D xsi:type="xsd:double"&gt;20.5781242257232&lt;/D&gt;&lt;D xsi:type="xsd:double"&gt;20.829866004697&lt;/D&gt;&lt;D xsi:type="xsd:double"&gt;21.4166993700112&lt;/D&gt;&lt;D xsi:type="xsd:double"&gt;22.3556404899692&lt;/D&gt;&lt;D xsi:type="xsd:double"&gt;21.8694192303021&lt;/D&gt;&lt;D xsi:type="xsd:double"&gt;21.2145092805885&lt;/D&gt;&lt;D xsi:type="xsd:double"&gt;21.2895109435962&lt;/D&gt;&lt;D xsi:type="xsd:double"&gt;21.4580485401318&lt;/D&gt;&lt;D xsi:type="xsd:double"&gt;21.9891725991595&lt;/D&gt;&lt;D xsi:type="xsd:double"&gt;20.4210030997048&lt;/D&gt;&lt;D xsi:type="xsd:double"&gt;21.2075945846614&lt;/D&gt;&lt;D xsi:type="xsd:double"&gt;20.0221093394656&lt;/D&gt;&lt;D xsi:type="xsd:double"&gt;20.6156105422855&lt;/D&gt;&lt;D xsi:type="xsd:double"&gt;18.7204305858012&lt;/D&gt;&lt;D xsi:type="xsd:double"&gt;17.4728515755676&lt;/D&gt;&lt;D xsi:type="xsd:double"&gt;18.2909792322055&lt;/D&gt;&lt;D xsi:type="xsd:double"&gt;17.1899384650319&lt;/D&gt;&lt;D xsi:type="xsd:double"&gt;17.3269502777391&lt;/D&gt;&lt;D xsi:type="xsd:double"&gt;15.9400810077584&lt;/D&gt;&lt;D xsi:type="xsd:double"&gt;18.0284286033431&lt;/D&gt;&lt;D xsi:type="xsd:double"&gt;16.1304037440054&lt;/D&gt;&lt;D xsi:type="xsd:double"&gt;14.3557537296509&lt;/D&gt;&lt;D xsi:type="xsd:double"&gt;15.1875508486666&lt;/D&gt;&lt;D xsi:type="xsd:double"&gt;16.6007958050764&lt;/D&gt;&lt;D xsi:type="xsd:double"&gt;15.3296391927015&lt;/D&gt;&lt;D xsi:type="xsd:double"&gt;16.9764496729573&lt;/D&gt;&lt;D xsi:type="xsd:double"&gt;16.4807481202809&lt;/D&gt;&lt;D xsi:type="xsd:double"&gt;16.5539690403413&lt;/D&gt;&lt;D xsi:type="xsd:double"&gt;15.8332249132083&lt;/D&gt;&lt;D xsi:type="xsd:double"&gt;15.565088822145&lt;/D&gt;&lt;D xsi:type="xsd:double"&gt;15.8423339530839&lt;/D&gt;&lt;D xsi:type="xsd:double"&gt;16.2219496370401&lt;/D&gt;&lt;D xsi:type="xsd:double"&gt;14.6833340611682&lt;/D&gt;&lt;D xsi:type="xsd:double"&gt;13.6306146163874&lt;/D&gt;&lt;D xsi:type="xsd:double"&gt;13.2930575987531&lt;/D&gt;&lt;D xsi:type="xsd:double"&gt;14.6434912139382&lt;/D&gt;&lt;D xsi:type="xsd:double"&gt;15.1008577463554&lt;/D&gt;&lt;D xsi:type="xsd:double"&gt;15.6774730143348&lt;/D&gt;&lt;D xsi:type="xsd:double"&gt;16.3298327972927&lt;/D&gt;&lt;D xsi:type="xsd:double"&gt;16.3778003736016&lt;/D&gt;&lt;D xsi:type="xsd:double"&gt;15.6381782297323&lt;/D&gt;&lt;D xsi:type="xsd:double"&gt;16.1302055844928&lt;/D&gt;&lt;/FQL&gt;&lt;FQL&gt;&lt;Q&gt;WL-FDS^FG_PRICE(0)&lt;/Q&gt;&lt;R&gt;1&lt;/R&gt;&lt;C&gt;1&lt;/C&gt;&lt;D xsi:type="xsd:double"&gt;541.7&lt;/D&gt;&lt;/FQL&gt;&lt;FQL&gt;&lt;Q&gt;PLATI-FDS^FG_PRICE_CHANGE(0,-6AM)&lt;/Q&gt;&lt;R&gt;1&lt;/R&gt;&lt;C&gt;1&lt;/C&gt;&lt;D xsi:type="xsd:double"&gt;9.75609756097562&lt;/D&gt;&lt;/FQL&gt;&lt;FQL&gt;&lt;Q&gt;W-FDS^FG_PRICE_MAVG(0,,,,30)&lt;/Q&gt;&lt;R&gt;1&lt;/R&gt;&lt;C&gt;1&lt;/C&gt;&lt;D xsi:type="xsd:double"&gt;6.3759165&lt;/D&gt;&lt;/FQL&gt;&lt;FQL&gt;&lt;Q&gt;TIOS-FDS^FG_PRICE_CHANGE(0,-1AY)&lt;/Q&gt;&lt;R&gt;1&lt;/R&gt;&lt;C&gt;1&lt;/C&gt;&lt;D xsi:type="xsd:double"&gt;11.9444180070429&lt;/D&gt;&lt;/FQL&gt;&lt;FQL&gt;&lt;Q&gt;EWC^FG_PRICE_MAVG(0,,,,200)&lt;/Q&gt;&lt;R&gt;1&lt;/R&gt;&lt;C&gt;1&lt;/C&gt;&lt;D xsi:type="xsd:double"&gt;35.74815&lt;/D&gt;&lt;/FQL&gt;&lt;FQL&gt;&lt;Q&gt;SPY^FG_TOTAL_RETURNC(0,-3AM)&lt;/Q&gt;&lt;R&gt;1&lt;/R&gt;&lt;C&gt;1&lt;/C&gt;&lt;D xsi:type="xsd:double"&gt;4.121363&lt;/D&gt;&lt;/FQL&gt;&lt;FQL&gt;&lt;Q&gt;ENZL^PERCENT_CHANGE(FMA_EPS(+1,0,,,,"PORTAGG","MEAN"),FMA_EPS(+1,-1AM,,,,"PORTAGG","MEAN"))&lt;/Q&gt;&lt;R&gt;1&lt;/R&gt;&lt;C&gt;1&lt;/C&gt;&lt;D xsi:type="xsd:double"&gt;2.89911863006194&lt;/D&gt;&lt;/FQL&gt;&lt;FQL&gt;&lt;Q&gt;QQQ^FMA_COS_UP("EPS","1M",+1,0,,,"PORTAGG","MEANR")&lt;/Q&gt;&lt;R&gt;1&lt;/R&gt;&lt;C&gt;1&lt;/C&gt;&lt;D xsi:type="xsd:double"&gt;44&lt;/D&gt;&lt;/FQL&gt;&lt;FQL&gt;&lt;Q&gt;EWA^FMA_COS_UP("EPS","1M",+1,0,,,"PORTAGG","MEANR")&lt;/Q&gt;&lt;R&gt;1&lt;/R&gt;&lt;C&gt;1&lt;/C&gt;&lt;D xsi:type="xsd:double"&gt;26&lt;/D&gt;&lt;/FQL&gt;&lt;FQL&gt;&lt;Q&gt;EWD^FMA_RBICS_REV_CURRENT(30, LOC, "PORTAGG")&lt;/Q&gt;&lt;R&gt;1&lt;/R&gt;&lt;C&gt;1&lt;/C&gt;&lt;D xsi:type="xsd:double"&gt;25.9129717795788&lt;/D&gt;&lt;/FQL&gt;&lt;FQL&gt;&lt;Q&gt;TRYNZ10Y-FDS^FG_YIELD_NAME&lt;/Q&gt;&lt;R&gt;1&lt;/R&gt;&lt;C&gt;1&lt;/C&gt;&lt;D xsi:type="xsd:string"&gt;New Zealand Benchmark Bond - 10 Year&lt;/D&gt;&lt;/FQL&gt;&lt;FQL&gt;&lt;Q&gt;REFSEREPO-FDS^FG_YIELD(NOW,,,0)&lt;/Q&gt;&lt;R&gt;1&lt;/R&gt;&lt;C&gt;1&lt;/C&gt;&lt;D xsi:type="xsd:double"&gt;3.75&lt;/D&gt;&lt;/FQL&gt;&lt;FQL&gt;&lt;Q&gt;REFCHMPR-FDS^FG_YIELD(NOW,,,0)&lt;/Q&gt;&lt;R&gt;1&lt;/R&gt;&lt;C&gt;1&lt;/C&gt;&lt;D xsi:type="xsd:double"&gt;1.5&lt;/D&gt;&lt;/FQL&gt;&lt;FQL&gt;&lt;Q&gt;EWU^JULIAN(FMA_DIV_YLD(NTMA,NOW,NOW,M,"PORTAGG","MEANR").DATES)&lt;/Q&gt;&lt;R&gt;1&lt;/R&gt;&lt;C&gt;1&lt;/C&gt;&lt;D xsi:type="xsd:long"&gt;45441&lt;/D&gt;&lt;/FQL&gt;&lt;FQL&gt;&lt;Q&gt;EWG^FMA_DIV_YLD(NTMA,NOW,NOW,M,"PORTAGG","MEANR")&lt;/Q&gt;&lt;R&gt;1&lt;/R&gt;&lt;C&gt;1&lt;/C&gt;&lt;D xsi:type="xsd:double"&gt;3.38226238077507&lt;/D&gt;&lt;/FQL&gt;&lt;FQL&gt;&lt;Q&gt;ENZL^FMA_EVAL_EBIT(LTMA,NOW,NOW,M,"PORTAGG","MEANR")&lt;/Q&gt;&lt;R&gt;1&lt;/R&gt;&lt;C&gt;1&lt;/C&gt;&lt;D xsi:type="xsd:double"&gt;20.6467565385073&lt;/D&gt;&lt;/FQL&gt;&lt;FQL&gt;&lt;Q&gt;USO^FG_TOTAL_RETURNC(0,-6AM)&lt;/Q&gt;&lt;R&gt;1&lt;/R&gt;&lt;C&gt;1&lt;/C&gt;&lt;D xsi:type="xsd:double"&gt;6.6723704&lt;/D&gt;&lt;/FQL&gt;&lt;FQL&gt;&lt;Q&gt;EWG^FMA_ROE(NTMA,-20AY,NOW,FY,"PORTAGG","MEANR")&lt;/Q&gt;&lt;R&gt;20&lt;/R&gt;&lt;C&gt;1&lt;/C&gt;&lt;D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xsi:type="xsd:double"&gt;9.71471543630714&lt;/D&gt;&lt;D xsi:type="xsd:double"&gt;12.1997093940908&lt;/D&gt;&lt;D xsi:type="xsd:double"&gt;11.8187115511422&lt;/D&gt;&lt;D xsi:type="xsd:double"&gt;11.9489916743573&lt;/D&gt;&lt;/FQL&gt;&lt;FQL&gt;&lt;Q&gt;TRYKR10Y-FDS^FG_YIELD(-10AY,0,Y,,"YTM")&lt;/Q&gt;&lt;R&gt;10&lt;/R&gt;&lt;C&gt;1&lt;/C&gt;&lt;D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xsi:type="xsd:double"&gt;3.1928&lt;/D&gt;&lt;/FQL&gt;&lt;FQL&gt;&lt;Q&gt;USDCAD^FG_PRICE_CHANGE(0,-6AM)&lt;/Q&gt;&lt;R&gt;1&lt;/R&gt;&lt;C&gt;1&lt;/C&gt;&lt;D xsi:type="xsd:double"&gt;0.53840876&lt;/D&gt;&lt;/FQL&gt;&lt;FQL&gt;&lt;Q&gt;QQQ^P_PRICE_RETURNS_PR('52W',2,-10AY,0,AM)&lt;/Q&gt;&lt;R&gt;121&lt;/R&gt;&lt;C&gt;1&lt;/C&gt;&lt;D xsi:type="xsd:double"&gt;25.46928&lt;/D&gt;&lt;D xsi:type="xsd:double"&gt;33.792805&lt;/D&gt;&lt;D xsi:type="xsd:double"&gt;27.334286&lt;/D&gt;&lt;D xsi:type="xsd:double"&gt;33.3786&lt;/D&gt;&lt;D xsi:type="xsd:double"&gt;27.086782&lt;/D&gt;&lt;D xsi:type="xsd:double"&gt;24.283768&lt;/D&gt;&lt;D xsi:type="xsd:double"&gt;26.229132&lt;/D&gt;&lt;D xsi:type="xsd:double"&gt;19.179333&lt;/D&gt;&lt;D xsi:type="xsd:double"&gt;18.667316&lt;/D&gt;&lt;D xsi:type="xsd:double"&gt;21.192778&lt;/D&gt;&lt;D xsi:type="xsd:double"&gt;21.789015&lt;/D&gt;&lt;D xsi:type="xsd:double"&gt;24.527943&lt;/D&gt;&lt;D xsi:type="xsd:double"&gt;21.874952&lt;/D&gt;&lt;D xsi:type="xsd:double"&gt;15.236449&lt;/D&gt;&lt;D xsi:type="xsd:double"&gt;19.081152&lt;/D&gt;&lt;D xsi:type="xsd:double"&gt;5.661404&lt;/D&gt;&lt;D xsi:type="xsd:double"&gt;4.12066&lt;/D&gt;&lt;D xsi:type="xsd:double"&gt;14.533043&lt;/D&gt;&lt;D xsi:type="xsd:double"&gt;8.719373&lt;/D&gt;&lt;D xsi:type="xsd:double"&gt;9.446454&lt;/D&gt;&lt;D xsi:type="xsd:double"&gt;3.2431483&lt;/D&gt;&lt;D xsi:type="xsd:double"&gt;-4.4762077&lt;/D&gt;&lt;D xsi:type="xsd:double"&gt;4.536438&lt;/D&gt;&lt;D xsi:type="xsd:double"&gt;-2.2656262&lt;/D&gt;&lt;D xsi:type="xsd:double"&gt;1.356566&lt;/D&gt;&lt;D xsi:type="xsd:double"&gt;1.5723228&lt;/D&gt;&lt;D xsi:type="xsd:double"&gt;4.4645905&lt;/D&gt;&lt;D xsi:type="xsd:double"&gt;12.88842&lt;/D&gt;&lt;D xsi:type="xsd:double"&gt;17.987537&lt;/D&gt;&lt;D xsi:type="xsd:double"&gt;4.3982387&lt;/D&gt;&lt;D xsi:type="xsd:double"&gt;4.2188287&lt;/D&gt;&lt;D xsi:type="xsd:double"&gt;5.768156&lt;/D&gt;&lt;D xsi:type="xsd:double"&gt;20.965744&lt;/D&gt;&lt;D xsi:type="xsd:double"&gt;27.112543&lt;/D&gt;&lt;D xsi:type="xsd:double"&gt;22.474062&lt;/D&gt;&lt;D xsi:type="xsd:double"&gt;29.270626&lt;/D&gt;&lt;D xsi:type="xsd:double"&gt;29.36679&lt;/D&gt;&lt;D xsi:type="xsd:double"&gt;29.312193&lt;/D&gt;&lt;D xsi:type="xsd:double"&gt;25.583696&lt;/D&gt;&lt;D xsi:type="xsd:double"&gt;26.855719&lt;/D&gt;&lt;D xsi:type="xsd:double"&gt;24.666859&lt;/D&gt;&lt;D xsi:type="xsd:double"&gt;31.357014&lt;/D&gt;&lt;D xsi:type="xsd:double"&gt;33.36562&lt;/D&gt;&lt;D xsi:type="xsd:double"&gt;31.301426&lt;/D&gt;&lt;D xsi:type="xsd:double"&gt;37.22836&lt;/D&gt;&lt;D xsi:type="xsd:double"&gt;29.77649&lt;/D&gt;&lt;D xsi:type="xsd:double"&gt;22.133816&lt;/D&gt;&lt;D xsi:type="xsd:double"&gt;19.375706&lt;/D&gt;&lt;D xsi:type="xsd:double"&gt;21.415806&lt;/D&gt;&lt;D xsi:type="xsd:double"&gt;25.764442&lt;/D&gt;&lt;D xsi:type="xsd:double"&gt;24.190569&lt;/D&gt;&lt;D xsi:type="xsd:double"&gt;28.700888&lt;/D&gt;&lt;D xsi:type="xsd:double"&gt;29.643906&lt;/D&gt;&lt;D xsi:type="xsd:double"&gt;12.47189&lt;/D&gt;&lt;D xsi:type="xsd:double"&gt;10.00483&lt;/D&gt;&lt;D xsi:type="xsd:double"&gt;-0.11628866&lt;/D&gt;&lt;D xsi:type="xsd:double"&gt;0.11672974&lt;/D&gt;&lt;D xsi:type="xsd:double"&gt;4.4618845&lt;/D&gt;&lt;D xsi:type="xsd:double"&gt;13.173866&lt;/D&gt;&lt;D xsi:type="xsd:double"&gt;18.796682&lt;/D&gt;&lt;D xsi:type="xsd:double"&gt;3.1725526&lt;/D&gt;&lt;D xsi:type="xsd:double"&gt;10.041022&lt;/D&gt;&lt;D xsi:type="xsd:double"&gt;9.253335&lt;/D&gt;&lt;D xsi:type="xsd:double"&gt;1.4514327&lt;/D&gt;&lt;D xsi:type="xsd:double"&gt;2.5404215&lt;/D&gt;&lt;D xsi:type="xsd:double"&gt;17.097092&lt;/D&gt;&lt;D xsi:type="xsd:double"&gt;23.072565&lt;/D&gt;&lt;D xsi:type="xsd:double"&gt;38.959766&lt;/D&gt;&lt;D xsi:type="xsd:double"&gt;31.346619&lt;/D&gt;&lt;D xsi:type="xsd:double"&gt;19.806744&lt;/D&gt;&lt;D xsi:type="xsd:double"&gt;6.883073&lt;/D&gt;&lt;D xsi:type="xsd:double"&gt;16.481829&lt;/D&gt;&lt;D xsi:type="xsd:double"&gt;33.70054&lt;/D&gt;&lt;D xsi:type="xsd:double"&gt;33.65792&lt;/D&gt;&lt;D xsi:type="xsd:double"&gt;40.203667&lt;/D&gt;&lt;D xsi:type="xsd:double"&gt;58.56049&lt;/D&gt;&lt;D xsi:type="xsd:double"&gt;48.253918&lt;/D&gt;&lt;D xsi:type="xsd:double"&gt;37.770927&lt;/D&gt;&lt;D xsi:type="xsd:double"&gt;47.177517&lt;/D&gt;&lt;D xsi:type="xsd:double"&gt;48.61877&lt;/D&gt;&lt;D xsi:type="xsd:double"&gt;42.826843&lt;/D&gt;&lt;D</t>
        </r>
      </text>
    </comment>
    <comment ref="A5" authorId="0" shapeId="0" xr:uid="{09EDBAD7-DA0E-4E2B-82C2-EF4EEF99661F}">
      <text>
        <r>
          <rPr>
            <b/>
            <sz val="9"/>
            <color indexed="81"/>
            <rFont val="Tahoma"/>
            <charset val="1"/>
          </rPr>
          <t xml:space="preserve"> xsi:type="xsd:double"&gt;46.148014&lt;/D&gt;&lt;D xsi:type="xsd:double"&gt;68.656364&lt;/D&gt;&lt;D xsi:type="xsd:double"&gt;55.36039&lt;/D&gt;&lt;D xsi:type="xsd:double"&gt;46.099426&lt;/D&gt;&lt;D xsi:type="xsd:double"&gt;43.958008&lt;/D&gt;&lt;D xsi:type="xsd:double"&gt;40.404236&lt;/D&gt;&lt;D xsi:type="xsd:double"&gt;29.579771&lt;/D&gt;&lt;D xsi:type="xsd:double"&gt;29.52609&lt;/D&gt;&lt;D xsi:type="xsd:double"&gt;40.44498&lt;/D&gt;&lt;D xsi:type="xsd:double"&gt;32.143093&lt;/D&gt;&lt;D xsi:type="xsd:double"&gt;27.420341&lt;/D&gt;&lt;D xsi:type="xsd:double"&gt;15.971756&lt;/D&gt;&lt;D xsi:type="xsd:double"&gt;10.929001&lt;/D&gt;&lt;D xsi:type="xsd:double"&gt;14.150465&lt;/D&gt;&lt;D xsi:type="xsd:double"&gt;-7.483202&lt;/D&gt;&lt;D xsi:type="xsd:double"&gt;-7.2360516&lt;/D&gt;&lt;D xsi:type="xsd:double"&gt;-20.482086&lt;/D&gt;&lt;D xsi:type="xsd:double"&gt;-13.443971&lt;/D&gt;&lt;D xsi:type="xsd:double"&gt;-20.797295&lt;/D&gt;&lt;D xsi:type="xsd:double"&gt;-24.874979&lt;/D&gt;&lt;D xsi:type="xsd:double"&gt;-27.566278&lt;/D&gt;&lt;D xsi:type="xsd:double"&gt;-25.047134&lt;/D&gt;&lt;D xsi:type="xsd:double"&gt;-32.999577&lt;/D&gt;&lt;D xsi:type="xsd:double"&gt;-18.252474&lt;/D&gt;&lt;D xsi:type="xsd:double"&gt;-14.729929&lt;/D&gt;&lt;D xsi:type="xsd:double"&gt;-10.799914&lt;/D&gt;&lt;D xsi:type="xsd:double"&gt;-0.90897083&lt;/D&gt;&lt;D xsi:type="xsd:double"&gt;13.744998&lt;/D&gt;&lt;D xsi:type="xsd:double"&gt;32.74591&lt;/D&gt;&lt;D xsi:type="xsd:double"&gt;22.494816&lt;/D&gt;&lt;D xsi:type="xsd:double"&gt;27.206707&lt;/D&gt;&lt;D xsi:type="xsd:double"&gt;32.6771&lt;/D&gt;&lt;D xsi:type="xsd:double"&gt;27.094387&lt;/D&gt;&lt;D xsi:type="xsd:double"&gt;33.446037&lt;/D&gt;&lt;D xsi:type="xsd:double"&gt;54.759644&lt;/D&gt;&lt;D xsi:type="xsd:double"&gt;42.5032&lt;/D&gt;&lt;D xsi:type="xsd:double"&gt;50.5739&lt;/D&gt;&lt;D xsi:type="xsd:double"&gt;45.53448&lt;/D&gt;&lt;D xsi:type="xsd:double"&gt;32.507492&lt;/D&gt;&lt;D xsi:type="xsd:double"&gt;30.380201&lt;/D&gt;&lt;/FQL&gt;&lt;FQL&gt;&lt;Q&gt;EWA^FG_TOTAL_RETURNC(-10AY,0,AM)&lt;/Q&gt;&lt;R&gt;121&lt;/R&gt;&lt;C&gt;1&lt;/C&gt;&lt;D xsi:type="xsd:double"&gt;0.41587353&lt;/D&gt;&lt;D xsi:type="xsd:double"&gt;-0.13749003&lt;/D&gt;&lt;D xsi:type="xsd:double"&gt;1.7604351&lt;/D&gt;&lt;D xsi:type="xsd:double"&gt;2.1436572&lt;/D&gt;&lt;D xsi:type="xsd:double"&gt;-11.855668&lt;/D&gt;&lt;D xsi:type="xsd:double"&gt;6.223893&lt;/D&gt;&lt;D xsi:type="xsd:double"&gt;-7.0782604&lt;/D&gt;&lt;D xsi:type="xsd:double"&gt;-3.1299055&lt;/D&gt;&lt;D xsi:type="xsd:double"&gt;-1.1276484&lt;/D&gt;&lt;D xsi:type="xsd:double"&gt;8.029199&lt;/D&gt;&lt;D xsi:type="xsd:double"&gt;-3.4628391&lt;/D&gt;&lt;D xsi:type="xsd:double"&gt;2.012241&lt;/D&gt;&lt;D xsi:type="xsd:double"&gt;-3.3447623&lt;/D&gt;&lt;D xsi:type="xsd:double"&gt;-4.438156&lt;/D&gt;&lt;D xsi:type="xsd:double"&gt;-0.5230665&lt;/D&gt;&lt;D xsi:type="xsd:double"&gt;-10.850864&lt;/D&gt;&lt;D xsi:type="xsd:double"&gt;-3.9142072&lt;/D&gt;&lt;D xsi:type="xsd:double"&gt;5.5803537&lt;/D&gt;&lt;D xsi:type="xsd:double"&gt;0.8985162&lt;/D&gt;&lt;D xsi:type="xsd:double"&gt;2.0926118&lt;/D&gt;&lt;D xsi:type="xsd:double"&gt;-6.962025&lt;/D&gt;&lt;D xsi:type="xsd:double"&gt;-2.0408094&lt;/D&gt;&lt;D xsi:type="xsd:double"&gt;11.805546&lt;/D&gt;&lt;D xsi:type="xsd:double"&gt;3.1573534&lt;/D&gt;&lt;D xsi:type="xsd:double"&gt;-2.408427&lt;/D&gt;&lt;D xsi:type="xsd:double"&gt;1.4178395&lt;/D&gt;&lt;D xsi:type="xsd:double"&gt;7.4035883&lt;/D&gt;&lt;D xsi:type="xsd:double"&gt;-3.2072783&lt;/D&gt;&lt;D xsi:type="xsd:double"&gt;3.3630133&lt;/D&gt;&lt;D xsi:type="xsd:double"&gt;-2.9664993&lt;/D&gt;&lt;D xsi:type="xsd:double"&gt;0.7889509&lt;/D&gt;&lt;D xsi:type="xsd:double"&gt;1.619029&lt;/D&gt;&lt;D xsi:type="xsd:double"&gt;4.9925923&lt;/D&gt;&lt;D xsi:type="xsd:double"&gt;3.3427596&lt;/D&gt;&lt;D xsi:type="xsd:double"&gt;3.0068278&lt;/D&gt;&lt;D xsi:type="xsd:double"&gt;-0.6634295&lt;/D&gt;&lt;D xsi:type="xsd:double"&gt;-4.3187857&lt;/D&gt;&lt;D xsi:type="xsd:double"&gt;3.1023026&lt;/D&gt;&lt;D xsi:type="xsd:double"&gt;4.7047973&lt;/D&gt;&lt;D xsi:type="xsd:double"&gt;-0.22026896&lt;/D&gt;&lt;D xsi:type="xsd:double"&gt;-0.92715025&lt;/D&gt;&lt;D xsi:type="xsd:double"&gt;1.1586428&lt;/D&gt;&lt;D xsi:type="xsd:double"&gt;0.3083706&lt;/D&gt;&lt;D xsi:type="xsd:double"&gt;4.2622447&lt;/D&gt;&lt;D xsi:type="xsd:double"&gt;2.5895596&lt;/D&gt;&lt;D xsi:type="xsd:double"&gt;-3.9966404&lt;/D&gt;&lt;D xsi:type="xsd:double"&gt;-3.5056949&lt;/D&gt;&lt;D xsi:type="xsd:double"&gt;0.7720232&lt;/D&gt;&lt;D xsi:type="xsd:double"&gt;1.7124772&lt;/D&gt;&lt;D xsi:type="xsd:double"&gt;2.1366239&lt;/D&gt;&lt;D xsi:type="xsd:double"&gt;1.3710737&lt;/D&gt;&lt;D xsi:type="xsd:double"&gt;-1.876092&lt;/D&gt;&lt;D xsi:type="xsd:double"&gt;-1.6451716&lt;/D&gt;&lt;D xsi:type="xsd:double"&gt;-6.8716106&lt;/D&gt;&lt;D xsi:type="xsd:double"&gt;0.9708643&lt;/D&gt;&lt;D xsi:type="xsd:double"&gt;-3.8801312&lt;/D&gt;&lt;D xsi:type="xsd:double"&gt;6.9610357&lt;/D&gt;&lt;D xsi:type="xsd:double"&gt;3.35114&lt;/D&gt;&lt;D xsi:type="xsd:double"&gt;1.1278152&lt;/D&gt;&lt;D xsi:type="xsd:double"&gt;1.1617064&lt;/D&gt;&lt;D xsi:type="xsd:double"&gt;0.13779402&lt;/D&gt;&lt;D xsi:type="xsd:double"&gt;5.5066705&lt;/D&gt;&lt;D xsi:type="xsd:double"&gt;-0.5767584&lt;/D&gt;&lt;D xsi:type="xsd:double"&gt;-3.2574713&lt;/D&gt;&lt;D xsi:type="xsd:double"&gt;2.629149&lt;/D&gt;&lt;D xsi:type="xsd:double"&gt;1.2584329&lt;/D&gt;&lt;D xsi:type="xsd:double"&gt;1.3315558&lt;/D&gt;&lt;D xsi:type="xsd:double"&gt;1.1503577&lt;/D&gt;&lt;D xsi:type="xsd:double"&gt;-1.678443&lt;/D&gt;&lt;D xsi:type="xsd:double"&gt;-9.613651&lt;/D&gt;&lt;D xsi:type="xsd:double"&gt;-22.763426&lt;/D&gt;&lt;D xsi:type="xsd:double"&gt;9.652519&lt;/D&gt;&lt;D xsi:type="xsd:double"&gt;5.9859037&lt;/D&gt;&lt;D xsi:type="xsd:double"&gt;8.281696&lt;/D&gt;&lt;D xsi:type="xsd:double"&gt;3.3212185&lt;/D&gt;&lt;D xsi:type="xsd:double"&gt;4.419899&lt;/D&gt;&lt;D xsi:type="xsd:double"&gt;-5.1467123&lt;/D&gt;&lt;D xsi:type="xsd:double"&gt;0.25355816&lt;/D&gt;&lt;D xsi:type="xsd:double"&gt;14.921594&lt;/D&gt;&lt;D xsi:type="xsd:double"&gt;6.3082933&lt;/D&gt;&lt;D xsi:type="xsd:double"&gt;-0.83507895&lt;/D&gt;&lt;D xsi:type="xsd:double"&gt;3.2000065&lt;/D&gt;&lt;D xsi:type="xsd:double"&gt;1.1423945&lt;/D&gt;&lt;D xsi:type="xsd:double"&gt;4.3969274&lt;/D&gt;&lt;D xsi:type="xsd:double"&gt;3.3230305&lt;/D&gt;&lt;D xsi:type="xsd:double"&gt;-1.4880061&lt;/D&gt;&lt;D xsi:type="xsd:double"&gt;-0.8083105&lt;/D&gt;&lt;D xsi:type="xsd:double"&gt;0.5820751&lt;/D&gt;&lt;D xsi:type="xsd:double"&gt;-4.243827&lt;/D&gt;&lt;D xsi:type="xsd:double"&gt;6.6075683&lt;/D&gt;&lt;D xsi:type="xsd:double"&gt;-7.5585785&lt;/D&gt;&lt;D xsi:type="xsd:double"&gt;5.212271&lt;/D&gt;&lt;D xsi:type="xsd:double"&gt;-8.0145&lt;/D&gt;&lt;D xsi:type="xsd:double"&gt;5.2977204&lt;/D&gt;&lt;D xsi:type="xsd:double"&gt;9.896051&lt;/D&gt;&lt;D xsi:type="xsd:double"&gt;-6.999624&lt;/D&gt;&lt;D xsi:type="xsd:double"&gt;0.40683746&lt;/D&gt;&lt;D xsi:type="xsd:double"&gt;-11.241686&lt;/D&gt;&lt;D xsi:type="xsd:double"&gt;7.1630597&lt;/D&gt;&lt;D xsi:type="xsd:double"&gt;-3.649956&lt;/D&gt;&lt;D xsi:type="xsd:double"&gt;-10.451841&lt;/D&gt;&lt;D xsi:type="xsd:double"&gt;5.60652&lt;/D&gt;&lt;D xsi:type="xsd:double"&gt;14.333987&lt;/D&gt;&lt;D xsi:type="xsd:double"&gt;-4.41556&lt;/D&gt;&lt;D xsi:type="xsd:double"&gt;11.830866&lt;/D&gt;&lt;D xsi:type="xsd:double"&gt;-7.9646053&lt;/D&gt;&lt;D xsi:type="xsd:double"&gt;0.26224852&lt;/D&gt;&lt;D xsi:type="xsd:double"&gt;0.87183714&lt;/D&gt;&lt;D xsi:type="xsd:double"&gt;-5.488324&lt;/D&gt;&lt;D xsi:type="xsd:double"&gt;5.058217&lt;/D&gt;&lt;D xsi:type="xsd:double"&gt;3.5920262&lt;/D&gt;&lt;D xsi:type="xsd:double"&gt;-4.9229503&lt;/D&gt;&lt;D xsi:type="xsd:double"&gt;-3.1517267&lt;/D&gt;&lt;D xsi:type="xsd:double"&gt;-3.5797298&lt;/D&gt;&lt;D xsi:type="xsd:double"&gt;8.244944&lt;/D&gt;&lt;D xsi:type="xsd:double"&gt;10.652506&lt;/D&gt;&lt;D xsi:type="xsd:double"&gt;-2.958089&lt;/D&gt;&lt;D xsi:type="xsd:double"&gt;1.2701035&lt;/D&gt;&lt;D xsi:type="xsd:double"&gt;3.093648&lt;/D&gt;&lt;D xsi:type="xsd:double"&gt;-5.352795&lt;/D&gt;&lt;D xsi:type="xsd:double"&gt;5.6126833&lt;/D&gt;&lt;/FQL&gt;&lt;FQL&gt;&lt;Q&gt;EWC^FMA_PE(LTMA,-10AY,0,AM,"PORTAGG","MEANR")&lt;/Q&gt;&lt;R&gt;121&lt;/R&gt;&lt;C&gt;1&lt;/C&gt;&lt;D xsi:type="xsd:double"&gt;16.1390984926413&lt;/D&gt;&lt;D xsi:type="xsd:double"&gt;16.2990457066519&lt;/D&gt;&lt;D xsi:type="xsd:double"&gt;16.3879560600367&lt;/D&gt;&lt;D xsi:type="xsd:double"&gt;16.4896600252732&lt;/D&gt;&lt;D xsi:type="xsd:double"&gt;15.9385852113845&lt;/D&gt;&lt;D xsi:type="xsd:double"&gt;15.6968746345144&lt;/D&gt;&lt;D xsi:type="xsd:double"&gt;15.7189486163917&lt;/D&gt;&lt;D xsi:type="xsd:double"&gt;15.5969389852536&lt;/D&gt;&lt;D xsi:type="xsd:double"&gt;15.7778455702872&lt;/D&gt;&lt;D xsi:type="xsd:double"&gt;17.0329169622469&lt;/D&gt;&lt;D xsi:type="xsd:double"&gt;17.0537384089858&lt;/D&gt;&lt;D xsi:type="xsd:double"&gt;17.291583403836&lt;/D&gt;&lt;D xsi:type="xsd:double"&gt;17.1912616787092&lt;/D&gt;&lt;D xsi:type="xsd:double"&gt;17.0368960563084&lt;/D&gt;&lt;D xsi:type="xsd:double"&gt;17.0229383832672&lt;/D&gt;&lt;D xsi:type="xsd:double"&gt;16.6501956782915&lt;/D&gt;&lt;D xsi:type="xsd:double"&gt;16.3557797116867&lt;/D&gt;&lt;D xsi:type="xsd:double"&gt;16.6370606081625&lt;/D&gt;&lt;D xsi:type="xsd:double"&gt;16.7298411439598&lt;/D&gt;&lt;D xsi:type="xsd:double"&gt;15.7794491987031&lt;/D&gt;&lt;D xsi:type="xsd:double"&gt;15.5883753476423&lt;/D&gt;&lt;D xsi:type="xsd:double"&gt;15.7408114629064&lt;/D&gt;&lt;D xsi:type="xsd:double"&gt;16.0234717543097&lt;/D&gt;&lt;D xsi:type="xsd:double"&gt;16.4169682941824&lt;/D&gt;&lt;D xsi:type="xsd:double"&gt;16.6451689999148&lt;/D&gt;&lt;D xsi:type="xsd:double"&gt;16.7905208419987&lt;/D&gt;&lt;D xsi:type="xsd:double"&gt;17.2074508805517&lt;/D&gt;&lt;D xsi:type="xsd:double"&gt;17.484928913621&lt;/D&gt;&lt;D xsi:type="xsd:double"&gt;17.8787659375175&lt;/D&gt;&lt;D xsi:type="xsd:double"&gt;18.20460586272&lt;/D&gt;&lt;D xsi:type="xsd:double"&gt;18.8212563232202&lt;/D&gt;&lt;D xsi:type="xsd:double"&gt;19.369708934889&lt;/D&gt;&lt;D xsi:type="xsd:double"&gt;19.5943400655692&lt;/D&gt;&lt;D xsi:type="xsd:double"&gt;19.3935176217041&lt;/D&gt;&lt;D xsi:type="xsd:double"&gt;19.1093046046532&lt;/D&gt;&lt;D xsi:type="xsd:double"&gt;18.8062020102816&lt;/D&gt;&lt;D xsi:type="xsd:double"&gt;18.357653609761&lt;/D&gt;&lt;D xsi:type="xsd:double"&gt;18.0575223370907&lt;/D&gt;&lt;D xsi:type="xsd:double"&gt;17.9681090991237&lt;/D&gt;&lt;D xsi:type="xsd:double"&gt;17.6190830929874&lt;/D&gt;&lt;D xsi:type="xsd:double"&gt;17.6540699516057&lt;/D&gt;&lt;D xsi:type="xsd:double"&gt;17.6157545620182&lt;/D&gt;&lt;D xsi:type="xsd:double"&gt;17.2597403951379&lt;/D&gt;&lt;D xsi:type="xsd:double"&gt;17.2069151729046&lt;/D&gt;&lt;D xsi:type="xsd:double"&gt;16.753191264089&lt;/D&gt;&lt;D xsi:type="xsd:double"&gt;15.8440303406712&lt;/D&gt;&lt;D xsi:type="xsd:double"&gt;15.6942942467633&lt;/D&gt;&lt;D xsi:type="xsd:double"&gt;15.5981434819284&lt;/D&gt;&lt;D xsi:type="xsd:double"&gt;15.4998553515382&lt;/D&gt;&lt;D xsi:type="xsd:double"&gt;15.4956522413703&lt;/D&gt;&lt;D xsi:type="xsd:double"&gt;15.5298456094147&lt;/D&gt;&lt;D xsi:type="xsd:double"&gt;15.2389778780504&lt;/D&gt;&lt;D xsi:type="xsd:double"&gt;15.03811676012&lt;/D&gt;&lt;D xsi:type="xsd:double"&gt;14.1829544141862&lt;/D&gt;&lt;D xsi:type="xsd:double"&gt;14.054323813253&lt;/D&gt;&lt;D xsi:type="xsd:double"&gt;13.1315578525348&lt;/D&gt;&lt;D xsi:type="xsd:double"&gt;14.5619322093374&lt;/D&gt;&lt;D xsi:type="xsd:double"&gt;14.7252061834248&lt;/D&gt;&lt;D xsi:type="xsd:double"&gt;14.7083814108673&lt;/D&gt;&lt;D xsi:type="xsd:double"&gt;14.6299807515865&lt;/D&gt;&lt;D xsi:type="xsd:double"&gt;14.3717500238412&lt;/D&gt;&lt;D xsi:type="xsd:double"&gt;14.4933225115679&lt;/D&gt;&lt;D xsi:type="xsd:double"&gt;14.4837677283204&lt;/D&gt;&lt;D xsi:type="xsd:double"&gt;14.4218130030175&lt;/D&gt;&lt;D xsi:type="xsd:double"&gt;14.6715024135969&lt;/D&gt;&lt;D xsi:type="xsd:double"&gt;14.7323137307947&lt;/D&gt;&lt;D xsi:type="xsd:double"&gt;15.1019996324581&lt;/D&gt;&lt;D xsi:type="xsd:double"&gt;15.2532362977261&lt;/D&gt;&lt;D xsi:type="xsd:double"&gt;15.3686742646582&lt;/D&gt;&lt;D xsi:type="xsd:double"&gt;14.3479619341519&lt;/D&gt;&lt;D xsi:type="xsd:double"&gt;14.258098988357&lt;/D&gt;&lt;D xsi:type="xsd:double"&gt;15.5980964154511&lt;/D&gt;&lt;D xsi:type="xsd:double"&gt;17.204524579097&lt;/D&gt;&lt;D xsi:type="xsd:double"&gt;17.3596214681318&lt;/D&gt;&lt;D xsi:type="xsd:double"&gt;17.9754654025799&lt;/D&gt;&lt;D xsi:type="xsd:double"&gt;18.2967075841531&lt;/D&gt;&lt;D xsi:type="xsd:double"&gt;18.3023412651024&lt;/D&gt;&lt;D xsi:type="xsd:double"&gt;17.9859032206936&lt;/D&gt;&lt;D xsi:type="xsd:double"&gt;19.7794579576226&lt;/D&gt;&lt;D xsi:type="xsd:double"&gt;20.3674881248119&lt;/D&gt;&lt;D xsi:type="xsd:double"&gt;20.1128469764759&lt;/D&gt;&lt;D xsi:type="xsd:double"&gt;19.9904739717302&lt;/D&gt;&lt;D xsi:type="xsd:double"&gt;19.5681169042637&lt;/D&gt;&lt;D xsi:type="xsd:double"&gt;19.2245259404903&lt;/D&gt;&lt;D xsi:type="xsd:double"&gt;18.835578146848&lt;/D&gt;&lt;D xsi:type="xsd:double"&gt;18.4433813061777&lt;/D&gt;&lt;D xsi:type="xsd:double"&gt;17.7701510817431&lt;/D&gt;&lt;D xsi:type="xsd:double"&gt;17.1610951858308&lt;/D&gt;&lt;D xsi:type="xsd:double"&gt;16.3739671994353&lt;/D&gt;&lt;D xsi:type="xsd:double"&gt;16.6269098880527&lt;/D&gt;&lt;D xsi:type="xsd:double"&gt;15.5332182265569&lt;/D&gt;&lt;D xsi:type="xsd:double"&gt;15.4052054193869&lt;/D&gt;&lt;D xsi:type="xsd:double"&gt;15.2838032613273&lt;/D&gt;&lt;D xsi:type="xsd:double"&gt;15.2489708409917&lt;/D&gt;&lt;D xsi:type="xsd:double"&gt;15.0350926337496&lt;/D&gt;&lt;D xsi:type="xsd:double"&gt;14.6000199213932&lt;/D&gt;&lt;D xsi:type="xsd:double"&gt;14.2851353505737&lt;/D&gt;&lt;D xsi:type="xsd:double"&gt;13.4359753909242&lt;/D&gt;&lt;D xsi:type="xsd:double"&gt;13.359082815033&lt;/D&gt;&lt;D xsi:type="xsd:double"&gt;12.8119642827569&lt;/D&gt;&lt;D xsi:type="xsd:double"&gt;12.1689396395286&lt;/D&gt;&lt;D xsi:type="xsd:double"&gt;12.4993225497298&lt;/D&gt;&lt;D xsi:type="xsd:double"&gt;12.7613976174003&lt;/D&gt;&lt;D xsi:type="xsd:double"&gt;12.0433714481908&lt;/D&gt;&lt;D xsi:type="xsd:double"&gt;12.919846311917&lt;/D&gt;&lt;D xsi:type="xsd:double"&gt;12.5722768101288&lt;/D&gt;&lt;D xsi:type="xsd:double"&gt;12.6384051198165&lt;/D&gt;&lt;D xsi:type="xsd:double"&gt;12.821755119653&lt;/D&gt;&lt;D xsi:type="xsd:double"&gt;12.7311558358965&lt;/D&gt;&lt;D xsi:type="xsd:double"&gt;13.0375879356463&lt;/D&gt;&lt;D xsi:type="xsd:double"&gt;13.5814027033861&lt;/D&gt;&lt;D xsi:type="xsd:double"&gt;13.5097986309599&lt;/D&gt;&lt;D xsi:type="xsd:double"&gt;13.3014635679061&lt;/D&gt;&lt;D xsi:type="xsd:double"&gt;12.9726383907039&lt;/D&gt;&lt;D xsi:type="xsd:double"&gt;13.8819325512331&lt;/D&gt;&lt;D xsi:type="xsd:double"&gt;14.6105070525709&lt;/D&gt;&lt;D xsi:type="xsd:double"&gt;14.6494452381385&lt;/D&gt;&lt;D xsi:type="xsd:double"&gt;14.8629000274154&lt;/D&gt;&lt;D xsi:type="xsd:double"&gt;14.9673308316518&lt;/D&gt;&lt;D xsi:type="xsd:double"&gt;14.8335087882602&lt;/D&gt;&lt;D xsi:type="xsd:double"&gt;14.8925384196315&lt;/D&gt;&lt;/FQL&gt;&lt;FQL&gt;&lt;Q&gt;EWI^FG_PRICE_MAVG(0,,,,60)&lt;/Q&gt;&lt;R&gt;1&lt;/R&gt;&lt;C&gt;1&lt;/C&gt;&lt;D xsi:type="xsd:double"&gt;37.478&lt;/D&gt;&lt;/FQL&gt;&lt;FQL&gt;&lt;Q&gt;QQQ^FG_PRICE_MAVG(0,,,,200)&lt;/Q&gt;&lt;R&gt;1&lt;/R&gt;&lt;C&gt;1&lt;/C&gt;&lt;D xsi:type="xsd:double"&gt;405.83795&lt;/D&gt;&lt;/FQL&gt;&lt;FQL&gt;&lt;Q&gt;SPY^PERCENT_CHANGE(FMA_EPS(+1,0,,,,"PORTAGG","MEAN"),FMA_EPS(+1,-1AM,,,,"PORTAGG","MEAN"))&lt;/Q&gt;&lt;R&gt;1&lt;/R&gt;&lt;C&gt;1&lt;/C&gt;&lt;D xsi:type="xsd:double"&gt;0.518500757194367&lt;/D&gt;&lt;/FQL&gt;&lt;FQL&gt;&lt;Q&gt;VWO^FG_TOTAL_RETURNC(0,-12AM)&lt;/Q&gt;&lt;R&gt;1&lt;/R&gt;&lt;C&gt;1&lt;/C&gt;&lt;D xsi:type="xsd:double"&gt;14.347243&lt;/D&gt;&lt;/FQL&gt;&lt;FQL&gt;&lt;Q&gt;EWI^P_PRICE(0)/P_PRICE_HIGH_PR(0,,,,,,"PRICE","INTRA","52W")&lt;/Q&gt;&lt;R&gt;1&lt;/R&gt;&lt;C&gt;1&lt;/C&gt;&lt;D xsi:type="xsd:double"&gt;0.986284&lt;/D&gt;&lt;/FQL&gt;&lt;FQL&gt;&lt;Q&gt;EWN^FG_TOTAL_RETURNC(0,-6AM)&lt;/Q&gt;&lt;R&gt;1&lt;/R&gt;&lt;C&gt;1&lt;/C&gt;&lt;D xsi:type="xsd:double"&gt;22.27645&lt;/D&gt;&lt;/FQL&gt;&lt;FQL&gt;&lt;Q&gt;EWU^FG_TOTAL_RETURNC(0,-1AM)&lt;/Q&gt;&lt;R&gt;1&lt;/R&gt;&lt;C&gt;1&lt;/C&gt;&lt;D xsi:type="xsd:double"&gt;4.6685815&lt;/D&gt;&lt;/FQL&gt;&lt;FQL&gt;&lt;Q&gt;EWC^PERCENT_CHANGE(FMA_EPS(+1,0,,,,"PORTAGG","MEAN"),FMA_EPS(+1,-1AM,,,,"PORTAGG","MEAN"))&lt;/Q&gt;&lt;R&gt;1&lt;/R&gt;&lt;C&gt;1&lt;/C&gt;&lt;D xsi:type="xsd:double"&gt;0.646550061573453&lt;/D&gt;&lt;/FQL&gt;&lt;FQL&gt;&lt;Q&gt;TRYSE10Y-FDS^PCTCHG(FG_YIELD(0,,,,"YTM"),FG_YIELD(-3AM,,,,"YTM"))&lt;/Q&gt;&lt;R&gt;1&lt;/R&gt;&lt;C&gt;1&lt;/C&gt;&lt;D xsi:type="xsd:double"&gt;-2.3255754&lt;/D&gt;&lt;/FQL&gt;&lt;FQL&gt;&lt;Q&gt;TRYCA10Y-FDS^PCTCHG(FG_YIELD(0,,,,"YTM"),FG_YIELD(-3AM,,,,"YTM"))&lt;/Q&gt;&lt;R&gt;1&lt;/R&gt;&lt;C&gt;1&lt;/C&gt;&lt;D xsi:type="xsd:double"&gt;3.68752&lt;/D&gt;&lt;/FQL&gt;&lt;FQL&gt;&lt;Q&gt;TRYUS10Y-FDS^FG_YIELD(0,,,,"YTM")&lt;/Q&gt;&lt;R&gt;1&lt;/R&gt;&lt;C&gt;1&lt;/C&gt;&lt;D xsi:type="xsd:double"&gt;4.4877&lt;/D&gt;&lt;/FQL&gt;&lt;FQL&gt;&lt;Q&gt;CC_FR^IMF_IFS_RCPI_Q(0)&lt;/Q&gt;&lt;R&gt;1&lt;/R&gt;&lt;C&gt;1&lt;/C&gt;&lt;D xsi:type="xsd:double"&gt;2.79402&lt;/D&gt;&lt;/FQL&gt;&lt;FQL&gt;&lt;Q&gt;VGK^FMA_EVAL_EBITDA(NTMA,0,,,"PORTAGG","MEANR")&lt;/Q&gt;&lt;R&gt;1&lt;/R&gt;&lt;C&gt;1&lt;/C&gt;&lt;D xsi:type="xsd:double"&gt;8.84202842781328&lt;/D&gt;&lt;/FQL&gt;&lt;FQL&gt;&lt;Q&gt;EWD^FMA_PE(LTM,0,,,"PORTAGG","MEANR")&lt;/Q&gt;&lt;R&gt;1&lt;/R&gt;&lt;C&gt;1&lt;/C&gt;&lt;D xsi:type="xsd:double"&gt;14.1030810222529&lt;/D&gt;&lt;/FQL&gt;&lt;FQL&gt;&lt;Q&gt;SPY^FG_FCF_YIELD_NTM(0)&lt;/Q&gt;&lt;R&gt;1&lt;/R&gt;&lt;C&gt;1&lt;/C&gt;&lt;D xsi:type="xsd:double"&gt;4.19580170772334&lt;/D&gt;&lt;/FQL&gt;&lt;FQL&gt;&lt;Q&gt;SPY^P_PRICE(0)/P_PRICE_HIGH_PR(0,,,USD,,,"PRICE","INTRA","52W")&lt;/Q&gt;&lt;R&gt;1&lt;/R&gt;&lt;C&gt;1&lt;/C&gt;&lt;D xsi:type="xsd:double"&gt;0.9893072&lt;/D&gt;&lt;/FQL&gt;&lt;FQL&gt;&lt;Q&gt;CAGDPY@CH^EE_ACTUAL_ANNUAL(MED,+1)&lt;/Q&gt;&lt;R&gt;1&lt;/R&gt;&lt;C&gt;1&lt;/C&gt;&lt;D xsi:type="xsd:double"&gt;8.2&lt;/D&gt;&lt;/FQL&gt;&lt;FQL&gt;&lt;Q&gt;USDITL^STD(FG_PRICE_CHANGE(0,-3AY,M))&lt;/Q&gt;&lt;R&gt;1&lt;/R&gt;&lt;C&gt;1&lt;/C&gt;&lt;D xsi:type="xsd:double"&gt;2.1706634454579&lt;/D&gt;&lt;/FQL&gt;&lt;FQL&gt;&lt;Q&gt;USDANG^FG_PRICE_CHANGE(0,-1AM)&lt;/Q&gt;&lt;R&gt;1&lt;/R&gt;&lt;C&gt;1&lt;/C&gt;&lt;D xsi:type="xsd:double"&gt;0&lt;/D&gt;&lt;/FQL&gt;&lt;FQL&gt;&lt;Q&gt;USDUSD^FG_PRICE_CHANGE(0,-6AM)&lt;/Q&gt;&lt;R&gt;1&lt;/R&gt;&lt;C&gt;1&lt;/C&gt;&lt;D xsi:type="xsd:double"&gt;0&lt;/D&gt;&lt;/FQL&gt;&lt;FQL&gt;&lt;Q&gt;USDCHF^FG_COMPANY_NAME&lt;/Q&gt;&lt;R&gt;1&lt;/R&gt;&lt;C&gt;1&lt;/C&gt;&lt;D xsi:type="xsd:string"&gt;Swiss Franc per U.S. Dollar&lt;/D&gt;&lt;/FQL&gt;&lt;FQL&gt;&lt;Q&gt;USDNZD^FG_COMPANY_NAME&lt;/Q&gt;&lt;R&gt;1&lt;/R&gt;&lt;C&gt;1&lt;/C&gt;&lt;D xsi:type="xsd:string"&gt;New Zealand Dollar per U.S. Dollar&lt;/D&gt;&lt;/FQL&gt;&lt;FQL&gt;&lt;Q&gt;EWQ^FMA_PE(NTMA,-10AY,0,AM,"PORTAGG","MEANR")&lt;/Q&gt;&lt;R&gt;121&lt;/R&gt;&lt;C&gt;1&lt;/C&gt;&lt;D xsi:type="xsd:double"&gt;14.2057205503567&lt;/D&gt;&lt;D xsi:type="xsd:double"&gt;13.9377982028292&lt;/D&gt;&lt;D xsi:type="xsd:double"&gt;13.3893519847693&lt;/D&gt;&lt;D xsi:type="xsd:double"&gt;13.6611265422643&lt;/D&gt;&lt;D xsi:type="xsd:double"&gt;13.6129141773582&lt;/D&gt;&lt;D xsi:type="xsd:double"&gt;13.2064043588754&lt;/D&gt;&lt;D xsi:type="xsd:double"&gt;13.8444256314468&lt;/D&gt;&lt;D xsi:type="xsd:double"&gt;13.7780667903218&lt;/D&gt;&lt;D xsi:type="xsd:double"&gt;15.2955982571255&lt;/D&gt;&lt;D xsi:type="xsd:double"&gt;16.3806904032679&lt;/D&gt;&lt;D xsi:type="xsd:double"&gt;16.4716348607034&lt;/D&gt;&lt;D xsi:type="xsd:double"&gt;16.3156461146434&lt;/D&gt;&lt;D xsi:type="xsd:double"&gt;16.1051962930377&lt;/D&gt;&lt;D xsi:type="xsd:double"&gt;15.2096453260542&lt;/D&gt;&lt;D xsi:type="xsd:double"&gt;15.7846630693225&lt;/D&gt;&lt;D xsi:type="xsd:double"&gt;14.3338208850367&lt;/D&gt;&lt;D xsi:type="xsd:double"&gt;13.8563951276488&lt;/D&gt;&lt;D xsi:type="xsd:double"&gt;15.1709503017873&lt;/D&gt;&lt;D xsi:type="xsd:double"&gt;15.405877827229&lt;/D&gt;&lt;D xsi:type="xsd:double"&gt;14.5525026687196&lt;/D&gt;&lt;D xsi:type="xsd:double"&gt;14.2508273518429&lt;/D&gt;&lt;D xsi:type="xsd:double"&gt;14.1983688040375&lt;/D&gt;&lt;D xsi:type="xsd:double"&gt;14.3914536044623&lt;/D&gt;&lt;D xsi:type="xsd:double"&gt;14.4793950055038&lt;/D&gt;&lt;D xsi:type="xsd:double"&gt;14.5603766851143&lt;/D&gt;&lt;D xsi:type="xsd:double"&gt;13.5851724271271&lt;/D&gt;&lt;D xsi:type="xsd:double"&gt;14.1493710319285&lt;/D&gt;&lt;D xsi:type="xsd:double"&gt;13.9362524648432&lt;/D&gt;&lt;D xsi:type="xsd:double"&gt;13.8718181444197&lt;/D&gt;&lt;D xsi:type="xsd:double"&gt;13.9240335962386&lt;/D&gt;&lt;D xsi:type="xsd:double"&gt;13.8667761110957&lt;/D&gt;&lt;D xsi:type="xsd:double"&gt;14.5703388121852&lt;/D&gt;&lt;D xsi:type="xsd:double"&gt;14.1634861802424&lt;/D&gt;&lt;D xsi:type="xsd:double"&gt;14.1974243755866&lt;/D&gt;&lt;D xsi:type="xsd:double"&gt;14.9122561126064&lt;/D&gt;&lt;D xsi:type="xsd:double"&gt;15.211280112837&lt;/D&gt;&lt;D xsi:type="xsd:double"&gt;15.0937389272516&lt;/D&gt;&lt;D xsi:type="xsd:double"&gt;14.5439537287869&lt;/D&gt;&lt;D xsi:type="xsd:double"&gt;14.4858858708906&lt;/D&gt;&lt;D xsi:type="xsd:double"&gt;14.4845073396433&lt;/D&gt;&lt;D xsi:type="xsd:double"&gt;15.1352822443408&lt;/D&gt;&lt;D xsi:type="xsd:double"&gt;15.4155328595604&lt;/D&gt;&lt;D xsi:type="xsd:double"&gt;15.0190045862556&lt;/D&gt;&lt;D xsi:type="xsd:double"&gt;14.8031492764166&lt;/D&gt;&lt;D xsi:type="xsd:double"&gt;15.2021136154235&lt;/D&gt;&lt;D xsi:type="xsd:double"&gt;14.6426222392187&lt;/D&gt;&lt;D xsi:type="xsd:double"&gt;14.1993168392958&lt;/D&gt;&lt;D xsi:type="xsd:double"&gt;14.8267565499237&lt;/D&gt;&lt;D xsi:type="xsd:double"&gt;14.3036931675741&lt;/D&gt;&lt;D xsi:type="xsd:double"&gt;13.9729637950702&lt;/D&gt;&lt;D xsi:type="xsd:double"&gt;14.2084678086939&lt;/D&gt;&lt;D xsi:type="xsd:double"&gt;13.7846595155505&lt;/D&gt;&lt;D xsi:type="xsd:double"&gt;13.8591447188231&lt;/D&gt;&lt;D xsi:type="xsd:double"&gt;12.789106881111&lt;/D&gt;&lt;D xsi:type="xsd:double"&gt;12.5043562104057&lt;/D&gt;&lt;D xsi:type="xsd:double"&gt;11.8840659032109&lt;/D&gt;&lt;D xsi:type="xsd:double"&gt;12.8574951675523&lt;/D&gt;&lt;D xsi:type="xsd:double"&gt;13.4777878618813&lt;/D&gt;&lt;D xsi:type="xsd:double"&gt;13.5977769794351&lt;/D&gt;&lt;D xsi:type="xsd:double"&gt;14.1338119963746&lt;/D&gt;&lt;D xsi:type="xsd:double"&gt;13.1707166827115&lt;/D&gt;&lt;D xsi:type="xsd:double"&gt;13.907820388871&lt;/D&gt;&lt;D xsi:type="xsd:double"&gt;13.9719411459044&lt;/D&gt;&lt;D xsi:type="xsd:double"&gt;13.7897919750858&lt;/D&gt;&lt;D xsi:type="xsd:double"&gt;14.1965124404437&lt;/D&gt;&lt;D xsi:type="xsd:double"&gt;14.4484799832747&lt;/D&gt;&lt;D xsi:type="xsd:double"&gt;14.7433177695644&lt;/D&gt;&lt;D xsi:type="xsd:double"&gt;14.8880796205845&lt;/D&gt;&lt;D xsi:type="xsd:double"&gt;14.5204036396201&lt;/D&gt;&lt;D xsi:type="xsd:double"&gt;13.4531981399549&lt;/D&gt;&lt;D xsi:type="xsd:double"&gt;12.7672608960438&lt;/D&gt;&lt;D xsi:type="xsd:double"&gt;16.4559191662864&lt;/D&gt;&lt;D xsi:type="xsd:double"&gt;17.5357910752438&lt;/D&gt;&lt;D xsi:type="xsd:double"&gt;18.8634523868808&lt;/D&gt;&lt;D xsi:type="xsd:double"&gt;19.2534714877659&lt;/D&gt;&lt;D xsi:type="xsd:double"&gt;19.2592530097834&lt;/D&gt;&lt;D xsi:type="xsd:double"&gt;18.0340367942636&lt;/D&gt;&lt;D xsi:type="xsd:double"&gt;16.5600245117209&lt;/D&gt;&lt;D xsi:type="xsd:double"&gt;18.8596995722127&lt;/D&gt;&lt;D xsi:type="xsd:double"&gt;17.9677190648947&lt;/D&gt;&lt;D xsi:type="xsd:double"&gt;17.2558561401686&lt;/D&gt;&lt;D xsi:type="xsd:double"&gt;17.7312659502066&lt;/D&gt;&lt;D xsi:type="xsd:double"&gt;18.1864810766168&lt;/D&gt;&lt;D xsi:type="xsd:double"&gt;17.9453344323506&lt;/D&gt;&lt;D xsi:type="xsd:double"&gt;17.9229278785213&lt;/D&gt;&lt;D xsi:type="xsd:double"&gt;17.360180927991&lt;/D&gt;&lt;D xsi:type="xsd:double"&gt;16.7021484466853&lt;/D&gt;&lt;D xsi:type="xsd:double"&gt;16.3035095256812&lt;/D&gt;&lt;D xsi:type="xsd:double"&gt;15.5937623676486&lt;/D&gt;&lt;D xsi:type="xsd:double"&gt;15.7134761555958&lt;/D&gt;&lt;D xsi:type="xsd:double"&gt;15.0532267887914&lt;/D&gt;&lt;D xsi:type="xsd:double"&gt;15.7996277609271&lt;/D&gt;&lt;D xsi:type="xsd:double"&gt;14.9009285904655&lt;/D&gt;&lt;D xsi:type="xsd:double"&gt;13.8957966566799&lt;/D&gt;&lt;D xsi:type="xsd:double"&gt;13.572592385946&lt;/D&gt;&lt;D xsi:type="xsd:double"&gt;12.8610043118597&lt;/D&gt;&lt;D xsi:type="xsd:double"&gt;12.3568810848711&lt;/D&gt;&lt;D xsi:type="xsd:double"&gt;11.196358858434&lt;/D&gt;&lt;D xsi:type="xsd:double"&gt;11.7007074649002&lt;/D&gt;&lt;D xsi:type="xsd:double"&gt;11.0495131548942&lt;/D&gt;&lt;D xsi:type="xsd:double"&gt;10.2198600360135&lt;/D&gt;&lt;D xsi:type="xsd:double"&gt;11.1755670374926&lt;/D&gt;&lt;D xsi:type="xsd:double"&gt;12.131031201047&lt;/D&gt;&lt;D xsi:type="xsd:double"&gt;11.8173445902711&lt;/D&gt;&lt;D xsi:type="xsd:double"&gt;13.1431609224257&lt;/D&gt;&lt;D xsi:type="xsd:double"&gt;13.2122055717057&lt;/D&gt;&lt;D xsi:type="xsd:double"&gt;13.2882328943944&lt;/D&gt;&lt;D xsi:type="xsd:double"&gt;13.7329079534024&lt;/D&gt;&lt;D xsi:type="xsd:double"&gt;12.7255478195111&lt;/D&gt;&lt;D xsi:type="xsd:double"&gt;13.287966655341&lt;/D&gt;&lt;D xsi:type="xsd:double"&gt;13.3793824555019&lt;/D&gt;&lt;D xsi:type="xsd:double"&gt;12.9278719888706&lt;/D&gt;&lt;D xsi:type="xsd:double"&gt;12.4800074723211&lt;/D&gt;&lt;D xsi:type="xsd:double"&gt;12.1187073306274&lt;/D&gt;&lt;D xsi:type="xsd:double"&gt;12.9180766089218&lt;/D&gt;&lt;D xsi:type="xsd:double"&gt;13.4147515219524&lt;/D&gt;&lt;D xsi:type="xsd:double"&gt;13.7680125364236&lt;/D&gt;&lt;D xsi:type="xsd:double"&gt;14.2666083281529&lt;/D&gt;&lt;D xsi:type="xsd:double"&gt;14.7130619455674&lt;/D&gt;&lt;D xsi:type="xsd:double"&gt;14.3854264951968&lt;/D&gt;&lt;D xsi:type="xsd:double"&gt;14.1656197209554&lt;/D&gt;&lt;/FQL&gt;&lt;FQL&gt;&lt;Q&gt;PASP-FDS^MAX(FG_PRICE(0,-5AY))&lt;/Q&gt;&lt;R&gt;1&lt;/R&gt;&lt;C&gt;1&lt;/C&gt;&lt;D xsi:type="xsd:double"&gt;3158.12&lt;/D&gt;&lt;/FQL&gt;&lt;FQL&gt;&lt;Q&gt;PLATI-FDS^FG_PRICE_CHANGE(0,-3AM)&lt;/Q&gt;&lt;R&gt;1&lt;/R&gt;&lt;C&gt;1&lt;/C&gt;&lt;D xsi:type="xsd:double"&gt;15.6424581005587&lt;/D&gt;&lt;/FQL&gt;&lt;FQL&gt;&lt;Q&gt;W-FDS^FG_PRICE(0)&lt;/Q&gt;&lt;R&gt;1&lt;/R&gt;&lt;C&gt;1&lt;/C&gt;&lt;D xsi:type="xsd:double"&gt;6.785&lt;/D&gt;&lt;/FQL&gt;&lt;FQL&gt;&lt;Q&gt;TIOS-FDS^FG_PRICE_CHANGE(0,-3AM)&lt;/Q&gt;&lt;R&gt;1&lt;/R&gt;&lt;C&gt;1&lt;/C&gt;&lt;D xsi:type="xsd:double"&gt;-5.79849431363126&lt;/D&gt;&lt;/FQL&gt;&lt;FQL&gt;&lt;Q&gt;QQQ^FG_PRICE_MAVG(0,,,,30)&lt;/Q&gt;&lt;R&gt;1&lt;/R&gt;&lt;C&gt;1&lt;/C&gt;&lt;D xsi:type="xsd:double"&gt;440.917&lt;/D&gt;&lt;/FQL&gt;&lt;FQL&gt;&lt;Q&gt;EWC^FG_PRICE_MAVG(0,,,,60)&lt;/Q&gt;&lt;R&gt;1&lt;/R&gt;&lt;C&gt;1&lt;/C&gt;&lt;D xsi:type="xsd:double"&gt;37.82733&lt;/D&gt;&lt;/FQL&gt;&lt;FQL&gt;&lt;Q&gt;SPY^FG_TOTAL_RETURNC(0,-1AM)&lt;/Q&gt;&lt;R&gt;1&lt;/R&gt;&lt;C&gt;1&lt;/C&gt;&lt;D xsi:type="xsd:double"&gt;5.0579667&lt;/D&gt;&lt;/FQL&gt;&lt;FQL&gt;&lt;Q&gt;EWJ^PERCENT_CHANGE(FMA_EPS(+1,0,,,,"PORTAGG","MEAN"),FMA_EPS(+1,-1AM,,,,"PORTAGG","MEAN"))&lt;/Q&gt;&lt;R&gt;1&lt;/R&gt;&lt;C&gt;1&lt;/C&gt;&lt;D xsi:type="xsd:double"&gt;0.111296983303716&lt;/D&gt;&lt;/FQL&gt;&lt;FQL&gt;&lt;Q&gt;ENZL^FMA_PCT_ABOVE_MAVG(200,0,,,,"PORTAGG")&lt;/Q&gt;&lt;R&gt;1&lt;/R&gt;&lt;C&gt;1&lt;/C&gt;&lt;D xsi:type="xsd:double"&gt;35.7142857142857&lt;/D&gt;&lt;/FQL&gt;&lt;FQL&gt;&lt;Q&gt;EWI^SIZE(FG_CONSTITUENTS)&lt;/Q&gt;&lt;R&gt;1&lt;/R&gt;&lt;C&gt;1&lt;/C&gt;&lt;D xsi:type="xsd:long"&gt;26&lt;/D&gt;&lt;/FQL&gt;&lt;FQL&gt;&lt;Q&gt;EWU^SIZE(FG_CONSTITUENTS)&lt;/Q&gt;&lt;R&gt;1&lt;/R&gt;&lt;C&gt;1&lt;/C&gt;&lt;D xsi:type="xsd:long"&gt;86&lt;/D&gt;&lt;/FQL&gt;&lt;FQL&gt;&lt;Q&gt;ENZL^SIZE(FG_CONSTITUENTS)&lt;/Q&gt;&lt;R&gt;1&lt;/R&gt;&lt;C&gt;1&lt;/C&gt;&lt;D xsi:type="xsd:long"&gt;14&lt;/D&gt;&lt;/FQL&gt;&lt;FQL&gt;&lt;Q&gt;EWJ^FG_ROE(0)&lt;/Q&gt;&lt;R&gt;1&lt;/R&gt;&lt;C&gt;1&lt;/C&gt;&lt;D xsi:type="xsd:double"&gt;9.48030563336835&lt;/D&gt;&lt;/FQL&gt;&lt;FQL&gt;&lt;Q&gt;REFSEREPO-FDS^PROPER_NAME(0,,,"SECURITY","NAME")&lt;/Q&gt;&lt;R&gt;1&lt;/R&gt;&lt;C&gt;1&lt;/C&gt;&lt;D xsi:type="xsd:string"&gt;Sweden Repo Rate&lt;/D&gt;&lt;/FQL&gt;&lt;FQL&gt;&lt;Q&gt;EWL^FMA_EVAL_EBIT(LTMA,NOW,NOW,M,"PORTAGG","MEANR")&lt;/Q&gt;&lt;R&gt;1&lt;/R&gt;&lt;C&gt;1&lt;/C&gt;&lt;D xsi:type="xsd:double"&gt;16.4771992922196&lt;/D&gt;&lt;/FQL&gt;&lt;FQL&gt;&lt;Q&gt;EWG^FMA_PE(NTMA,0,,,"PORTAGG","MEANR")&lt;/Q&gt;&lt;R&gt;1&lt;/R&gt;&lt;C&gt;1&lt;/C&gt;&lt;D xsi:type="xsd:double"&gt;11.8498561318536&lt;/D&gt;&lt;/FQL&gt;&lt;FQL&gt;&lt;Q&gt;ENZL^FMA_EVAL_EBITDA(NTMA,0,,,"PORTAGG","MEANR")&lt;/Q&gt;&lt;R&gt;1&lt;/R&gt;&lt;C&gt;1&lt;/C&gt;&lt;D xsi:type="xsd:double"&gt;12.2153308934444&lt;/D&gt;&lt;/FQL&gt;&lt;FQL&gt;&lt;Q&gt;USO^FG_TOTAL_RETURNC(0,-3AM)&lt;/Q&gt;&lt;R&gt;1&lt;/R&gt;&lt;C&gt;1&lt;/C&gt;&lt;D xsi:type="xsd:double"&gt;1.9901872&lt;/D&gt;&lt;/FQL&gt;&lt;FQL&gt;&lt;Q&gt;EWC^FMA_ROE(NTMA,-20AY,NOW,FY,"PORTAGG","MEANR")&lt;/Q&gt;&lt;R&gt;20&lt;/R&gt;&lt;C&gt;1&lt;/C&gt;&lt;D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xsi:type="xsd:double"&gt;11.358896&lt;/D&gt;&lt;/FQL&gt;&lt;FQL&gt;&lt;Q&gt;USDCAD^FG_PRICE_CHANGE(0,-3AM)&lt;/Q&gt;&lt;R&gt;1&lt;/R&gt;&lt;C&gt;1&lt;/C&gt;&lt;D xsi:type="xsd:double"&gt;0.5013466&lt;/D&gt;&lt;/FQL&gt;&lt;FQL&gt;&lt;Q&gt;EWU^P_PRICE_RETURNS_PR('52W',2,-10AY,0,AM)&lt;/Q&gt;&lt;R&gt;121&lt;/R&gt;&lt;C&gt;1&lt;/C&gt;&lt;D xsi:type="xsd:double"&gt;16.814459&lt;/D&gt;&lt;D xsi:type="xsd:double"&gt;25.512909&lt;/D&gt;&lt;D xsi:type="xsd:double"&gt;15.170586&lt;/D&gt;&lt;D xsi:type="xsd:double"&gt;15.797376999999999&lt;/D&gt;&lt;D xsi:type="xsd:double"&gt;4.8584223&lt;/D&gt;&lt;D xsi:type="xsd:double"&gt;-0.83319545&lt;/D&gt;&lt;D xsi:type="xsd:double"&gt;-0.92360973&lt;/D&gt;&lt;D xsi:type="xsd:double"&gt;-7.6141834&lt;/D&gt;&lt;D xsi:type="xsd:double"&gt;-4.1665373&lt;/D&gt;&lt;D xsi:type="xsd:double"&gt;-3.8355708&lt;/D&gt;&lt;D xsi:type="xsd:double"&gt;-6.4168987&lt;/D&gt;&lt;D xsi:type="xsd:double"&gt;-4.4952154&lt;/D&gt;&lt;D xsi:type="xsd:double"&gt;-4.958558&lt;/D&gt;&lt;D xsi:type="xsd:double"&gt;-9.246236&lt;/D&gt;&lt;D xsi:type="xsd:double"&gt;-5.542195&lt;/D&gt;&lt;D xsi:type="xsd:double"&gt;-13.759589&lt;/D&gt;&lt;D xsi:type="xsd:double"&gt;-12.187279&lt;/D&gt;&lt;D xsi:type="xsd:double"&gt;-3.4619868&lt;/D&gt;&lt;D xsi:type="xsd:double"&gt;-6.2618017&lt;/D&gt;&lt;D xsi:type="xsd:double"&gt;-7.0310116&lt;/D&gt;&lt;D xsi:type="xsd:double"&gt;-13.161498&lt;/D&gt;&lt;D xsi:type="xsd:double"&gt;-19.090431&lt;/D&gt;&lt;D xsi:type="xsd:double"&gt;-9.5803795&lt;/D&gt;&lt;D xsi:type="xsd:double"&gt;-12.776184&lt;/D&gt;&lt;D xsi:type="xsd:double"&gt;-13.390893&lt;/D&gt;&lt;D xsi:type="xsd:double"&gt;-11.979437&lt;/D&gt;&lt;D xsi:type="xsd:double"&gt;-11.29415&lt;/D&gt;&lt;D xsi:type="xsd:double"&gt;-3.3891618&lt;/D&gt;&lt;D xsi:type="xsd:double"&gt;1.0065198&lt;/D&gt;&lt;D xsi:type="xsd:double"&gt;-10.263002&lt;/D&gt;&lt;D xsi:type="xsd:double"&gt;-8.565736&lt;/D&gt;&lt;D xsi:type="xsd:double"&gt;-2.2000492&lt;/D&gt;&lt;D xsi:type="xsd:double"&gt;6.355214&lt;/D&gt;&lt;D xsi:type="xsd:double"&gt;11.167658&lt;/D&gt;&lt;D xsi:type="xsd:double"&gt;7.828665&lt;/D&gt;&lt;D xsi:type="xsd:double"&gt;5.2861214&lt;/D&gt;&lt;D xsi:type="xsd:double"&gt;11.523366&lt;/D&gt;&lt;D xsi:type="xsd:double"&gt;12.39264&lt;/D&gt;&lt;D xsi:type="xsd:double"&gt;13.360238&lt;/D&gt;&lt;D xsi:type="xsd:double"&gt;11.217987&lt;/D&gt;&lt;D xsi:type="xsd:double"&gt;14.755737&lt;/D&gt;&lt;D xsi:type="xsd:double"&gt;21.142637&lt;/D&gt;&lt;D xsi:type="xsd:double"&gt;20.762909&lt;/D&gt;&lt;D xsi:type="xsd:double"&gt;22.385906&lt;/D&gt;&lt;D xsi:type="xsd:double"&gt;23.088741&lt;/D&gt;&lt;D xsi:type="xsd:double"&gt;13.1853695&lt;/D&gt;&lt;D xsi:type="xsd:double"&gt;11.250126&lt;/D&gt;&lt;D xsi:type="xsd:double"&gt;14.088869&lt;/D&gt;&lt;D xsi:type="xsd:double"&gt;8.449089&lt;/D&gt;&lt;D xsi:type="xsd:double"&gt;8.916473&lt;/D&gt;&lt;D xsi:type="xsd:double"&gt;7.339728&lt;/D&gt;&lt;D xsi:type="xsd:double"&gt;3.4807682&lt;/D&gt;&lt;D xsi:type="xsd:double"&gt;2.6582599&lt;/D&gt;&lt;D xsi:type="xsd:double"&gt;-5.356586&lt;/D&gt;&lt;D xsi:type="xsd:double"&gt;-6.380373&lt;/D&gt;&lt;D xsi:type="xsd:double"&gt;-14.279747&lt;/D&gt;&lt;D xsi:type="xsd:double"&gt;-11.346096&lt;/D&gt;&lt;D xsi:type="xsd:double"&gt;-1.7200589&lt;/D&gt;&lt;D xsi:type="xsd:double"&gt;-0.6216824&lt;/D&gt;&lt;D xsi:type="xsd:double"&gt;-2.5694191&lt;/D&gt;&lt;D xsi:type="xsd:double"&gt;-7.9849424&lt;/D&gt;&lt;D xsi:type="xsd:double"&gt;-1.8142223&lt;/D&gt;&lt;D xsi:type="xsd:double"&gt;-5.848509&lt;/D&gt;&lt;D xsi:type="xsd:double"&gt;-6.363696&lt;/D&gt;&lt;D xsi:type="xsd:double"&gt;-3.454572&lt;/D&gt;&lt;D xsi:type="xsd:double"&gt;7.1807384&lt;/D&gt;&lt;D xsi:type="xsd:double"&gt;8.943892&lt;/D&gt;&lt;D xsi:type="xsd:double"&gt;21.251917&lt;/D&gt;&lt;D xsi:type="xsd:double"&gt;8.173239&lt;/D&gt;&lt;D xsi:type="xsd:double"&gt;-6.1158657&lt;/D&gt;&lt;D xsi:type="xsd:double"&gt;-24.502748&lt;/D&gt;&lt;D xsi:type="xsd:double"&gt;-21.944893&lt;/D&gt;&lt;D xsi:type="xsd:double"&gt;-15.611762&lt;/D&gt;&lt;D xsi:type="xsd:double"&gt;-17.672295&lt;/D&gt;&lt;D xsi:type="xsd:double"&gt;-15.07954&lt;/D&gt;&lt;D xsi:type="xsd:double"&gt;-9.303581&lt;/D&gt;&lt;D xsi:type="xsd:double"&gt;-16.228367&lt;/D&gt;&lt;D xsi:type="xsd:double"&gt;-23.161512&lt;/D&gt;&lt;D xsi:type="xsd:double"&gt;-11.355459&lt;/D&gt;&lt;D xsi:type="xsd:double"&gt;-11.804509&lt;/D&gt;&lt;D xsi:type="xsd:double"&gt;-9.521162&lt;/D&gt;&lt;D xsi:type="xsd:double"&gt;1.8073559&lt;/D&gt;&lt;D xsi:type="xsd:double"&gt;34.626366&lt;/D&gt;&lt;D xsi:type="xsd:double"&gt;32.282997&lt;/D&gt;&lt;D xsi:type="xsd:double"&gt;33.289337&lt;/D&gt;&lt;D xsi:type="xsd:double"&gt;30.564892&lt;/D&gt;&lt;D xsi:type="xsd:double"&gt;27.412487&lt;/D&gt;&lt;D xsi:type="xsd:double"&gt;27.448809&lt;/D&gt;&lt;D xsi:type="xsd:double"&gt;30.132092&lt;/D&gt;&lt;D xsi:type="xsd:double"&gt;41.97334&lt;/D&gt;&lt;D xsi:type="xsd:double"&gt;16.612434&lt;/D&gt;&lt;D xsi:type="xsd:double"&gt;18.223583&lt;/D&gt;&lt;D xsi:type="xsd:double"&gt;21.188759&lt;/D&gt;&lt;D xsi:type="xsd:double"&gt;15.223575&lt;/D&gt;&lt;D xsi:type="xsd:double"&gt;12.264883&lt;/D&gt;&lt;D xsi:type="xsd:double"&gt;2.7083993&lt;/D&gt;&lt;D xsi:type="xsd:double"&gt;2.571857&lt;/D&gt;&lt;D xsi:type="xsd:double"&gt;-4.1285458&lt;/D&gt;&lt;D xsi:type="xsd:double"&gt;-2.1952212&lt;/D&gt;&lt;D xsi:type="xsd:double"&gt;-8.357298&lt;/D&gt;&lt;D xsi:type="xsd:double"&gt;-14.958173&lt;/D&gt;&lt;D xsi:type="xsd:double"&gt;-12.883341&lt;/D&gt;&lt;D xsi:type="xsd:double"&gt;2.9738069&lt;/D&gt;&lt;D xsi:type="xsd:double"&gt;-4.375112&lt;/D&gt;&lt;D xsi:type="xsd:double"&gt;-0.6660938&lt;/D&gt;&lt;D xsi:type="xsd:double"&gt;-0.37469864&lt;/D&gt;&lt;D xsi:type="xsd:double"&gt;-0.8803785&lt;/D&gt;&lt;D xsi:type="xsd:double"&gt;8.040512&lt;/D&gt;&lt;D xsi:type="xsd:double"&gt;-0.5976796&lt;/D&gt;&lt;D xsi:type="xsd:double"&gt;11.721849&lt;/D&gt;&lt;D xsi:type="xsd:double"&gt;11.468172&lt;/D&gt;&lt;D xsi:type="xsd:double"&gt;14.526903&lt;/D&gt;&lt;D xsi:type="xsd:double"&gt;25.046766&lt;/D&gt;&lt;D xsi:type="xsd:double"&gt;12.545311&lt;/D&gt;&lt;D xsi:type="xsd:double"&gt;6.2900424&lt;/D&gt;&lt;D xsi:type="xsd:double"&gt;11.871648&lt;/D&gt;&lt;D xsi:type="xsd:double"&gt;3.8411498&lt;/D&gt;&lt;D xsi:type="xsd:double"&gt;5.8078885&lt;/D&gt;&lt;D xsi:type="xsd:double"&gt;13.225675&lt;/D&gt;&lt;D xsi:type="xsd:double"&gt;6.656146&lt;/D&gt;&lt;D xsi:type="xsd:double"&gt;18.739557&lt;/D&gt;&lt;/FQL&gt;&lt;FQL&gt;&lt;Q&gt;ENZL^FG_TOTAL_RETURNC(-10AY,0,AM)&lt;/Q&gt;&lt;R&gt;121&lt;/R&gt;&lt;C&gt;1&lt;/C&gt;&lt;D xsi:type="xsd:double"&gt;-2.5339723&lt;/D&gt;&lt;D xsi:type="xsd:double"&gt;1.8623233&lt;/D&gt;&lt;D xsi:type="xsd:double"&gt;-3.6316216&lt;/D&gt;&lt;D xsi:type="xsd:double"&gt;0.5665064&lt;/D&gt;&lt;D xsi:type="xsd:double"&gt;-5.731082&lt;/D&gt;&lt;D xsi:type="xsd:double"&gt;3.3512592&lt;/D&gt;&lt;D xsi:type="xsd:double"&gt;0.5784273&lt;/D&gt;&lt;D xsi:type="xsd:double"&gt;2.728176&lt;/D&gt;&lt;D xsi:type="xsd:double"&gt;-3.5767913&lt;/D&gt;&lt;D xsi:type="xsd:double"&gt;6.2256813&lt;/D&gt;&lt;D xsi:type="xsd:double"&gt;-2.173382&lt;/D&gt;&lt;D xsi:type="xsd:double"&gt;1.2234092&lt;/D&gt;&lt;D xsi:type="xsd:double"&gt;-5.99283&lt;/D&gt;&lt;D xsi:type="xsd:double"&gt;-6.6702185&lt;/D&gt;&lt;D xsi:type="xsd:double"&gt;0.51903725&lt;/D&gt;&lt;D xsi:type="xsd:double"&gt;-7.573146&lt;/D&gt;&lt;D xsi:type="xsd:double"&gt;-0.7448852&lt;/D&gt;&lt;D xsi:type="xsd:double"&gt;13.617886&lt;/D&gt;&lt;D xsi:type="xsd:double"&gt;-1.5549719&lt;/D&gt;&lt;D xsi:type="xsd:double"&gt;6.783998&lt;/D&gt;&lt;D xsi:type="xsd:double"&gt;-6.4300957&lt;/D&gt;&lt;D xsi:type="xsd:double"&gt;3.0225277&lt;/D&gt;&lt;D xsi:type="xsd:double"&gt;13.838911&lt;/D&gt;&lt;D xsi:type="xsd:double"&gt;1.6776085&lt;/D&gt;&lt;D xsi:type="xsd:double"&gt;0.35868883&lt;/D&gt;&lt;D xsi:type="xsd:double"&gt;3.8282156&lt;/D&gt;&lt;D xsi:type="xsd:double"&gt;8.115649&lt;/D&gt;&lt;D xsi:type="xsd:double"&gt;0.6448865&lt;/D&gt;&lt;D xsi:type="xsd:double"&gt;0.06622076&lt;/D&gt;&lt;D xsi:type="xsd:double"&gt;-8.454466&lt;/D&gt;&lt;D xsi:type="xsd:double"&gt;-1.5155017&lt;/D&gt;&lt;D xsi:type="xsd:double"&gt;-2.6928663&lt;/D&gt;&lt;D xsi:type="xsd:double"&gt;9.41354&lt;/D&gt;&lt;D xsi:type="xsd:double"&gt;-0.7591486&lt;/D&gt;&lt;D xsi:type="xsd:double"&gt;-2.1325886&lt;/D&gt;&lt;D xsi:type="xsd:double"&gt;0.8526802&lt;/D&gt;&lt;D xsi:type="xsd:double"&gt;3.687179&lt;/D&gt;&lt;D xsi:type="xsd:double"&gt;6.7359686&lt;/D&gt;&lt;D xsi:type="xsd:double"&gt;2.983141&lt;/D&gt;&lt;D xsi:type="xsd:double"&gt;-2.2040308&lt;/D&gt;&lt;D xsi:type="xsd:double"&gt;1.1375785&lt;/D&gt;&lt;D xsi:type="xsd:double"&gt;-3.289473&lt;/D&gt;&lt;D xsi:type="xsd:double"&gt;-0.10972023&lt;/D&gt;&lt;D xsi:type="xsd:double"&gt;6.2870264&lt;/D&gt;&lt;D xsi:type="xsd:double"&gt;4.529166&lt;/D&gt;&lt;D xsi:type="xsd:double"&gt;-2.8214395&lt;/D&gt;&lt;D xsi:type="xsd:double"&gt;1.2028217&lt;/D&gt;&lt;D xsi:type="xsd:double"&gt;-2.581966&lt;/D&gt;&lt;D xsi:type="xsd:double"&gt;2.650392&lt;/D&gt;&lt;D xsi:type="xsd:double"&gt;0.7456541&lt;/D&gt;&lt;D xsi:type="xsd:double"&gt;-0.16545653&lt;/D&gt;&lt;D xsi:type="xsd:double"&gt;1.6159058&lt;/D&gt;&lt;D xsi:type="xsd:double"&gt;-0.9174347&lt;/D&gt;&lt;D xsi:type="xsd:double"&gt;-6.748968&lt;/D&gt;&lt;D xsi:type="xsd:double"&gt;6.542361&lt;/D&gt;&lt;D xsi:type="xsd:double"&gt;-2.97665&lt;/D&gt;&lt;D xsi:type="xsd:double"&gt;5.606258&lt;/D&gt;&lt;D xsi:type="xsd:double"&gt;1.7283916&lt;/D&gt;&lt;D xsi:type="xsd:double"&gt;5.764568&lt;/D&gt;&lt;D xsi:type="xsd:double"&gt;0.0764966&lt;/D&gt;&lt;D xsi:type="xsd:double"&gt;-2.3504734&lt;/D&gt;&lt;D xsi:type="xsd:double"&gt;6.0411572&lt;/D&gt;&lt;D xsi:type="xsd:double"&gt;1.8452644&lt;/D&gt;&lt;D xsi:type="xsd:double"&gt;-5.141181&lt;/D&gt;&lt;D xsi:type="xsd:double"&gt;0.5817294&lt;/D&gt;&lt;D xsi:type="xsd:double"&gt;1.1760235&lt;/D&gt;&lt;D xsi:type="xsd:double"&gt;6.4786673&lt;/D&gt;&lt;D xsi:type="xsd:double"&gt;5.5488944&lt;/D&gt;&lt;D xsi:type="xsd:double"&gt;-2.7532458&lt;/D&gt;&lt;D xsi:type="xsd:double"&gt;-5.8582664&lt;/D&gt;&lt;D xsi:type="xsd:double"&gt;-15.69888&lt;/D&gt;&lt;D xsi:type="xsd:double"&gt;9.165359&lt;/D&gt;&lt;D xsi:type="xsd:double"&gt;5.5801034&lt;/D&gt;&lt;D xsi:type="xsd:double"&gt;11.065602&lt;/D&gt;&lt;D xsi:type="xsd:double"&gt;3.6527276&lt;/D&gt;&lt;D xsi:type="xsd:double"&gt;3.1835198&lt;/D&gt;&lt;D xsi:type="xsd:double"&gt;-5.065173&lt;/D&gt;&lt;D xsi:type="xsd:double"&gt;3.1803966&lt;/D&gt;&lt;D xsi:type="xsd:double"&gt;11.891532&lt;/D&gt;&lt;D xsi:type="xsd:double"&gt;3.6521196&lt;/D&gt;&lt;D xsi:type="xsd:double"&gt;-0.54356456&lt;/D&gt;&lt;D xsi:type="xsd:double"&gt;-7.6366305&lt;/D&gt;&lt;D xsi:type="xsd:double"&gt;-0.43179393&lt;/D&gt;&lt;D xsi:type="xsd:double"&gt;3.710246&lt;/D&gt;&lt;D xsi:type="xsd:double"&gt;-4.5609417&lt;/D&gt;&lt;D xsi:type="xsd:double"&gt;-0.57684183&lt;/D&gt;&lt;D xsi:type="xsd:double"&gt;-0.4611373&lt;/D&gt;&lt;D xsi:type="xsd:double"&gt;4.980147&lt;/D&gt;&lt;D xsi:type="xsd:double"&gt;-2.6792765&lt;/D&gt;&lt;D xsi:type="xsd:double"&gt;3.384614&lt;/D&gt;&lt;D xsi:type="xsd:double"&gt;-8.129698&lt;/D&gt;&lt;D xsi:type="xsd:double"&gt;1.9298077&lt;/D&gt;&lt;D xsi:type="xsd:double"&gt;-11.695486&lt;/D&gt;&lt;D xsi:type="xsd:double"&gt;4.6280622&lt;/D&gt;&lt;D xsi:type="xsd:double"&gt;1.1121273&lt;/D&gt;&lt;D xsi:type="xsd:double"&gt;-9.171897&lt;/D&gt;&lt;D xsi:type="xsd:double"&gt;-3.2225788&lt;/D&gt;&lt;D xsi:type="xsd:double"&gt;-6.9456396&lt;/D&gt;&lt;D xsi:type="xsd:double"&gt;8.162796&lt;/D&gt;&lt;D xsi:type="xsd:double"&gt;-2.9937625&lt;/D&gt;&lt;D xsi:type="xsd:double"&gt;-11.744535&lt;/D&gt;&lt;D xsi:type="xsd:double"&gt;5.9009194&lt;/D&gt;&lt;D xsi:type="xsd:double"&gt;11.832153&lt;/D&gt;&lt;D xsi:type="xsd:double"&gt;0.03157854&lt;/D&gt;&lt;D xsi:type="xsd:double"&gt;7.363546&lt;/D&gt;&lt;D xsi:type="xsd:double"&gt;-6.0911236&lt;/D&gt;&lt;D xsi:type="xsd:double"&gt;2.0020366&lt;/D&gt;&lt;D xsi:type="xsd:double"&gt;-0.020033121&lt;/D&gt;&lt;D xsi:type="xsd:double"&gt;-4.487175&lt;/D&gt;&lt;D xsi:type="xsd:double"&gt;3.7548184&lt;/D&gt;&lt;D xsi:type="xsd:double"&gt;2.082479&lt;/D&gt;&lt;D xsi:type="xsd:double"&gt;-9.480005&lt;/D&gt;&lt;D xsi:type="xsd:double"&gt;-2.1431684&lt;/D&gt;&lt;D xsi:type="xsd:double"&gt;-5.983293&lt;/D&gt;&lt;D xsi:type="xsd:double"&gt;11.635447&lt;/D&gt;&lt;D xsi:type="xsd:double"&gt;6.494963&lt;/D&gt;&lt;D xsi:type="xsd:double"&gt;-5.0417542&lt;/D&gt;&lt;D xsi:type="xsd:double"&gt;-2.1932662&lt;/D&gt;&lt;D xsi:type="xsd:double"&gt;0.9991169&lt;/D&gt;&lt;D xsi:type="xsd:double"&gt;-2.6159644&lt;/D&gt;&lt;D xsi:type="xsd:double"&gt;5.304742&lt;/D&gt;&lt;/FQL&gt;&lt;FQL&gt;&lt;Q&gt;EWA^FMA_PE(LTMA,-10AY,0,AM,"PORTAGG","MEANR")&lt;/Q&gt;&lt;R&gt;121&lt;/R&gt;&lt;C&gt;1&lt;/C&gt;&lt;D xsi:type="</t>
        </r>
      </text>
    </comment>
    <comment ref="A6" authorId="0" shapeId="0" xr:uid="{195311A1-226D-4B8C-B9B5-63A5BFB271B0}">
      <text>
        <r>
          <rPr>
            <b/>
            <sz val="9"/>
            <color indexed="81"/>
            <rFont val="Tahoma"/>
            <charset val="1"/>
          </rPr>
          <t>xsd:double"&gt;15.1855028620529&lt;/D&gt;&lt;D xsi:type="xsd:double"&gt;15.1180423639895&lt;/D&gt;&lt;D xsi:type="xsd:double"&gt;15.533709820237&lt;/D&gt;&lt;D xsi:type="xsd:double"&gt;15.4733873600374&lt;/D&gt;&lt;D xsi:type="xsd:double"&gt;14.6663718040085&lt;/D&gt;&lt;D xsi:type="xsd:double"&gt;15.3641044826555&lt;/D&gt;&lt;D xsi:type="xsd:double"&gt;14.6159399654796&lt;/D&gt;&lt;D xsi:type="xsd:double"&gt;14.8069956260328&lt;/D&gt;&lt;D xsi:type="xsd:double"&gt;15.1903814057501&lt;/D&gt;&lt;D xsi:type="xsd:double"&gt;16.2153413101021&lt;/D&gt;&lt;D xsi:type="xsd:double"&gt;16.2630540157583&lt;/D&gt;&lt;D xsi:type="xsd:double"&gt;16.3118554700844&lt;/D&gt;&lt;D xsi:type="xsd:double"&gt;16.2684044607572&lt;/D&gt;&lt;D xsi:type="xsd:double"&gt;15.8766669411465&lt;/D&gt;&lt;D xsi:type="xsd:double"&gt;16.1917626947425&lt;/D&gt;&lt;D xsi:type="xsd:double"&gt;15.4603860899744&lt;/D&gt;&lt;D xsi:type="xsd:double"&gt;15.0566237043515&lt;/D&gt;&lt;D xsi:type="xsd:double"&gt;15.6354822088134&lt;/D&gt;&lt;D xsi:type="xsd:double"&gt;15.4413218693883&lt;/D&gt;&lt;D xsi:type="xsd:double"&gt;16.060762601513&lt;/D&gt;&lt;D xsi:type="xsd:double"&gt;15.2110112431526&lt;/D&gt;&lt;D xsi:type="xsd:double"&gt;14.9240656400827&lt;/D&gt;&lt;D xsi:type="xsd:double"&gt;15.1708600017846&lt;/D&gt;&lt;D xsi:type="xsd:double"&gt;15.4385687174031&lt;/D&gt;&lt;D xsi:type="xsd:double"&gt;15.7834831026615&lt;/D&gt;&lt;D xsi:type="xsd:double"&gt;15.7509688194097&lt;/D&gt;&lt;D xsi:type="xsd:double"&gt;16.4563314824928&lt;/D&gt;&lt;D xsi:type="xsd:double"&gt;16.5119794618042&lt;/D&gt;&lt;D xsi:type="xsd:double"&gt;16.7199617585058&lt;/D&gt;&lt;D xsi:type="xsd:double"&gt;16.7688602697034&lt;/D&gt;&lt;D xsi:type="xsd:double"&gt;17.1057659710769&lt;/D&gt;&lt;D xsi:type="xsd:double"&gt;17.7086539390355&lt;/D&gt;&lt;D xsi:type="xsd:double"&gt;17.4572350451697&lt;/D&gt;&lt;D xsi:type="xsd:double"&gt;17.525706890154&lt;/D&gt;&lt;D xsi:type="xsd:double"&gt;17.3884455417508&lt;/D&gt;&lt;D xsi:type="xsd:double"&gt;17.3031016060056&lt;/D&gt;&lt;D xsi:type="xsd:double"&gt;16.8855941366179&lt;/D&gt;&lt;D xsi:type="xsd:double"&gt;16.7910295964712&lt;/D&gt;&lt;D xsi:type="xsd:double"&gt;16.8039456995318&lt;/D&gt;&lt;D xsi:type="xsd:double"&gt;16.5972795600273&lt;/D&gt;&lt;D xsi:type="xsd:double"&gt;16.3183191989285&lt;/D&gt;&lt;D xsi:type="xsd:double"&gt;16.6257694162249&lt;/D&gt;&lt;D xsi:type="xsd:double"&gt;16.5931516514892&lt;/D&gt;&lt;D xsi:type="xsd:double"&gt;16.8278911331571&lt;/D&gt;&lt;D xsi:type="xsd:double"&gt;16.7548669342687&lt;/D&gt;&lt;D xsi:type="xsd:double"&gt;16.5525904197488&lt;/D&gt;&lt;D xsi:type="xsd:double"&gt;16.2815090514869&lt;/D&gt;&lt;D xsi:type="xsd:double"&gt;16.289045768338&lt;/D&gt;&lt;D xsi:type="xsd:double"&gt;16.169090676794&lt;/D&gt;&lt;D xsi:type="xsd:double"&gt;16.2800875614586&lt;/D&gt;&lt;D xsi:type="xsd:double"&gt;16.3533026121952&lt;/D&gt;&lt;D xsi:type="xsd:double"&gt;16.3597947840177&lt;/D&gt;&lt;D xsi:type="xsd:double"&gt;16.0770105289925&lt;/D&gt;&lt;D xsi:type="xsd:double"&gt;15.2302589078425&lt;/D&gt;&lt;D xsi:type="xsd:double"&gt;14.8672537208656&lt;/D&gt;&lt;D xsi:type="xsd:double"&gt;14.6223187067508&lt;/D&gt;&lt;D xsi:type="xsd:double"&gt;15.2778187885764&lt;/D&gt;&lt;D xsi:type="xsd:double"&gt;15.9106076548454&lt;/D&gt;&lt;D xsi:type="xsd:double"&gt;15.8666437464871&lt;/D&gt;&lt;D xsi:type="xsd:double"&gt;15.8616983106033&lt;/D&gt;&lt;D xsi:type="xsd:double"&gt;15.9137931434095&lt;/D&gt;&lt;D xsi:type="xsd:double"&gt;16.2586098308163&lt;/D&gt;&lt;D xsi:type="xsd:double"&gt;16.5255472296473&lt;/D&gt;&lt;D xsi:type="xsd:double"&gt;16.2495305438143&lt;/D&gt;&lt;D xsi:type="xsd:double"&gt;16.8002281868633&lt;/D&gt;&lt;D xsi:type="xsd:double"&gt;17.2646260360223&lt;/D&gt;&lt;D xsi:type="xsd:double"&gt;17.7420544241093&lt;/D&gt;&lt;D xsi:type="xsd:double"&gt;17.7688229253514&lt;/D&gt;&lt;D xsi:type="xsd:double"&gt;18.44603794122&lt;/D&gt;&lt;D xsi:type="xsd:double"&gt;16.9463800934025&lt;/D&gt;&lt;D xsi:type="xsd:double"&gt;16.3183293616499&lt;/D&gt;&lt;D xsi:type="xsd:double"&gt;17.4121566150773&lt;/D&gt;&lt;D xsi:type="xsd:double"&gt;17.9377896502397&lt;/D&gt;&lt;D xsi:type="xsd:double"&gt;18.3776447473684&lt;/D&gt;&lt;D xsi:type="xsd:double"&gt;18.9843454772302&lt;/D&gt;&lt;D xsi:type="xsd:double"&gt;19.8421573733972&lt;/D&gt;&lt;D xsi:type="xsd:double"&gt;19.0859778866838&lt;/D&gt;&lt;D xsi:type="xsd:double"&gt;19.5329044080874&lt;/D&gt;&lt;D xsi:type="xsd:double"&gt;21.9705041624339&lt;/D&gt;&lt;D xsi:type="xsd:double"&gt;22.9540612302639&lt;/D&gt;&lt;D xsi:type="xsd:double"&gt;22.4120238044229&lt;/D&gt;&lt;D xsi:type="xsd:double"&gt;21.8034729969148&lt;/D&gt;&lt;D xsi:type="xsd:double"&gt;21.296471644612&lt;/D&gt;&lt;D xsi:type="xsd:double"&gt;21.0392869257868&lt;/D&gt;&lt;D xsi:type="xsd:double"&gt;20.7408731655517&lt;/D&gt;&lt;D xsi:type="xsd:double"&gt;19.9878916206341&lt;/D&gt;&lt;D xsi:type="xsd:double"&gt;19.2280867786815&lt;/D&gt;&lt;D xsi:type="xsd:double"&gt;19.1509438020204&lt;/D&gt;&lt;D xsi:type="xsd:double"&gt;18.5393124863969&lt;/D&gt;&lt;D xsi:type="xsd:double"&gt;18.5560764677824&lt;/D&gt;&lt;D xsi:type="xsd:double"&gt;17.468434625997&lt;/D&gt;&lt;D xsi:type="xsd:double"&gt;17.8166424238212&lt;/D&gt;&lt;D xsi:type="xsd:double"&gt;15.786336769769&lt;/D&gt;&lt;D xsi:type="xsd:double"&gt;15.6714131906656&lt;/D&gt;&lt;D xsi:type="xsd:double"&gt;15.8138554337404&lt;/D&gt;&lt;D xsi:type="xsd:double"&gt;15.4451641663444&lt;/D&gt;&lt;D xsi:type="xsd:double"&gt;15.0103046160729&lt;/D&gt;&lt;D xsi:type="xsd:double"&gt;14.0784533356616&lt;/D&gt;&lt;D xsi:type="xsd:double"&gt;14.5092909327015&lt;/D&gt;&lt;D xsi:type="xsd:double"&gt;14.3596513018127&lt;/D&gt;&lt;D xsi:type="xsd:double"&gt;13.2218391737573&lt;/D&gt;&lt;D xsi:type="xsd:double"&gt;13.473374398038&lt;/D&gt;&lt;D xsi:type="xsd:double"&gt;14.4506028450662&lt;/D&gt;&lt;D xsi:type="xsd:double"&gt;14.0289358848587&lt;/D&gt;&lt;D xsi:type="xsd:double"&gt;14.8941228615624&lt;/D&gt;&lt;D xsi:type="xsd:double"&gt;14.2663938470017&lt;/D&gt;&lt;D xsi:type="xsd:double"&gt;14.2408176993964&lt;/D&gt;&lt;D xsi:type="xsd:double"&gt;14.3273091999696&lt;/D&gt;&lt;D xsi:type="xsd:double"&gt;14.1623378185499&lt;/D&gt;&lt;D xsi:type="xsd:double"&gt;14.6024219137249&lt;/D&gt;&lt;D xsi:type="xsd:double"&gt;15.1653523051509&lt;/D&gt;&lt;D xsi:type="xsd:double"&gt;15.1831934917798&lt;/D&gt;&lt;D xsi:type="xsd:double"&gt;14.8131305964159&lt;/D&gt;&lt;D xsi:type="xsd:double"&gt;14.3668544728937&lt;/D&gt;&lt;D xsi:type="xsd:double"&gt;15.2435460634164&lt;/D&gt;&lt;D xsi:type="xsd:double"&gt;16.569398491349&lt;/D&gt;&lt;D xsi:type="xsd:double"&gt;16.7068739563233&lt;/D&gt;&lt;D xsi:type="xsd:double"&gt;16.6076554764632&lt;/D&gt;&lt;D xsi:type="xsd:double"&gt;16.6757015459275&lt;/D&gt;&lt;D xsi:type="xsd:double"&gt;16.5828126167367&lt;/D&gt;&lt;D xsi:type="xsd:double"&gt;16.6038726808143&lt;/D&gt;&lt;/FQL&gt;&lt;FQL&gt;&lt;Q&gt;EWI^FG_PRICE_MAVG(0,,,,30)&lt;/Q&gt;&lt;R&gt;1&lt;/R&gt;&lt;C&gt;1&lt;/C&gt;&lt;D xsi:type="xsd:double"&gt;37.920666&lt;/D&gt;&lt;/FQL&gt;&lt;FQL&gt;&lt;Q&gt;SPY^FMA_PCT_ABOVE_MAVG(200,0,,,,"PORTAGG")&lt;/Q&gt;&lt;R&gt;1&lt;/R&gt;&lt;C&gt;1&lt;/C&gt;&lt;D xsi:type="xsd:double"&gt;64.2714570858283&lt;/D&gt;&lt;/FQL&gt;&lt;FQL&gt;&lt;Q&gt;VWO^P_PRICE(0)/P_PRICE_LOW_PR(0,,,,,,"PRICE","INTRA","52W")-1&lt;/Q&gt;&lt;R&gt;1&lt;/R&gt;&lt;C&gt;1&lt;/C&gt;&lt;D xsi:type="xsd:double"&gt;0.15018022&lt;/D&gt;&lt;/FQL&gt;&lt;FQL&gt;&lt;Q&gt;EWI^FG_TOTAL_RETURNC(0,-6AM)&lt;/Q&gt;&lt;R&gt;1&lt;/R&gt;&lt;C&gt;1&lt;/C&gt;&lt;D xsi:type="xsd:double"&gt;19.223415&lt;/D&gt;&lt;/FQL&gt;&lt;FQL&gt;&lt;Q&gt;CAGDPY@NL^EE_ACTUAL_ANNUAL(MED,+1)&lt;/Q&gt;&lt;R&gt;1&lt;/R&gt;&lt;C&gt;1&lt;/C&gt;&lt;D xsi:type="xsd:double"&gt;8.35&lt;/D&gt;&lt;/FQL&gt;&lt;FQL&gt;&lt;Q&gt;CAGDPY@NZ^EE_ACTUAL_ANNUAL(MED,0)&lt;/Q&gt;&lt;R&gt;1&lt;/R&gt;&lt;C&gt;1&lt;/C&gt;&lt;D xsi:type="xsd:double"&gt;-6.9&lt;/D&gt;&lt;/FQL&gt;&lt;FQL&gt;&lt;Q&gt;USDSEK^FG_PRICE_CHANGE(0,-6AM)&lt;/Q&gt;&lt;R&gt;1&lt;/R&gt;&lt;C&gt;1&lt;/C&gt;&lt;D xsi:type="xsd:double"&gt;0.36597252&lt;/D&gt;&lt;/FQL&gt;&lt;FQL&gt;&lt;Q&gt;USDGBP^FG_PRICE_CHANGE(0,-1AM)&lt;/Q&gt;&lt;R&gt;1&lt;/R&gt;&lt;C&gt;1&lt;/C&gt;&lt;D xsi:type="xsd:double"&gt;-1.6533136&lt;/D&gt;&lt;/FQL&gt;&lt;FQL&gt;&lt;Q&gt;USDEUR^STD(FG_PRICE_CHANGE(0,-1AY,AM))&lt;/Q&gt;&lt;R&gt;1&lt;/R&gt;&lt;C&gt;1&lt;/C&gt;&lt;D xsi:type="xsd:double"&gt;1.93913196146154&lt;/D&gt;&lt;/FQL&gt;&lt;FQL&gt;&lt;Q&gt;EWN^FG_TOTAL_RETURNC(-10AY,0,AM)&lt;/Q&gt;&lt;R&gt;121&lt;/R&gt;&lt;C&gt;1&lt;/C&gt;&lt;D xsi:type="xsd:double"&gt;0.85603&lt;/D&gt;&lt;D xsi:type="xsd:double"&gt;0.580585&lt;/D&gt;&lt;D xsi:type="xsd:double"&gt;-5.82031&lt;/D&gt;&lt;D xsi:type="xsd:double"&gt;2.0323515&lt;/D&gt;&lt;D xsi:type="xsd:double"&gt;-1.8699229&lt;/D&gt;&lt;D xsi:type="xsd:double"&gt;-1.5737355&lt;/D&gt;&lt;D xsi:type="xsd:double"&gt;4.839623&lt;/D&gt;&lt;D xsi:type="xsd:double"&gt;-3.7062466&lt;/D&gt;&lt;D xsi:type="xsd:double"&gt;0.35556555&lt;/D&gt;&lt;D xsi:type="xsd:double"&gt;6.66945&lt;/D&gt;&lt;D xsi:type="xsd:double"&gt;-1.2114108&lt;/D&gt;&lt;D xsi:type="xsd:double"&gt;3.2832265&lt;/D&gt;&lt;D xsi:type="xsd:double"&gt;1.7617702&lt;/D&gt;&lt;D xsi:type="xsd:double"&gt;-2.1730661&lt;/D&gt;&lt;D xsi:type="xsd:double"&gt;3.1529784&lt;/D&gt;&lt;D xsi:type="xsd:double"&gt;-7.660377&lt;/D&gt;&lt;D xsi:type="xsd:double"&gt;-4.372698&lt;/D&gt;&lt;D xsi:type="xsd:double"&gt;6.8376064&lt;/D&gt;&lt;D xsi:type="xsd:double"&gt;-1.0800004&lt;/D&gt;&lt;D xsi:type="xsd:double"&gt;-3.0060053&lt;/D&gt;&lt;D xsi:type="xsd:double"&gt;-1.9714713&lt;/D&gt;&lt;D xsi:type="xsd:double"&gt;-2.695769&lt;/D&gt;&lt;D xsi:type="xsd:double"&gt;8.179426&lt;/D&gt;&lt;D xsi:type="xsd:double"&gt;0.4878044&lt;/D&gt;&lt;D xsi:type="xsd:double"&gt;0.7686138&lt;/D&gt;&lt;D xsi:type="xsd:double"&gt;-5.721712&lt;/D&gt;&lt;D xsi:type="xsd:double"&gt;4.0172815&lt;/D&gt;&lt;D xsi:type="xsd:double"&gt;3.1561494&lt;/D&gt;&lt;D xsi:type="xsd:double"&gt;0.8856654&lt;/D&gt;&lt;D xsi:type="xsd:double"&gt;-2.3144424&lt;/D&gt;&lt;D xsi:type="xsd:double"&gt;-3.8807154&lt;/D&gt;&lt;D xsi:type="xsd:double"&gt;3.9574385&lt;/D&gt;&lt;D xsi:type="xsd:double"&gt;2.4430633&lt;/D&gt;&lt;D xsi:type="xsd:double"&gt;2.8698564&lt;/D&gt;&lt;D xsi:type="xsd:double"&gt;5.3438067&lt;/D&gt;&lt;D xsi:type="xsd:double"&gt;4.7370434&lt;/D&gt;&lt;D xsi:type="xsd:double"&gt;4.8789263&lt;/D&gt;&lt;D xsi:type="xsd:double"&gt;-0.56136847&lt;/D&gt;&lt;D xsi:type="xsd:double"&gt;6.256485&lt;/D&gt;&lt;D xsi:type="xsd:double"&gt;-0.32531023&lt;/D&gt;&lt;D xsi:type="xsd:double"&gt;2.447784&lt;/D&gt;&lt;D xsi:type="xsd:double"&gt;0.98757744&lt;/D&gt;&lt;D xsi:type="xsd:double"&gt;-0.5362749&lt;/D&gt;&lt;D xsi:type="xsd:double"&gt;1.203835&lt;/D&gt;&lt;D xsi:type="xsd:double"&gt;5.798924&lt;/D&gt;&lt;D xsi:type="xsd:double"&gt;-5.242777&lt;/D&gt;&lt;D xsi:type="xsd:double"&gt;0.5029917&lt;/D&gt;&lt;D xsi:type="xsd:double"&gt;0.50047636&lt;/D&gt;&lt;D xsi:type="xsd:double"&gt;-2.4276376&lt;/D&gt;&lt;D xsi:type="xsd:double"&gt;-1.0966837&lt;/D&gt;&lt;D xsi:type="xsd:double"&gt;3.9659142&lt;/D&gt;&lt;D xsi:type="xsd:double"&gt;-2.1437526&lt;/D&gt;&lt;D xsi:type="xsd:double"&gt;-2.7384043&lt;/D&gt;&lt;D xsi:type="xsd:double"&gt;-7.982773&lt;/D&gt;&lt;D xsi:type="xsd:double"&gt;2.339816&lt;/D&gt;&lt;D xsi:type="xsd:double"&gt;-7.046586&lt;/D&gt;&lt;D xsi:type="xsd:double"&gt;7.7186346&lt;/D&gt;&lt;D xsi:type="xsd:double"&gt;4.6240687&lt;/D&gt;&lt;D xsi:type="xsd:double"&gt;0.8434534&lt;/D&gt;&lt;D xsi:type="xsd:double"&gt;6.189358&lt;/D&gt;&lt;D xsi:type="xsd:double"&gt;-6.5847516&lt;/D&gt;&lt;D xsi:type="xsd:double"&gt;6.573224&lt;/D&gt;&lt;D xsi:type="xsd:double"&gt;-0.032424927&lt;/D&gt;&lt;D xsi:type="xsd:double"&gt;-0.74602365&lt;/D&gt;&lt;D xsi:type="xsd:double"&gt;2.483666&lt;/D&gt;&lt;D xsi:type="xsd:double"&gt;1.9770384&lt;/D&gt;&lt;D xsi:type="xsd:double"&gt;1.9387126&lt;/D&gt;&lt;D xsi:type="xsd:double"&gt;4.291749&lt;/D&gt;&lt;D xsi:type="xsd:double"&gt;-3.4554124&lt;/D&gt;&lt;D xsi:type="xsd:double"&gt;-6.8828344&lt;/D&gt;&lt;D xsi:type="xsd:double"&gt;-14.618927&lt;/D&gt;&lt;D xsi:type="xsd:double"&gt;9.503651&lt;/D&gt;&lt;D xsi:type="xsd:double"&gt;7.940972&lt;/D&gt;&lt;D xsi:type="xsd:double"&gt;7.117331&lt;/D&gt;&lt;D xsi:type="xsd:double"&gt;3.8214564&lt;/D&gt;&lt;D xsi:type="xsd:double"&gt;4.0636063&lt;/D&gt;&lt;D xsi:type="xsd:double"&gt;-1.4431179&lt;/D&gt;&lt;D xsi:type="xsd:double"&gt;-2.4978518&lt;/D&gt;&lt;D xsi:type="xsd:double"&gt;14.57597&lt;/D&gt;&lt;D xsi:type="xsd:double"&gt;6.592548&lt;/D&gt;&lt;D xsi:type="xsd:double"&gt;2.370584&lt;/D&gt;&lt;D xsi:type="xsd:double"&gt;4.0170193&lt;/D&gt;&lt;D xsi:type="xsd:double"&gt;4.838717&lt;/D&gt;&lt;D xsi:type="xsd:double"&gt;4.1603446&lt;/D&gt;&lt;D xsi:type="xsd:double"&gt;2.974832&lt;/D&gt;&lt;D xsi:type="xsd:double"&gt;-1.4730096&lt;/D&gt;&lt;D xsi:type="xsd:double"&gt;3.1166077&lt;/D&gt;&lt;D xsi:type="xsd:double"&gt;5.984795&lt;/D&gt;&lt;D xsi:type="xsd:double"&gt;-6.9877267&lt;/D&gt;&lt;D xsi:type="xsd:double"&gt;5.7868004&lt;/D&gt;&lt;D xsi:type="xsd:double"&gt;-5.6237993&lt;/D&gt;&lt;D xsi:type="xsd:double"&gt;2.5156856&lt;/D&gt;&lt;D xsi:type="xsd:double"&gt;-7.60653&lt;/D&gt;&lt;D xsi:type="xsd:double"&gt;-7.693964&lt;/D&gt;&lt;D xsi:type="xsd:double"&gt;-1.1674047&lt;/D&gt;&lt;D xsi:type="xsd:double"&gt;-9.213328&lt;/D&gt;&lt;D xsi:type="xsd:double"&gt;2.7582645&lt;/D&gt;&lt;D xsi:type="xsd:double"&gt;-10.055744&lt;/D&gt;&lt;D xsi:type="xsd:double"&gt;8.528233&lt;/D&gt;&lt;D xsi:type="xsd:double"&gt;-9.96058&lt;/D&gt;&lt;D xsi:type="xsd:double"&gt;-10.770577&lt;/D&gt;&lt;D xsi:type="xsd:double"&gt;7.131171&lt;/D&gt;&lt;D xsi:type="xsd:double"&gt;19.022894&lt;/D&gt;&lt;D xsi:type="xsd:double"&gt;-3.8705409&lt;/D&gt;&lt;D xsi:type="xsd:double"&gt;13.319004&lt;/D&gt;&lt;D xsi:type="xsd:double"&gt;-3.317541&lt;/D&gt;&lt;D xsi:type="xsd:double"&gt;3.4313798&lt;/D&gt;&lt;D xsi:type="xsd:double"&gt;0.28436184&lt;/D&gt;&lt;D xsi:type="xsd:double"&gt;-1.063329&lt;/D&gt;&lt;D xsi:type="xsd:double"&gt;4.5256615&lt;/D&gt;&lt;D xsi:type="xsd:double"&gt;3.234756&lt;/D&gt;&lt;D xsi:type="xsd:double"&gt;-7.676816&lt;/D&gt;&lt;D xsi:type="xsd:double"&gt;-7.830304&lt;/D&gt;&lt;D xsi:type="xsd:double"&gt;-1.4992118&lt;/D&gt;&lt;D xsi:type="xsd:double"&gt;12.630177&lt;/D&gt;&lt;D xsi:type="xsd:double"&gt;6.606722&lt;/D&gt;&lt;D xsi:type="xsd:double"&gt;2.0389915&lt;/D&gt;&lt;D xsi:type="xsd:double"&gt;4.8309207&lt;/D&gt;&lt;D xsi:type="xsd:double"&gt;3.6447406&lt;/D&gt;&lt;D xsi:type="xsd:double"&gt;-3.4559429&lt;/D&gt;&lt;D xsi:type="xsd:double"&gt;7.1593046&lt;/D&gt;&lt;/FQL&gt;&lt;FQL&gt;&lt;Q&gt;ENZL^JULIAN(FMA_DIV_YLD(NTMA,-10AY,0,AM,"PORTAGG","MEANR").DATES)&lt;/Q&gt;&lt;R&gt;121&lt;/R&gt;&lt;C&gt;1&lt;/C&gt;&lt;D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xsi:type="xsd:long"&gt;43706&lt;/D&gt;&lt;D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xsi:type="xsd:long"&gt;44895&lt;/D&gt;&lt;D xsi:type="xsd:long"&gt;44925&lt;/D&gt;&lt;D xsi:type="xsd:long"&gt;44957&lt;/D&gt;&lt;D xsi:type="xsd:long"&gt;44985&lt;/D&gt;&lt;D xsi:type="xsd:long"&gt;45016&lt;/D&gt;&lt;D xsi:type="xsd:long"&gt;45044&lt;/D&gt;&lt;D xsi:type="xsd:long"&gt;45077&lt;/D&gt;&lt;D xsi:type="xsd:long"&gt;45107&lt;/D&gt;&lt;D xsi:type="xsd:long"&gt;45138&lt;/D&gt;&lt;D xsi:type="xsd:long"&gt;45169&lt;/D&gt;&lt;D xsi:type="xsd:long"&gt;45198&lt;/D&gt;&lt;D xsi:type="xsd:long"&gt;45230&lt;/D&gt;&lt;D xsi:type="xsd:long"&gt;45260&lt;/D&gt;&lt;D xsi:type="xsd:long"&gt;45289&lt;/D&gt;&lt;D xsi:type="xsd:long"&gt;45322&lt;/D&gt;&lt;D xsi:type="xsd:long"&gt;45351&lt;/D&gt;&lt;D xsi:type="xsd:long"&gt;45379&lt;/D&gt;&lt;D xsi:type="xsd:long"&gt;45412&lt;/D&gt;&lt;D xsi:type="xsd:long"&gt;45441&lt;/D&gt;&lt;/FQL&gt;&lt;FQL&gt;&lt;Q&gt;DDR3512M-FDS^FG_PRICE_MAVG(0,,,,30)&lt;/Q&gt;&lt;R&gt;1&lt;/R&gt;&lt;C&gt;1&lt;/C&gt;&lt;D xsi:type="xsd:double"&gt;0.96639574&lt;/D&gt;&lt;/FQL&gt;&lt;FQL&gt;&lt;Q&gt;CPALM-FDS^FG_PRICE_MAVG(0,,,,30)&lt;/Q&gt;&lt;R&gt;1&lt;/R&gt;&lt;C&gt;1&lt;/C&gt;&lt;D xsi:type="xsd:double"&gt;3925.3333&lt;/D&gt;&lt;/FQL&gt;&lt;FQL&gt;&lt;Q&gt;FC0000AU^FG_PRICE(0)&lt;/Q&gt;&lt;R&gt;1&lt;/R&gt;&lt;C&gt;1&lt;/C&gt;&lt;D xsi:type="xsd:double"&gt;359.00586&lt;/D&gt;&lt;/FQL&gt;&lt;FQL&gt;&lt;Q&gt;EWN^FG_PRICE(0)&lt;/Q&gt;&lt;R&gt;1&lt;/R&gt;&lt;C&gt;1&lt;/C&gt;&lt;D xsi:type="xsd:double"&gt;51.19&lt;/D&gt;&lt;/FQL&gt;&lt;FQL&gt;&lt;Q&gt;QQQ^FG_TOTAL_RETURNC(0,-1AM)&lt;/Q&gt;&lt;R&gt;1&lt;/R&gt;&lt;C&gt;1&lt;/C&gt;&lt;D xsi:type="xsd:double"&gt;6.151819&lt;/D&gt;&lt;/FQL&gt;&lt;FQL&gt;&lt;Q&gt;EWA^FMA_PCT_ABOVE_MAVG(200,0,,,,"PORTAGG")&lt;/Q&gt;&lt;R&gt;1&lt;/R&gt;&lt;C&gt;1&lt;/C&gt;&lt;D xsi:type="xsd:double"&gt;54.2372881355932&lt;/D&gt;&lt;/FQL&gt;&lt;FQL&gt;&lt;Q&gt;URTH^SIZE(FG_CONSTITUENTS)&lt;/Q&gt;&lt;R&gt;1&lt;/R&gt;&lt;C&gt;1&lt;/C&gt;&lt;D xsi:type="xsd:long"&gt;1467&lt;/D&gt;&lt;/FQL&gt;&lt;FQL&gt;&lt;Q&gt;EWQ^SIZE(FG_CONSTITUENTS)&lt;/Q&gt;&lt;R&gt;1&lt;/R&gt;&lt;C&gt;1&lt;/C&gt;&lt;D xsi:type="xsd:long"&gt;64&lt;/D&gt;&lt;/FQL&gt;&lt;FQL&gt;&lt;Q&gt;EWG^SIZE(FG_CONSTITUENTS)&lt;/Q&gt;&lt;R&gt;1&lt;/R&gt;&lt;C&gt;1&lt;/C&gt;&lt;D xsi:type="xsd:long"&gt;58&lt;/D&gt;&lt;/FQL&gt;&lt;FQL&gt;&lt;Q&gt;ENZL^FMA_RBICS_REV_CURRENT(30, LOC, "PORTAGG")&lt;/Q&gt;&lt;R&gt;1&lt;/R&gt;&lt;C&gt;1&lt;/C&gt;&lt;D xsi:type="xsd:double"&gt;14.5670087916152&lt;/D&gt;&lt;/FQL&gt;&lt;FQL&gt;&lt;Q&gt;QQQ^FMA_PE(LTM,0,,,"PORTAGG","MEANR")&lt;/Q&gt;&lt;R&gt;1&lt;/R&gt;&lt;C&gt;1&lt;/C&gt;&lt;D xsi:type="xsd:double"&gt;33.2415958436168&lt;/D&gt;&lt;/FQL&gt;&lt;FQL&gt;&lt;Q&gt;EWJ^FG_FCF_YIELD_NTM(0)&lt;/Q&gt;&lt;R&gt;1&lt;/R&gt;&lt;C&gt;1&lt;/C&gt;&lt;D xsi:type="xsd:double"&gt;4.11745685271078&lt;/D&gt;&lt;/FQL&gt;&lt;FQL&gt;&lt;Q&gt;EWC^JULIAN(FMA_DIV_YLD(NTMA,NOW,NOW,M,"PORTAGG","MEANR").DATES)&lt;/Q&gt;&lt;R&gt;1&lt;/R&gt;&lt;C&gt;1&lt;/C&gt;&lt;D xsi:type="xsd:long"&gt;45442&lt;/D&gt;&lt;/FQL&gt;&lt;FQL&gt;&lt;Q&gt;VGK^FG_TOTAL_RETURNC(0,-6AM)&lt;/Q&gt;&lt;R&gt;1&lt;/R&gt;&lt;C&gt;1&lt;/C&gt;&lt;D xsi:type="xsd:double"&gt;14.809918&lt;/D&gt;&lt;/FQL&gt;&lt;FQL&gt;&lt;Q&gt;EWC^FMA_EPS(NTMA,-20AY,0,CY,,"PORTAGG","MEANR")&lt;/Q&gt;&lt;R&gt;20&lt;/R&gt;&lt;C&gt;1&lt;/C&gt;&lt;D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xsi:type="xsd:double"&gt;2.68263358415049&lt;/D&gt;&lt;/FQL&gt;&lt;FQL&gt;&lt;Q&gt;EWJ^FG_PRICE_MAVG(0,,,,200)&lt;/Q&gt;&lt;R&gt;1&lt;/R&gt;&lt;C&gt;1&lt;/C&gt;&lt;D xsi:type="xsd:double"&gt;64.81095&lt;/D&gt;&lt;/FQL&gt;&lt;FQL&gt;&lt;Q&gt;VGK^P_PRICE(0)/P_PRICE_HIGH_PR(0,,,,,,"PRICE","INTRA","52W")&lt;/Q&gt;&lt;R&gt;1&lt;/R&gt;&lt;C&gt;1&lt;/C&gt;&lt;D xsi:type="xsd:double"&gt;0.99345756&lt;/D&gt;&lt;/FQL&gt;&lt;FQL&gt;&lt;Q&gt;EWD^FG_TOTAL_RETURNC(0,-6AM)&lt;/Q&gt;&lt;R&gt;1&lt;/R&gt;&lt;C&gt;1&lt;/C&gt;&lt;D xsi:type="xsd:double"&gt;19.31529&lt;/D&gt;&lt;/FQL&gt;&lt;FQL&gt;&lt;Q&gt;EWQ^FG_TOTAL_RETURNC(0,-1AM)&lt;/Q&gt;&lt;R&gt;1&lt;/R&gt;&lt;C&gt;1&lt;/C&gt;&lt;D xsi:type="xsd:double"&gt;4.1458488&lt;/D&gt;&lt;/FQL&gt;&lt;FQL&gt;&lt;Q&gt;EWL^PERCENT_CHANGE(FMA_EPS(+1,0,,,,"PORTAGG","MEAN"),FMA_EPS(+1,-3AM,,,,"PORTAGG","MEAN"))&lt;/Q&gt;&lt;R&gt;1&lt;/R&gt;&lt;C&gt;1&lt;/C&gt;&lt;D xsi:type="xsd:double"&gt;2.1825029931507&lt;/D&gt;&lt;/FQL&gt;&lt;FQL&gt;&lt;Q&gt;REFFFUND-FDS^(SUBARRAY(NOT_NA(NO_REPEAT_F(FG_YIELD(NOW,-10AY,D))),0,1)-SUBARRAY(NOT_NA(NO_REPEAT_F(FG_YIELD(NOW,-10AY,D))),1,1))*100&lt;/Q&gt;&lt;R&gt;1&lt;/R&gt;&lt;C&gt;1&lt;/C&gt;&lt;D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xsi:type="xsd:double"&gt;25&lt;/D&gt;&lt;/FQL&gt;&lt;FQL&gt;&lt;Q&gt;TRYGB10Y-FDS^PCTCHG(FG_YIELD(0,,,,"YTM"),FG_YIELD(-3AM,,,,"YTM"))&lt;/Q&gt;&lt;R&gt;1&lt;/R&gt;&lt;C&gt;1&lt;/C&gt;&lt;D xsi:type="xsd:double"&gt;1.889922&lt;/D&gt;&lt;/FQL&gt;&lt;FQL&gt;&lt;Q&gt;TRYSE10Y-FDS^FG_YIELD(0,,,,"YTM")&lt;/Q&gt;&lt;R&gt;1&lt;/R&gt;&lt;C&gt;1&lt;/C&gt;&lt;D xsi:type="xsd:double"&gt;2.436&lt;/D&gt;&lt;/FQL&gt;&lt;FQL&gt;&lt;Q&gt;TRYCA10Y-FDS^FG_YIELD_NAME&lt;/Q&gt;&lt;R&gt;1&lt;/R&gt;&lt;C&gt;1&lt;/C&gt;&lt;D xsi:type="xsd:string"&gt;Canada Benchmark Bond - 10 Year&lt;/D&gt;&lt;/FQL&gt;&lt;FQL&gt;&lt;Q&gt;VWO^FMA_EVAL_EBIT(LTMA,NOW,NOW,M,"PORTAGG","MEANR")&lt;/Q&gt;&lt;R&gt;1&lt;/R&gt;&lt;C&gt;1&lt;/C&gt;&lt;D xsi:type="xsd:double"&gt;14.3789902738816&lt;/D&gt;&lt;/FQL&gt;&lt;FQL&gt;&lt;Q&gt;UUP^P_PRICE(0)/P_PRICE_HIGH_PR(0,,,USD,,,"PRICE","INTRA","52W")&lt;/Q&gt;&lt;R&gt;1&lt;/R&gt;&lt;C&gt;1&lt;/C&gt;&lt;D xsi:type="xsd:double"&gt;0.9504392&lt;/D&gt;&lt;/FQL&gt;&lt;FQL&gt;&lt;Q&gt;CAGDPY@NL^EE_ACTUAL_ANNUAL(MED,0)&lt;/Q&gt;&lt;R&gt;1&lt;/R&gt;&lt;C&gt;1&lt;/C&gt;&lt;D xsi:type="xsd:double"&gt;10.0884806997308&lt;/D&gt;&lt;/FQL&gt;&lt;FQL&gt;&lt;Q&gt;COPP-FDS^FG_PRICE_CHANGE(0,-6AM)&lt;/Q&gt;&lt;R&gt;1&lt;/R&gt;&lt;C&gt;1&lt;/C&gt;&lt;D xsi:type="xsd:double"&gt;20.3969704883782&lt;/D&gt;&lt;/FQL&gt;&lt;FQL&gt;&lt;Q&gt;EWQ^FG_PRICE_MAVG(0,,,,200)&lt;/Q&gt;&lt;R&gt;1&lt;/R&gt;&lt;C&gt;1&lt;/C&gt;&lt;D xsi:type="xsd:double"&gt;38.497326&lt;/D&gt;&lt;/FQL&gt;&lt;FQL&gt;&lt;Q&gt;QQQ^PERCENT_CHANGE(FMA_EPS(+1,0,,,,"PORTAGG","MEAN"),FMA_EPS(+1,-3AM,,,,"PORTAGG","MEAN"))&lt;/Q&gt;&lt;R&gt;1&lt;/R&gt;&lt;C&gt;1&lt;/C&gt;&lt;D xsi:type="xsd:double"&gt;0.260261155914555&lt;/D&gt;&lt;/FQL&gt;&lt;FQL&gt;&lt;Q&gt;ENZL^FG_TOTAL_RETURNC(0,-12AM)&lt;/Q&gt;&lt;R&gt;1&lt;/R&gt;&lt;C&gt;1&lt;/C&gt;&lt;D xsi:type="xsd:double"&gt;0.87560415&lt;/D&gt;&lt;/FQL&gt;&lt;FQL&gt;&lt;Q&gt;EWQ^FMA_COS_DOWN("EPS","1M",+1,0,,,"PORTAGG","MEANR")&lt;/Q&gt;&lt;R&gt;1&lt;/R&gt;&lt;C&gt;1&lt;/C&gt;&lt;D xsi:type="xsd:double"&gt;24&lt;/D&gt;&lt;/FQL&gt;&lt;FQL&gt;&lt;Q&gt;EWI^FG_ROE(0)&lt;/Q&gt;&lt;R&gt;1&lt;/R&gt;&lt;C&gt;1&lt;/C&gt;&lt;D xsi:type="xsd:double"&gt;14.1170326726547&lt;/D&gt;&lt;/FQL&gt;&lt;FQL&gt;&lt;Q&gt;TRYMX10Y-FDS^FG_YIELD(-10AY,0,Y,,"YTM")&lt;/Q&gt;&lt;R&gt;10&lt;/R&gt;&lt;C&gt;1&lt;/C&gt;&lt;D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xsi:type="xsd:double"&gt;1.47892717787447&lt;/D&gt;&lt;/FQL&gt;&lt;FQL&gt;&lt;Q&gt;URTH^P_PRICE(0)/P_PRICE_HIGH_PR(0,,,,,,"PRICE","INTRA","52W")&lt;/Q&gt;&lt;R&gt;1&lt;/R&gt;&lt;C&gt;1&lt;/C&gt;&lt;D xsi:type="xsd:double"&gt;0.9885347&lt;/D&gt;&lt;/FQL&gt;&lt;FQL&gt;&lt;Q&gt;EWQ^PERCENT_CHANGE(FMA_EPS(+1,0,,,,"PORTAGG","MEAN"),FMA_EPS(+1,-3AM,,,,"PORTAGG","MEAN"))&lt;/Q&gt;&lt;R&gt;1&lt;/R&gt;&lt;C&gt;1&lt;/C&gt;&lt;D xsi:type="xsd:double"&gt;0.439116012183722&lt;/D&gt;&lt;/FQL&gt;&lt;FQL&gt;&lt;Q&gt;EWC^FG_TOTAL_RETURNC(0,-12AM)&lt;/Q&gt;&lt;R&gt;1&lt;/R&gt;&lt;C&gt;1&lt;/C&gt;&lt;D xsi:type="xsd:double"&gt;17.781807&lt;/D&gt;&lt;/FQL&gt;&lt;FQL&gt;&lt;Q&gt;REFFFUND-FDS^FG_YIELD(NOW,,,0)&lt;/Q&gt;&lt;R&gt;1&lt;/R&gt;&lt;C&gt;1&lt;/C&gt;&lt;D xsi:type="xsd:double"&gt;5.5&lt;/D&gt;&lt;/FQL&gt;&lt;FQL&gt;&lt;Q&gt;TRYGB10Y-FDS^PCTCHG(FG_YIELD(0,,,,"YTM"),FG_YIELD(-1AM,,,,"YTM"))&lt;/Q&gt;&lt;R&gt;1&lt;/R&gt;&lt;C&gt;1&lt;/C&gt;&lt;D xsi:type="xsd:double"&gt;-0.53043735&lt;/D&gt;&lt;/FQL&gt;&lt;FQL&gt;&lt;Q&gt;VWO^FMA_EVAL_EBITDA(NTMA,0,,,"PORTAGG","MEANR")&lt;/Q&gt;&lt;R&gt;1&lt;/R&gt;&lt;C&gt;1&lt;/C&gt;&lt;D xsi:type="xsd:double"&gt;8.9061756334558&lt;/D&gt;&lt;/FQL&gt;&lt;FQL&gt;&lt;Q&gt;EWI^FMA_PE(LTM,0,,,"PORTAGG","MEANR")&lt;/Q&gt;&lt;R&gt;1&lt;/R&gt;&lt;C&gt;1&lt;/C&gt;&lt;D xsi:type="xsd:double"&gt;10.1606803020852&lt;/D&gt;&lt;/FQL&gt;&lt;FQL&gt;&lt;Q&gt;EWA^FMA_EVAL_EBITDA(NTMA,0,,,"PORTAGG","MEANR")&lt;/Q&gt;&lt;R&gt;1&lt;/R&gt;&lt;C&gt;1&lt;/C&gt;&lt;D xsi:type="xsd:double"&gt;8.5581903562374&lt;/D&gt;&lt;/FQL&gt;&lt;FQL&gt;&lt;Q&gt;VGK^FG_TOTAL_RETURNC(0,-1AM)&lt;/Q&gt;&lt;R&gt;1&lt;/R&gt;&lt;C&gt;1&lt;/C&gt;&lt;D xsi:type="xsd:double"&gt;6.4461946&lt;/D&gt;&lt;/FQL&gt;&lt;FQL&gt;&lt;Q&gt;EWI^FMA_ROE(NTMA,-20AY,NOW,FY,"PORTAGG","MEANR")&lt;/Q&gt;&lt;R&gt;20&lt;/R&gt;&lt;C&gt;1&lt;/C&gt;&lt;D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xsi:type="xsd:double"&gt;2.004&lt;/D&gt;&lt;/FQL&gt;&lt;FQL&gt;&lt;Q&gt;USDAUD^FG_PRICE_CHANGE(0,-1AY)&lt;/Q&gt;&lt;R&gt;1&lt;/R&gt;&lt;C&gt;1&lt;/C&gt;&lt;D xsi:type="xsd:double"&gt;-2.6915252&lt;/D&gt;&lt;/FQL&gt;&lt;FQL&gt;&lt;Q&gt;EWJ^FMA_DIV_YLD(NTMA,-10AY,0,AM,"PORTAGG","MEANR")&lt;/Q&gt;&lt;R&gt;121&lt;/R&gt;&lt;C&gt;1&lt;/C&gt;&lt;D xsi:type="xsd:double"&gt;2.1591300421949&lt;/D&gt;&lt;D xsi:type="xsd:double"&gt;2.07386135956463&lt;/D&gt;&lt;D xsi:type="xsd:double"&gt;2.04506955980374&lt;/D&gt;&lt;D xsi:type="xsd:double"&gt;2.08374180140113&lt;/D&gt;&lt;D xsi:type="xsd:double"&gt;2.02248890208224&lt;/D&gt;&lt;D xsi:type="xsd:double"&gt;2.02193698969938&lt;/D&gt;&lt;D xsi:type="xsd:double"&gt;1.94863501610075&lt;/D&gt;&lt;D xsi:type="xsd:double"&gt;1.96975335127454&lt;/D&gt;&lt;D xsi:type="xsd:double"&gt;2.00593789587793&lt;/D&gt;&lt;D xsi:type="xsd:double"&gt;1.87834190262488&lt;/D&gt;&lt;D xsi:type="xsd:double"&gt;1.88303279155157&lt;/D&gt;&lt;D xsi:type="xsd:double"&gt;1.84822254893743&lt;/D&gt;&lt;D xsi:type="xsd:double"&gt;1.82498370805908&lt;/D&gt;&lt;D xsi:type="xsd:double"&gt;1.9179485652961&lt;/D&gt;&lt;D xsi:type="xsd:double"&gt;1.89755667769649&lt;/D&gt;&lt;D xsi:type="xsd:double"&gt;2.07492584140696&lt;/D&gt;&lt;D xsi:type="xsd:double"&gt;2.27507268804834&lt;/D&gt;&lt;D xsi:type="xsd:double"&gt;2.05135413929023&lt;/D&gt;&lt;D xsi:type="xsd:double"&gt;2.0420316951087&lt;/D&gt;&lt;D xsi:type="xsd:double"&gt;2.09547306420622&lt;/D&gt;&lt;D xsi:type="xsd:double"&gt;2.28045936184802&lt;/D&gt;&lt;D xsi:type="xsd:double"&gt;2.48527142938945&lt;/D&gt;&lt;D xsi:type="xsd:double"&gt;2.39780295869954&lt;/D&gt;&lt;D xsi:type="xsd:double"&gt;2.39094788334759&lt;/D&gt;&lt;D xsi:type="xsd:double"&gt;2.31093097539845&lt;/D&gt;&lt;D xsi:type="xsd:double"&gt;2.54009207424592&lt;/D&gt;&lt;D xsi:type="xsd:double"&gt;2.38055813556632&lt;/D&gt;&lt;D xsi:type="xsd:double"&gt;2.36420720441339&lt;/D&gt;&lt;D xsi:type="xsd:double"&gt;2.40739452323872&lt;/D&gt;&lt;D xsi:type="xsd:double"&gt;2.30383397096537&lt;/D&gt;&lt;D xsi:type="xsd:double"&gt;2.18741861374463&lt;/D&gt;&lt;D xsi:type="xsd:double"&gt;2.12454937200345&lt;/D&gt;&lt;D xsi:type="xsd:double"&gt;2.14830902481828&lt;/D&gt;&lt;D xsi:type="xsd:double"&gt;2.16104578716086&lt;/D&gt;&lt;D xsi:type="xsd:double"&gt;2.21969245043735&lt;/D&gt;&lt;D xsi:type="xsd:double"&gt;2.21407683036057&lt;/D&gt;&lt;D xsi:type="xsd:double"&gt;2.20142822831657&lt;/D&gt;&lt;D xsi:type="xsd:double"&gt;2.17029687936999&lt;/D&gt;&lt;D xsi:type="xsd:double"&gt;2.17577187114582&lt;/D&gt;&lt;D xsi:type="xsd:double"&gt;2.20991972848025&lt;/D&gt;&lt;D xsi:type="xsd:double"&gt;2.15654878610097&lt;/D&gt;&lt;D xsi:type="xsd:double"&gt;2.06900512434258&lt;/D&gt;&lt;D xsi:type="xsd:double"&gt;2.0804929461347&lt;/D&gt;&lt;D xsi:type="xsd:double"&gt;2.05879632782467&lt;/D&gt;&lt;D xsi:type="xsd:double"&gt;2.05541919281699&lt;/D&gt;&lt;D xsi:type="xsd:double"&gt;2.19077462782696&lt;/D&gt;&lt;D xsi:type="xsd:double"&gt;2.28771578081579&lt;/D&gt;&lt;D xsi:type="xsd:double"&gt;2.20711283629088&lt;/D&gt;&lt;D xsi:type="xsd:double"&gt;2.28105525069075&lt;/D&gt;&lt;D xsi:type="xsd:double"&gt;2.30306871971896&lt;/D&gt;&lt;D xsi:type="xsd:double"&gt;2.28090609243864&lt;/D&gt;&lt;D xsi:type="xsd:double"&gt;2.31702072981049&lt;/D&gt;&lt;D xsi:type="xsd:double"&gt;2.21792325480422&lt;/D&gt;&lt;D xsi:type="xsd:double"&gt;2.46035842132167&lt;/D&gt;&lt;D xsi:type="xsd:double"&gt;2.46597273404865&lt;/D&gt;&lt;D xsi:type="xsd:double"&gt;2.75200807077962&lt;/D&gt;&lt;D xsi:type="xsd:double"&gt;2.63223479956333&lt;/D&gt;&lt;D xsi:type="xsd:double"&gt;2.56991061921489&lt;/D&gt;&lt;D xsi:type="xsd:double"&gt;2.60032708973296&lt;/D&gt;&lt;D xsi:type="xsd:double"&gt;2.56648909208102&lt;/D&gt;&lt;D xsi:type="xsd:double"&gt;2.75374577992844&lt;/D&gt;&lt;D xsi:type="xsd:double"&gt;2.68339003842818&lt;/D&gt;&lt;D xsi:type="xsd:double"&gt;2.66911356858917&lt;/D&gt;&lt;D xsi:type="xsd:double"&gt;2.78888077726514&lt;/D&gt;&lt;D xsi:type="xsd:double"&gt;2.62400323051679&lt;/D&gt;&lt;D xsi:type="xsd:double"&gt;2.51369814638602&lt;/D&gt;&lt;D xsi:type="xsd:double"&gt;2.46703564901129&lt;/D&gt;&lt;D xsi:type="xsd:double"&gt;2.44403377001637&lt;/D&gt;&lt;D xsi:type="xsd:double"&gt;2.49707996525406&lt;/D&gt;&lt;D xsi:type="xsd:double"&gt;2.76169771843798&lt;/D&gt;&lt;D xsi:type="xsd:double"&gt;2.98086045874405&lt;/D&gt;&lt;D xsi:type="xsd:double"&gt;2.79860111930926&lt;/D&gt;&lt;D xsi:type="xsd:double"&gt;2.57904795304876&lt;/D&gt;&lt;D xsi:type="xsd:double"&gt;2.51577011349078&lt;/D&gt;&lt;D xsi:type="xsd:double"&gt;2.6044037505621&lt;/D&gt;&lt;D xsi:type="xsd:double"&gt;2.37765700676919&lt;/D&gt;&lt;D xsi:type="xsd:double"&gt;2.39446993068766&lt;/D&gt;&lt;D xsi:type="xsd:double"&gt;2.46660231382448&lt;/D&gt;&lt;D xsi:type="xsd:double"&gt;2.20312095838519&lt;/D&gt;&lt;D xsi:type="xsd:double"&gt;2.13994842979883&lt;/D&gt;&lt;D xsi:type="xsd:double"&gt;2.15371376380964&lt;/D&gt;&lt;D xsi:type="xsd:double"&gt;2.12331496191739&lt;/D&gt;&lt;D xsi:type="xsd:double"&gt;2.07019704633478&lt;/D&gt;&lt;D xsi:type="xsd:double"&gt;2.15617241842331&lt;/D&gt;&lt;D xsi:type="xsd:double"&gt;2.14637176164189&lt;/D&gt;&lt;D xsi:type="xsd:double"&gt;2.19816456721984&lt;/D&gt;&lt;D xsi:type="xsd:double"&gt;2.27318057281016&lt;/D&gt;&lt;D xsi:type="xsd:double"&gt;2.2533726409148&lt;/D&gt;&lt;D xsi:type="xsd:double"&gt;2.2017922166793&lt;/D&gt;&lt;D xsi:type="xsd:double"&gt;2.24766785303531&lt;/D&gt;&lt;D xsi:type="xsd:double"&gt;2.36099260243599&lt;/D&gt;&lt;D xsi:type="xsd:double"&gt;2.31313541960131&lt;/D&gt;&lt;D xsi:type="xsd:double"&gt;2.46415001045396&lt;/D&gt;&lt;D xsi:type="xsd:double"&gt;2.53107096365927&lt;/D&gt;&lt;D xsi:type="xsd:double"&gt;2.5128547952922&lt;/D&gt;&lt;D xsi:type="xsd:double"&gt;2.59144097934568&lt;/D&gt;&lt;D xsi:type="xsd:double"&gt;2.6065798152755&lt;/D&gt;&lt;D xsi:type="xsd:double"&gt;2.70187783630481&lt;/D&gt;&lt;D xsi:type="xsd:double"&gt;2.61584544181983&lt;/D&gt;&lt;D xsi:type="xsd:double"&gt;2.59902497263199&lt;/D&gt;&lt;D xsi:type="xsd:double"&gt;2.81776404802272&lt;/D&gt;&lt;D xsi:type="xsd:double"&gt;2.67854697545279&lt;/D&gt;&lt;D xsi:type="xsd:double"&gt;2.59401351374685&lt;/D&gt;&lt;D xsi:type="xsd:double"&gt;2.76264106600492&lt;/D&gt;&lt;D xsi:type="xsd:double"&gt;2.63306148457068&lt;/D&gt;&lt;D xsi:type="xsd:double"&gt;2.62369848670049&lt;/D&gt;&lt;D xsi:type="xsd:double"&gt;2.62177553430243&lt;/D&gt;&lt;D xsi:type="xsd:double"&gt;2.56541141143794&lt;/D&gt;&lt;D xsi:type="xsd:double"&gt;2.49030796174407&lt;/D&gt;&lt;D xsi:type="xsd:double"&gt;2.32877548012195&lt;/D&gt;&lt;D xsi:type="xsd:double"&gt;2.32294122459532&lt;/D&gt;&lt;D xsi:type="xsd:double"&gt;2.3562100789836&lt;/D&gt;&lt;D xsi:type="xsd:double"&gt;2.38888517866895&lt;/D&gt;&lt;D xsi:type="xsd:double"&gt;2.4863021458324&lt;/D&gt;&lt;D xsi:type="xsd:double"&gt;2.39517184540527&lt;/D&gt;&lt;D xsi:type="xsd:double"&gt;2.42815134041483&lt;/D&gt;&lt;D xsi:type="xsd:double"&gt;2.26404217438232&lt;/D&gt;&lt;D xsi:type="xsd:double"&gt;2.19333570859534&lt;/D&gt;&lt;D xsi:type="xsd:double"&gt;2.15772847413206&lt;/D&gt;&lt;D xsi:type="xsd:double"&gt;2.20531765499837&lt;/D&gt;&lt;D xsi:type="xsd:double"&gt;2.23630852436911&lt;/D&gt;&lt;/FQL&gt;&lt;FQL&gt;&lt;Q&gt;NI-FDS^FG_PRICE_CHANGE(0,-6AM)&lt;/Q&gt;&lt;R&gt;1&lt;/R&gt;&lt;C&gt;1&lt;/C&gt;&lt;D xsi:type="xsd:double"&gt;21.3957759412305&lt;/D&gt;&lt;/FQL&gt;&lt;FQL&gt;&lt;Q&gt;ENZL^FG_PRICE(0)&lt;/Q&gt;&lt;R&gt;1&lt;/R&gt;&lt;C&gt;1&lt;/C&gt;&lt;D xsi:type="xsd:double"&gt;46.65&lt;/D&gt;&lt;/FQL&gt;&lt;FQL&gt;&lt;Q&gt;FXI^FMA_PCT_ABOVE_MAVG(200,0,,,,"PORTAGG")&lt;/Q&gt;&lt;R&gt;1&lt;/R&gt;&lt;C&gt;1&lt;/C&gt;&lt;D xsi:type="xsd:double"&gt;76.4705882352941&lt;/D&gt;&lt;/FQL&gt;&lt;FQL&gt;&lt;Q&gt;EWG^FMA_PCT_ABOVE_MAVG(200,0,,,,"PORTAGG")&lt;/Q&gt;&lt;R&gt;1&lt;/R&gt;&lt;C&gt;1&lt;/C&gt;&lt;D xsi:type="xsd:double"&gt;70.1754385964912&lt;/D&gt;&lt;/FQL&gt;&lt;FQL&gt;&lt;Q&gt;REFAUCASH-FDS^(SUBARRAY(NOT_NA(NO_REPEAT_F(FG_YIELD(NOW,-10AY,D))),0,1)-SUBARRAY(NOT_NA(NO_REPEAT_F(FG_YIELD(NOW,-10AY,D))),1,1))*100&lt;/Q&gt;&lt;R&gt;1&lt;/R&gt;&lt;C&gt;1&lt;/C&gt;&lt;D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xsi:type="xsd:double"&gt;25&lt;/D&gt;&lt;/FQL&gt;&lt;FQL&gt;&lt;Q&gt;EWI^FMA_PE(NTMA,0,,,"PORTAGG","MEANR")&lt;/Q&gt;&lt;R&gt;1&lt;/R&gt;&lt;C&gt;1&lt;/C&gt;&lt;D xsi:type="xsd:double"&gt;9.68942928397427&lt;/D&gt;&lt;/FQL&gt;&lt;FQL&gt;&lt;Q&gt;CC_US^FG_COMPANY_NAME&lt;/Q&gt;&lt;R&gt;1&lt;/R&gt;&lt;C&gt;1&lt;/C&gt;&lt;D xsi:type="xsd:string"&gt;United States&lt;/D&gt;&lt;/FQL&gt;&lt;FQL&gt;&lt;Q&gt;USDSEK^FG_PRICE_CHANGE(0,-3AM)&lt;/Q&gt;&lt;R&gt;1&lt;/R&gt;&lt;C&gt;1&lt;/C&gt;&lt;D xsi:type="xsd:double"&gt;1.6404986&lt;/D&gt;&lt;/FQL&gt;&lt;FQL&gt;&lt;Q&gt;USDGBP^FG_PRICE(0)&lt;/Q&gt;&lt;R&gt;1&lt;/R&gt;&lt;C&gt;1&lt;/C&gt;&lt;D xsi:type="xsd:double"&gt;0.78542256&lt;/D&gt;&lt;/FQL&gt;&lt;FQL&gt;&lt;Q&gt;USDEUR^FG_PRICE_CHANGE(0,-6AM)&lt;/Q&gt;&lt;R&gt;1&lt;/R&gt;&lt;C&gt;1&lt;/C&gt;&lt;D xsi:type="xsd:double"&gt;0.50662756&lt;/D&gt;&lt;/FQL&gt;&lt;FQL&gt;&lt;Q&gt;USDAUD^FG_COMPANY_NAME&lt;/Q&gt;&lt;R&gt;1&lt;/R&gt;&lt;C&gt;1&lt;/C&gt;&lt;D xsi:type="xsd:string"&gt;Australian Dollar per U.S. Dollar&lt;/D&gt;&lt;/FQL&gt;&lt;FQL&gt;&lt;Q&gt;EWQ^FG_TOTAL_RETURNC(-10AY,0,AM)&lt;/Q&gt;&lt;R&gt;121&lt;/R&gt;&lt;C&gt;1&lt;/C&gt;&lt;D xsi:type="xsd:double"&gt;0.5326271&lt;/D&gt;&lt;D xsi:type="xsd:double"&gt;-1.4561653&lt;/D&gt;&lt;D xsi:type="xsd:double"&gt;-6.586623&lt;/D&gt;&lt;D xsi:type="xsd:double"&gt;1.248622&lt;/D&gt;&lt;D xsi:type="xsd:double"&gt;-3.6996782&lt;/D&gt;&lt;D xsi:type="xsd:double"&gt;-3.766477&lt;/D&gt;&lt;D xsi:type="xsd:double"&gt;2.9745579&lt;/D&gt;&lt;D xsi:type="xsd:double"&gt;-5.4771366&lt;/D&gt;&lt;D xsi:type="xsd:double"&gt;1.2170434&lt;/D&gt;&lt;D xsi:type="xsd:double"&gt;6.212425&lt;/D&gt;&lt;D xsi:type="xsd:double"&gt;-1.9622684&lt;/D&gt;&lt;D xsi:type="xsd:double"&gt;4.5419574&lt;/D&gt;&lt;D xsi:type="xsd:double"&gt;-0.846833&lt;/D&gt;&lt;D xsi:type="xsd:double"&gt;-2.8395474&lt;/D&gt;&lt;D xsi:type="xsd:double"&gt;4.080844&lt;/D&gt;&lt;D xsi:type="xsd:double"&gt;-6.5720677&lt;/D&gt;&lt;D xsi:type="xsd:double"&gt;-3.796965&lt;/D&gt;&lt;D xsi:type="xsd:double"&gt;7.145834&lt;/D&gt;&lt;D xsi:type="xsd:double"&gt;-2.3264825&lt;/D&gt;&lt;D xsi:type="xsd:double"&gt;-3.5413325&lt;/D&gt;&lt;D xsi:type="xsd:double"&gt;-3.8000762&lt;/D&gt;&lt;D xsi:type="xsd:double"&gt;-2.533275&lt;/D&gt;&lt;D xsi:type="xsd:double"&gt;6.5198183&lt;/D&gt;&lt;D xsi:type="xsd:double"&gt;2.357316&lt;/D&gt;&lt;D xsi:type="xsd:double"&gt;-0.20201802&lt;/D&gt;&lt;D xsi:type="xsd:double"&gt;-5.0216255&lt;/D&gt;&lt;D xsi:type="xsd:double"&gt;4.722345&lt;/D&gt;&lt;D xsi:type="xsd:double"&gt;-0.3340304&lt;/D&gt;&lt;D xsi:type="xsd:double"&gt;1.2149096&lt;/D&gt;&lt;D xsi:type="xsd:double"&gt;-0.455302&lt;/D&gt;&lt;D xsi:type="xsd:double"&gt;-2.4947941&lt;/D&gt;&lt;D xsi:type="xsd:double"&gt;5.5806637&lt;/D&gt;&lt;D xsi:type="xsd:double"&gt;1.3781905&lt;/D&gt;&lt;D xsi:type="xsd:double"&gt;-0.39983988&lt;/D&gt;&lt;D xsi:type="xsd:double"&gt;6.4231277&lt;/D&gt;&lt;D xsi:type="xsd:double"&gt;5.695963&lt;/D&gt;&lt;D xsi:type="xsd:double"&gt;4.889357&lt;/D&gt;&lt;D xsi:type="xsd:double"&gt;-0.45173168&lt;/D&gt;&lt;D xsi:type="xsd:double"&gt;2.364397&lt;/D&gt;&lt;D xsi:type="xsd:double"&gt;0.8831501&lt;/D&gt;&lt;D xsi:type="xsd:double"&gt;4.040396&lt;/D&gt;&lt;D xsi:type="xsd:double"&gt;1.5857577&lt;/D&gt;&lt;D xsi:type="xsd:double"&gt;-0.09557009&lt;/D&gt;&lt;D xsi:type="xsd:double"&gt;-0.14382005&lt;/D&gt;&lt;D xsi:type="xsd:double"&gt;6.758499&lt;/D&gt;&lt;D xsi:type="xsd:double"&gt;-5.100518&lt;/D&gt;&lt;D xsi:t</t>
        </r>
      </text>
    </comment>
    <comment ref="A7" authorId="0" shapeId="0" xr:uid="{BB329F83-54D8-49DC-97C9-E48EA49A0946}">
      <text>
        <r>
          <rPr>
            <b/>
            <sz val="9"/>
            <color indexed="81"/>
            <rFont val="Tahoma"/>
            <charset val="1"/>
          </rPr>
          <t>ype="xsd:double"&gt;-0.7271588&lt;/D&gt;&lt;D xsi:type="xsd:double"&gt;4.076433&lt;/D&gt;&lt;D xsi:type="xsd:double"&gt;-2.6315808&lt;/D&gt;&lt;D xsi:type="xsd:double"&gt;-2.0818055&lt;/D&gt;&lt;D xsi:type="xsd:double"&gt;3.9318442&lt;/D&gt;&lt;D xsi:type="xsd:double"&gt;-2.2068083&lt;/D&gt;&lt;D xsi:type="xsd:double"&gt;1.1927724&lt;/D&gt;&lt;D xsi:type="xsd:double"&gt;-9.49347&lt;/D&gt;&lt;D xsi:type="xsd:double"&gt;-1.1615634&lt;/D&gt;&lt;D xsi:type="xsd:double"&gt;-5.121219&lt;/D&gt;&lt;D xsi:type="xsd:double"&gt;6.1463&lt;/D&gt;&lt;D xsi:type="xsd:double"&gt;4.2628765&lt;/D&gt;&lt;D xsi:type="xsd:double"&gt;0.4088521&lt;/D&gt;&lt;D xsi:type="xsd:double"&gt;4.8184633&lt;/D&gt;&lt;D xsi:type="xsd:double"&gt;-6.1184826&lt;/D&gt;&lt;D xsi:type="xsd:double"&gt;8.310307&lt;/D&gt;&lt;D xsi:type="xsd:double"&gt;-2.8058708&lt;/D&gt;&lt;D xsi:type="xsd:double"&gt;-1.0070503&lt;/D&gt;&lt;D xsi:type="xsd:double"&gt;2.204132&lt;/D&gt;&lt;D xsi:type="xsd:double"&gt;3.6164522&lt;/D&gt;&lt;D xsi:type="xsd:double"&gt;1.3768792&lt;/D&gt;&lt;D xsi:type="xsd:double"&gt;3.5365105&lt;/D&gt;&lt;D xsi:type="xsd:double"&gt;-4.0048895&lt;/D&gt;&lt;D xsi:type="xsd:double"&gt;-7.8662395&lt;/D&gt;&lt;D xsi:type="xsd:double"&gt;-18.976837&lt;/D&gt;&lt;D xsi:type="xsd:double"&gt;4.4368505&lt;/D&gt;&lt;D xsi:type="xsd:double"&gt;5.9232116&lt;/D&gt;&lt;D xsi:type="xsd:double"&gt;6.4371467&lt;/D&gt;&lt;D xsi:type="xsd:double"&gt;1.9328952&lt;/D&gt;&lt;D xsi:type="xsd:double"&gt;4.6869397&lt;/D&gt;&lt;D xsi:type="xsd:double"&gt;-4.511279&lt;/D&gt;&lt;D xsi:type="xsd:double"&gt;-4.545456&lt;/D&gt;&lt;D xsi:type="xsd:double"&gt;21.822273&lt;/D&gt;&lt;D xsi:type="xsd:double"&gt;2.8766632&lt;/D&gt;&lt;D xsi:type="xsd:double"&gt;-2.6157498&lt;/D&gt;&lt;D xsi:type="xsd:double"&gt;4.569316&lt;/D&gt;&lt;D xsi:type="xsd:double"&gt;2.8343797&lt;/D&gt;&lt;D xsi:type="xsd:double"&gt;6.172836&lt;/D&gt;&lt;D xsi:type="xsd:double"&gt;5.4083347&lt;/D&gt;&lt;D xsi:type="xsd:double"&gt;-1.814276&lt;/D&gt;&lt;D xsi:type="xsd:double"&gt;1.294589&lt;/D&gt;&lt;D xsi:type="xsd:double"&gt;0.8607149&lt;/D&gt;&lt;D xsi:type="xsd:double"&gt;-3.6979496&lt;/D&gt;&lt;D xsi:type="xsd:double"&gt;5.5585384&lt;/D&gt;&lt;D xsi:type="xsd:double"&gt;-3.8667023&lt;/D&gt;&lt;D xsi:type="xsd:double"&gt;5.7305217&lt;/D&gt;&lt;D xsi:type="xsd:double"&gt;-2.5462985&lt;/D&gt;&lt;D xsi:type="xsd:double"&gt;-6.7563953&lt;/D&gt;&lt;D xsi:type="xsd:double"&gt;0&lt;/D&gt;&lt;D xsi:type="xsd:double"&gt;-6.7364874&lt;/D&gt;&lt;D xsi:type="xsd:double"&gt;4.097116&lt;/D&gt;&lt;D xsi:type="xsd:double"&gt;-9.926563&lt;/D&gt;&lt;D xsi:type="xsd:double"&gt;6.531155&lt;/D&gt;&lt;D xsi:type="xsd:double"&gt;-7.28808&lt;/D&gt;&lt;D xsi:type="xsd:double"&gt;-9.58165&lt;/D&gt;&lt;D xsi:type="xsd:double"&gt;10.783588&lt;/D&gt;&lt;D xsi:type="xsd:double"&gt;13.775671&lt;/D&gt;&lt;D xsi:type="xsd:double"&gt;-1.600182&lt;/D&gt;&lt;D xsi:type="xsd:double"&gt;11.5942&lt;/D&gt;&lt;D xsi:type="xsd:double"&gt;-1.1904716&lt;/D&gt;&lt;D xsi:type="xsd:double"&gt;3.50492&lt;/D&gt;&lt;D xsi:type="xsd:double"&gt;4.682541&lt;/D&gt;&lt;D xsi:type="xsd:double"&gt;-6.49482&lt;/D&gt;&lt;D xsi:type="xsd:double"&gt;6.4632177&lt;/D&gt;&lt;D xsi:type="xsd:double"&gt;1.6091466&lt;/D&gt;&lt;D xsi:type="xsd:double"&gt;-3.8058817&lt;/D&gt;&lt;D xsi:type="xsd:double"&gt;-5.4965496&lt;/D&gt;&lt;D xsi:type="xsd:double"&gt;-3.2031476&lt;/D&gt;&lt;D xsi:type="xsd:double"&gt;9.056604&lt;/D&gt;&lt;D xsi:type="xsd:double"&gt;4.9645424&lt;/D&gt;&lt;D xsi:type="xsd:double"&gt;-1.046449&lt;/D&gt;&lt;D xsi:type="xsd:double"&gt;3.7142038&lt;/D&gt;&lt;D xsi:type="xsd:double"&gt;2.984333&lt;/D&gt;&lt;D xsi:type="xsd:double"&gt;-3.3083797&lt;/D&gt;&lt;D xsi:type="xsd:double"&gt;4.1458488&lt;/D&gt;&lt;/FQL&gt;&lt;FQL&gt;&lt;Q&gt;DDR3512M-FDS^FG_PRICE(0)&lt;/Q&gt;&lt;R&gt;1&lt;/R&gt;&lt;C&gt;1&lt;/C&gt;&lt;D xsi:type="xsd:double"&gt;0.96178806&lt;/D&gt;&lt;/FQL&gt;&lt;FQL&gt;&lt;Q&gt;URTH^FMA_COS_DOWN("EPS","1M",+1,0,,,"PORTAGG","MEANR")&lt;/Q&gt;&lt;R&gt;1&lt;/R&gt;&lt;C&gt;1&lt;/C&gt;&lt;D xsi:type="xsd:double"&gt;506&lt;/D&gt;&lt;/FQL&gt;&lt;FQL&gt;&lt;Q&gt;EWQ^FG_FCF_YIELD_NTM(0)&lt;/Q&gt;&lt;R&gt;1&lt;/R&gt;&lt;C&gt;1&lt;/C&gt;&lt;D xsi:type="xsd:double"&gt;5.71642031288125&lt;/D&gt;&lt;/FQL&gt;&lt;FQL&gt;&lt;Q&gt;QQQ^JULIAN(FMA_DIV_YLD(NTMA,NOW,NOW,M,"PORTAGG","MEANR").DATES)&lt;/Q&gt;&lt;R&gt;1&lt;/R&gt;&lt;C&gt;1&lt;/C&gt;&lt;D xsi:type="xsd:long"&gt;45443&lt;/D&gt;&lt;/FQL&gt;&lt;FQL&gt;&lt;Q&gt;EWJ^FMA_DIV_YLD(NTMA,NOW,NOW,M,"PORTAGG","MEANR")&lt;/Q&gt;&lt;R&gt;1&lt;/R&gt;&lt;C&gt;1&lt;/C&gt;&lt;D xsi:type="xsd:double"&gt;2.23630852436911&lt;/D&gt;&lt;/FQL&gt;&lt;FQL&gt;&lt;Q&gt;EWD^FMA_ROE(NTMA,-20AY,NOW,FY,"PORTAGG","MEANR")&lt;/Q&gt;&lt;R&gt;20&lt;/R&gt;&lt;C&gt;1&lt;/C&gt;&lt;D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xsi:type="xsd:double"&gt;13.4117967547049&lt;/D&gt;&lt;D xsi:type="xsd:double"&gt;11.9082596450148&lt;/D&gt;&lt;D xsi:type="xsd:double"&gt;15.3602779627681&lt;/D&gt;&lt;D xsi:type="xsd:double"&gt;14.6915673544296&lt;/D&gt;&lt;D xsi:type="xsd:double"&gt;15.368050598586&lt;/D&gt;&lt;/FQL&gt;&lt;FQL&gt;&lt;Q&gt;TRYFR10Y-FDS^FG_YIELD(-10AY,0,Y,,"YTM")&lt;/Q&gt;&lt;R&gt;10&lt;/R&gt;&lt;C&gt;1&lt;/C&gt;&lt;D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xsi:type="xsd:double"&gt;2.534&lt;/D&gt;&lt;/FQL&gt;&lt;FQL&gt;&lt;Q&gt;EWG^FMA_DIV_YLD(NTMA,-10AY,0,AM,"PORTAGG","MEANR")&lt;/Q&gt;&lt;R&gt;121&lt;/R&gt;&lt;C&gt;1&lt;/C&gt;&lt;D xsi:type="xsd:double"&gt;2.96177010347385&lt;/D&gt;&lt;D xsi:type="xsd:double"&gt;3.03142029973389&lt;/D&gt;&lt;D xsi:type="xsd:double"&gt;3.19176396154773&lt;/D&gt;&lt;D xsi:type="xsd:double"&gt;3.17618926569511&lt;/D&gt;&lt;D xsi:type="xsd:double"&gt;3.19212362936624&lt;/D&gt;&lt;D xsi:type="xsd:double"&gt;3.26650999320345&lt;/D&gt;&lt;D xsi:type="xsd:double"&gt;3.12789091800153&lt;/D&gt;&lt;D xsi:type="xsd:double"&gt;3.19148978345338&lt;/D&gt;&lt;D xsi:type="xsd:double"&gt;2.94412797034923&lt;/D&gt;&lt;D xsi:type="xsd:double"&gt;2.78173214454678&lt;/D&gt;&lt;D xsi:type="xsd:double"&gt;2.68406429109464&lt;/D&gt;&lt;D xsi:type="xsd:double"&gt;2.85743089185533&lt;/D&gt;&lt;D xsi:type="xsd:double"&gt;2.9389200999986&lt;/D&gt;&lt;D xsi:type="xsd:double"&gt;3.09561438508882&lt;/D&gt;&lt;D xsi:type="xsd:double"&gt;3.01221055817859&lt;/D&gt;&lt;D xsi:type="xsd:double"&gt;3.32986262000964&lt;/D&gt;&lt;D xsi:type="xsd:double"&gt;3.47179404007431&lt;/D&gt;&lt;D xsi:type="xsd:double"&gt;2.99220050708342&lt;/D&gt;&lt;D xsi:type="xsd:double"&gt;2.86194612876407&lt;/D&gt;&lt;D xsi:type="xsd:double"&gt;3.02919339249765&lt;/D&gt;&lt;D xsi:type="xsd:double"&gt;3.34471113459531&lt;/D&gt;&lt;D xsi:type="xsd:double"&gt;3.45962809725543&lt;/D&gt;&lt;D xsi:type="xsd:double"&gt;3.29202615817977&lt;/D&gt;&lt;D xsi:type="xsd:double"&gt;3.2918871979604&lt;/D&gt;&lt;D xsi:type="xsd:double"&gt;3.28018536214052&lt;/D&gt;&lt;D xsi:type="xsd:double"&gt;3.4888349464925&lt;/D&gt;&lt;D xsi:type="xsd:double"&gt;3.26557764935111&lt;/D&gt;&lt;D xsi:type="xsd:double"&gt;3.1868987664268&lt;/D&gt;&lt;D xsi:type="xsd:double"&gt;3.17642683206914&lt;/D&gt;&lt;D xsi:type="xsd:double"&gt;3.15009088794624&lt;/D&gt;&lt;D xsi:type="xsd:double"&gt;3.18538232189936&lt;/D&gt;&lt;D xsi:type="xsd:double"&gt;2.9747084897089&lt;/D&gt;&lt;D xsi:type="xsd:double"&gt;2.98012676881613&lt;/D&gt;&lt;D xsi:type="xsd:double"&gt;2.95452596437925&lt;/D&gt;&lt;D xsi:type="xsd:double"&gt;2.9105466510859&lt;/D&gt;&lt;D xsi:type="xsd:double"&gt;2.8942566420826&lt;/D&gt;&lt;D xsi:type="xsd:double"&gt;2.9380873888266&lt;/D&gt;&lt;D xsi:type="xsd:double"&gt;3.0356339338288&lt;/D&gt;&lt;D xsi:type="xsd:double"&gt;3.09444377683256&lt;/D&gt;&lt;D xsi:type="xsd:double"&gt;3.15381162811267&lt;/D&gt;&lt;D xsi:type="xsd:double"&gt;2.99038375230085&lt;/D&gt;&lt;D xsi:type="xsd:double"&gt;2.90452108983415&lt;/D&gt;&lt;D xsi:type="xsd:double"&gt;2.94062969093177&lt;/D&gt;&lt;D xsi:type="xsd:double"&gt;2.95370495795088&lt;/D&gt;&lt;D xsi:type="xsd:double"&gt;2.93327567008674&lt;/D&gt;&lt;D xsi:type="xsd:double"&gt;3.12778045347504&lt;/D&gt;&lt;D xsi:type="xsd:double"&gt;3.24717650440132&lt;/D&gt;&lt;D xsi:type="xsd:double"&gt;3.15836639870519&lt;/D&gt;&lt;D xsi:type="xsd:double"&gt;3.21062378244101&lt;/D&gt;&lt;D xsi:type="xsd:double"&gt;3.27480156728605&lt;/D&gt;&lt;D xsi:type="xsd:double"&gt;3.15975463937422&lt;/D&gt;&lt;D xsi:type="xsd:double"&gt;3.25711693495655&lt;/D&gt;&lt;D xsi:type="xsd:double"&gt;3.32370763382734&lt;/D&gt;&lt;D xsi:type="xsd:double"&gt;3.6160659450187&lt;/D&gt;&lt;D xsi:type="xsd:double"&gt;3.68426508031226&lt;/D&gt;&lt;D xsi:type="xsd:double"&gt;3.97098544891004&lt;/D&gt;&lt;D xsi:type="xsd:double"&gt;3.72188199970156&lt;/D&gt;&lt;D xsi:type="xsd:double"&gt;3.61231623795558&lt;/D&gt;&lt;D xsi:type="xsd:double"&gt;3.61859325369304&lt;/D&gt;&lt;D xsi:type="xsd:double"&gt;3.39060299310076&lt;/D&gt;&lt;D xsi:type="xsd:double"&gt;3.65168275655261&lt;/D&gt;&lt;D xsi:type="xsd:double"&gt;3.48770832349963&lt;/D&gt;&lt;D xsi:type="xsd:double"&gt;3.46109468601164&lt;/D&gt;&lt;D xsi:type="xsd:double"&gt;3.55231236928533&lt;/D&gt;&lt;D xsi:type="xsd:double"&gt;3.39494351081804&lt;/D&gt;&lt;D xsi:type="xsd:double"&gt;3.28757913794955&lt;/D&gt;&lt;D xsi:type="xsd:double"&gt;3.09715514407385&lt;/D&gt;&lt;D xsi:type="xsd:double"&gt;3.10138985023865&lt;/D&gt;&lt;D xsi:type="xsd:double"&gt;3.16165671485229&lt;/D&gt;&lt;D xsi:type="xsd:double"&gt;3.43280005946778&lt;/D&gt;&lt;D xsi:type="xsd:double"&gt;3.92319847469066&lt;/D&gt;&lt;D xsi:type="xsd:double"&gt;3.35290712012483&lt;/D&gt;&lt;D xsi:type="xsd:double"&gt;3.12222063838843&lt;/D&gt;&lt;D xsi:type="xsd:double"&gt;2.93093702969555&lt;/D&gt;&lt;D xsi:type="xsd:double"&gt;2.93759567526176&lt;/D&gt;&lt;D xsi:type="xsd:double"&gt;2.82165533252551&lt;/D&gt;&lt;D xsi:type="xsd:double"&gt;2.86674927777894&lt;/D&gt;&lt;D xsi:type="xsd:double"&gt;3.18210386302377&lt;/D&gt;&lt;D xsi:type="xsd:double"&gt;2.81977266876254&lt;/D&gt;&lt;D xsi:type="xsd:double"&gt;2.72025953204543&lt;/D&gt;&lt;D xsi:type="xsd:double"&gt;2.81322050851559&lt;/D&gt;&lt;D xsi:type="xsd:double"&gt;2.84200926461744&lt;/D&gt;&lt;D xsi:type="xsd:double"&gt;2.71119298912596&lt;/D&gt;&lt;D xsi:type="xsd:double"&gt;2.78465609579738&lt;/D&gt;&lt;D xsi:type="xsd:double"&gt;2.80497326819081&lt;/D&gt;&lt;D xsi:type="xsd:double"&gt;2.81932799220053&lt;/D&gt;&lt;D xsi:type="xsd:double"&gt;2.84320741617825&lt;/D&gt;&lt;D xsi:type="xsd:double"&gt;2.85165299026204&lt;/D&gt;&lt;D xsi:type="xsd:double"&gt;2.98159851328922&lt;/D&gt;&lt;D xsi:type="xsd:double"&gt;2.96430556861881&lt;/D&gt;&lt;D xsi:type="xsd:double"&gt;3.15903995632588&lt;/D&gt;&lt;D xsi:type="xsd:double"&gt;3.04424056811043&lt;/D&gt;&lt;D xsi:type="xsd:double"&gt;3.17198612732329&lt;/D&gt;&lt;D xsi:type="xsd:double"&gt;3.4702635522923&lt;/D&gt;&lt;D xsi:type="xsd:double"&gt;3.54241100556376&lt;/D&gt;&lt;D xsi:type="xsd:double"&gt;3.69682281990904&lt;/D&gt;&lt;D xsi:type="xsd:double"&gt;3.74915984417485&lt;/D&gt;&lt;D xsi:type="xsd:double"&gt;4.21864017143951&lt;/D&gt;&lt;D xsi:type="xsd:double"&gt;4.02206005365405&lt;/D&gt;&lt;D xsi:type="xsd:double"&gt;4.20793401033786&lt;/D&gt;&lt;D xsi:type="xsd:double"&gt;4.48461000593773&lt;/D&gt;&lt;D xsi:type="xsd:double"&gt;4.13664937129609&lt;/D&gt;&lt;D xsi:type="xsd:double"&gt;3.73629080345517&lt;/D&gt;&lt;D xsi:type="xsd:double"&gt;3.84751434283582&lt;/D&gt;&lt;D xsi:type="xsd:double"&gt;3.51532793658368&lt;/D&gt;&lt;D xsi:type="xsd:double"&gt;3.52099338927732&lt;/D&gt;&lt;D xsi:type="xsd:double"&gt;3.52030675913846&lt;/D&gt;&lt;D xsi:type="xsd:double"&gt;3.50639902551289&lt;/D&gt;&lt;D xsi:type="xsd:double"&gt;3.68749729834268&lt;/D&gt;&lt;D xsi:type="xsd:double"&gt;3.62045230888256&lt;/D&gt;&lt;D xsi:type="xsd:double"&gt;3.5840871921686&lt;/D&gt;&lt;D xsi:type="xsd:double"&gt;3.71258463884261&lt;/D&gt;&lt;D xsi:type="xsd:double"&gt;3.85852448007124&lt;/D&gt;&lt;D xsi:type="xsd:double"&gt;4.03640743904907&lt;/D&gt;&lt;D xsi:type="xsd:double"&gt;3.66067451152537&lt;/D&gt;&lt;D xsi:type="xsd:double"&gt;3.55310279376186&lt;/D&gt;&lt;D xsi:type="xsd:double"&gt;3.54126746613025&lt;/D&gt;&lt;D xsi:type="xsd:double"&gt;3.43329000176114&lt;/D&gt;&lt;D xsi:type="xsd:double"&gt;3.24692297836378&lt;/D&gt;&lt;D xsi:type="xsd:double"&gt;3.39064480198871&lt;/D&gt;&lt;D xsi:type="xsd:double"&gt;3.38226238077507&lt;/D&gt;&lt;/FQL&gt;&lt;FQL&gt;&lt;Q&gt;EWN^FMA_PE(LTMA,-10AY,0,AM,"PORTAGG","MEANR")&lt;/Q&gt;&lt;R&gt;121&lt;/R&gt;&lt;C&gt;1&lt;/C&gt;&lt;D xsi:type="xsd:double"&gt;16.8349299208779&lt;/D&gt;&lt;D xsi:type="xsd:double"&gt;16.7910300580485&lt;/D&gt;&lt;D xsi:type="xsd:double"&gt;16.4011899963302&lt;/D&gt;&lt;D xsi:type="xsd:double"&gt;16.62471730208&lt;/D&gt;&lt;D xsi:type="xsd:double"&gt;16.7852097461198&lt;/D&gt;&lt;D xsi:type="xsd:double"&gt;16.9559362554403&lt;/D&gt;&lt;D xsi:type="xsd:double"&gt;18.0265464065326&lt;/D&gt;&lt;D xsi:type="xsd:double"&gt;17.6750083718626&lt;/D&gt;&lt;D xsi:type="xsd:double"&gt;18.8216496666534&lt;/D&gt;&lt;D xsi:type="xsd:double"&gt;20.1223054586507&lt;/D&gt;&lt;D xsi:type="xsd:double"&gt;19.9118226097042&lt;/D&gt;&lt;D xsi:type="xsd:double"&gt;19.6397480710886&lt;/D&gt;&lt;D xsi:type="xsd:double"&gt;19.4797383694817&lt;/D&gt;&lt;D xsi:type="xsd:double"&gt;18.8662088667241&lt;/D&gt;&lt;D xsi:type="xsd:double"&gt;19.0096127556024&lt;/D&gt;&lt;D xsi:type="xsd:double"&gt;17.5604374599417&lt;/D&gt;&lt;D xsi:type="xsd:double"&gt;16.6385027067186&lt;/D&gt;&lt;D xsi:type="xsd:double"&gt;17.6010138978147&lt;/D&gt;&lt;D xsi:type="xsd:double"&gt;18.1469341838826&lt;/D&gt;&lt;D xsi:type="xsd:double"&gt;16.8706386495531&lt;/D&gt;&lt;D xsi:type="xsd:double"&gt;16.4301880520867&lt;/D&gt;&lt;D xsi:type="xsd:double"&gt;16.3733958088173&lt;/D&gt;&lt;D xsi:type="xsd:double"&gt;16.3907388421331&lt;/D&gt;&lt;D xsi:type="xsd:double"&gt;16.2415206382368&lt;/D&gt;&lt;D xsi:type="xsd:double"&gt;16.3629007841956&lt;/D&gt;&lt;D xsi:type="xsd:double"&gt;15.7818368660161&lt;/D&gt;&lt;D xsi:type="xsd:double"&gt;16.12276435022&lt;/D&gt;&lt;D xsi:type="xsd:double"&gt;16.162835415244&lt;/D&gt;&lt;D xsi:type="xsd:double"&gt;16.156385409687&lt;/D&gt;&lt;D xsi:type="xsd:double"&gt;15.8446517878855&lt;/D&gt;&lt;D xsi:type="xsd:double"&gt;15.6164651183237&lt;/D&gt;&lt;D xsi:type="xsd:double"&gt;16.2999348215531&lt;/D&gt;&lt;D xsi:type="xsd:double"&gt;15.9976898323854&lt;/D&gt;&lt;D xsi:type="xsd:double"&gt;16.402686545474&lt;/D&gt;&lt;D xsi:type="xsd:double"&gt;16.5201736815972&lt;/D&gt;&lt;D xsi:type="xsd:double"&gt;16.6536301956244&lt;/D&gt;&lt;D xsi:type="xsd:double"&gt;16.7047169102669&lt;/D&gt;&lt;D xsi:type="xsd:double"&gt;16.4737540777456&lt;/D&gt;&lt;D xsi:type="xsd:double"&gt;16.7064005574717&lt;/D&gt;&lt;D xsi:type="xsd:double"&gt;16.552757869029&lt;/D&gt;&lt;D xsi:type="xsd:double"&gt;17.0140564913605&lt;/D&gt;&lt;D xsi:type="xsd:double"&gt;17.3603717172514&lt;/D&gt;&lt;D xsi:type="xsd:double"&gt;17.1766354826086&lt;/D&gt;&lt;D xsi:type="xsd:double"&gt;17.2377470781453&lt;/D&gt;&lt;D xsi:type="xsd:double"&gt;17.5402832401112&lt;/D&gt;&lt;D xsi:type="xsd:double"&gt;16.6659184482538&lt;/D&gt;&lt;D xsi:type="xsd:double"&gt;16.5599958886049&lt;/D&gt;&lt;D xsi:type="xsd:double"&gt;16.5860667671867&lt;/D&gt;&lt;D xsi:type="xsd:double"&gt;16.5737457958089&lt;/D&gt;&lt;D xsi:type="xsd:double"&gt;16.5176347654857&lt;/D&gt;&lt;D xsi:type="xsd:double"&gt;16.8254469192116&lt;/D&gt;&lt;D xsi:type="xsd:double"&gt;16.6007329052535&lt;/D&gt;&lt;D xsi:type="xsd:double"&gt;16.2922426656578&lt;/D&gt;&lt;D xsi:type="xsd:double"&gt;15.4619403514561&lt;/D&gt;&lt;D xsi:type="xsd:double"&gt;15.412775614075&lt;/D&gt;&lt;D xsi:type="xsd:double"&gt;14.2830374670868&lt;/D&gt;&lt;D xsi:type="xsd:double"&gt;15.1576556658209&lt;/D&gt;&lt;D xsi:type="xsd:double"&gt;16.1413693740359&lt;/D&gt;&lt;D xsi:type="xsd:double"&gt;16.1500361048123&lt;/D&gt;&lt;D xsi:type="xsd:double"&gt;16.3633345850861&lt;/D&gt;&lt;D xsi:type="xsd:double"&gt;16.0237908599382&lt;/D&gt;&lt;D xsi:type="xsd:double"&gt;16.3913612047219&lt;/D&gt;&lt;D xsi:type="xsd:double"&gt;16.6138638004112&lt;/D&gt;&lt;D xsi:type="xsd:double"&gt;16.5260795278757&lt;/D&gt;&lt;D xsi:type="xsd:double"&gt;17.1429456207708&lt;/D&gt;&lt;D xsi:type="xsd:double"&gt;17.320670952251&lt;/D&gt;&lt;D xsi:type="xsd:double"&gt;18.0746968245673&lt;/D&gt;&lt;D xsi:type="xsd:double"&gt;18.6325090085047&lt;/D&gt;&lt;D xsi:type="xsd:double"&gt;18.4219762650162&lt;/D&gt;&lt;D xsi:type="xsd:double"&gt;17.3367558592985&lt;/D&gt;&lt;D xsi:type="xsd:double"&gt;16.9280597049607&lt;/D&gt;&lt;D xsi:type="xsd:double"&gt;17.8382461223574&lt;/D&gt;&lt;D xsi:type="xsd:double"&gt;18.5429953355386&lt;/D&gt;&lt;D xsi:type="xsd:double"&gt;19.4984295095731&lt;/D&gt;&lt;D xsi:type="xsd:double"&gt;20.1049729497633&lt;/D&gt;&lt;D xsi:type="xsd:double"&gt;21.1204909071626&lt;/D&gt;&lt;D xsi:type="xsd:double"&gt;21.8343824480112&lt;/D&gt;&lt;D xsi:type="xsd:double"&gt;21.5941512204297&lt;/D&gt;&lt;D xsi:type="xsd:double"&gt;26.0693665911555&lt;/D&gt;&lt;D xsi:type="xsd:double"&gt;27.3483402911446&lt;/D&gt;&lt;D xsi:type="xsd:double"&gt;27.2024334193557&lt;/D&gt;&lt;D xsi:type="xsd:double"&gt;28.9833052381028&lt;/D&gt;&lt;D xsi:type="xsd:double"&gt;28.5580318496809&lt;/D&gt;&lt;D xsi:type="xsd:double"&gt;27.8915235800863&lt;/D&gt;&lt;D xsi:type="xsd:double"&gt;27.1189921730992&lt;/D&gt;&lt;D xsi:type="xsd:double"&gt;26.5884319330341&lt;/D&gt;&lt;D xsi:type="xsd:double"&gt;26.2696248935467&lt;/D&gt;&lt;D xsi:type="xsd:double"&gt;26.0348626451&lt;/D&gt;&lt;D xsi:type="xsd:double"&gt;24.3017869680156&lt;/D&gt;&lt;D xsi:type="xsd:double"&gt;24.664451162832&lt;/D&gt;&lt;D xsi:type="xsd:double"&gt;22.7074070202974&lt;/D&gt;&lt;D xsi:type="xsd:double"&gt;22.6891096808763&lt;/D&gt;&lt;D xsi:type="xsd:double"&gt;20.2443012681813&lt;/D&gt;&lt;D xsi:type="xsd:double"&gt;18.3316789033893&lt;/D&gt;&lt;D xsi:type="xsd:double"&gt;18.5483746609737&lt;/D&gt;&lt;D xsi:type="xsd:double"&gt;18.3036541239359&lt;/D&gt;&lt;D xsi:type="xsd:double"&gt;18.5586745066214&lt;/D&gt;&lt;D xsi:type="xsd:double"&gt;18.0601582771421&lt;/D&gt;&lt;D xsi:type="xsd:double"&gt;19.6804755326635&lt;/D&gt;&lt;D xsi:type="xsd:double"&gt;18.5595386552443&lt;/D&gt;&lt;D xsi:type="xsd:double"&gt;17.0934099228763&lt;/D&gt;&lt;D xsi:type="xsd:double"&gt;18.1462076544084&lt;/D&gt;&lt;D xsi:type="xsd:double"&gt;18.8093602801003&lt;/D&gt;&lt;D xsi:type="xsd:double"&gt;17.6566343355755&lt;/D&gt;&lt;D xsi:type="xsd:double"&gt;19.2938582870666&lt;/D&gt;&lt;D xsi:type="xsd:double"&gt;20.6531685379496&lt;/D&gt;&lt;D xsi:type="xsd:double"&gt;20.3592854704907&lt;/D&gt;&lt;D xsi:type="xsd:double"&gt;19.8621341051432&lt;/D&gt;&lt;D xsi:type="xsd:double"&gt;19.3873681014152&lt;/D&gt;&lt;D xsi:type="xsd:double"&gt;19.2358258004028&lt;/D&gt;&lt;D xsi:type="xsd:double"&gt;19.1821493108382&lt;/D&gt;&lt;D xsi:type="xsd:double"&gt;17.7763369287523&lt;/D&gt;&lt;D xsi:type="xsd:double"&gt;16.7427696765938&lt;/D&gt;&lt;D xsi:type="xsd:double"&gt;15.7929493432688&lt;/D&gt;&lt;D xsi:type="xsd:double"&gt;16.447762773065&lt;/D&gt;&lt;D xsi:type="xsd:double"&gt;16.6271224975657&lt;/D&gt;&lt;D xsi:type="xsd:double"&gt;17.3211159962791&lt;/D&gt;&lt;D xsi:type="xsd:double"&gt;18.5620283216502&lt;/D&gt;&lt;D xsi:type="xsd:double"&gt;18.4593068979735&lt;/D&gt;&lt;D xsi:type="xsd:double"&gt;18.1241679739781&lt;/D&gt;&lt;D xsi:type="xsd:double"&gt;18.2404694444443&lt;/D&gt;&lt;/FQL&gt;&lt;FQL&gt;&lt;Q&gt;NI-FDS^FG_PRICE_CHANGE(0,-3AM)&lt;/Q&gt;&lt;R&gt;1&lt;/R&gt;&lt;C&gt;1&lt;/C&gt;&lt;D xsi:type="xsd:double"&gt;13.7367364496702&lt;/D&gt;&lt;/FQL&gt;&lt;FQL&gt;&lt;Q&gt;W-FDS^MAX(FG_PRICE(0,-5AY))&lt;/Q&gt;&lt;R&gt;1&lt;/R&gt;&lt;C&gt;1&lt;/C&gt;&lt;D xsi:type="xsd:double"&gt;14.2525&lt;/D&gt;&lt;/FQL&gt;&lt;FQL&gt;&lt;Q&gt;EWJ^FG_PRICE_MAVG(0,,,,60)&lt;/Q&gt;&lt;R&gt;1&lt;/R&gt;&lt;C&gt;1&lt;/C&gt;&lt;D xsi:type="xsd:double"&gt;69.07267&lt;/D&gt;&lt;/FQL&gt;&lt;FQL&gt;&lt;Q&gt;EWD^FG_TOTAL_RETURNC(0,-1AM)&lt;/Q&gt;&lt;R&gt;1&lt;/R&gt;&lt;C&gt;1&lt;/C&gt;&lt;D xsi:type="xsd:double"&gt;9.2211485&lt;/D&gt;&lt;/FQL&gt;&lt;FQL&gt;&lt;Q&gt;EWG^FMA_COS_UP("EPS","1M",+1,0,,,"PORTAGG","MEANR")&lt;/Q&gt;&lt;R&gt;1&lt;/R&gt;&lt;C&gt;1&lt;/C&gt;&lt;D xsi:type="xsd:double"&gt;27&lt;/D&gt;&lt;/FQL&gt;&lt;FQL&gt;&lt;Q&gt;REFAUCASH-FDS^FG_YIELD(NOW,,,0)&lt;/Q&gt;&lt;R&gt;1&lt;/R&gt;&lt;C&gt;1&lt;/C&gt;&lt;D xsi:type="xsd:double"&gt;4.35&lt;/D&gt;&lt;/FQL&gt;&lt;FQL&gt;&lt;Q&gt;TRYAU10Y-FDS^FG_YIELD(0,,,,"YTM")&lt;/Q&gt;&lt;R&gt;1&lt;/R&gt;&lt;C&gt;1&lt;/C&gt;&lt;D xsi:type="xsd:double"&gt;4.41&lt;/D&gt;&lt;/FQL&gt;&lt;FQL&gt;&lt;Q&gt;UUP^FG_TOTAL_RETURNC(0,-6AM)&lt;/Q&gt;&lt;R&gt;1&lt;/R&gt;&lt;C&gt;1&lt;/C&gt;&lt;D xsi:type="xsd:double"&gt;4.1326165&lt;/D&gt;&lt;/FQL&gt;&lt;FQL&gt;&lt;Q&gt;CAGDPY@CH^EE_ACTUAL_ANNUAL(MED,0)&lt;/Q&gt;&lt;R&gt;1&lt;/R&gt;&lt;C&gt;1&lt;/C&gt;&lt;D xsi:type="xsd:double"&gt;7.64221110543266&lt;/D&gt;&lt;/FQL&gt;&lt;FQL&gt;&lt;Q&gt;USDITL^FG_COMPANY_NAME&lt;/Q&gt;&lt;R&gt;1&lt;/R&gt;&lt;C&gt;1&lt;/C&gt;&lt;D xsi:type="xsd:string"&gt;Italian Lira per U.S. Dollar&lt;/D&gt;&lt;/FQL&gt;&lt;FQL&gt;&lt;Q&gt;USDUSD^FG_PRICE_CHANGE(0,-3AM)&lt;/Q&gt;&lt;R&gt;1&lt;/R&gt;&lt;C&gt;1&lt;/C&gt;&lt;D xsi:type="xsd:double"&gt;0&lt;/D&gt;&lt;/FQL&gt;&lt;FQL&gt;&lt;Q&gt;USDJPY^STD(FG_PRICE_CHANGE(0,-3AY,M))&lt;/Q&gt;&lt;R&gt;1&lt;/R&gt;&lt;C&gt;1&lt;/C&gt;&lt;D xsi:type="xsd:double"&gt;3.00520105399191&lt;/D&gt;&lt;/FQL&gt;&lt;FQL&gt;&lt;Q&gt;EWC^FMA_PE(NTMA,-10AY,0,AM,"PORTAGG","MEANR")&lt;/Q&gt;&lt;R&gt;121&lt;/R&gt;&lt;C&gt;1&lt;/C&gt;&lt;D xsi:type="xsd:double"&gt;14.6284222279128&lt;/D&gt;&lt;D xsi:type="xsd:double"&gt;15.0573328695189&lt;/D&gt;&lt;D xsi:type="xsd:double"&gt;15.1405827323102&lt;/D&gt;&lt;D xsi:type="xsd:double"&gt;15.2353364171694&lt;/D&gt;&lt;D xsi:type="xsd:double"&gt;14.4527383828098&lt;/D&gt;&lt;D xsi:type="xsd:double"&gt;14.3528473978999&lt;/D&gt;&lt;D xsi:type="xsd:double"&gt;14.6833875282305&lt;/D&gt;&lt;D xsi:type="xsd:double"&gt;15.505252280155&lt;/D&gt;&lt;D xsi:type="xsd:double"&gt;16.4931730592505&lt;/D&gt;&lt;D xsi:type="xsd:double"&gt;17.5003578800495&lt;/D&gt;&lt;D xsi:type="xsd:double"&gt;16.9759417023134&lt;/D&gt;&lt;D xsi:type="xsd:double"&gt;17.2196529909158&lt;/D&gt;&lt;D xsi:type="xsd:double"&gt;16.5226054424966&lt;/D&gt;&lt;D xsi:type="xsd:double"&gt;15.8677840541521&lt;/D&gt;&lt;D xsi:type="xsd:double"&gt;15.6583481174536&lt;/D&gt;&lt;D xsi:type="xsd:double"&gt;14.9329201869831&lt;/D&gt;&lt;D xsi:type="xsd:double"&gt;14.4469976336929&lt;/D&gt;&lt;D xsi:type="xsd:double"&gt;14.7494103952787&lt;/D&gt;&lt;D xsi:type="xsd:double"&gt;14.6145937126792&lt;/D&gt;&lt;D xsi:type="xsd:double"&gt;14.1218582708115&lt;/D&gt;&lt;D xsi:type="xsd:double"&gt;14.5123687005723&lt;/D&gt;&lt;D xsi:type="xsd:double"&gt;14.9356765539306&lt;/D&gt;&lt;D xsi:type="xsd:double"&gt;15.9903380444649&lt;/D&gt;&lt;D xsi:type="xsd:double"&gt;16.6967421165616&lt;/D&gt;&lt;D xsi:type="xsd:double"&gt;16.566658248236&lt;/D&gt;&lt;D xsi:type="xsd:double"&gt;16.3133894390503&lt;/D&gt;&lt;D xsi:type="xsd:double"&gt;16.4443458875862&lt;/D&gt;&lt;D xsi:type="xsd:double"&gt;16.2195921942968&lt;/D&gt;&lt;D xsi:type="xsd:double"&gt;16.1062542230975&lt;/D&gt;&lt;D xsi:type="xsd:double"&gt;15.8104686276455&lt;/D&gt;&lt;D xsi:type="xsd:double"&gt;15.93088435006&lt;/D&gt;&lt;D xsi:type="xsd:double"&gt;15.7399936479628&lt;/D&gt;&lt;D xsi:type="xsd:double"&gt;15.9579234932023&lt;/D&gt;&lt;D xsi:type="xsd:double"&gt;15.817264823507&lt;/D&gt;&lt;D xsi:type="xsd:double"&gt;15.8540727266835&lt;/D&gt;&lt;D xsi:type="xsd:double"&gt;15.6903318404951&lt;/D&gt;&lt;D xsi:type="xsd:double"&gt;15.3103214564344&lt;/D&gt;&lt;D xsi:type="xsd:double"&gt;15.231540248212&lt;/D&gt;&lt;D xsi:type="xsd:double"&gt;15.5827463365133&lt;/D&gt;&lt;D xsi:type="xsd:double"&gt;15.5030595525821&lt;/D&gt;&lt;D xsi:type="xsd:double"&gt;15.7716774901123&lt;/D&gt;&lt;D xsi:type="xsd:double"&gt;15.9313327464271&lt;/D&gt;&lt;D xsi:type="xsd:double"&gt;15.8368097580677&lt;/D&gt;&lt;D xsi:type="xsd:double"&gt;15.9212397952306&lt;/D&gt;&lt;D xsi:type="xsd:double"&gt;15.2322954552319&lt;/D&gt;&lt;D xsi:type="xsd:double"&gt;14.4316732396112&lt;/D&gt;&lt;D xsi:type="xsd:double"&gt;14.1789927411653&lt;/D&gt;&lt;D xsi:type="xsd:double"&gt;14.1489189068146&lt;/D&gt;&lt;D xsi:type="xsd:double"&gt;14.1362861829307&lt;/D&gt;&lt;D xsi:type="xsd:double"&gt;14.2442586935319&lt;/D&gt;&lt;D xsi:type="xsd:double"&gt;14.2137841753191&lt;/D&gt;&lt;D xsi:type="xsd:double"&gt;13.8050323583318&lt;/D&gt;&lt;D xsi:type="xsd:double"&gt;13.5635404959644&lt;/D&gt;&lt;D xsi:type="xsd:double"&gt;12.5835020476657&lt;/D&gt;&lt;D xsi:type="xsd:double"&gt;12.6754421217113&lt;/D&gt;&lt;D xsi:type="xsd:double"&gt;12.1168899695446&lt;/D&gt;&lt;D xsi:type="xsd:double"&gt;13.6848485097177&lt;/D&gt;&lt;D xsi:type="xsd:double"&gt;14.1221263560808&lt;/D&gt;&lt;D xsi:type="xsd:double"&gt;14.0924883190617&lt;/D&gt;&lt;D xsi:type="xsd:double"&gt;13.8974223906996&lt;/D&gt;&lt;D xsi:type="xsd:double"&gt;13.3428339807209&lt;/D&gt;&lt;D xsi:type="xsd:double"&gt;13.6844987120702&lt;/D&gt;&lt;D xsi:type="xsd:double"&gt;13.6749111655416&lt;/D&gt;&lt;D xsi:type="xsd:double"&gt;13.644417231601&lt;/D&gt;&lt;D xsi:type="xsd:double"&gt;13.9411177840736&lt;/D&gt;&lt;D xsi:type="xsd:double"&gt;13.92801212639&lt;/D&gt;&lt;D xsi:type="xsd:double"&gt;14.3781711187593&lt;/D&gt;&lt;D xsi:type="xsd:double"&gt;14.4121870789133&lt;/D&gt;&lt;D xsi:type="xsd:double"&gt;14.4576735763296&lt;/D&gt;&lt;D xsi:type="xsd:double"&gt;13.7130085427237&lt;/D&gt;&lt;D xsi:type="xsd:double"&gt;13.265587549341&lt;/D&gt;&lt;D xsi:type="xsd:double"&gt;16.5148176987008&lt;/D&gt;&lt;D xsi:type="xsd:double"&gt;18.5409427796611&lt;/D&gt;&lt;D xsi:type="xsd:double"&gt;17.6507516511737&lt;/D&gt;&lt;D xsi:type="xsd:double"&gt;17.5936137516977&lt;/D&gt;&lt;D xsi:type="xsd:double"&gt;17.1642082840334&lt;/D&gt;&lt;D xsi:type="xsd:double"&gt;16.1660969670463&lt;/D&gt;&lt;D xsi:type="xsd:double"&gt;15.1667901201261&lt;/D&gt;&lt;D xsi:type="xsd:double"&gt;16.1073332893477&lt;/D&gt;&lt;D xsi:type="xsd:double"&gt;15.7520462514364&lt;/D&gt;&lt;D xsi:type="xsd:double"&gt;15.4127708612444&lt;/D&gt;&lt;D xsi:type="xsd:double"&gt;15.1177284599745&lt;/D&gt;&lt;D xsi:type="xsd:double"&gt;15.3040361364857&lt;/D&gt;&lt;D xsi:type="xsd:double"&gt;15.4366133742316&lt;/D&gt;&lt;D xsi:type="xsd:double"&gt;15.5262544810534&lt;/D&gt;&lt;D xsi:type="xsd:double"&gt;15.5579449465433&lt;/D&gt;&lt;D xsi:type="xsd:double"&gt;15.0882773573153&lt;/D&gt;&lt;D xsi:type="xsd:double"&gt;14.8567445590566&lt;/D&gt;&lt;D xsi:type="xsd:double"&gt;14.3357801684225&lt;/D&gt;&lt;D xsi:type="xsd:double"&gt;14.8634375573511&lt;/D&gt;&lt;D xsi:type="xsd:double"&gt;14.1683245294844&lt;/D&gt;&lt;D xsi:type="xsd:double"&gt;14.4230586367119&lt;/D&gt;&lt;D xsi:type="xsd:double"&gt;14.0794707681197&lt;/D&gt;&lt;D xsi:type="xsd:double"&gt;13.9405302851221&lt;/D&gt;&lt;D xsi:type="xsd:double"&gt;13.5573661741587&lt;/D&gt;&lt;D xsi:type="xsd:double"&gt;12.6062626781824&lt;/D&gt;&lt;D xsi:type="xsd:double"&gt;12.4506282872286&lt;/D&gt;&lt;D xsi:type="xsd:double"&gt;11.2039166663698&lt;/D&gt;&lt;D xsi:type="xsd:double"&gt;11.5881255265379&lt;/D&gt;&lt;D xsi:type="xsd:double"&gt;11.3339783210739&lt;/D&gt;&lt;D xsi:type="xsd:double"&gt;10.7655574557414&lt;/D&gt;&lt;D xsi:type="xsd:double"&gt;11.5127771491045&lt;/D&gt;&lt;D xsi:type="xsd:double"&gt;12.2815521066504&lt;/D&gt;&lt;D xsi:type="xsd:double"&gt;11.9052655645163&lt;/D&gt;&lt;D xsi:type="xsd:double"&gt;13.0641040973915&lt;/D&gt;&lt;D xsi:type="xsd:double"&gt;12.6891334598021&lt;/D&gt;&lt;D xsi:type="xsd:double"&gt;12.7462780621249&lt;/D&gt;&lt;D xsi:type="xsd:double"&gt;13.087126766693&lt;/D&gt;&lt;D xsi:type="xsd:double"&gt;12.5850447059434&lt;/D&gt;&lt;D xsi:type="xsd:double"&gt;13.0104265560103&lt;/D&gt;&lt;D xsi:type="xsd:double"&gt;13.5595261626642&lt;/D&gt;&lt;D xsi:type="xsd:double"&gt;13.1557118124786&lt;/D&gt;&lt;D xsi:type="xsd:double"&gt;12.6003534102928&lt;/D&gt;&lt;D xsi:type="xsd:double"&gt;12.0666506695105&lt;/D&gt;&lt;D xsi:type="xsd:double"&gt;12.9568862756351&lt;/D&gt;&lt;D xsi:type="xsd:double"&gt;13.6734699817368&lt;/D&gt;&lt;D xsi:type="xsd:double"&gt;13.8407827527771&lt;/D&gt;&lt;D xsi:type="xsd:double"&gt;14.1783274892464&lt;/D&gt;&lt;D xsi:type="xsd:double"&gt;14.6370440944886&lt;/D&gt;&lt;D xsi:type="xsd:double"&gt;14.0871398537505&lt;/D&gt;&lt;D xsi:type="xsd:double"&gt;14.1644589400734&lt;/D&gt;&lt;/FQL&gt;&lt;FQL&gt;&lt;Q&gt;WL-FDS^FG_PRICE_CHANGE(0,-1AY)&lt;/Q&gt;&lt;R&gt;1&lt;/R&gt;&lt;C&gt;1&lt;/C&gt;&lt;D xsi:type="xsd:double"&gt;-22.1807211607528&lt;/D&gt;&lt;/FQL&gt;&lt;FQL&gt;&lt;Q&gt;PLATI-FDS^FG_PRICE_CHANGE(0,-1AM)&lt;/Q&gt;&lt;R&gt;1&lt;/R&gt;&lt;C&gt;1&lt;/C&gt;&lt;D xsi:type="xsd:double"&gt;9.63983050847457&lt;/D&gt;&lt;/FQL&gt;&lt;FQL&gt;&lt;Q&gt;BRENT-FDS^FG_PRICE_MAVG(0,,,,30)&lt;/Q&gt;&lt;R&gt;1&lt;/R&gt;&lt;C&gt;1&lt;/C&gt;&lt;D xsi:type="xsd:double"&gt;85.86&lt;/D&gt;&lt;/FQL&gt;&lt;FQL&gt;&lt;Q&gt;EWN^FG_PRICE_MAVG(0,,,,200)&lt;/Q&gt;&lt;R&gt;1&lt;/R&gt;&lt;C&gt;1&lt;/C&gt;&lt;D xsi:type="xsd:double"&gt;44.295204&lt;/D&gt;&lt;/FQL&gt;&lt;FQL&gt;&lt;Q&gt;EWQ^FG_TOTAL_RETURNC(0,-12AM)&lt;/Q&gt;&lt;R&gt;1&lt;/R&gt;&lt;C&gt;1&lt;/C&gt;&lt;D xsi:type="xsd:double"&gt;15.972781&lt;/D&gt;&lt;/FQL&gt;&lt;FQL&gt;&lt;Q&gt;QQQ^PERCENT_CHANGE(FMA_EPS(+1,0,,,,"PORTAGG","MEAN"),FMA_EPS(+1,-1AM,,,,"PORTAGG","MEAN"))&lt;/Q&gt;&lt;R&gt;1&lt;/R&gt;&lt;C&gt;1&lt;/C&gt;&lt;D xsi:type="xsd:double"&gt;0.703697057000112&lt;/D&gt;&lt;/FQL&gt;&lt;FQL&gt;&lt;Q&gt;EWA^P_PRICE(0)/P_PRICE_LOW_PR(0,,,,,,"PRICE","INTRA","52W")-1&lt;/Q&gt;&lt;R&gt;1&lt;/R&gt;&lt;C&gt;1&lt;/C&gt;&lt;D xsi:type="xsd:double"&gt;0.20478988&lt;/D&gt;&lt;/FQL&gt;&lt;FQL&gt;&lt;Q&gt;SPY^FMA_COS_DOWN("EPS","1M",+1,0,,,"PORTAGG","MEANR")&lt;/Q&gt;&lt;R&gt;1&lt;/R&gt;&lt;C&gt;1&lt;/C&gt;&lt;D xsi:type="xsd:double"&gt;164&lt;/D&gt;&lt;/FQL&gt;&lt;FQL&gt;&lt;Q&gt;EWL^FMA_RBICS_REV_CURRENT(30, LOC, "PORTAGG")&lt;/Q&gt;&lt;R&gt;1&lt;/R&gt;&lt;C&gt;1&lt;/C&gt;&lt;D xsi:type="xsd:double"&gt;17.8649112648431&lt;/D&gt;&lt;/FQL&gt;&lt;FQL&gt;&lt;Q&gt;TRYUS10Y-FDS^PCTCHG(FG_YIELD(0,,,,"YTM"),FG_YIELD(-1AM,,,,"YTM"))&lt;/Q&gt;&lt;R&gt;1&lt;/R&gt;&lt;C&gt;1&lt;/C&gt;&lt;D xsi:type="xsd:double"&gt;-4.1048775&lt;/D&gt;&lt;/FQL&gt;&lt;FQL&gt;&lt;Q&gt;VGK^FG_PE(0)&lt;/Q&gt;&lt;R&gt;1&lt;/R&gt;&lt;C&gt;1&lt;/C&gt;&lt;D xsi:type="xsd:double"&gt;12.9342655142188&lt;/D&gt;&lt;/FQL&gt;&lt;FQL&gt;&lt;Q&gt;EWU^FMA_DIV_YLD(NTMA,NOW,NOW,M,"PORTAGG","MEANR")&lt;/Q&gt;&lt;R&gt;1&lt;/R&gt;&lt;C&gt;1&lt;/C&gt;&lt;D xsi:type="xsd:double"&gt;3.91077479509746&lt;/D&gt;&lt;/FQL&gt;&lt;FQL&gt;&lt;Q&gt;CC_US^IMF_IFS_RCPI_Q(0)&lt;/Q&gt;&lt;R&gt;1&lt;/R&gt;&lt;C&gt;1&lt;/C&gt;&lt;D xsi:type="xsd:double"&gt;3.209516&lt;/D&gt;&lt;/FQL&gt;&lt;FQL&gt;&lt;Q&gt;^FG_YIELD(-10AY,0,Y,,"YTM")&lt;/Q&gt;&lt;R&gt;10&lt;/R&gt;&lt;C&gt;1&lt;/C&gt;&lt;D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xsi:type="xsd:string"&gt;@NA&lt;/D&gt;&lt;/FQL&gt;&lt;FQL&gt;&lt;Q&gt;USDAUD^FG_PRICE_CHANGE(0,-6AM)&lt;/Q&gt;&lt;R&gt;1&lt;/R&gt;&lt;C&gt;1&lt;/C&gt;&lt;D xsi:type="xsd:double"&gt;-0.30072927&lt;/D&gt;&lt;/FQL&gt;&lt;FQL&gt;&lt;Q&gt;EWI^P_PRICE_RETURNS_PR('52W',2,-10AY,0,AM)&lt;/Q&gt;&lt;R&gt;121&lt;/R&gt;&lt;C&gt;1&lt;/C&gt;&lt;D xsi:type="xsd:double"&gt;32.939053&lt;/D&gt;&lt;D xsi:type="xsd:double"&gt;50.19256&lt;/D&gt;&lt;D xsi:type="xsd:double"&gt;28.279507&lt;/D&gt;&lt;D xsi:type="xsd:double"&gt;23.475147&lt;/D&gt;&lt;D xsi:type="xsd:double"&gt;13.406205&lt;/D&gt;&lt;D xsi:type="xsd:double"&gt;-2.9256642&lt;/D&gt;&lt;D xsi:type="xsd:double"&gt;-0.22152662&lt;/D&gt;&lt;D xsi:type="xsd:double"&gt;-10.927879&lt;/D&gt;&lt;D xsi:type="xsd:double"&gt;-10.893327&lt;/D&gt;&lt;D xsi:type="xsd:double"&gt;-7.9752026&lt;/D&gt;&lt;D xsi:type="xsd:double"&gt;-14.671886&lt;/D&gt;&lt;D xsi:type="xsd:double"&gt;-13.572592&lt;/D&gt;&lt;D xsi:type="xsd:double"&gt;-9.678167&lt;/D&gt;&lt;D xsi:type="xsd:double"&gt;-12.211532&lt;/D&gt;&lt;D xsi:type="xsd:double"&gt;-2.9241025&lt;/D&gt;&lt;D xsi:type="xsd:double"&gt;-5.0381126&lt;/D&gt;&lt;D xsi:type="xsd:double"&gt;-6.478256&lt;/D&gt;&lt;D xsi:type="xsd:double"&gt;4.228437&lt;/D&gt;&lt;D xsi:type="xsd:double"&gt;-0.9053111&lt;/D&gt;&lt;D xsi:type="xsd:double"&gt;3.1199813&lt;/D&gt;&lt;D xsi:type="xsd:double"&gt;-11.686301&lt;/D&gt;&lt;D xsi:type="xsd:double"&gt;-22.62491&lt;/D&gt;&lt;D xsi:type="xsd:double"&gt;-15.861821&lt;/D&gt;&lt;D xsi:type="xsd:double"&gt;-14.819402&lt;/D&gt;&lt;D xsi:type="xsd:double"&gt;-20.299387&lt;/D&gt;&lt;D xsi:type="xsd:double"&gt;-24.829716&lt;/D&gt;&lt;D xsi:type="xsd:double"&gt;-24.699295&lt;/D&gt;&lt;D xsi:type="xsd:double"&gt;-21.305687&lt;/D&gt;&lt;D xsi:type="xsd:double"&gt;-20.612938&lt;/D&gt;&lt;D xsi:type="xsd:double"&gt;-21.428478&lt;/D&gt;&lt;D xsi:type="xsd:double"&gt;-22.038603&lt;/D&gt;&lt;D xsi:type="xsd:double"&gt;-9.994489&lt;/D&gt;&lt;D xsi:type="xsd:double"&gt;2.078259&lt;/D&gt;&lt;D xsi:type="xsd:double"&gt;8.428764&lt;/D&gt;&lt;D xsi:type="xsd:double"&gt;9.498585&lt;/D&gt;&lt;D xsi:type="xsd:double"&gt;8.430576&lt;/D&gt;&lt;D xsi:type="xsd:double"&gt;19.047558&lt;/D&gt;&lt;D xsi:type="xsd:double"&gt;31.645918&lt;/D&gt;&lt;D xsi:type="xsd:double"&gt;36.645473&lt;/D&gt;&lt;D xsi:type="xsd:double"&gt;37.847126&lt;/D&gt;&lt;D xsi:type="xsd:double"&gt;49.05367&lt;/D&gt;&lt;D xsi:type="xsd:double"&gt;41.021156&lt;/D&gt;&lt;D xsi:type="xsd:double"&gt;46.509182&lt;/D&gt;&lt;D xsi:type="xsd:double"&gt;29.315483&lt;/D&gt;&lt;D xsi:type="xsd:double"&gt;45.68063&lt;/D&gt;&lt;D xsi:type="xsd:double"&gt;37.27392&lt;/D&gt;&lt;D xsi:type="xsd:double"&gt;27.778578&lt;/D&gt;&lt;D xsi:type="xsd:double"&gt;29.941702&lt;/D&gt;&lt;D xsi:type="xsd:double"&gt;11.271834&lt;/D&gt;&lt;D xsi:type="xsd:double"&gt;7.422316&lt;/D&gt;&lt;D xsi:type="xsd:double"&gt;3.751433&lt;/D&gt;&lt;D xsi:type="xsd:double"&gt;-7.517028&lt;/D&gt;&lt;D xsi:type="xsd:double"&gt;-8.064437&lt;/D&gt;&lt;D xsi:type="xsd:double"&gt;-16.362976&lt;/D&gt;&lt;D xsi:type="xsd:double"&gt;-15.364474&lt;/D&gt;&lt;D xsi:type="xsd:double"&gt;-17.193031&lt;/D&gt;&lt;D xsi:type="xsd:double"&gt;-19.339514&lt;/D&gt;&lt;D xsi:type="xsd:double"&gt;-10.856366&lt;/D&gt;&lt;D xsi:type="xsd:double"&gt;-10.003763&lt;/D&gt;&lt;D xsi:type="xsd:double"&gt;-12.259853&lt;/D&gt;&lt;D xsi:type="xsd:double"&gt;-10.836429&lt;/D&gt;&lt;D xsi:type="xsd:double"&gt;1.1313915&lt;/D&gt;&lt;D xsi:type="xsd:double"&gt;-5.1622334&lt;/D&gt;&lt;D xsi:type="xsd:double"&gt;2.5537372&lt;/D&gt;&lt;D xsi:type="xsd:double"&gt;4.461217&lt;/D&gt;&lt;D xsi:type="xsd:double"&gt;20.784056&lt;/D&gt;&lt;D xsi:type="xsd:double"&gt;18.874609&lt;/D&gt;&lt;D xsi:type="xsd:double"&gt;26.968658&lt;/D&gt;&lt;D xsi:type="xsd:double"&gt;14.592541&lt;/D&gt;&lt;D xsi:type="xsd:double"&gt;4.545784&lt;/D&gt;&lt;D xsi:type="xsd:double"&gt;-22.121567&lt;/D&gt;&lt;D xsi:type="xsd:double"&gt;-22.098345&lt;/D&gt;&lt;D xsi:type="xsd:double"&gt;-11.14881&lt;/D&gt;&lt;D xsi:type="xsd:double"&gt;-11.065942&lt;/D&gt;&lt;D xsi:type="xsd:double"&gt;-6.908238&lt;/D&gt;&lt;D xsi:type="xsd:double"&gt;-2.6741922&lt;/D&gt;&lt;D xsi:type="xsd:double"&gt;-10.023284&lt;/D&gt;&lt;D xsi:type="xsd:double"&gt;-19.32878&lt;/D&gt;&lt;D xsi:type="xsd:double"&gt;0.5874634&lt;/D&gt;&lt;D xsi:type="xsd:double"&gt;1.6735792&lt;/D&gt;&lt;D xsi:type="xsd:double"&gt;-2.454573&lt;/D&gt;&lt;D xsi:type="xsd:double"&gt;9.492564&lt;/D&gt;&lt;D xsi:type="xsd:double"&gt;54.562508&lt;/D&gt;&lt;D xsi:type="xsd:double"&gt;52.26722&lt;/D&gt;&lt;D xsi:type="xsd:double"&gt;52.548027&lt;/D&gt;&lt;D xsi:type="xsd:double"&gt;37.27453&lt;/D&gt;&lt;D xsi:type="xsd:double"&gt;31.162035&lt;/D&gt;&lt;D xsi:type="xsd:double"&gt;30.641865&lt;/D&gt;&lt;D xsi:type="xsd:double"&gt;32.48769&lt;/D&gt;&lt;D xsi:type="xsd:double"&gt;49.4668&lt;/D&gt;&lt;D xsi:type="xsd:double"&gt;12.418043&lt;/D&gt;&lt;D xsi:type="xsd:double"&gt;14.412093&lt;/D&gt;&lt;D xsi:type="xsd:double"&gt;17.434942&lt;/D&gt;&lt;D xsi:type="xsd:double"&gt;3.7928224&lt;/D&gt;&lt;D xsi:type="xsd:double"&gt;-3.7903666&lt;/D&gt;&lt;D xsi:type="xsd:double"&gt;-12.383991&lt;/D&gt;&lt;D xsi:type="xsd:double"&gt;-11.677009&lt;/D&gt;&lt;D xsi:type="xsd:double"&gt;-22.283035&lt;/D&gt;&lt;D xsi:type="xsd:double"&gt;-21.22957&lt;/D&gt;&lt;D xsi:type="xsd:double"&gt;-26.586115&lt;/D&gt;&lt;D xsi:type="xsd:double"&gt;-28.987461&lt;/D&gt;&lt;D xsi:type="xsd:double"&gt;-24.813248&lt;/D&gt;&lt;D xsi:type="xsd:double"&gt;-7.558131&lt;/D&gt;&lt;D xsi:type="xsd:double"&gt;-13.940644&lt;/D&gt;&lt;D xsi:type="xsd:double"&gt;-2.34887&lt;/D&gt;&lt;D xsi:type="xsd:double"&gt;3.789258&lt;/D&gt;&lt;D xsi:type="xsd:double"&gt;7.807827&lt;/D&gt;&lt;D xsi:type="xsd:double"&gt;19.618881&lt;/D&gt;&lt;D xsi:type="xsd:double"&gt;7.703805&lt;/D&gt;&lt;D xsi:type="xsd:double"&gt;37.46426&lt;/D&gt;&lt;D xsi:type="xsd:double"&gt;41.388382&lt;/D&gt;&lt;D xsi:type="xsd:double"&gt;44.261776&lt;/D&gt;&lt;D xsi:type="xsd:double"&gt;47.208332&lt;/D&gt;&lt;D xsi:type="xsd:double"&gt;29.12916&lt;/D&gt;&lt;D xsi:type="xsd:double"&gt;23.282982&lt;/D&gt;&lt;D xsi:type="xsd:double"&gt;28.84742&lt;/D&gt;&lt;D xsi:type="xsd:double"&gt;14.782405&lt;/D&gt;&lt;D xsi:type="xsd:double"&gt;23.174942&lt;/D&gt;&lt;D xsi:type="xsd:double"&gt;31.894516&lt;/D&gt;&lt;D xsi:type="xsd:double"&gt;19.770252&lt;/D&gt;&lt;D xsi:type="xsd:double"&gt;35.730064&lt;/D&gt;&lt;/FQL&gt;&lt;FQL&gt;&lt;Q&gt;ENZL^JULIAN(FG_TOTAL_RETURNC(-10AY,0,AM).DATES)&lt;/Q&gt;&lt;R&gt;121&lt;/R&gt;&lt;C&gt;1&lt;/C&gt;&lt;D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xsi:type="xsd:long"&gt;43707&lt;/D&gt;&lt;D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xsi:type="xsd:long"&gt;44895&lt;/D&gt;&lt;D xsi:type="xsd:long"&gt;44925&lt;/D&gt;&lt;D xsi:type="xsd:long"&gt;44957&lt;/D&gt;&lt;D xsi:type="xsd:long"&gt;</t>
        </r>
      </text>
    </comment>
    <comment ref="A8" authorId="0" shapeId="0" xr:uid="{360D59B7-6F5A-4059-8BA5-3B48392FEB76}">
      <text>
        <r>
          <rPr>
            <b/>
            <sz val="9"/>
            <color indexed="81"/>
            <rFont val="Tahoma"/>
            <charset val="1"/>
          </rPr>
          <t>44985&lt;/D&gt;&lt;D xsi:type="xsd:long"&gt;45016&lt;/D&gt;&lt;D xsi:type="xsd:long"&gt;45044&lt;/D&gt;&lt;D xsi:type="xsd:long"&gt;45077&lt;/D&gt;&lt;D xsi:type="xsd:long"&gt;45107&lt;/D&gt;&lt;D xsi:type="xsd:long"&gt;45138&lt;/D&gt;&lt;D xsi:type="xsd:long"&gt;45169&lt;/D&gt;&lt;D xsi:type="xsd:long"&gt;45198&lt;/D&gt;&lt;D xsi:type="xsd:long"&gt;45230&lt;/D&gt;&lt;D xsi:type="xsd:long"&gt;45260&lt;/D&gt;&lt;D xsi:type="xsd:long"&gt;45289&lt;/D&gt;&lt;D xsi:type="xsd:long"&gt;45322&lt;/D&gt;&lt;D xsi:type="xsd:long"&gt;45351&lt;/D&gt;&lt;D xsi:type="xsd:long"&gt;45379&lt;/D&gt;&lt;D xsi:type="xsd:long"&gt;45412&lt;/D&gt;&lt;D xsi:type="xsd:long"&gt;45443&lt;/D&gt;&lt;/FQL&gt;&lt;FQL&gt;&lt;Q&gt;FC0000GR^FG_PRICE(0)&lt;/Q&gt;&lt;R&gt;1&lt;/R&gt;&lt;C&gt;1&lt;/C&gt;&lt;D xsi:type="xsd:double"&gt;9.641537&lt;/D&gt;&lt;/FQL&gt;&lt;FQL&gt;&lt;Q&gt;EWJ^FG_PRICE(0)&lt;/Q&gt;&lt;R&gt;1&lt;/R&gt;&lt;C&gt;1&lt;/C&gt;&lt;D xsi:type="xsd:double"&gt;68.97&lt;/D&gt;&lt;/FQL&gt;&lt;FQL&gt;&lt;Q&gt;FXI^FG_TOTAL_RETURNC(0,-1AM)&lt;/Q&gt;&lt;R&gt;1&lt;/R&gt;&lt;C&gt;1&lt;/C&gt;&lt;D xsi:type="xsd:double"&gt;4.472339&lt;/D&gt;&lt;/FQL&gt;&lt;FQL&gt;&lt;Q&gt;URTH^FG_TOTAL_RETURNC(0,-3AM)&lt;/Q&gt;&lt;R&gt;1&lt;/R&gt;&lt;C&gt;1&lt;/C&gt;&lt;D xsi:type="xsd:double"&gt;3.870833&lt;/D&gt;&lt;/FQL&gt;&lt;FQL&gt;&lt;Q&gt;EWI^FG_TOTAL_RETURNC(0,-3AM)&lt;/Q&gt;&lt;R&gt;1&lt;/R&gt;&lt;C&gt;1&lt;/C&gt;&lt;D xsi:type="xsd:double"&gt;8.981192&lt;/D&gt;&lt;/FQL&gt;&lt;FQL&gt;&lt;Q&gt;EWJ^FG_TOTAL_RETURNC(0,-3AM)&lt;/Q&gt;&lt;R&gt;1&lt;/R&gt;&lt;C&gt;1&lt;/C&gt;&lt;D xsi:type="xsd:double"&gt;-0.21701455&lt;/D&gt;&lt;/FQL&gt;&lt;FQL&gt;&lt;Q&gt;EWJ^FMA_COS_DOWN("EPS","1M",+1,0,,,"PORTAGG","MEANR")&lt;/Q&gt;&lt;R&gt;1&lt;/R&gt;&lt;C&gt;1&lt;/C&gt;&lt;D xsi:type="xsd:double"&gt;80&lt;/D&gt;&lt;/FQL&gt;&lt;FQL&gt;&lt;Q&gt;ENZL^FMA_COS_DOWN("EPS","1M",+1,0,,,"PORTAGG","MEANR")&lt;/Q&gt;&lt;R&gt;1&lt;/R&gt;&lt;C&gt;1&lt;/C&gt;&lt;D xsi:type="xsd:double"&gt;6&lt;/D&gt;&lt;/FQL&gt;&lt;FQL&gt;&lt;Q&gt;TRYGB10Y-FDS^FG_YIELD_NAME&lt;/Q&gt;&lt;R&gt;1&lt;/R&gt;&lt;C&gt;1&lt;/C&gt;&lt;D xsi:type="xsd:string"&gt;United Kingdom Benchmark Bond - 10 Year&lt;/D&gt;&lt;/FQL&gt;&lt;FQL&gt;&lt;Q&gt;REFJPTON-FDS^PROPER_NAME(0,,,"SECURITY","NAME")&lt;/Q&gt;&lt;R&gt;1&lt;/R&gt;&lt;C&gt;1&lt;/C&gt;&lt;D xsi:type="xsd:string"&gt;Japan Policy Rate&lt;/D&gt;&lt;/FQL&gt;&lt;FQL&gt;&lt;Q&gt;TRYFR10Y-FDS^FG_YIELD(0,,,,"YTM")&lt;/Q&gt;&lt;R&gt;1&lt;/R&gt;&lt;C&gt;1&lt;/C&gt;&lt;D xsi:type="xsd:double"&gt;3.131&lt;/D&gt;&lt;/FQL&gt;&lt;FQL&gt;&lt;Q&gt;EWQ^FMA_EVAL_EBIT(LTMA,NOW,NOW,M,"PORTAGG","MEANR")&lt;/Q&gt;&lt;R&gt;1&lt;/R&gt;&lt;C&gt;1&lt;/C&gt;&lt;D xsi:type="xsd:double"&gt;13.2359351024499&lt;/D&gt;&lt;/FQL&gt;&lt;FQL&gt;&lt;Q&gt;EWG^JULIAN(FMA_DIV_YLD(NTMA,NOW,NOW,M,"PORTAGG","MEANR").DATES)&lt;/Q&gt;&lt;R&gt;1&lt;/R&gt;&lt;C&gt;1&lt;/C&gt;&lt;D xsi:type="xsd:long"&gt;45441&lt;/D&gt;&lt;/FQL&gt;&lt;FQL&gt;&lt;Q&gt;DBA^FG_TOTAL_RETURNC(0,-3AM)&lt;/Q&gt;&lt;R&gt;1&lt;/R&gt;&lt;C&gt;1&lt;/C&gt;&lt;D xsi:type="xsd:double"&gt;13.300264&lt;/D&gt;&lt;/FQL&gt;&lt;FQL&gt;&lt;Q&gt;CAGDPY@JP^EE_ACTUAL_ANNUAL(MED,+1)&lt;/Q&gt;&lt;R&gt;1&lt;/R&gt;&lt;C&gt;1&lt;/C&gt;&lt;D xsi:type="xsd:double"&gt;3.45&lt;/D&gt;&lt;/FQL&gt;&lt;FQL&gt;&lt;Q&gt;USDSEK^STD(FG_PRICE_CHANGE(0,-3AY,M))&lt;/Q&gt;&lt;R&gt;1&lt;/R&gt;&lt;C&gt;1&lt;/C&gt;&lt;D xsi:type="xsd:double"&gt;2.98714974072591&lt;/D&gt;&lt;/FQL&gt;&lt;FQL&gt;&lt;Q&gt;USDUSD^FG_PRICE_CHANGE(0,-1AM)&lt;/Q&gt;&lt;R&gt;1&lt;/R&gt;&lt;C&gt;1&lt;/C&gt;&lt;D xsi:type="xsd:double"&gt;0&lt;/D&gt;&lt;/FQL&gt;&lt;FQL&gt;&lt;Q&gt;USDJPY^STD(FG_PRICE_CHANGE(0,-1AY,AM))&lt;/Q&gt;&lt;R&gt;1&lt;/R&gt;&lt;C&gt;1&lt;/C&gt;&lt;D xsi:type="xsd:double"&gt;2.62676851858597&lt;/D&gt;&lt;/FQL&gt;&lt;FQL&gt;&lt;Q&gt;EWA^FMA_PE(NTMA,-10AY,0,AM,"PORTAGG","MEANR")&lt;/Q&gt;&lt;R&gt;121&lt;/R&gt;&lt;C&gt;1&lt;/C&gt;&lt;D xsi:type="xsd:double"&gt;14.2978259814979&lt;/D&gt;&lt;D xsi:type="xsd:double"&gt;14.251238595517&lt;/D&gt;&lt;D xsi:type="xsd:double"&gt;15.0046943524032&lt;/D&gt;&lt;D xsi:type="xsd:double"&gt;14.8837061335486&lt;/D&gt;&lt;D xsi:type="xsd:double"&gt;13.8476353681589&lt;/D&gt;&lt;D xsi:type="xsd:double"&gt;14.6171477501576&lt;/D&gt;&lt;D xsi:type="xsd:double"&gt;13.9787887366389&lt;/D&gt;&lt;D xsi:type="xsd:double"&gt;14.5931855361321&lt;/D&gt;&lt;D xsi:type="xsd:double"&gt;15.2362716214905&lt;/D&gt;&lt;D xsi:type="xsd:double"&gt;16.3202924327073&lt;/D&gt;&lt;D xsi:type="xsd:double"&gt;16.2654245319104&lt;/D&gt;&lt;D xsi:type="xsd:double"&gt;16.2161165918601&lt;/D&gt;&lt;D xsi:type="xsd:double"&gt;15.9971485556846&lt;/D&gt;&lt;D xsi:type="xsd:double"&gt;15.1080070935682&lt;/D&gt;&lt;D xsi:type="xsd:double"&gt;15.6963684051369&lt;/D&gt;&lt;D xsi:type="xsd:double"&gt;14.4999441968755&lt;/D&gt;&lt;D xsi:type="xsd:double"&gt;14.2020634777161&lt;/D&gt;&lt;D xsi:type="xsd:double"&gt;15.0311255121562&lt;/D&gt;&lt;D xsi:type="xsd:double"&gt;14.9657536518347&lt;/D&gt;&lt;D xsi:type="xsd:double"&gt;15.7577891400844&lt;/D&gt;&lt;D xsi:type="xsd:double"&gt;15.2354727820965&lt;/D&gt;&lt;D xsi:type="xsd:double"&gt;15.0515481407167&lt;/D&gt;&lt;D xsi:type="xsd:double"&gt;15.7602280102256&lt;/D&gt;&lt;D xsi:type="xsd:double"&gt;16.1850679988962&lt;/D&gt;&lt;D xsi:type="xsd:double"&gt;16.4791103529726&lt;/D&gt;&lt;D xsi:type="xsd:double"&gt;15.9496300306813&lt;/D&gt;&lt;D xsi:type="xsd:double"&gt;16.7960469997983&lt;/D&gt;&lt;D xsi:type="xsd:double"&gt;16.4102248526708&lt;/D&gt;&lt;D xsi:type="xsd:double"&gt;16.2714200349259&lt;/D&gt;&lt;D xsi:type="xsd:double"&gt;15.7735751847448&lt;/D&gt;&lt;D xsi:type="xsd:double"&gt;15.7876782687957&lt;/D&gt;&lt;D xsi:type="xsd:double"&gt;15.7804147186182&lt;/D&gt;&lt;D xsi:type="xsd:double"&gt;15.5571538725663&lt;/D&gt;&lt;D xsi:type="xsd:double"&gt;15.7599476648083&lt;/D&gt;&lt;D xsi:type="xsd:double"&gt;15.8592587383625&lt;/D&gt;&lt;D xsi:type="xsd:double"&gt;15.9641508675512&lt;/D&gt;&lt;D xsi:type="xsd:double"&gt;15.2859050590392&lt;/D&gt;&lt;D xsi:type="xsd:double"&gt;15.4265713988627&lt;/D&gt;&lt;D xsi:type="xsd:double"&gt;15.6837509387777&lt;/D&gt;&lt;D xsi:type="xsd:double"&gt;15.5919699424538&lt;/D&gt;&lt;D xsi:type="xsd:double"&gt;15.4254496003211&lt;/D&gt;&lt;D xsi:type="xsd:double"&gt;15.7783022560777&lt;/D&gt;&lt;D xsi:type="xsd:double"&gt;15.838868786988&lt;/D&gt;&lt;D xsi:type="xsd:double"&gt;16.0258597214481&lt;/D&gt;&lt;D xsi:type="xsd:double"&gt;15.7727723693972&lt;/D&gt;&lt;D xsi:type="xsd:double"&gt;15.5597740514577&lt;/D&gt;&lt;D xsi:type="xsd:double"&gt;14.7277990890281&lt;/D&gt;&lt;D xsi:type="xsd:double"&gt;15.1811579045721&lt;/D&gt;&lt;D xsi:type="xsd:double"&gt;15.1222957562583&lt;/D&gt;&lt;D xsi:type="xsd:double"&gt;15.4879372293169&lt;/D&gt;&lt;D xsi:type="xsd:double"&gt;15.6520628650613&lt;/D&gt;&lt;D xsi:type="xsd:double"&gt;15.6920441685479&lt;/D&gt;&lt;D xsi:type="xsd:double"&gt;15.3018169312989&lt;/D&gt;&lt;D xsi:type="xsd:double"&gt;14.289308397602&lt;/D&gt;&lt;D xsi:type="xsd:double"&gt;14.057780519792&lt;/D&gt;&lt;D xsi:type="xsd:double"&gt;13.9599013149694&lt;/D&gt;&lt;D xsi:type="xsd:double"&gt;14.6594173378552&lt;/D&gt;&lt;D xsi:type="xsd:double"&gt;15.3518467142567&lt;/D&gt;&lt;D xsi:type="xsd:double"&gt;15.2927673519464&lt;/D&gt;&lt;D xsi:type="xsd:double"&gt;15.3634225531184&lt;/D&gt;&lt;D xsi:type="xsd:double"&gt;15.5061517606689&lt;/D&gt;&lt;D xsi:type="xsd:double"&gt;16.1962504917731&lt;/D&gt;&lt;D xsi:type="xsd:double"&gt;16.4778088639585&lt;/D&gt;&lt;D xsi:type="xsd:double"&gt;15.9437412283025&lt;/D&gt;&lt;D xsi:type="xsd:double"&gt;16.6584926881707&lt;/D&gt;&lt;D xsi:type="xsd:double"&gt;16.87851213575&lt;/D&gt;&lt;D xsi:type="xsd:double"&gt;17.3687962440651&lt;/D&gt;&lt;D xsi:type="xsd:double"&gt;17.1775797198552&lt;/D&gt;&lt;D xsi:type="xsd:double"&gt;17.8997930548609&lt;/D&gt;&lt;D xsi:type="xsd:double"&gt;16.474077348146&lt;/D&gt;&lt;D xsi:type="xsd:double"&gt;14.0475487863245&lt;/D&gt;&lt;D xsi:type="xsd:double"&gt;17.5902598306504&lt;/D&gt;&lt;D xsi:type="xsd:double"&gt;18.381193527115&lt;/D&gt;&lt;D xsi:type="xsd:double"&gt;18.7439189741772&lt;/D&gt;&lt;D xsi:type="xsd:double"&gt;19.0209536693887&lt;/D&gt;&lt;D xsi:type="xsd:double"&gt;19.5543693627903&lt;/D&gt;&lt;D xsi:type="xsd:double"&gt;18.000341441792&lt;/D&gt;&lt;D xsi:type="xsd:double"&gt;17.7619109934881&lt;/D&gt;&lt;D xsi:type="xsd:double"&gt;19.3142752402119&lt;/D&gt;&lt;D xsi:type="xsd:double"&gt;18.9693708470683&lt;/D&gt;&lt;D xsi:type="xsd:double"&gt;18.4830404608928&lt;/D&gt;&lt;D xsi:type="xsd:double"&gt;17.9550506925964&lt;/D&gt;&lt;D xsi:type="xsd:double"&gt;17.5886301893874&lt;/D&gt;&lt;D xsi:type="xsd:double"&gt;17.9952989060456&lt;/D&gt;&lt;D xsi:type="xsd:double"&gt;18.1241859724021&lt;/D&gt;&lt;D xsi:type="xsd:double"&gt;17.4585313193852&lt;/D&gt;&lt;D xsi:type="xsd:double"&gt;16.7884811693106&lt;/D&gt;&lt;D xsi:type="xsd:double"&gt;17.3272673031034&lt;/D&gt;&lt;D xsi:type="xsd:double"&gt;17.0615375017938&lt;/D&gt;&lt;D xsi:type="xsd:double"&gt;17.3990137940307&lt;/D&gt;&lt;D xsi:type="xsd:double"&gt;16.7773950554575&lt;/D&gt;&lt;D xsi:type="xsd:double"&gt;17.4970792673071&lt;/D&gt;&lt;D xsi:type="xsd:double"&gt;15.656714695303&lt;/D&gt;&lt;D xsi:type="xsd:double"&gt;15.4791782688763&lt;/D&gt;&lt;D xsi:type="xsd:double"&gt;16.2282249249223&lt;/D&gt;&lt;D xsi:type="xsd:double"&gt;15.0445005468484&lt;/D&gt;&lt;D xsi:type="xsd:double"&gt;14.1862906651904&lt;/D&gt;&lt;D xsi:type="xsd:double"&gt;12.6328370782189&lt;/D&gt;&lt;D xsi:type="xsd:double"&gt;13.8005419836527&lt;/D&gt;&lt;D xsi:type="xsd:double"&gt;13.9163225466174&lt;/D&gt;&lt;D xsi:type="xsd:double"&gt;12.5463699651518&lt;/D&gt;&lt;D xsi:type="xsd:double"&gt;13.331537670208&lt;/D&gt;&lt;D xsi:type="xsd:double"&gt;14.7217355599966&lt;/D&gt;&lt;D xsi:type="xsd:double"&gt;14.1727504256807&lt;/D&gt;&lt;D xsi:type="xsd:double"&gt;14.9404761183182&lt;/D&gt;&lt;D xsi:type="xsd:double"&gt;14.503631790876&lt;/D&gt;&lt;D xsi:type="xsd:double"&gt;14.3117517505269&lt;/D&gt;&lt;D xsi:type="xsd:double"&gt;14.5568008791714&lt;/D&gt;&lt;D xsi:type="xsd:double"&gt;14.0747241310513&lt;/D&gt;&lt;D xsi:type="xsd:double"&gt;14.9313123571497&lt;/D&gt;&lt;D xsi:type="xsd:double"&gt;15.7289634004991&lt;/D&gt;&lt;D xsi:type="xsd:double"&gt;15.6076826828192&lt;/D&gt;&lt;D xsi:type="xsd:double"&gt;14.9055833664576&lt;/D&gt;&lt;D xsi:type="xsd:double"&gt;14.2716195705761&lt;/D&gt;&lt;D xsi:type="xsd:double"&gt;15.2719058371656&lt;/D&gt;&lt;D xsi:type="xsd:double"&gt;16.4578810774905&lt;/D&gt;&lt;D xsi:type="xsd:double"&gt;16.6444955376508&lt;/D&gt;&lt;D xsi:type="xsd:double"&gt;16.5532676087548&lt;/D&gt;&lt;D xsi:type="xsd:double"&gt;16.804182629915&lt;/D&gt;&lt;D xsi:type="xsd:double"&gt;16.3709954297388&lt;/D&gt;&lt;D xsi:type="xsd:double"&gt;16.4006782644244&lt;/D&gt;&lt;/FQL&gt;&lt;FQL&gt;&lt;Q&gt;WL-FDS^FG_PRICE_CHANGE(0,-6AM)&lt;/Q&gt;&lt;R&gt;1&lt;/R&gt;&lt;C&gt;1&lt;/C&gt;&lt;D xsi:type="xsd:double"&gt;-24.4596290614977&lt;/D&gt;&lt;/FQL&gt;&lt;FQL&gt;&lt;Q&gt;PLATI-FDS^FG_PRICE_MAVG(0,,,,30)&lt;/Q&gt;&lt;R&gt;1&lt;/R&gt;&lt;C&gt;1&lt;/C&gt;&lt;D xsi:type="xsd:double"&gt;994.0333&lt;/D&gt;&lt;/FQL&gt;&lt;FQL&gt;&lt;Q&gt;BRENT-FDS^FG_PRICE(0)&lt;/Q&gt;&lt;R&gt;1&lt;/R&gt;&lt;C&gt;1&lt;/C&gt;&lt;D xsi:type="xsd:double"&gt;85.86&lt;/D&gt;&lt;/FQL&gt;&lt;FQL&gt;&lt;Q&gt;EWN^FG_PRICE_MAVG(0,,,,60)&lt;/Q&gt;&lt;R&gt;1&lt;/R&gt;&lt;C&gt;1&lt;/C&gt;&lt;D xsi:type="xsd:double"&gt;49.468166&lt;/D&gt;&lt;/FQL&gt;&lt;FQL&gt;&lt;Q&gt;EWQ^P_PRICE(0)/P_PRICE_LOW_PR(0,,,,,,"PRICE","INTRA","52W")-1&lt;/Q&gt;&lt;R&gt;1&lt;/R&gt;&lt;C&gt;1&lt;/C&gt;&lt;D xsi:type="xsd:double"&gt;0.23885918&lt;/D&gt;&lt;/FQL&gt;&lt;FQL&gt;&lt;Q&gt;EWA^P_PRICE(0)/P_PRICE_HIGH_PR(0,,,,,,"PRICE","INTRA","52W")&lt;/Q&gt;&lt;R&gt;1&lt;/R&gt;&lt;C&gt;1&lt;/C&gt;&lt;D xsi:type="xsd:double"&gt;0.9766244&lt;/D&gt;&lt;/FQL&gt;&lt;FQL&gt;&lt;Q&gt;EWJ^FMA_RBICS_REV_CURRENT(30, LOC, "PORTAGG")&lt;/Q&gt;&lt;R&gt;1&lt;/R&gt;&lt;C&gt;1&lt;/C&gt;&lt;D xsi:type="xsd:double"&gt;18.3501830656637&lt;/D&gt;&lt;/FQL&gt;&lt;FQL&gt;&lt;Q&gt;REFSEREPO-FDS^(SUBARRAY(NOT_NA(NO_REPEAT_F(FG_YIELD(NOW,-10AY,D))),0,1)-SUBARRAY(NOT_NA(NO_REPEAT_F(FG_YIELD(NOW,-10AY,D))),1,1))*100&lt;/Q&gt;&lt;R&gt;1&lt;/R&gt;&lt;C&gt;1&lt;/C&gt;&lt;D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xsi:type="xsd:double"&gt;25&lt;/D&gt;&lt;/FQL&gt;&lt;FQL&gt;&lt;Q&gt;TRYUS10Y-FDS^PCTCHG(FG_YIELD(0,,,,"YTM"),FG_YIELD(-3AM,,,,"YTM"))&lt;/Q&gt;&lt;R&gt;1&lt;/R&gt;&lt;C&gt;1&lt;/C&gt;&lt;D xsi:type="xsd:double"&gt;5.7472034&lt;/D&gt;&lt;/FQL&gt;&lt;FQL&gt;&lt;Q&gt;EWQ^FMA_DIV_YLD(NTMA,NOW,NOW,M,"PORTAGG","MEANR")&lt;/Q&gt;&lt;R&gt;1&lt;/R&gt;&lt;C&gt;1&lt;/C&gt;&lt;D xsi:type="xsd:double"&gt;3.1887245822556&lt;/D&gt;&lt;/FQL&gt;&lt;FQL&gt;&lt;Q&gt;EWU^FMA_PE(NTMA,0,,,"PORTAGG","MEANR")&lt;/Q&gt;&lt;R&gt;1&lt;/R&gt;&lt;C&gt;1&lt;/C&gt;&lt;D xsi:type="xsd:double"&gt;11.5530330507331&lt;/D&gt;&lt;/FQL&gt;&lt;FQL&gt;&lt;Q&gt;DBA^FG_TOTAL_RETURNC(0,-1AM)&lt;/Q&gt;&lt;R&gt;1&lt;/R&gt;&lt;C&gt;1&lt;/C&gt;&lt;D xsi:type="xsd:double"&gt;1.9886374&lt;/D&gt;&lt;/FQL&gt;&lt;FQL&gt;&lt;Q&gt;TRYSA10Y-FDS^FG_YIELD(-10AY,0,Y,,"YTM")&lt;/Q&gt;&lt;R&gt;10&lt;/R&gt;&lt;C&gt;1&lt;/C&gt;&lt;D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xsi:type="xsd:double"&gt;4.608568&lt;/D&gt;&lt;/FQL&gt;&lt;FQL&gt;&lt;Q&gt;USDAUD^FG_PRICE_CHANGE(0,-3AM)&lt;/Q&gt;&lt;R&gt;1&lt;/R&gt;&lt;C&gt;1&lt;/C&gt;&lt;D xsi:type="xsd:double"&gt;-2.0900667&lt;/D&gt;&lt;/FQL&gt;&lt;FQL&gt;&lt;Q&gt;EWD^P_PRICE_RETURNS_PR('52W',2,-10AY,0,AM)&lt;/Q&gt;&lt;R&gt;121&lt;/R&gt;&lt;C&gt;1&lt;/C&gt;&lt;D xsi:type="xsd:double"&gt;14.442992&lt;/D&gt;&lt;D xsi:type="xsd:double"&gt;22.53604&lt;/D&gt;&lt;D xsi:type="xsd:double"&gt;6.696689&lt;/D&gt;&lt;D xsi:type="xsd:double"&gt;8.693493&lt;/D&gt;&lt;D xsi:type="xsd:double"&gt;0.030720234&lt;/D&gt;&lt;D xsi:type="xsd:double"&gt;-0.30854344&lt;/D&gt;&lt;D xsi:type="xsd:double"&gt;0.86021423&lt;/D&gt;&lt;D xsi:type="xsd:double"&gt;-8.411938&lt;/D&gt;&lt;D xsi:type="xsd:double"&gt;-2.5402546&lt;/D&gt;&lt;D xsi:type="xsd:double"&gt;-0.61775446&lt;/D&gt;&lt;D xsi:type="xsd:double"&gt;-5.266249&lt;/D&gt;&lt;D xsi:type="xsd:double"&gt;-4.390997&lt;/D&gt;&lt;D xsi:type="xsd:double"&gt;-4.971993&lt;/D&gt;&lt;D xsi:type="xsd:double"&gt;-6.096059&lt;/D&gt;&lt;D xsi:type="xsd:double"&gt;-2.0496547&lt;/D&gt;&lt;D xsi:type="xsd:double"&gt;-7.0849953&lt;/D&gt;&lt;D xsi:type="xsd:double"&gt;-8.51593&lt;/D&gt;&lt;D xsi:type="xsd:double"&gt;-3.794384&lt;/D&gt;&lt;D xsi:type="xsd:double"&gt;-5.8600307&lt;/D&gt;&lt;D xsi:type="xsd:double"&gt;-4.535884&lt;/D&gt;&lt;D xsi:type="xsd:double"&gt;-13.091821&lt;/D&gt;&lt;D xsi:type="xsd:double"&gt;-18.11444&lt;/D&gt;&lt;D xsi:type="xsd:double"&gt;-8.861309&lt;/D&gt;&lt;D xsi:type="xsd:double"&gt;-8.683979&lt;/D&gt;&lt;D xsi:type="xsd:double"&gt;-9.844393&lt;/D&gt;&lt;D xsi:type="xsd:double"&gt;-10.424805&lt;/D&gt;&lt;D xsi:type="xsd:double"&gt;-7.9949856&lt;/D&gt;&lt;D xsi:type="xsd:double"&gt;-2.0370483&lt;/D&gt;&lt;D xsi:type="xsd:double"&gt;4.1947007&lt;/D&gt;&lt;D xsi:type="xsd:double"&gt;-4.9560905&lt;/D&gt;&lt;D xsi:type="xsd:double"&gt;-5.504757&lt;/D&gt;&lt;D xsi:type="xsd:double"&gt;0.92072487&lt;/D&gt;&lt;D xsi:type="xsd:double"&gt;15.86746&lt;/D&gt;&lt;D xsi:type="xsd:double"&gt;14.393353&lt;/D&gt;&lt;D xsi:type="xsd:double"&gt;11.461711&lt;/D&gt;&lt;D xsi:type="xsd:double"&gt;13.02272&lt;/D&gt;&lt;D xsi:type="xsd:double"&gt;19.810831&lt;/D&gt;&lt;D xsi:type="xsd:double"&gt;26.860296&lt;/D&gt;&lt;D xsi:type="xsd:double"&gt;24.622047&lt;/D&gt;&lt;D xsi:type="xsd:double"&gt;24.350857&lt;/D&gt;&lt;D xsi:type="xsd:double"&gt;27.700603&lt;/D&gt;&lt;D xsi:type="xsd:double"&gt;32.15065&lt;/D&gt;&lt;D xsi:type="xsd:double"&gt;27.553785&lt;/D&gt;&lt;D xsi:type="xsd:double"&gt;22.180641&lt;/D&gt;&lt;D xsi:type="xsd:double"&gt;21.989584&lt;/D&gt;&lt;D xsi:type="xsd:double"&gt;15.597582&lt;/D&gt;&lt;D xsi:type="xsd:double"&gt;9.336495&lt;/D&gt;&lt;D xsi:type="xsd:double"&gt;2.4837375&lt;/D&gt;&lt;D xsi:type="xsd:double"&gt;-1.680249&lt;/D&gt;&lt;D xsi:type="xsd:double"&gt;-4.41224&lt;/D&gt;&lt;D xsi:type="xsd:double"&gt;0.07375479&lt;/D&gt;&lt;D xsi:type="xsd:double"&gt;-2.9696643&lt;/D&gt;&lt;D xsi:type="xsd:double"&gt;-2.5199413&lt;/D&gt;&lt;D xsi:type="xsd:double"&gt;-12.772125&lt;/D&gt;&lt;D xsi:type="xsd:double"&gt;-10.080904&lt;/D&gt;&lt;D xsi:type="xsd:double"&gt;-12.76235&lt;/D&gt;&lt;D xsi:type="xsd:double"&gt;-13.303244&lt;/D&gt;&lt;D xsi:type="xsd:double"&gt;-6.8861127&lt;/D&gt;&lt;D xsi:type="xsd:double"&gt;-5.4747224&lt;/D&gt;&lt;D xsi:type="xsd:double"&gt;2.6819944&lt;/D&gt;&lt;D xsi:type="xsd:double"&gt;-5.7144346&lt;/D&gt;&lt;D xsi:type="xsd:double"&gt;5.9779406&lt;/D&gt;&lt;D xsi:type="xsd:double"&gt;-6.702203&lt;/D&gt;&lt;D xsi:type="xsd:double"&gt;-8.896762&lt;/D&gt;&lt;D xsi:type="xsd:double"&gt;-7.3399963&lt;/D&gt;&lt;D xsi:type="xsd:double"&gt;10.860216&lt;/D&gt;&lt;D xsi:type="xsd:double"&gt;12.098169&lt;/D&gt;&lt;D xsi:type="xsd:double"&gt;21.73841&lt;/D&gt;&lt;D xsi:type="xsd:double"&gt;12.169397&lt;/D&gt;&lt;D xsi:type="xsd:double"&gt;5.2574396&lt;/D&gt;&lt;D xsi:type="xsd:double"&gt;-11.514484&lt;/D&gt;&lt;D xsi:type="xsd:double"&gt;-10.979551&lt;/D&gt;&lt;D xsi:type="xsd:double"&gt;6.650114&lt;/D&gt;&lt;D xsi:type="xsd:double"&gt;2.3293853&lt;/D&gt;&lt;D xsi:type="xsd:double"&gt;17.74131&lt;/D&gt;&lt;D xsi:type="xsd:double"&gt;28.004944&lt;/D&gt;&lt;D xsi:type="xsd:double"&gt;21.78278&lt;/D&gt;&lt;D xsi:type="xsd:double"&gt;8.168292&lt;/D&gt;&lt;D xsi:type="xsd:double"&gt;24.595272&lt;/D&gt;&lt;D xsi:type="xsd:double"&gt;22.261215&lt;/D&gt;&lt;D xsi:type="xsd:double"&gt;27.317083&lt;/D&gt;&lt;D xsi:type="xsd:double"&gt;35.03207&lt;/D&gt;&lt;D xsi:type="xsd:double"&gt;75.98531&lt;/D&gt;&lt;D xsi:type="xsd:double"&gt;70.97102&lt;/D&gt;&lt;D xsi:type="xsd:double"&gt;62.79924&lt;/D&gt;&lt;D xsi:type="xsd:double"&gt;53.961597&lt;/D&gt;&lt;D xsi:type="xsd:double"&gt;43.661667&lt;/D&gt;&lt;D xsi:type="xsd:double"&gt;38.393368&lt;/D&gt;&lt;D xsi:type="xsd:double"&gt;30.948448&lt;/D&gt;&lt;D xsi:type="xsd:double"&gt;46.17517&lt;/D&gt;&lt;D xsi:type="xsd:double"&gt;19.389355&lt;/D&gt;&lt;D xsi:type="xsd:double"&gt;22.86303&lt;/D&gt;&lt;D xsi:type="xsd:double"&gt;9.488797&lt;/D&gt;&lt;D xsi:type="xsd:double"&gt;-5.0035295&lt;/D&gt;&lt;D xsi:type="xsd:double"&gt;-7.9788265&lt;/D&gt;&lt;D xsi:type="xsd:double"&gt;-20.257551&lt;/D&gt;&lt;D xsi:type="xsd:double"&gt;-20.519274&lt;/D&gt;&lt;D xsi:type="xsd:double"&gt;-30.352396&lt;/D&gt;&lt;D xsi:type="xsd:double"&gt;-26.111149&lt;/D&gt;&lt;D xsi:type="xsd:double"&gt;-33.367126&lt;/D&gt;&lt;D xsi:type="xsd:double"&gt;-35.51764&lt;/D&gt;&lt;D xsi:type="xsd:double"&gt;-34.74055&lt;/D&gt;&lt;D xsi:type="xsd:double"&gt;-21.121103&lt;/D&gt;&lt;D xsi:type="xsd:double"&gt;-27.927637&lt;/D&gt;&lt;D xsi:type="xsd:double"&gt;-14.315945&lt;/D&gt;&lt;D xsi:type="xsd:double"&gt;-3.3576787&lt;/D&gt;&lt;D xsi:type="xsd:double"&gt;-5.3338823&lt;/D&gt;&lt;D xsi:type="xsd:double"&gt;6.2526107&lt;/D&gt;&lt;D xsi:type="xsd:double"&gt;-2.6411176&lt;/D&gt;&lt;D xsi:type="xsd:double"&gt;16.986835&lt;/D&gt;&lt;D xsi:type="xsd:double"&gt;5.7466626&lt;/D&gt;&lt;D xsi:type="xsd:double"&gt;11.404551&lt;/D&gt;&lt;D xsi:type="xsd:double"&gt;23.17419&lt;/D&gt;&lt;D xsi:type="xsd:double"&gt;7.39938&lt;/D&gt;&lt;D xsi:type="xsd:double"&gt;8.139348&lt;/D&gt;&lt;D xsi:type="xsd:double"&gt;23.231815&lt;/D&gt;&lt;D xsi:type="xsd:double"&gt;9.476638&lt;/D&gt;&lt;D xsi:type="xsd:double"&gt;14.712393&lt;/D&gt;&lt;D xsi:type="xsd:double"&gt;21.216059&lt;/D&gt;&lt;D xsi:type="xsd:double"&gt;5.7189345&lt;/D&gt;&lt;D xsi:type="xsd:double"&gt;25.117731&lt;/D&gt;&lt;/FQL&gt;&lt;FQL&gt;&lt;Q&gt;EWI^FMA_DIV_YLD(NTMA,-10AY,0,AM,"PORTAGG","MEANR")&lt;/Q&gt;&lt;R&gt;121&lt;/R&gt;&lt;C&gt;1&lt;/C&gt;&lt;D xsi:type="xsd:double"&gt;3.44529095154147&lt;/D&gt;&lt;D xsi:type="xsd:double"&gt;3.38648679920615&lt;/D&gt;&lt;D xsi:type="xsd:double"&gt;3.52235296461531&lt;/D&gt;&lt;D xsi:type="xsd:double"&gt;3.58687276806257&lt;/D&gt;&lt;D xsi:type="xsd:double"&gt;3.62971337368692&lt;/D&gt;&lt;D xsi:type="xsd:double"&gt;3.86008604824798&lt;/D&gt;&lt;D xsi:type="xsd:double"&gt;3.87477681546849&lt;/D&gt;&lt;D xsi:type="xsd:double"&gt;4.08215400071101&lt;/D&gt;&lt;D xsi:type="xsd:double"&gt;3.79258151599021&lt;/D&gt;&lt;D xsi:type="xsd:double"&gt;3.41457510831913&lt;/D&gt;&lt;D xsi:type="xsd:double"&gt;3.15865598619003&lt;/D&gt;&lt;D xsi:type="xsd:double"&gt;3.19006444802689&lt;/D&gt;&lt;D xsi:type="xsd:double"&gt;3.1795958859064&lt;/D&gt;&lt;D xsi:type="xsd:double"&gt;3.34315318929758&lt;/D&gt;&lt;D xsi:type="xsd:double"&gt;3.11657282318832&lt;/D&gt;&lt;D xsi:type="xsd:double"&gt;3.38038567526162&lt;/D&gt;&lt;D xsi:type="xsd:double"&gt;3.70905132726726&lt;/D&gt;&lt;D xsi:type="xsd:double"&gt;3.54649370875414&lt;/D&gt;&lt;D xsi:type="xsd:double"&gt;3.53397231645839&lt;/D&gt;&lt;D xsi:type="xsd:double"&gt;3.83180955229543&lt;/D&gt;&lt;D xsi:type="xsd:double"&gt;4.4017271090213&lt;/D&gt;&lt;D xsi:type="xsd:double"&gt;4.51023358267433&lt;/D&gt;&lt;D xsi:type="xsd:double"&gt;4.37313529329872&lt;/D&gt;&lt;D xsi:type="xsd:double"&gt;4.31378091072643&lt;/D&gt;&lt;D xsi:type="xsd:double"&gt;4.51031112342122&lt;/D&gt;&lt;D xsi:type="xsd:double"&gt;4.98982244112412&lt;/D&gt;&lt;D xsi:type="xsd:double"&gt;4.7596557895217&lt;/D&gt;&lt;D xsi:type="xsd:double"&gt;4.70322084691253&lt;/D&gt;&lt;D xsi:type="xsd:double"&gt;4.97306013607689&lt;/D&gt;&lt;D xsi:type="xsd:double"&gt;4.77760711396734&lt;/D&gt;&lt;D xsi:type="xsd:double"&gt;4.76629174726271&lt;/D&gt;&lt;D xsi:type="xsd:double"&gt;4.29570625532543&lt;/D&gt;&lt;D xsi:type="xsd:double"&gt;4.5188709239249&lt;/D&gt;&lt;D xsi:type="xsd:double"&gt;4.31029051930143&lt;/D&gt;&lt;D xsi:type="xsd:double"&gt;3.89749007770883&lt;/D&gt;&lt;D xsi:type="xsd:double"&gt;3.91933641965632&lt;/D&gt;&lt;D xsi:type="xsd:double"&gt;3.91625895557411&lt;/D&gt;&lt;D xsi:type="xsd:double"&gt;3.88575946739826&lt;/D&gt;&lt;D xsi:type="xsd:double"&gt;3.76622059904641&lt;/D&gt;&lt;D xsi:type="xsd:double"&gt;3.78967150137956&lt;/D&gt;&lt;D xsi:type="xsd:double"&gt;3.67563943116242&lt;/D&gt;&lt;D xsi:type="xsd:double"&gt;3.77760331125087&lt;/D&gt;&lt;D xsi:type="xsd:double"&gt;3.88104761284901&lt;/D&gt;&lt;D xsi:type="xsd:double"&gt;3.98923373121954&lt;/D&gt;&lt;D xsi:type="xsd:double"&gt;3.77479893398661&lt;/D&gt;&lt;D xsi:type="xsd:double"&gt;3.97217746579567&lt;/D&gt;&lt;D xsi:type="xsd:double"&gt;4.10658130199849&lt;/D&gt;&lt;D xsi:type="xsd:double"&gt;3.89318450987428&lt;/D&gt;&lt;D xsi:type="xsd:double"&gt;4.39281853348279&lt;/D&gt;&lt;D xsi:type="xsd:double"&gt;4.49608845866901&lt;/D&gt;&lt;D xsi:type="xsd:double"&gt;4.3170546912074&lt;/D&gt;&lt;D xsi:type="xsd:double"&gt;4.76770665054115&lt;/D&gt;&lt;D xsi:type="xsd:double"&gt;4.70037028921162&lt;/D&gt;&lt;D xsi:type="xsd:double"&gt;5.11004114097109&lt;/D&gt;&lt;D xsi:type="xsd:double"&gt;5.11951466148289&lt;/D&gt;&lt;D xsi:type="xsd:double"&gt;5.45959330280884&lt;/D&gt;&lt;D xsi:type="xsd:double"&gt;5.08027439408066&lt;/D&gt;&lt;D xsi:type="xsd:double"&gt;4.81990355712117&lt;/D&gt;&lt;D xsi:type="xsd:double"&gt;4.67259052648487&lt;/D&gt;&lt;D xsi:type="xsd:double"&gt;4.60488766094004&lt;/D&gt;&lt;D xsi:type="xsd:double"&gt;5.1591103569569&lt;/D&gt;&lt;D xsi:type="xsd:double"&gt;4.84056531922918&lt;/D&gt;&lt;D xsi:type="xsd:double"&gt;4.82472626943033&lt;/D&gt;&lt;D xsi:type="xsd:double"&gt;4.86869677955522&lt;/D&gt;&lt;D xsi:type="xsd:double"&gt;4.72611949042002&lt;/D&gt;&lt;D xsi:type="xsd:double"&gt;4.64832365509082&lt;/D&gt;&lt;D xsi:type="xsd:double"&gt;4.56961812429887&lt;/D&gt;&lt;D xsi:type="xsd:double"&gt;4.49658699383727&lt;/D&gt;&lt;D xsi:type="xsd:double"&gt;4.60113708658053&lt;/D&gt;&lt;D xsi:type="xsd:double"&gt;5.00870337290942&lt;/D&gt;&lt;D xsi:type="xsd:double"&gt;6.21984132999805&lt;/D&gt;&lt;D xsi:type="xsd:double"&gt;5.28217055062073&lt;/D&gt;&lt;D xsi:type="xsd:double"&gt;4.64308221155338&lt;/D&gt;&lt;D xsi:type="xsd:double"&gt;4.37155943389898&lt;/D&gt;&lt;D xsi:type="xsd:double"&gt;4.06515783932726&lt;/D&gt;&lt;D xsi:type="xsd:double"&gt;4.04801329176969&lt;/D&gt;&lt;D xsi:type="xsd:double"&gt;4.20188562980028&lt;/D&gt;&lt;D xsi:type="xsd:double"&gt;4.56028626394876&lt;/D&gt;&lt;D xsi:type="xsd:double"&gt;3.92009171370728&lt;/D&gt;&lt;D xsi:type="xsd:double"&gt;3.94464053531275&lt;/D&gt;&lt;D xsi:type="xsd:double"&gt;4.18450813737488&lt;/D&gt;&lt;D xsi:type="xsd:double"&gt;4.12158272097112&lt;/D&gt;&lt;D xsi:type="xsd:double"&gt;4.0004092328369&lt;/D&gt;&lt;D xsi:type="xsd:double"&gt;4.19083019348666&lt;/D&gt;&lt;D xsi:type="xsd:double"&gt;4.09625271062973&lt;/D&gt;&lt;D xsi:type="xsd:double"&gt;4.15847720195465&lt;/D&gt;&lt;D xsi:type="xsd:double"&gt;4.23531392945772&lt;/D&gt;&lt;D xsi:type="xsd:double"&gt;4.40093089775849&lt;/D&gt;&lt;D xsi:type="xsd:double"&gt;4.54606316820035&lt;/D&gt;&lt;D xsi:type="xsd:double"&gt;4.38394896472426&lt;/D&gt;&lt;D xsi:type="xsd:double"&gt;4.64777402994547&lt;/D&gt;&lt;D xsi:type="xsd:double"&gt;4.59985564784229&lt;/D&gt;&lt;D xsi:type="xsd:double"&gt;4.77557298528545&lt;/D&gt;&lt;D xsi:type="xsd:double"&gt;5.07032951742041&lt;/D&gt;&lt;D xsi:type="xsd:double"&gt;5.04668058805705&lt;/D&gt;&lt;D xsi:type="xsd:double"&gt;5.11557226472741&lt;/D&gt;&lt;D xsi:type="xsd:double"&gt;5.15030150064919&lt;/D&gt;&lt;D xsi:type="xsd:double"&gt;5.94825097004308&lt;/D&gt;&lt;D xsi:type="xsd:double"&gt;5.80992713463567&lt;/D&gt;&lt;D xsi:type="xsd:double"&gt;5.92411426416168&lt;/D&gt;&lt;D xsi:type="xsd:double"&gt;6.19455067125162&lt;/D&gt;&lt;D xsi:type="xsd:double"&gt;5.7213853784087&lt;/D&gt;&lt;D xsi:type="xsd:double"&gt;5.5093272223434&lt;/D&gt;&lt;D xsi:type="xsd:double"&gt;5.92155859103816&lt;/D&gt;&lt;D xsi:type="xsd:double"&gt;5.4494358704379&lt;/D&gt;&lt;D xsi:type="xsd:double"&gt;5.57739276786834&lt;/D&gt;&lt;D xsi:type="xsd:double"&gt;5.4376222814754&lt;/D&gt;&lt;D xsi:type="xsd:double"&gt;5.39790572246111&lt;/D&gt;&lt;D xsi:type="xsd:double"&gt;5.84734962337899&lt;/D&gt;&lt;D xsi:type="xsd:double"&gt;5.29282056247708&lt;/D&gt;&lt;D xsi:type="xsd:double"&gt;5.2178096773174&lt;/D&gt;&lt;D xsi:type="xsd:double"&gt;5.46631930101847&lt;/D&gt;&lt;D xsi:type="xsd:double"&gt;5.50587372074155&lt;/D&gt;&lt;D xsi:type="xsd:double"&gt;5.72437446098976&lt;/D&gt;&lt;D xsi:type="xsd:double"&gt;5.49502225802066&lt;/D&gt;&lt;D xsi:type="xsd:double"&gt;5.4807296433606&lt;/D&gt;&lt;D xsi:type="xsd:double"&gt;5.3855755721274&lt;/D&gt;&lt;D xsi:type="xsd:double"&gt;5.32485343166789&lt;/D&gt;&lt;D xsi:type="xsd:double"&gt;5.07619017583711&lt;/D&gt;&lt;D xsi:type="xsd:double"&gt;5.30813192252038&lt;/D&gt;&lt;D xsi:type="xsd:double"&gt;5.25523133527998&lt;/D&gt;&lt;/FQL&gt;&lt;FQL&gt;&lt;Q&gt;EWG^FG_PRICE_MAVG(0,,,,200)&lt;/Q&gt;&lt;R&gt;1&lt;/R&gt;&lt;C&gt;1&lt;/C&gt;&lt;D xsi:type="xsd:double"&gt;28.9799&lt;/D&gt;&lt;/FQL&gt;&lt;FQL&gt;&lt;Q&gt;FXI^PERCENT_CHANGE(FMA_EPS(+1,0,,,,"PORTAGG","MEAN"),FMA_EPS(+1,-3AM,,,,"PORTAGG","MEAN"))&lt;/Q&gt;&lt;R&gt;1&lt;/R&gt;&lt;C&gt;1&lt;/C&gt;&lt;D xsi:type="xsd:double"&gt;1.18482946552681&lt;/D&gt;&lt;/FQL&gt;&lt;FQL&gt;&lt;Q&gt;URTH^FG_TOTAL_RETURNC(0,-1AM)&lt;/Q&gt;&lt;R&gt;1&lt;/R&gt;&lt;C&gt;1&lt;/C&gt;&lt;D xsi:type="xsd:double"&gt;4.69929&lt;/D&gt;&lt;/FQL&gt;&lt;FQL&gt;&lt;Q&gt;EWI^FG_TOTAL_RETURNC(0,-1AM)&lt;/Q&gt;&lt;R&gt;1&lt;/R&gt;&lt;C&gt;1&lt;/C&gt;&lt;D xsi:type="xsd:double"&gt;6.2380314&lt;/D&gt;&lt;/FQL&gt;&lt;FQL&gt;&lt;Q&gt;EWU^P_PRICE(0)/P_PRICE_LOW_PR(0,,,,,,"PRICE","INTRA","52W")-1&lt;/Q&gt;&lt;R&gt;1&lt;/R&gt;&lt;C&gt;1&lt;/C&gt;&lt;D xsi:type="xsd:double"&gt;0.2050432&lt;/D&gt;&lt;/FQL&gt;&lt;FQL&gt;&lt;Q&gt;TRYCH10Y-FDS^FG_YIELD_NAME&lt;/Q&gt;&lt;R&gt;1&lt;/R&gt;&lt;C&gt;1&lt;/C&gt;&lt;D xsi:type="xsd:string"&gt;Treasury - Switzerland Benchmark Bond 10Y&lt;/D&gt;&lt;/FQL&gt;&lt;FQL&gt;&lt;Q&gt;TRYFR10Y-FDS^FG_YIELD_NAME&lt;/Q&gt;&lt;R&gt;1&lt;/R&gt;&lt;C&gt;1&lt;/C&gt;&lt;D xsi:type="xsd:string"&gt;France Benchmark Bond - 10 Year&lt;/D&gt;&lt;/FQL&gt;&lt;FQL&gt;&lt;Q&gt;EWI^FMA_EVAL_EBIT(LTMA,NOW,NOW,M,"PORTAGG","MEANR")&lt;/Q&gt;&lt;R&gt;1&lt;/R&gt;&lt;C&gt;1&lt;/C&gt;&lt;D xsi:type="xsd:double"&gt;10.8485057867633&lt;/D&gt;&lt;/FQL&gt;&lt;FQL&gt;&lt;Q&gt;EWC^FMA_EVAL_EBITDA(NTMA,0,,,"PORTAGG","MEANR")&lt;/Q&gt;&lt;R&gt;1&lt;/R&gt;&lt;C&gt;1&lt;/C&gt;&lt;D xsi:type="xsd:double"&gt;9.74916570578725&lt;/D&gt;&lt;/FQL&gt;&lt;FQL&gt;&lt;Q&gt;CAGDPY@DE^EE_ACTUAL_ANNUAL(MED,+1)&lt;/Q&gt;&lt;R&gt;1&lt;/R&gt;&lt;C&gt;1&lt;/C&gt;&lt;D xsi:type="xsd:double"&gt;6.5&lt;/D&gt;&lt;/FQL&gt;&lt;FQL&gt;&lt;Q&gt;USDSEK^STD(FG_PRICE_CHANGE(0,-1AY,AM))&lt;/Q&gt;&lt;R&gt;1&lt;/R&gt;&lt;C&gt;1&lt;/C&gt;&lt;D xsi:type="xsd:double"&gt;3.71951941199619&lt;/D&gt;&lt;/FQL&gt;&lt;FQL&gt;&lt;Q&gt;USDJPY^FG_PRICE_CHANGE(0,-6AM)&lt;/Q&gt;&lt;R&gt;1&lt;/R&gt;&lt;C&gt;1&lt;/C&gt;&lt;D xsi:type="xsd:double"&gt;6.2975645&lt;/D&gt;&lt;/FQL&gt;&lt;FQL&gt;&lt;Q&gt;ENZL^FMA_PE(NTMA,-10AY,0,AM,"PORTAGG","MEANR")&lt;/Q&gt;&lt;R&gt;121&lt;/R&gt;&lt;C&gt;1&lt;/C&gt;&lt;D xsi:type="xsd:double"&gt;17.255520862315&lt;/D&gt;&lt;D xsi:type="xsd:double"&gt;17.2393933656492&lt;/D&gt;&lt;D xsi:type="xsd:double"&gt;17.2314136354985&lt;/D&gt;&lt;D xsi:type="xsd:double"&gt;17.4259904450878&lt;/D&gt;&lt;D xsi:type="xsd:double"&gt;17.1649041349797&lt;/D&gt;&lt;D xsi:type="xsd:double"&gt;17.6075494605871&lt;/D&gt;&lt;D xsi:type="xsd:double"&gt;17.7251641549364&lt;/D&gt;&lt;D xsi:type="xsd:double"&gt;18.2147707871206&lt;/D&gt;&lt;D xsi:type="xsd:double"&gt;18.934546597998&lt;/D&gt;&lt;D xsi:type="xsd:double"&gt;19.3006254187479&lt;/D&gt;&lt;D xsi:type="xsd:double"&gt;18.0346210761202&lt;/D&gt;&lt;D xsi:type="xsd:double"&gt;18.2889900092988&lt;/D&gt;&lt;D xsi:type="xsd:double"&gt;18.424554884382&lt;/D&gt;&lt;D xsi:type="xsd:double"&gt;17.8369408939234&lt;/D&gt;&lt;D xsi:type="xsd:double"&gt;18.3374247523085&lt;/D&gt;&lt;D xsi:type="xsd:double"&gt;17.609299712178&lt;/D&gt;&lt;D xsi:type="xsd:double"&gt;16.9996084690621&lt;/D&gt;&lt;D xsi:type="xsd:double"&gt;18.038295420771&lt;/D&gt;&lt;D xsi:type="xsd:double"&gt;18.1121734496771&lt;/D&gt;&lt;D xsi:type="xsd:double"&gt;18.2879518587097&lt;/D&gt;&lt;D xsi:type="xsd:double"&gt;17.4459611775633&lt;/D&gt;&lt;D xsi:type="xsd:double"&gt;17.5055700249101&lt;/D&gt;&lt;D xsi:type="xsd:double"&gt;18.532753947012&lt;/D&gt;&lt;D xsi:type="xsd:double"&gt;18.7141378948304&lt;/D&gt;&lt;D xsi:type="xsd:double"&gt;19.5472724440698&lt;/D&gt;&lt;D xsi:type="xsd:double"&gt;18.9867735568084&lt;/D&gt;&lt;D xsi:type="xsd:double"&gt;20.3178607591973&lt;/D&gt;&lt;D xsi:type="xsd:double"&gt;20.6760815825025&lt;/D&gt;&lt;D xsi:type="xsd:double"&gt;20.2681896418316&lt;/D&gt;&lt;D xsi:type="xsd:double"&gt;18.9360732261411&lt;/D&gt;&lt;D xsi:type="xsd:double"&gt;18.6985560241342&lt;/D&gt;&lt;D xsi:type="xsd:double"&gt;18.4825680079845&lt;/D&gt;&lt;D xsi:type="xsd:double"&gt;18.9616588047416&lt;/D&gt;&lt;D xsi:type="xsd:double"&gt;18.3456235290234&lt;/D&gt;&lt;D xsi:type="xsd:double"&gt;19.0001722152101&lt;/D&gt;&lt;D xsi:type="xsd:double"&gt;19.5356711103918&lt;/D&gt;&lt;D xsi:type="xsd:double"&gt;19.4752964668735&lt;/D&gt;&lt;D xsi:type="xsd:double"&gt;19.5189489585176&lt;/D&gt;&lt;D xsi:type="xsd:double"&gt;19.6732985470963&lt;/D&gt;&lt;D xsi:type="xsd:double"&gt;20.0009237310244&lt;/D&gt;&lt;D xsi:type="xsd:double"&gt;19.8317741727984&lt;/D&gt;&lt;D xsi:type="xsd:double"&gt;20.4881931778598&lt;/D&gt;&lt;D xsi:type="xsd:double"&gt;20.2296244810828&lt;/D&gt;&lt;D xsi:type="xsd:double"&gt;20.939465306716&lt;/D&gt;&lt;D xsi:type="xsd:double"&gt;20.9680095365098&lt;/D&gt;&lt;D xsi:type="xsd:double"&gt;20.8462380710614&lt;/D&gt;&lt;D xsi:type="xsd:double"&gt;19.9684626391939&lt;/D&gt;&lt;D xsi:type="xsd:double"&gt;20.0871971797489&lt;/D&gt;&lt;D xsi:type="xsd:double"&gt;20.4557151317008&lt;/D&gt;&lt;D xsi:type="xsd:double"&gt;21.160631644616&lt;/D&gt;&lt;D xsi:type="xsd:double"&gt;20.9990758379108&lt;/D&gt;&lt;D xsi:type="xsd:double"&gt;22.0706051942858&lt;/D&gt;&lt;D xsi:type="xsd:double"&gt;21.4693190006079&lt;/D&gt;&lt;D xsi:type="xsd:double"&gt;20.0895746143305&lt;/D&gt;&lt;D xsi:type="xsd:double"&gt;19.9671800715046&lt;/D&gt;&lt;D xsi:type="xsd:double"&gt;20.0329836146318&lt;/D&gt;&lt;D xsi:type="xsd:double"&gt;20.4306165923241&lt;/D&gt;&lt;D xsi:type="xsd:double"&gt;21.5707196690684&lt;/D&gt;&lt;D xsi:type="xsd:double"&gt;22.3388870569747&lt;/D&gt;&lt;D xsi:type="xsd:double"&gt;22.7207141895735&lt;/D&gt;&lt;D xsi:type="xsd:double"&gt;22.9748409037613&lt;/D&gt;&lt;D xsi:type="xsd:double"&gt;23.7202873176142&lt;/D&gt;&lt;D xsi:type="xsd:double"&gt;24.6915388983347&lt;/D&gt;&lt;D xsi:type="xsd:double"&gt;25.2753786879671&lt;/D&gt;&lt;D xsi:type="xsd:double"&gt;25.4277242537666&lt;/D&gt;&lt;D xsi:type="xsd:double"&gt;24.8404377055561&lt;/D&gt;&lt;D xsi:type="xsd:double"&gt;26.0413182788816&lt;/D&gt;&lt;D xsi:type="xsd:double"&gt;25.6972104380638&lt;/D&gt;&lt;D xsi:type="xsd:double"&gt;26.1755926613487&lt;/D&gt;&lt;D xsi:type="xsd:double"&gt;25.9075376731227&lt;/D&gt;&lt;D xsi:type="xsd:double"&gt;24.6337673767663&lt;/D&gt;&lt;D xsi:type="xsd:double"&gt;29.1609192389396&lt;/D&gt;&lt;D xsi:type="xsd:double"&gt;31.1965313479556&lt;/D&gt;&lt;D xsi:type="xsd:double"&gt;31.0108072851197&lt;/D&gt;&lt;D xsi:type="xsd:double"&gt;31.9189685382122&lt;/D&gt;&lt;D xsi:type="xsd:double"&gt;32.9096426549881&lt;/D&gt;&lt;D xsi:type="xsd:double"&gt;31.8517495488484&lt;/D&gt;&lt;D xsi:type="xsd:double"&gt;32.448419462001&lt;/D&gt;&lt;D xsi:type="xsd:double"&gt;32.3674938497382&lt;/D&gt;&lt;D xsi:type="xsd:double"&gt;34.2882844266682&lt;/D&gt;&lt;D xsi:type="xsd:double"&gt;33.6491308665846&lt;/D&gt;&lt;D xsi:type="xsd:double"&gt;31.507983403909&lt;/D&gt;&lt;D xsi:type="xsd:double"&gt;32.4444841016723&lt;/D&gt;&lt;D xsi:type="xsd:double"&gt;32.4086247751355&lt;/D&gt;&lt;D xsi:type="xsd:double"&gt;32.3381342517209&lt;/D&gt;&lt;D xsi:type="xsd:double"&gt;33.8899687418391&lt;/D&gt;&lt;D xsi:type="xsd:double"&gt;33.5849621611838&lt;/D&gt;&lt;D xsi:type="xsd:double"&gt;34.9038787889588&lt;/D&gt;&lt;D xsi:type="xsd:double"&gt;34.5284490901611&lt;/D&gt;&lt;D xsi:type="xsd:double"&gt;33.8459688774979&lt;/D&gt;&lt;D xsi:type="xsd:double"&gt;32.0381133765713&lt;/D&gt;&lt;D xsi:type="xsd:double"&gt;32.3350031307077&lt;/D&gt;&lt;D xsi:type="xsd:double"&gt;29.1980819845493&lt;/D&gt;&lt;D xsi:type="xsd:double"&gt;28.9278478499414&lt;/D&gt;&lt;D xsi:type="xsd:double"&gt;29.7285002543662&lt;/D&gt;&lt;D xsi:type="xsd:double"&gt;28.7863079035269&lt;/D&gt;&lt;D xsi:type="xsd:double"&gt;27.3874199470282&lt;/D&gt;&lt;D xsi:type="xsd:double"&gt;25.5141466318988&lt;/D&gt;&lt;D xsi:type="xsd:double"&gt;26.1559707779372&lt;/D&gt;&lt;D xsi:type="xsd:double"&gt;27.2478814499332&lt;/D&gt;&lt;D xsi:type="xsd:double"&gt;24.0408495534085&lt;/D&gt;&lt;D xsi:type="xsd:double"&gt;23.8580433020827&lt;/D&gt;&lt;D xsi:type="xsd:double"&gt;23.522578598733&lt;/D&gt;&lt;D xsi:type="xsd:double"&gt;23.0087732743656&lt;/D&gt;&lt;D xsi:type="xsd:double"&gt;23.9324399865309&lt;/D&gt;&lt;D xsi:type="xsd:double"&gt;24.011013925857&lt;/D&gt;&lt;D xsi:type="xsd:double"&gt;23.3553361619522&lt;/D&gt;&lt;D xsi:type="xsd:double"&gt;23.6750083418395&lt;/D&gt;&lt;D xsi:type="xsd:double"&gt;23.440763453404&lt;/D&gt;&lt;D xsi:type="xsd:double"&gt;20.9845942104727&lt;/D&gt;&lt;D xsi:type="xsd:double"&gt;21.1493027001318&lt;/D&gt;&lt;D xsi:type="xsd:double"&gt;20.4031342210715&lt;/D&gt;&lt;D xsi:type="xsd:double"&gt;20.166110375564&lt;/D&gt;&lt;D xsi:type="xsd:double"&gt;19.4700678973234&lt;/D&gt;&lt;D xsi:type="xsd:double"&gt;20.4876775753476&lt;/D&gt;&lt;D xsi:type="xsd:double"&gt;22.9720675812572&lt;/D&gt;&lt;D xsi:type="xsd:double"&gt;22.2574811900195&lt;/D&gt;&lt;D xsi:type="xsd:double"&gt;22.4782074581876&lt;/D&gt;&lt;D xsi:type="xsd:double"&gt;25.2815236006387&lt;/D&gt;&lt;D xsi:type="xsd:double"&gt;25.3065966136872&lt;/D&gt;&lt;D xsi:type="xsd:double"&gt;24.9767849885702&lt;/D&gt;&lt;/FQL&gt;&lt;FQL&gt;&lt;Q&gt;WL-FDS^FG_PRICE_CHANGE(0,-1AM)&lt;/Q&gt;&lt;R&gt;1&lt;/R&gt;&lt;C&gt;1&lt;/C&gt;&lt;D xsi:type="xsd:double"&gt;-4.84805901984893&lt;/D&gt;&lt;/FQL&gt;&lt;FQL&gt;&lt;Q&gt;CPALM-FDS^MAX(FG_PRICE(0,-5AY))&lt;/Q&gt;&lt;R&gt;1&lt;/R&gt;&lt;C&gt;1&lt;/C&gt;&lt;D xsi:type="xsd:double"&gt;8163&lt;/D&gt;&lt;/FQL&gt;&lt;FQL&gt;&lt;Q&gt;COPP-FDS^MAX(FG_PRICE(0,-5AY))&lt;/Q&gt;&lt;R&gt;1&lt;/R&gt;&lt;C&gt;1&lt;/C&gt;&lt;D xsi:type="xsd:double"&gt;5.119&lt;/D&gt;&lt;/FQL&gt;&lt;FQL&gt;&lt;Q&gt;EWN^FG_PRICE_MAVG(0,,,,30)&lt;/Q&gt;&lt;R&gt;1&lt;/R&gt;&lt;C&gt;1&lt;/C&gt;&lt;D xsi:type="xsd:double"&gt;49.965332&lt;/D&gt;&lt;/FQL&gt;&lt;FQL&gt;&lt;Q&gt;EWQ^FG_TOTAL_RETURNC(0,-6AM)&lt;/Q&gt;&lt;R&gt;1&lt;/R&gt;&lt;C&gt;1&lt;/C&gt;&lt;D xsi:type="xsd:double"&gt;11.71571&lt;/D&gt;&lt;/FQL&gt;&lt;FQL&gt;&lt;Q&gt;EWJ^FMA_PCT_ABOVE_MAVG(200,0,,,,"PORTAGG")&lt;/Q&gt;&lt;R&gt;1&lt;/R&gt;&lt;C&gt;1&lt;/C&gt;&lt;D xsi:type="xsd:double"&gt;62.3853211009174&lt;/D&gt;&lt;/FQL&gt;&lt;FQL&gt;&lt;Q&gt;URTH^FMA_COS_UP("EPS","1M",+1,0,,,"PORTAGG","MEANR")&lt;/Q&gt;&lt;R&gt;1&lt;/R&gt;&lt;C&gt;1&lt;/C&gt;&lt;D xsi:type="xsd:double"&gt;711&lt;/D&gt;&lt;/FQL&gt;&lt;FQL&gt;&lt;Q&gt;EWG^FMA_RBICS_REV_CURRENT(30, LOC, "PORTAGG")&lt;/Q&gt;&lt;R&gt;1&lt;/R&gt;&lt;C&gt;1&lt;/C&gt;&lt;D xsi:type="xsd:double"&gt;23.085749566206&lt;/D&gt;&lt;/FQL&gt;&lt;FQL&gt;&lt;Q&gt;EWQ^FMA_PE(NTMA,0,,,"PORTAGG","MEANR")&lt;/Q&gt;&lt;R&gt;1&lt;/R&gt;&lt;C&gt;1&lt;/C&gt;&lt;D xsi:type="xsd:double"&gt;14.1656197209554&lt;/D&gt;&lt;/FQL&gt;&lt;FQL&gt;&lt;Q&gt;TRYTW10Y-FDS^FG_YIELD(-10AY,0,Y,,"YTM")&lt;/Q&gt;&lt;R&gt;10&lt;/R&gt;&lt;C&gt;1&lt;/C&gt;&lt;D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xsi:type="xsd:double"&gt;1.211&lt;/D&gt;&lt;/FQL&gt;&lt;FQL&gt;&lt;Q&gt;USDAUD^FG_PRICE_CHANGE(0,-1AM)&lt;/Q&gt;&lt;R&gt;1&lt;/R&gt;&lt;C&gt;1&lt;/C&gt;&lt;D xsi:type="xsd:double"&gt;-2.3607194&lt;/D&gt;&lt;/FQL&gt;&lt;FQL&gt;&lt;Q&gt;EWN^P_PRICE_RETURNS_PR('52W',2,-10AY,0,AM)&lt;/Q&gt;&lt;R&gt;121&lt;/R&gt;&lt;C&gt;1&lt;/C&gt;&lt;D xsi:type="xsd:double"&gt;18.22903&lt;/D&gt;&lt;D xsi:type="xsd:double"&gt;25.758791&lt;/D&gt;&lt;D xsi:type="xsd:double"&gt;7.6249957&lt;/D&gt;&lt;D xsi:type="xsd:double"&gt;10.342562&lt;/D&gt;&lt;D xsi:type="xsd:double"&gt;3.6387205&lt;/D&gt;&lt;D xsi:type="xsd:double"&gt;-2.9666722&lt;/D&gt;&lt;D xsi:type="xsd:double"&gt;0.87025166&lt;/D&gt;&lt;D xsi:type="xsd:double"&gt;-5.7940125&lt;/D&gt;&lt;D xsi:type="xsd:double"&gt;-0.9115875&lt;/D&gt;&lt;D xsi:type="xsd:double"&gt;2.1462917&lt;/D&gt;&lt;D xsi:type="xsd:double"&gt;-1.1000216&lt;/D&gt;&lt;D xsi:type="xsd:double"&gt;3.8164139&lt;/D&gt;&lt;D xsi:type="xsd:double"&gt;4.910648&lt;/D&gt;&lt;D xsi:type="xsd:double"&gt;1.8809795&lt;/D&gt;&lt;D xsi:type="xsd:double"&gt;11.588025&lt;/D&gt;&lt;D xsi:type="xsd:double"&gt;0.98752975&lt;/D&gt;&lt;D xsi:type="xsd:double"&gt;-1.588124&lt;/D&gt;&lt;D xsi:type="xsd:double"&gt;8.188462&lt;/D&gt;&lt;D xsi:type="xsd:double"&gt;0.7904291&lt;/D&gt;&lt;D xsi:type="xsd:double"&gt;1.5233636&lt;/D&gt;&lt;D xsi:type="xsd:double"&gt;-2.136159&lt;/D&gt;&lt;D xsi:type="xsd:double"&gt;-9.537477&lt;/D&gt;&lt;D xsi:type="xsd:double"&gt;-0.9381294&lt;/D&gt;&lt;D xsi:type="xsd:double"&gt;-3.7667215&lt;/D&gt;&lt;D xsi:type="xsd:double"&gt;-4.559934&lt;/D&gt;&lt;D xsi:type="xsd:double"&gt;-8.021993&lt;/D&gt;&lt;D xsi:type="xsd:double"&gt;-6.758732&lt;/D&gt;&lt;D xsi:type="xsd:double"&gt;3.6131263&lt;/D&gt;&lt;D xsi:type="xsd:double"&gt;9.310616&lt;/D&gt;&lt;D xsi:type="xsd:double"&gt;-0.053286552&lt;/D&gt;&lt;D xsi:type="xsd:double"&gt;-2.8830647&lt;/D&gt;&lt;D xsi:type="xsd:double"&gt;2.3715615&lt;/D&gt;&lt;D xsi:type="xsd:double"&gt;8.776689&lt;/D&gt;&lt;D xsi:type="xsd:double"&gt;15.0491&lt;/D&gt;&lt;D xsi:type="xsd:double"&gt;11.984146&lt;/D&gt;&lt;D xsi:type="xsd:double"&gt;16.296112&lt;/D&gt;&lt;D xsi:type="xsd:double"&gt;21.480453&lt;/D&gt;&lt;D xsi:type="xsd:double"&gt;28.129732&lt;/D&gt;&lt;D xsi:type="xsd:double"&gt;30.887997&lt;/D&gt;&lt;D xsi:type="xsd:double"&gt;26.470589&lt;/D&gt;&lt;D xsi:type="xsd:double"&gt;30.671036&lt;/D&gt;&lt;D xsi:type="xsd:double"&gt;32.77011&lt;/D&gt;&lt;D xsi:type="xsd:double"&gt;37.38979&lt;/D&gt;&lt;D xsi:type="xsd:double"&gt;34.362614&lt;/D&gt;&lt;D xsi:type="xsd:double"&gt;38.132072&lt;/D&gt;&lt;D xsi:type="xsd:double"&gt;27.238571&lt;/D&gt;&lt;D xsi:type="xsd:double"&gt;20.895588&lt;/D&gt;&lt;D xsi:type="xsd:double"&gt;16.4814&lt;/D&gt;&lt;D xsi:type="xsd:double"&gt;8.366513&lt;/D&gt;&lt;D xsi:type="xsd:double"&gt;8.1945305&lt;/D&gt;&lt;D xsi:type="xsd:double"&gt;5.4596663&lt;/D&gt;&lt;D xsi:type="xsd:double"&gt;3.535688&lt;/D&gt;&lt;D xsi:type="xsd:double"&gt;-0.693202&lt;/D&gt;&lt;D xsi:type="xsd:double"&gt;-10.4367075&lt;/D&gt;&lt;D xsi:type="xsd:double"&gt;-7.846892&lt;/D&gt;&lt;D xsi:type="xsd:double"&gt;-15.359479&lt;/D&gt;&lt;D xsi:type="xsd:double"&gt;-13.823682&lt;/D&gt;&lt;D xsi:type="xsd:double"&gt;-4.850352&lt;/D&gt;&lt;D xsi:type="xsd:double"&gt;-4.528016&lt;/D&gt;&lt;D xsi:type="xsd:double"&gt;0.87623596&lt;/D&gt;&lt;D xsi:type="xsd:double"&gt;-3.4216404&lt;/D&gt;&lt;D xsi:type="xsd:double"&gt;5.1014066&lt;/D&gt;&lt;D xsi:type="xsd:double"&gt;0.06569624&lt;/D&gt;&lt;D xsi:type="xsd:double"&gt;0.5555153&lt;/D&gt;&lt;D xsi:type="xsd:double"&gt;6.9443464&lt;/D&gt;&lt;D xsi:type="xsd:double"&gt;18.519842&lt;/D&gt;&lt;D xsi:type="xsd:double"&gt;17.68278&lt;/D&gt;&lt;D xsi:type="xsd:double"&gt;32.45555&lt;/D&gt;&lt;D xsi:type="xsd:double"&gt;18.715454&lt;/D&gt;&lt;D xsi:type="xsd:double"&gt;5.658746&lt;/D&gt;&lt;D xsi:type="xsd:double"&gt;-10.541969&lt;/D&gt;&lt;D xsi:type="xsd:double"&gt;-7.7498856&lt;/D&gt;&lt;D xsi:type="xsd:double"&gt;6.32571&lt;/D&gt;&lt;D xsi:type="xsd:double"&gt;7.138896&lt;/D&gt;&lt;D xsi:type="xsd:double"&gt;11.269247&lt;/D&gt;&lt;D xsi:type="xsd:double"&gt;16.661108&lt;/D&gt;&lt;D xsi:type="xsd:double"&gt;12.191116&lt;/D&gt;&lt;D xsi:type="xsd:double"&gt;6.9336295&lt;/D&gt;&lt;D xsi:type="xsd:double"&gt;20.56595&lt;/D&gt;&lt;D xsi:type="xsd:double"&gt;23.225773&lt;/D&gt;&lt;D xsi:type="xsd:double"&gt;28.461218&lt;/D&gt;&lt;D xsi:type="xsd:double"&gt;40.022552&lt;/D&gt;&lt;D xsi:type="xsd:double"&gt;79.21876&lt;/D&gt;&lt;D xsi:type="xsd:double"&gt;70.473656&lt;/D&gt;&lt;D xsi:type="xsd:double"&gt;64.34241&lt;/D&gt;&lt;D xsi:type="xsd:double"&gt;49.588226&lt;/D&gt;&lt;D xsi:type="xsd:double"&gt;46.16245&lt;/D&gt;&lt;D xsi:type="xsd:double"&gt;51.31556&lt;/D&gt;&lt;D xsi:type="xsd:double"&gt;42.802856&lt;/D&gt;&lt;D xsi:type="xsd:double"&gt;53.17757&lt;/D&gt;&lt;D xsi:type="xsd:double"&gt;27.621292&lt;/D&gt;&lt;D xsi:type="xsd:double"&gt;22.740162&lt;/D&gt;&lt;D xsi:type="xsd:double"&gt;10.777807&lt;/D&gt;&lt;D xsi:type="xsd:double"&gt;-1.6943455&lt;/D&gt;&lt;D xsi:type="xsd:double"&gt;-7.326192&lt;/D&gt;&lt;D xsi:type="xsd:double"&gt;-20.70958&lt;/D&gt;&lt;D xsi:type="xsd:double"&gt;-19.394928&lt;/D&gt;&lt;D xsi:type="xsd:double"&gt;-26.416475&lt;/D&gt;&lt;D xsi:type="xsd:double"&gt;-22.940372&lt;/D&gt;&lt;D xsi:type="xsd:double"&gt;-34.20637&lt;/D&gt;&lt;D xsi:type="xsd:double"&gt;-36.88223&lt;/D&gt;&lt;D xsi:type="xsd:double"&gt;-36.08011</t>
        </r>
      </text>
    </comment>
    <comment ref="A9" authorId="0" shapeId="0" xr:uid="{C301102F-89B3-44DA-8272-72FF36F74FAD}">
      <text>
        <r>
          <rPr>
            <b/>
            <sz val="9"/>
            <color indexed="81"/>
            <rFont val="Tahoma"/>
            <charset val="1"/>
          </rPr>
          <t>&lt;/D&gt;&lt;D xsi:type="xsd:double"&gt;-19.387192&lt;/D&gt;&lt;D xsi:type="xsd:double"&gt;-24.333632&lt;/D&gt;&lt;D xsi:type="xsd:double"&gt;-7.288897&lt;/D&gt;&lt;D xsi:type="xsd:double"&gt;-2.893263&lt;/D&gt;&lt;D xsi:type="xsd:double"&gt;1.6252041&lt;/D&gt;&lt;D xsi:type="xsd:double"&gt;10.6161&lt;/D&gt;&lt;D xsi:type="xsd:double"&gt;8.081924&lt;/D&gt;&lt;D xsi:type="xsd:double"&gt;25.603724&lt;/D&gt;&lt;D xsi:type="xsd:double"&gt;19.477404&lt;/D&gt;&lt;D xsi:type="xsd:double"&gt;22.507822&lt;/D&gt;&lt;D xsi:type="xsd:double"&gt;26.503313&lt;/D&gt;&lt;D xsi:type="xsd:double"&gt;16.350365&lt;/D&gt;&lt;D xsi:type="xsd:double"&gt;10.101164&lt;/D&gt;&lt;D xsi:type="xsd:double"&gt;20.292355&lt;/D&gt;&lt;D xsi:type="xsd:double"&gt;9.947025&lt;/D&gt;&lt;D xsi:type="xsd:double"&gt;19.213438&lt;/D&gt;&lt;D xsi:type="xsd:double"&gt;24.658382&lt;/D&gt;&lt;D xsi:type="xsd:double"&gt;15.003896&lt;/D&gt;&lt;D xsi:type="xsd:double"&gt;24.56186&lt;/D&gt;&lt;/FQL&gt;&lt;FQL&gt;&lt;Q&gt;EWN^FMA_DIV_YLD(NTMA,-10AY,0,AM,"PORTAGG","MEANR")&lt;/Q&gt;&lt;R&gt;121&lt;/R&gt;&lt;C&gt;1&lt;/C&gt;&lt;D xsi:type="xsd:double"&gt;2.808355927194&lt;/D&gt;&lt;D xsi:type="xsd:double"&gt;2.80355832673769&lt;/D&gt;&lt;D xsi:type="xsd:double"&gt;2.95642155780086&lt;/D&gt;&lt;D xsi:type="xsd:double"&gt;2.9875368558412&lt;/D&gt;&lt;D xsi:type="xsd:double"&gt;3.00023113365316&lt;/D&gt;&lt;D xsi:type="xsd:double"&gt;3.10167786383842&lt;/D&gt;&lt;D xsi:type="xsd:double"&gt;3.01764484263218&lt;/D&gt;&lt;D xsi:type="xsd:double"&gt;3.07635052922722&lt;/D&gt;&lt;D xsi:type="xsd:double"&gt;2.90003273270605&lt;/D&gt;&lt;D xsi:type="xsd:double"&gt;2.71372282178949&lt;/D&gt;&lt;D xsi:type="xsd:double"&gt;2.68769544245526&lt;/D&gt;&lt;D xsi:type="xsd:double"&gt;2.74566955863343&lt;/D&gt;&lt;D xsi:type="xsd:double"&gt;2.8274940470512&lt;/D&gt;&lt;D xsi:type="xsd:double"&gt;2.97790319327714&lt;/D&gt;&lt;D xsi:type="xsd:double"&gt;2.8900662201743&lt;/D&gt;&lt;D xsi:type="xsd:double"&gt;3.37946295247362&lt;/D&gt;&lt;D xsi:type="xsd:double"&gt;3.59296438312646&lt;/D&gt;&lt;D xsi:type="xsd:double"&gt;3.25748940178752&lt;/D&gt;&lt;D xsi:type="xsd:double"&gt;3.11359915525143&lt;/D&gt;&lt;D xsi:type="xsd:double"&gt;3.15784476268672&lt;/D&gt;&lt;D xsi:type="xsd:double"&gt;3.22051591030275&lt;/D&gt;&lt;D xsi:type="xsd:double"&gt;3.35672741714485&lt;/D&gt;&lt;D xsi:type="xsd:double"&gt;3.30194979018846&lt;/D&gt;&lt;D xsi:type="xsd:double"&gt;3.3707402030184&lt;/D&gt;&lt;D xsi:type="xsd:double"&gt;3.2715401917732&lt;/D&gt;&lt;D xsi:type="xsd:double"&gt;3.34461512728337&lt;/D&gt;&lt;D xsi:type="xsd:double"&gt;3.19804645988192&lt;/D&gt;&lt;D xsi:type="xsd:double"&gt;3.11323941830256&lt;/D&gt;&lt;D xsi:type="xsd:double"&gt;3.11899711258538&lt;/D&gt;&lt;D xsi:type="xsd:double"&gt;3.12408717718557&lt;/D&gt;&lt;D xsi:type="xsd:double"&gt;3.11207312350261&lt;/D&gt;&lt;D xsi:type="xsd:double"&gt;2.9618206119659&lt;/D&gt;&lt;D xsi:type="xsd:double"&gt;3.0048820131218&lt;/D&gt;&lt;D xsi:type="xsd:double"&gt;2.86927841261977&lt;/D&gt;&lt;D xsi:type="xsd:double"&gt;2.75918279903228&lt;/D&gt;&lt;D xsi:type="xsd:double"&gt;2.73730496310731&lt;/D&gt;&lt;D xsi:type="xsd:double"&gt;2.74375010273809&lt;/D&gt;&lt;D xsi:type="xsd:double"&gt;2.81837747248312&lt;/D&gt;&lt;D xsi:type="xsd:double"&gt;2.7691446010978&lt;/D&gt;&lt;D xsi:type="xsd:double"&gt;2.84004537420512&lt;/D&gt;&lt;D xsi:type="xsd:double"&gt;2.78837444839308&lt;/D&gt;&lt;D xsi:type="xsd:double"&gt;2.73555684184786&lt;/D&gt;&lt;D xsi:type="xsd:double"&gt;2.83587941356688&lt;/D&gt;&lt;D xsi:type="xsd:double"&gt;2.85753484013009&lt;/D&gt;&lt;D xsi:type="xsd:double"&gt;2.81269334222639&lt;/D&gt;&lt;D xsi:type="xsd:double"&gt;2.93299424388678&lt;/D&gt;&lt;D xsi:type="xsd:double"&gt;2.98611007049026&lt;/D&gt;&lt;D xsi:type="xsd:double"&gt;2.93154596374532&lt;/D&gt;&lt;D xsi:type="xsd:double"&gt;2.93767375069777&lt;/D&gt;&lt;D xsi:type="xsd:double"&gt;2.95013587037403&lt;/D&gt;&lt;D xsi:type="xsd:double"&gt;2.8485680986598&lt;/D&gt;&lt;D xsi:type="xsd:double"&gt;2.9031838112027&lt;/D&gt;&lt;D xsi:type="xsd:double"&gt;3.01457564624423&lt;/D&gt;&lt;D xsi:type="xsd:double"&gt;3.20756189339755&lt;/D&gt;&lt;D xsi:type="xsd:double"&gt;3.22587547233236&lt;/D&gt;&lt;D xsi:type="xsd:double"&gt;3.46137940498857&lt;/D&gt;&lt;D xsi:type="xsd:double"&gt;3.28101864813&lt;/D&gt;&lt;D xsi:type="xsd:double"&gt;3.12172646058908&lt;/D&gt;&lt;D xsi:type="xsd:double"&gt;3.05680172137147&lt;/D&gt;&lt;D xsi:type="xsd:double"&gt;2.94643803110618&lt;/D&gt;&lt;D xsi:type="xsd:double"&gt;3.17470130173706&lt;/D&gt;&lt;D xsi:type="xsd:double"&gt;3.00769132725033&lt;/D&gt;&lt;D xsi:type="xsd:double"&gt;2.90690978601725&lt;/D&gt;&lt;D xsi:type="xsd:double"&gt;2.96896497406514&lt;/D&gt;&lt;D xsi:type="xsd:double"&gt;2.73157424193488&lt;/D&gt;&lt;D xsi:type="xsd:double"&gt;2.75906375665562&lt;/D&gt;&lt;D xsi:type="xsd:double"&gt;2.65154040471967&lt;/D&gt;&lt;D xsi:type="xsd:double"&gt;2.60018118577366&lt;/D&gt;&lt;D xsi:type="xsd:double"&gt;2.68424222919515&lt;/D&gt;&lt;D xsi:type="xsd:double"&gt;2.87032197535569&lt;/D&gt;&lt;D xsi:type="xsd:double"&gt;3.28144530517435&lt;/D&gt;&lt;D xsi:type="xsd:double"&gt;2.7022135035147&lt;/D&gt;&lt;D xsi:type="xsd:double"&gt;2.47985800973676&lt;/D&gt;&lt;D xsi:type="xsd:double"&gt;2.37776413011121&lt;/D&gt;&lt;D xsi:type="xsd:double"&gt;2.42043405901877&lt;/D&gt;&lt;D xsi:type="xsd:double"&gt;2.32820800111064&lt;/D&gt;&lt;D xsi:type="xsd:double"&gt;2.3606855526197&lt;/D&gt;&lt;D xsi:type="xsd:double"&gt;2.41361595395544&lt;/D&gt;&lt;D xsi:type="xsd:double"&gt;2.00619334061035&lt;/D&gt;&lt;D xsi:type="xsd:double"&gt;1.96818147987341&lt;/D&gt;&lt;D xsi:type="xsd:double"&gt;2.02789519970178&lt;/D&gt;&lt;D xsi:type="xsd:double"&gt;2.00890154501115&lt;/D&gt;&lt;D xsi:type="xsd:double"&gt;1.95074146238646&lt;/D&gt;&lt;D xsi:type="xsd:double"&gt;1.96312560242582&lt;/D&gt;&lt;D xsi:type="xsd:double"&gt;2.00382871388999&lt;/D&gt;&lt;D xsi:type="xsd:double"&gt;2.01017447938951&lt;/D&gt;&lt;D xsi:type="xsd:double"&gt;1.94889365224805&lt;/D&gt;&lt;D xsi:type="xsd:double"&gt;1.81851626725315&lt;/D&gt;&lt;D xsi:type="xsd:double"&gt;1.96227892563856&lt;/D&gt;&lt;D xsi:type="xsd:double"&gt;1.90359335067005&lt;/D&gt;&lt;D xsi:type="xsd:double"&gt;1.97905872833459&lt;/D&gt;&lt;D xsi:type="xsd:double"&gt;1.93656613675911&lt;/D&gt;&lt;D xsi:type="xsd:double"&gt;2.18750386086564&lt;/D&gt;&lt;D xsi:type="xsd:double"&gt;2.3362342781575&lt;/D&gt;&lt;D xsi:type="xsd:double"&gt;2.25177868406172&lt;/D&gt;&lt;D xsi:type="xsd:double"&gt;2.38687997099843&lt;/D&gt;&lt;D xsi:type="xsd:double"&gt;2.52162765094897&lt;/D&gt;&lt;D xsi:type="xsd:double"&gt;3.45784973412589&lt;/D&gt;&lt;D xsi:type="xsd:double"&gt;3.050917160333&lt;/D&gt;&lt;D xsi:type="xsd:double"&gt;3.76603883480928&lt;/D&gt;&lt;D xsi:type="xsd:double"&gt;3.07908632764243&lt;/D&gt;&lt;D xsi:type="xsd:double"&gt;2.93865660970889&lt;/D&gt;&lt;D xsi:type="xsd:double"&gt;2.64370347474336&lt;/D&gt;&lt;D xsi:type="xsd:double"&gt;2.81744297013829&lt;/D&gt;&lt;D xsi:type="xsd:double"&gt;2.56015207249337&lt;/D&gt;&lt;D xsi:type="xsd:double"&gt;2.67094595739118&lt;/D&gt;&lt;D xsi:type="xsd:double"&gt;2.63452481607788&lt;/D&gt;&lt;D xsi:type="xsd:double"&gt;2.68570320957914&lt;/D&gt;&lt;D xsi:type="xsd:double"&gt;2.70314371877835&lt;/D&gt;&lt;D xsi:type="xsd:double"&gt;2.69580855444124&lt;/D&gt;&lt;D xsi:type="xsd:double"&gt;2.63409810902571&lt;/D&gt;&lt;D xsi:type="xsd:double"&gt;2.88392317129658&lt;/D&gt;&lt;D xsi:type="xsd:double"&gt;3.03618246704263&lt;/D&gt;&lt;D xsi:type="xsd:double"&gt;3.09322987512415&lt;/D&gt;&lt;D xsi:type="xsd:double"&gt;2.79617620044554&lt;/D&gt;&lt;D xsi:type="xsd:double"&gt;2.68322512018671&lt;/D&gt;&lt;D xsi:type="xsd:double"&gt;2.58471908668228&lt;/D&gt;&lt;D xsi:type="xsd:double"&gt;2.48596233779965&lt;/D&gt;&lt;D xsi:type="xsd:double"&gt;2.51934391403883&lt;/D&gt;&lt;D xsi:type="xsd:double"&gt;2.59161900106332&lt;/D&gt;&lt;D xsi:type="xsd:double"&gt;2.50136950481345&lt;/D&gt;&lt;/FQL&gt;&lt;FQL&gt;&lt;Q&gt;COPP-FDS^FG_PRICE(0)/MAX(FG_PRICE(0,-1AY))&lt;/Q&gt;&lt;R&gt;1&lt;/R&gt;&lt;C&gt;1&lt;/C&gt;&lt;D xsi:type="xsd:double"&gt;0.900566516897832&lt;/D&gt;&lt;/FQL&gt;&lt;FQL&gt;&lt;Q&gt;URTH^PERCENT_CHANGE(FMA_EPS(+1,0,,,,"PORTAGG","MEAN"),FMA_EPS(+1,-3AM,,,,"PORTAGG","MEAN"))&lt;/Q&gt;&lt;R&gt;1&lt;/R&gt;&lt;C&gt;1&lt;/C&gt;&lt;D xsi:type="xsd:double"&gt;0.550209070641202&lt;/D&gt;&lt;/FQL&gt;&lt;FQL&gt;&lt;Q&gt;EWU^P_PRICE(0)/P_PRICE_HIGH_PR(0,,,,,,"PRICE","INTRA","52W")&lt;/Q&gt;&lt;R&gt;1&lt;/R&gt;&lt;C&gt;1&lt;/C&gt;&lt;D xsi:type="xsd:double"&gt;0.9878961&lt;/D&gt;&lt;/FQL&gt;&lt;FQL&gt;&lt;Q&gt;EWA^FG_TOTAL_RETURNC(0,-3AM)&lt;/Q&gt;&lt;R&gt;1&lt;/R&gt;&lt;C&gt;1&lt;/C&gt;&lt;D xsi:type="xsd:double"&gt;3.0518413&lt;/D&gt;&lt;/FQL&gt;&lt;FQL&gt;&lt;Q&gt;QQQ^P_PRICE(0)/P_PRICE_HIGH_PR(0,,,USD,,,"PRICE","INTRA","52W")&lt;/Q&gt;&lt;R&gt;1&lt;/R&gt;&lt;C&gt;1&lt;/C&gt;&lt;D xsi:type="xsd:double"&gt;0.9785705&lt;/D&gt;&lt;/FQL&gt;&lt;FQL&gt;&lt;Q&gt;TRYAE10Y-FDS^FG_YIELD(-10AY,0,Y,,"YTM")&lt;/Q&gt;&lt;R&gt;10&lt;/R&gt;&lt;C&gt;1&lt;/C&gt;&lt;D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xsi:type="xsd:string"&gt;@NA&lt;/D&gt;&lt;/FQL&gt;&lt;FQL&gt;&lt;Q&gt;EWG^FG_PRICE_MAVG(0,,,,30)&lt;/Q&gt;&lt;R&gt;1&lt;/R&gt;&lt;C&gt;1&lt;/C&gt;&lt;D xsi:type="xsd:double"&gt;31.563&lt;/D&gt;&lt;/FQL&gt;&lt;FQL&gt;&lt;Q&gt;FXI^PERCENT_CHANGE(FMA_EPS(+1,0,,,,"PORTAGG","MEAN"),FMA_EPS(+1,-1AM,,,,"PORTAGG","MEAN"))&lt;/Q&gt;&lt;R&gt;1&lt;/R&gt;&lt;C&gt;1&lt;/C&gt;&lt;D xsi:type="xsd:double"&gt;2.36359873391827&lt;/D&gt;&lt;/FQL&gt;&lt;FQL&gt;&lt;Q&gt;QQQ^FMA_COS_DOWN("EPS","1M",+1,0,,,"PORTAGG","MEANR")&lt;/Q&gt;&lt;R&gt;1&lt;/R&gt;&lt;C&gt;1&lt;/C&gt;&lt;D xsi:type="xsd:double"&gt;33&lt;/D&gt;&lt;/FQL&gt;&lt;FQL&gt;&lt;Q&gt;CAGDPY@IT^EE_ACTUAL_ANNUAL(MED,+1)&lt;/Q&gt;&lt;R&gt;1&lt;/R&gt;&lt;C&gt;1&lt;/C&gt;&lt;D xsi:type="xsd:double"&gt;0.9&lt;/D&gt;&lt;/FQL&gt;&lt;FQL&gt;&lt;Q&gt;CC_CH^FG_COMPANY_NAME&lt;/Q&gt;&lt;R&gt;1&lt;/R&gt;&lt;C&gt;1&lt;/C&gt;&lt;D xsi:type="xsd:string"&gt;Switzerland&lt;/D&gt;&lt;/FQL&gt;&lt;FQL&gt;&lt;Q&gt;USDCHF^STD(FG_PRICE_CHANGE(0,-3AY,M))&lt;/Q&gt;&lt;R&gt;1&lt;/R&gt;&lt;C&gt;1&lt;/C&gt;&lt;D xsi:type="xsd:double"&gt;2.43689228147449&lt;/D&gt;&lt;/FQL&gt;&lt;FQL&gt;&lt;Q&gt;USDGBP^STD(FG_PRICE_CHANGE(0,-1AY,AM))&lt;/Q&gt;&lt;R&gt;1&lt;/R&gt;&lt;C&gt;1&lt;/C&gt;&lt;D xsi:type="xsd:double"&gt;2.01260771274324&lt;/D&gt;&lt;/FQL&gt;&lt;FQL&gt;&lt;Q&gt;EWN^FMA_EPS(NTMA,-20AY,0,CY,,"PORTAGG","MEANR")&lt;/Q&gt;&lt;R&gt;20&lt;/R&gt;&lt;C&gt;1&lt;/C&gt;&lt;D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xsi:type="xsd:double"&gt;2.95560750497075&lt;/D&gt;&lt;/FQL&gt;&lt;FQL&gt;&lt;Q&gt;ENZL^JULIAN(P_PRICE_RETURNS_PR('52W',2,-10AY,0,AM).DATES)&lt;/Q&gt;&lt;R&gt;121&lt;/R&gt;&lt;C&gt;1&lt;/C&gt;&lt;D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xsi:type="xsd:long"&gt;43707&lt;/D&gt;&lt;D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xsi:type="xsd:long"&gt;44895&lt;/D&gt;&lt;D xsi:type="xsd:long"&gt;44925&lt;/D&gt;&lt;D xsi:type="xsd:long"&gt;44957&lt;/D&gt;&lt;D xsi:type="xsd:long"&gt;44985&lt;/D&gt;&lt;D xsi:type="xsd:long"&gt;45016&lt;/D&gt;&lt;D xsi:type="xsd:long"&gt;45044&lt;/D&gt;&lt;D xsi:type="xsd:long"&gt;45077&lt;/D&gt;&lt;D xsi:type="xsd:long"&gt;45107&lt;/D&gt;&lt;D xsi:type="xsd:long"&gt;45138&lt;/D&gt;&lt;D xsi:type="xsd:long"&gt;45169&lt;/D&gt;&lt;D xsi:type="xsd:long"&gt;45198&lt;/D&gt;&lt;D xsi:type="xsd:long"&gt;45230&lt;/D&gt;&lt;D xsi:type="xsd:long"&gt;45260&lt;/D&gt;&lt;D xsi:type="xsd:long"&gt;45289&lt;/D&gt;&lt;D xsi:type="xsd:long"&gt;45322&lt;/D&gt;&lt;D xsi:type="xsd:long"&gt;45351&lt;/D&gt;&lt;D xsi:type="xsd:long"&gt;45379&lt;/D&gt;&lt;D xsi:type="xsd:long"&gt;45412&lt;/D&gt;&lt;D xsi:type="xsd:long"&gt;45443&lt;/D&gt;&lt;/FQL&gt;&lt;FQL&gt;&lt;Q&gt;W-FDS^FG_PRICE_CHANGE(0,-6AM)&lt;/Q&gt;&lt;R&gt;1&lt;/R&gt;&lt;C&gt;1&lt;/C&gt;&lt;D xsi:type="xsd:double"&gt;18.9829022358615&lt;/D&gt;&lt;/FQL&gt;&lt;FQL&gt;&lt;Q&gt;TIOS-FDS^FG_PRICE_MAVG(0,,,,30)&lt;/Q&gt;&lt;R&gt;1&lt;/R&gt;&lt;C&gt;1&lt;/C&gt;&lt;D xsi:type="xsd:double"&gt;115.35433&lt;/D&gt;&lt;/FQL&gt;&lt;FQL&gt;&lt;Q&gt;EWU^FG_PRICE_MAVG(0,,,,200)&lt;/Q&gt;&lt;R&gt;1&lt;/R&gt;&lt;C&gt;1&lt;/C&gt;&lt;D xsi:type="xsd:double"&gt;32.87245&lt;/D&gt;&lt;/FQL&gt;&lt;FQL&gt;&lt;Q&gt;SPY^PERCENT_CHANGE(FMA_EPS(+1,0,,,,"PORTAGG","MEAN"),FMA_EPS(+1,-3AM,,,,"PORTAGG","MEAN"))&lt;/Q&gt;&lt;R&gt;1&lt;/R&gt;&lt;C&gt;1&lt;/C&gt;&lt;D xsi:type="xsd:double"&gt;0.420072129603514&lt;/D&gt;&lt;/FQL&gt;&lt;FQL&gt;&lt;Q&gt;EWL^P_PRICE(0)/P_PRICE_HIGH_PR(0,,,,,,"PRICE","INTRA","52W")&lt;/Q&gt;&lt;R&gt;1&lt;/R&gt;&lt;C&gt;1&lt;/C&gt;&lt;D xsi:type="xsd:double"&gt;0.9995933&lt;/D&gt;&lt;/FQL&gt;&lt;FQL&gt;&lt;Q&gt;REFNZOCR-FDS^PROPER_NAME(0,,,"SECURITY","NAME")&lt;/Q&gt;&lt;R&gt;1&lt;/R&gt;&lt;C&gt;1&lt;/C&gt;&lt;D xsi:type="xsd:string"&gt;New Zealand Official Cash Rate&lt;/D&gt;&lt;/FQL&gt;&lt;FQL&gt;&lt;Q&gt;EWD^FMA_PE(NTMA,0,,,"PORTAGG","MEANR")&lt;/Q&gt;&lt;R&gt;1&lt;/R&gt;&lt;C&gt;1&lt;/C&gt;&lt;D xsi:type="xsd:double"&gt;16.0470351324523&lt;/D&gt;&lt;/FQL&gt;&lt;FQL&gt;&lt;Q&gt;EWJ^FMA_EVAL_EBITDA(NTMA,0,,,"PORTAGG","MEANR")&lt;/Q&gt;&lt;R&gt;1&lt;/R&gt;&lt;C&gt;1&lt;/C&gt;&lt;D xsi:type="xsd:double"&gt;10.4612935564899&lt;/D&gt;&lt;/FQL&gt;&lt;FQL&gt;&lt;Q&gt;TLT^P_PRICE(0)/P_PRICE_HIGH_PR(0,,,USD,,,"PRICE","INTRA","52W")&lt;/Q&gt;&lt;R&gt;1&lt;/R&gt;&lt;C&gt;1&lt;/C&gt;&lt;D xsi:type="xsd:double"&gt;0.8701299&lt;/D&gt;&lt;/FQL&gt;&lt;FQL&gt;&lt;Q&gt;GLD^FG_TOTAL_RETURNC(0,-3AM)&lt;/Q&gt;&lt;R&gt;1&lt;/R&gt;&lt;C&gt;1&lt;/C&gt;&lt;D xsi:type="xsd:double"&gt;13.728809&lt;/D&gt;&lt;/FQL&gt;&lt;FQL&gt;&lt;Q&gt;QQQ^FMA_ROE(NTMA,-20AY,NOW,FY,"PORTAGG","MEANR")&lt;/Q&gt;&lt;R&gt;20&lt;/R&gt;&lt;C&gt;1&lt;/C&gt;&lt;D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xsi:type="xsd:double"&gt;25.3199155966171&lt;/D&gt;&lt;/FQL&gt;&lt;FQL&gt;&lt;Q&gt;TRYCA10Y-FDS^FG_YIELD(-10AY,0,Y,,"YTM")&lt;/Q&gt;&lt;R&gt;10&lt;/R&gt;&lt;C&gt;1&lt;/C&gt;&lt;D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xsi:type="xsd:double"&gt;3.0987&lt;/D&gt;&lt;/FQL&gt;&lt;FQL&gt;&lt;Q&gt;USDEUR^FG_COMPANY_NAME&lt;/Q&gt;&lt;R&gt;1&lt;/R&gt;&lt;C&gt;1&lt;/C&gt;&lt;D xsi:type="xsd:string"&gt;Euro per U.S. Dollar&lt;/D&gt;&lt;/FQL&gt;&lt;FQL&gt;&lt;Q&gt;ENZL^JULIAN(FMA_DIV_YLD(LTMA,-10AY,0,AM,"PORTAGG","MEANR").DATES)&lt;/Q&gt;&lt;R&gt;121&lt;/R&gt;&lt;C&gt;1&lt;/C&gt;&lt;D xsi:type="xsd:long"&gt;41789&lt;/D&gt;&lt;D xsi:type="xsd:long"&gt;41820&lt;/D&gt;&lt;D xsi:type="xsd:long"&gt;41851&lt;/D&gt;&lt;D xsi:type="xsd:long"&gt;41880&lt;/D&gt;&lt;D xsi:type="xsd:long"&gt;41912&lt;/D&gt;&lt;D xsi:type="xsd:long"&gt;41943&lt;/D&gt;&lt;D xsi:type="xsd:long"&gt;41971&lt;/D&gt;&lt;D xsi:type="xsd:long"&gt;42004&lt;/D&gt;&lt;D xsi:type="xsd:long"&gt;42034&lt;/D&gt;&lt;D xsi:type="xsd:long"&gt;42062&lt;/D&gt;&lt;D xsi:type="xsd:long"&gt;42094&lt;/D&gt;&lt;D xsi:type="xsd:long"&gt;42124&lt;/D&gt;&lt;D xsi:type="xsd:long"&gt;42153&lt;/D&gt;&lt;D xsi:type="xsd:long"&gt;42185&lt;/D&gt;&lt;D xsi:type="xsd:long"&gt;42216&lt;/D&gt;&lt;D xsi:type="xsd:long"&gt;42247&lt;/D&gt;&lt;D xsi:type="xsd:long"&gt;42277&lt;/D&gt;&lt;D xsi:type="xsd:long"&gt;42307&lt;/D&gt;&lt;D xsi:type="xsd:long"&gt;42338&lt;/D&gt;&lt;D xsi:type="xsd:long"&gt;42369&lt;/D&gt;&lt;D xsi:type="xsd:long"&gt;42398&lt;/D&gt;&lt;D xsi:type="xsd:long"&gt;42429&lt;/D&gt;&lt;D xsi:type="xsd:long"&gt;42460&lt;/D&gt;&lt;D xsi:type="xsd:long"&gt;42489&lt;/D&gt;&lt;D xsi:type="xsd:long"&gt;42521&lt;/D&gt;&lt;D xsi:type="xsd:long"&gt;42551&lt;/D&gt;&lt;D xsi:type="xsd:long"&gt;42580&lt;/D&gt;&lt;D xsi:type="xsd:long"&gt;42613&lt;/D&gt;&lt;D xsi:type="xsd:long"&gt;42643&lt;/D&gt;&lt;D xsi:type="xsd:long"&gt;42674&lt;/D&gt;&lt;D xsi:type="xsd:long"&gt;42704&lt;/D&gt;&lt;D xsi:type="xsd:long"&gt;42734&lt;/D&gt;&lt;D xsi:type="xsd:long"&gt;42766&lt;/D&gt;&lt;D xsi:type="xsd:long"&gt;42794&lt;/D&gt;&lt;D xsi:type="xsd:long"&gt;42825&lt;/D&gt;&lt;D xsi:type="xsd:long"&gt;42853&lt;/D&gt;&lt;D xsi:type="xsd:long"&gt;42886&lt;/D&gt;&lt;D xsi:type="xsd:long"&gt;42916&lt;/D&gt;&lt;D xsi:type="xsd:long"&gt;42947&lt;/D&gt;&lt;D xsi:type="xsd:long"&gt;42978&lt;/D&gt;&lt;D xsi:type="xsd:long"&gt;43007&lt;/D&gt;&lt;D xsi:type="xsd:long"&gt;43039&lt;/D&gt;&lt;D xsi:type="xsd:long"&gt;43069&lt;/D&gt;&lt;D xsi:type="xsd:long"&gt;43098&lt;/D&gt;&lt;D xsi:type="xsd:long"&gt;43131&lt;/D&gt;&lt;D xsi:type="xsd:long"&gt;43159&lt;/D&gt;&lt;D xsi:type="xsd:long"&gt;43188&lt;/D&gt;&lt;D xsi:type="xsd:long"&gt;43220&lt;/D&gt;&lt;D xsi:type="xsd:long"&gt;43251&lt;/D&gt;&lt;D xsi:type="xsd:long"&gt;43280&lt;/D&gt;&lt;D xsi:type="xsd:long"&gt;43312&lt;/D&gt;&lt;D xsi:type="xsd:long"&gt;43343&lt;/D&gt;&lt;D xsi:type="xsd:long"&gt;43371&lt;/D&gt;&lt;D xsi:type="xsd:long"&gt;43404&lt;/D&gt;&lt;D xsi:type="xsd:long"&gt;43434&lt;/D&gt;&lt;D xsi:type="xsd:long"&gt;43465&lt;/D&gt;&lt;D xsi:type="xsd:long"&gt;43496&lt;/D&gt;&lt;D xsi:type="xsd:long"&gt;43524&lt;/D&gt;&lt;D xsi:type="xsd:long"&gt;43553&lt;/D&gt;&lt;D xsi:type="xsd:long"&gt;43585&lt;/D&gt;&lt;D xsi:type="xsd:long"&gt;43616&lt;/D&gt;&lt;D xsi:type="xsd:long"&gt;43644&lt;/D&gt;&lt;D xsi:type="xsd:long"&gt;43677&lt;/D&gt;&lt;D xsi:type="xsd:long"&gt;43706&lt;/D&gt;&lt;D xsi:type="xsd:long"&gt;43738&lt;/D&gt;&lt;D xsi:type="xsd:long"&gt;43769&lt;/D&gt;&lt;D xsi:type="xsd:long"&gt;43798&lt;/D&gt;&lt;D xsi:type="xsd:long"&gt;43830&lt;/D&gt;&lt;D xsi:type="xsd:long"&gt;43861&lt;/D&gt;&lt;D xsi:type="xsd:long"&gt;43889&lt;/D&gt;&lt;D xsi:type="xsd:long"&gt;43921&lt;/D&gt;&lt;D xsi:type="xsd:long"&gt;43951&lt;/D&gt;&lt;D xsi:type="xsd:long"&gt;43980&lt;/D&gt;&lt;D xsi:type="xsd:long"&gt;44012&lt;/D&gt;&lt;D xsi:type="xsd:long"&gt;44043&lt;/D&gt;&lt;D xsi:type="xsd:long"&gt;44074&lt;/D&gt;&lt;D xsi:type="xsd:long"&gt;44104&lt;/D&gt;&lt;D xsi:type="xsd:long"&gt;44134&lt;/D&gt;&lt;D xsi:type="xsd:long"&gt;44165&lt;/D&gt;&lt;D xsi:type="xsd:long"&gt;44196&lt;/D&gt;&lt;D xsi:type="xsd:long"&gt;44225&lt;/D&gt;&lt;D xsi:type="xsd:long"&gt;44253&lt;/D&gt;&lt;D xsi:type="xsd:long"&gt;44286&lt;/D&gt;&lt;D xsi:type="xsd:long"&gt;44316&lt;/D&gt;&lt;D xsi:type="xsd:long"&gt;44344&lt;/D&gt;&lt;D xsi:type="xsd:long"&gt;44377&lt;/D&gt;&lt;D xsi:type="xsd:long"&gt;44407&lt;/D&gt;&lt;D xsi:type="xsd:long"&gt;44439&lt;/D&gt;&lt;D xsi:type="xsd:long"&gt;44469&lt;/D&gt;&lt;D xsi:type="xsd:long"&gt;44498&lt;/D&gt;&lt;D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xsi:type="xsd:long"&gt;44895&lt;/D&gt;&lt;D xsi:type="xsd:long"&gt;44925&lt;/D&gt;&lt;D xsi:type="xsd:long"&gt;44957&lt;/D&gt;&lt;D xsi:type="xsd:long"&gt;44985&lt;/D&gt;&lt;D xsi:type="xsd:long"&gt;45016&lt;/D&gt;&lt;D xsi:type="xsd:long"&gt;45044&lt;/D&gt;&lt;D xsi:type="xsd:long"&gt;45077&lt;/D&gt;&lt;D xsi:type="xsd:long"&gt;45107&lt;/D&gt;&lt;D xsi:type="xsd:long"&gt;45138&lt;/D&gt;&lt;D xsi:type="xsd:long"&gt;45169&lt;/D&gt;&lt;D xsi:type="xsd:long"&gt;45198&lt;/D&gt;&lt;D xsi:type="xsd:long"&gt;45230&lt;/D&gt;&lt;D xsi:type="xsd:long"&gt;45260&lt;/D&gt;&lt;D xsi:type="xsd:long"&gt;45289&lt;/D&gt;&lt;D xsi:type="xsd:long"&gt;45322&lt;/D&gt;&lt;D xsi:type="xsd:long"&gt;45351&lt;/D&gt;&lt;D xsi:type="xsd:long"&gt;45379&lt;/D&gt;&lt;D xsi:type="xsd:long"&gt;45412&lt;/D&gt;&lt;D xsi:type="xsd:long"&gt;45441&lt;/D&gt;&lt;/FQL&gt;&lt;FQL&gt;&lt;Q&gt;NI-FDS^MAX(FG_PRICE(0,-5AY))&lt;/Q&gt;&lt;R&gt;1&lt;/R&gt;&lt;C&gt;1&lt;/C&gt;&lt;D xsi:type="xsd:double"&gt;48241&lt;/D&gt;&lt;/FQL&gt;&lt;FQL&gt;&lt;Q&gt;ENZL^FG_PRICE_MAVG(0,,,,200)&lt;/Q&gt;&lt;R&gt;1&lt;/R&gt;&lt;C&gt;1&lt;/C&gt;&lt;D xsi:type="xsd:double"&gt;45.299137&lt;/D&gt;&lt;/FQL&gt;&lt;FQL&gt;&lt;Q&gt;EWJ^FG_TOTAL_RETURNC(0,-6AM)&lt;/Q&gt;&lt;R&gt;1&lt;/R&gt;&lt;C&gt;1&lt;/C&gt;&lt;D xsi:type="xsd:double"&gt;11.710798&lt;/D&gt;&lt;/FQL&gt;&lt;FQL&gt;&lt;Q&gt;EWD^FMA_PCT_ABOVE_MAVG(200,0,,,,"PORTAGG")&lt;/Q&gt;&lt;R&gt;1&lt;/R&gt;&lt;C&gt;1&lt;/C&gt;&lt;D xsi:type="xsd:double"&gt;86.046511627907&lt;/D&gt;&lt;/FQL&gt;&lt;FQL&gt;&lt;Q&gt;EWC^P_PRICE(0)/P_PRICE_LOW_PR(0,,,,,,"PRICE","INTRA","52W")-1&lt;/Q&gt;&lt;R&gt;1&lt;/R&gt;&lt;C&gt;1&lt;/C&gt;&lt;D xsi:type="xsd:double"&gt;0.21808338&lt;/D&gt;&lt;/FQL&gt;&lt;FQL&gt;&lt;Q&gt;ENZL^PERCENT_CHANGE(FMA_EPS(+1,0,,,,"PORTAGG","MEAN"),FMA_EPS(+1,-3AM,,,,"PORTAGG","MEAN"))&lt;/Q&gt;&lt;R&gt;1&lt;/R&gt;&lt;C&gt;1&lt;/C&gt;&lt;D xsi:type="xsd:double"&gt;-12.1126259741242&lt;/D&gt;&lt;/FQL&gt;&lt;FQL&gt;&lt;Q&gt;EWD^SIZE(FG_CONSTITUENTS)&lt;/Q&gt;&lt;R&gt;1&lt;/R&gt;&lt;C&gt;1&lt;/C&gt;&lt;D xsi:type="xsd:long"&gt;45&lt;/D&gt;&lt;/FQL&gt;&lt;FQL&gt;&lt;Q&gt;EWG^FG_ROE(0)&lt;/Q&gt;&lt;R&gt;1&lt;/R&gt;&lt;C&gt;1&lt;/C&gt;&lt;D xsi:type="xsd:double"&gt;9.57242401704336&lt;/D&gt;&lt;/FQL&gt;&lt;FQL&gt;&lt;Q&gt;TRYNZ10Y-FDS^PCTCHG(FG_YIELD(0,,,,"YTM"),FG_YIELD(-3AM,,,,"YTM"))&lt;/Q&gt;&lt;R&gt;1&lt;/R&gt;&lt;C&gt;1&lt;/C&gt;&lt;D xsi:type="xsd:double"&gt;1.3567933&lt;/D&gt;&lt;/FQL&gt;&lt;FQL&gt;&lt;Q&gt;VWO^FMA_DIV_YLD(NTMA,NOW,NOW,M,"PORTAGG","MEANR")&lt;/Q&gt;&lt;R&gt;1&lt;/R&gt;&lt;C&gt;1&lt;/C&gt;&lt;D xsi:type="xsd:double"&gt;3.0650267654051&lt;/D&gt;&lt;/FQL&gt;&lt;FQL&gt;&lt;Q&gt;EWD^JULIAN(FMA_DIV_YLD(NTMA,NOW,NOW,M,"PORTAGG","MEANR").DATES)&lt;/Q&gt;&lt;R&gt;1&lt;/R&gt;&lt;C&gt;1&lt;/C&gt;&lt;D xsi:type="xsd:long"&gt;45441&lt;/D&gt;&lt;/FQL&gt;&lt;FQL&gt;&lt;Q&gt;QQQ^FMA_EVAL_EBIT(LTMA,NOW,NOW,M,"PORTAGG","MEANR")&lt;/Q&gt;&lt;R&gt;1&lt;/R&gt;&lt;C&gt;1&lt;/C&gt;&lt;D xsi:type="xsd:double"&gt;24.3365741888818&lt;/D&gt;&lt;/FQL&gt;&lt;FQL&gt;&lt;Q&gt;EWA^FMA_PE(LTM,0,,,"PORTAGG","MEANR")&lt;/Q&gt;&lt;R&gt;1&lt;/R&gt;&lt;C&gt;1&lt;/C&gt;&lt;D xsi:type="xsd:double"&gt;18.6105269152087&lt;/D&gt;&lt;/FQL&gt;&lt;FQL&gt;&lt;Q&gt;CAGDPY@SE^EE_ACTUAL_ANNUAL(MED,0)&lt;/Q&gt;&lt;R&gt;1&lt;/R&gt;&lt;C&gt;1&lt;/C&gt;&lt;D xsi:type="xsd:double"&gt;6.86906499643787&lt;/D&gt;&lt;/FQL&gt;&lt;FQL&gt;&lt;Q&gt;CC_DE^FG_COMPANY_NAME&lt;/Q&gt;&lt;R&gt;1&lt;/R&gt;&lt;C&gt;1&lt;/C&gt;&lt;D xsi:type="xsd:string"&gt;Germany&lt;/D&gt;&lt;/FQL&gt;&lt;FQL&gt;&lt;Q&gt;USDCHF^STD(FG_PRICE_CHANGE(0,-1AY,AM))&lt;/Q&gt;&lt;R&gt;1&lt;/R&gt;&lt;C&gt;1&lt;/C&gt;&lt;D xsi:type="xsd:double"&gt;2.73783627517655&lt;/D&gt;&lt;/FQL&gt;&lt;FQL&gt;&lt;Q&gt;USDGBP^FG_PRICE_CHANGE(0,-3AM)&lt;/Q&gt;&lt;R&gt;1&lt;/R&gt;&lt;C&gt;1&lt;/C&gt;&lt;D xsi:type="xsd:double"&gt;-0.647974&lt;/D&gt;&lt;/FQL&gt;&lt;FQL&gt;&lt;Q&gt;EWQ^FMA_EPS(NTMA,-20AY,0,CY,,"PORTAGG","MEANR")&lt;/Q&gt;&lt;R&gt;20&lt;/R&gt;&lt;C&gt;1&lt;/C&gt;&lt;D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xsi:type="xsd:double"&gt;1.85109750880863&lt;/D&gt;&lt;D xsi:type="xsd:double"&gt;2.46081746914008&lt;/D&gt;&lt;D xsi:type="xsd:double"&gt;2.80266518938636&lt;/D&gt;&lt;D xsi:type="xsd:double"&gt;2.92070468056675&lt;/D&gt;&lt;/FQL&gt;&lt;FQL&gt;&lt;Q&gt;EWI^FG_TOTAL_RETURNC(-10AY,0,AM)&lt;/Q&gt;&lt;R&gt;121&lt;/R&gt;&lt;C&gt;1&lt;/C&gt;&lt;D xsi:type="xsd:double"&gt;-1.9955695&lt;/D&gt;&lt;D xsi:type="xsd:double"&gt;-0.31986833&lt;/D&gt;&lt;D xsi:type="xsd:double"&gt;-5.983883&lt;/D&gt;&lt;D xsi:type="xsd:double"&gt;-2.2643805&lt;/D&gt;&lt;D xsi:type="xsd:double"&gt;-1.7532945&lt;/D&gt;&lt;D xsi:type="xsd:double"&gt;-5.0350547&lt;/D&gt;&lt;D xsi:type="xsd:double"&gt;-0.1342237&lt;/D&gt;&lt;D xsi:type="xsd:double"&gt;-7.966942&lt;/D&gt;&lt;D xsi:type="xsd:double"&gt;0.8088231&lt;/D&gt;&lt;D xsi:type="xsd:double"&gt;8.533918&lt;/D&gt;&lt;D xsi:type="xsd:double"&gt;-0.5376339&lt;/D&gt;&lt;D xsi:type="xsd:double"&gt;3.1756759&lt;/D&gt;&lt;D xsi:type="xsd:double"&gt;1.899147&lt;/D&gt;&lt;D xsi:type="xsd:double"&gt;-2.6199996&lt;/D&gt;&lt;D xsi:type="xsd:double"&gt;3.9623857&lt;/D&gt;&lt;D xsi:type="xsd:double"&gt;-4.392761&lt;/D&gt;&lt;D xsi:type="xsd:double"&gt;-3.2432437&lt;/D&gt;&lt;D xsi:type="xsd:double"&gt;3.4217954&lt;/D&gt;&lt;D xsi:type="xsd:double"&gt;-2.8359234&lt;/D&gt;&lt;D xsi:type="xsd:double"&gt;-4.2285085&lt;/D&gt;&lt;D xsi:type="xsd:double"&gt;-12.154293&lt;/D&gt;&lt;D xsi:type="xsd:double"&gt;-6.5451503&lt;/D&gt;&lt;D xsi:type="xsd:double"&gt;8.156025&lt;/D&gt;&lt;D xsi:type="xsd:double"&gt;4.180324&lt;/D&gt;&lt;D xsi:type="xsd:double"&gt;-4.405981&lt;/D&gt;&lt;D xsi:type="xsd:double"&gt;-8.155262&lt;/D&gt;&lt;D xsi:type="xsd:double"&gt;3.1336308&lt;/D&gt;&lt;D xsi:type="xsd:double"&gt;0.89366436&lt;/D&gt;&lt;D xsi:type="xsd:double"&gt;-2.3914933&lt;/D&gt;&lt;D xsi:type="xsd:double"&gt;2.3593426&lt;/D&gt;&lt;D xsi:type="xsd:double"&gt;-3.5904229&lt;/D&gt;&lt;D xsi:type="xsd:double"&gt;12.337422&lt;/D&gt;&lt;D xsi:type="xsd:double"&gt;-1.9413412&lt;/D&gt;&lt;D xsi:type="xsd:double"&gt;-0.37910938&lt;/D&gt;&lt;D xsi:type="xsd:double"&gt;8.837212&lt;/D&gt;&lt;D xsi:type="xsd:double"&gt;2.75836&lt;/D&gt;&lt;D xsi:type="xsd:double"&gt;5.368626&lt;/D&gt;&lt;D xsi:type="xsd:double"&gt;1.5643358&lt;/D&gt;&lt;D xsi:type="xsd:double"&gt;7.0503592&lt;/D&gt;&lt;D xsi:type="xsd:double"&gt;1.7809153&lt;/D&gt;&lt;D xsi:type="xsd:double"&gt;3.532517&lt;/D&gt;&lt;D xsi:type="xsd:double"&gt;-1.2755156&lt;/D&gt;&lt;D xsi:type="xsd:double"&gt;0.16150475&lt;/D&gt;&lt;D xsi:type="xsd:double"&gt;-1.2965441&lt;/D&gt;&lt;D xsi:type="xsd:double"&gt;10.9724045&lt;/D&gt;&lt;D xsi:type="xsd:double"&gt;-6.1278877&lt;/D&gt;&lt;D xsi:type="xsd:double"&gt;1.3875842&lt;/D&gt;&lt;D xsi:type="xsd:double"&gt;4.4167876&lt;/D&gt;&lt;D xsi:type="xsd:double"&gt;-9.770626&lt;/D&gt;&lt;D xsi:type="xsd:double"&gt;-1.9493341&lt;/D&gt;&lt;D xsi:type="xsd:double"&gt;3.3921838&lt;/D&gt;&lt;D xsi:type="xsd:double"&gt;-9.273518&lt;/D&gt;&lt;D xsi:type="xsd:double"&gt;2.0664215&lt;/D&gt;&lt;D xsi:type="xsd:double"&gt;-9.436011&lt;/D&gt;&lt;D xsi:type="xsd:double"&gt;1.3572812&lt;/D&gt;&lt;D xsi:type="xsd:double"&gt;-3.4290433&lt;/D&gt;&lt;D xsi:type="xsd:double"&gt;8.095837&lt;/D&gt;&lt;D xsi:type="xsd:double"&gt;3.7447453&lt;/D&gt;&lt;D xsi:type="xsd:double"&gt;2.3572803&lt;/D&gt;&lt;D xsi:type="xsd:double"&gt;1.7992139&lt;/D&gt;&lt;D xsi:type="xsd:double"&gt;-8.306826&lt;/D&gt;&lt;D xsi:type="xsd:double"&gt;9.902525&lt;/D&gt;&lt;D xsi:type="xsd:double"&gt;-1.8874705&lt;/D&gt;&lt;D xsi:type="xsd:double"&gt;-0.44395328&lt;/D&gt;&lt;D xsi:type="xsd:double"&gt;2.4526238&lt;/D&gt;&lt;D xsi:type="xsd:double"&gt;4.715276&lt;/D&gt;&lt;D xsi:type="xsd:double"&gt;0.06927252&lt;/D&gt;&lt;D xsi:type="xsd:double"&gt;2.8223991&lt;/D&gt;&lt;D xsi:type="xsd:double"&gt;-2.440673&lt;/D&gt;&lt;D xsi:type="xsd:double"&gt;-5.3509417&lt;/D&gt;&lt;D xsi:type="xsd:double"&gt;-23.751831&lt;/D&gt;&lt;D xsi:type="xsd:double"&gt;1.8295527&lt;/D&gt;&lt;D xsi:type="xsd:double"&gt;6.1938524&lt;/D&gt;&lt;D xsi:type="xsd:double"&gt;8.334482&lt;/D&gt;&lt;D xsi:type="xsd:double"&gt;2.6993394&lt;/D&gt;&lt;D xsi:type="xsd:double"&gt;4.0841103&lt;/D&gt;&lt;D xsi:type="xsd:double"&gt;-5.283606&lt;/D&gt;&lt;D xsi:type="xsd:double"&gt;-6.439704&lt;/D&gt;&lt;D xsi:type="xsd:double"&gt;25.208246&lt;/D&gt;&lt;D xsi:type="xsd:double"&gt;3.932643&lt;/D&gt;&lt;D xsi:type="xsd:double"&gt;-3.7024438&lt;/D&gt;&lt;D xsi:type="xsd:double"&gt;5.537915&lt;/D&gt;&lt;D xsi:type="xsd:double"&gt;5.3141713&lt;/D&gt;&lt;D xsi:type="xsd:double"&gt;0.31735897&lt;/D&gt;&lt;D xsi:type="xsd:double"&gt;6.010747&lt;/D&gt;&lt;D xsi:type="xsd:double"&gt;-2.1637619&lt;/D&gt;&lt;D xsi:type="xsd:double"&gt;0.30874014&lt;/D&gt;&lt;D xsi:type="xsd:double"&gt;1.415813&lt;/D&gt;&lt;D xsi:type="xsd:double"&gt;-3.9453745&lt;/D&gt;&lt;D xsi:type="xsd:double"&gt;5.7819963&lt;/D&gt;&lt;D xsi:type="xsd:double"&gt;-6.0334563&lt;/D&gt;&lt;D xsi:type="xsd:double"&gt;5.776179&lt;/D&gt;&lt;D xsi:type="xsd:double"&gt;-1.1581838&lt;/D&gt;&lt;D xsi:type="xsd:double"&gt;-6.72217&lt;/D&gt;&lt;D xsi:type="xsd:double"&gt;-2.3801625&lt;/D&gt;&lt;D xsi:type="xsd:double"&gt;-7.111412&lt;/D&gt;&lt;D xsi:type="xsd:double"&gt;5.103898&lt;/D&gt;&lt;D xsi:type="xsd:double"&gt;-13.912171&lt;/D&gt;&lt;D xsi:type="xsd:double"&gt;2.3255825&lt;/D&gt;&lt;D xsi:type="xsd:double"&gt;-6.087661&lt;/D&gt;&lt;D xsi:type="xsd:double"&gt;-7.0872903&lt;/D&gt;&lt;D xsi:type="xsd:double"&gt;12&lt;/D&gt;&lt;D xsi:type="xsd:double"&gt;15.531564&lt;/D&gt;&lt;D xsi:type="xsd:double"&gt;-1.7070591&lt;/D&gt;&lt;D xsi:type="xsd:double"&gt;12.3608&lt;/D&gt;&lt;D xsi:type="xsd:double"&gt;-0.8589387&lt;/D&gt;&lt;D xsi:type="xsd:double"&gt;1.399529&lt;/D&gt;&lt;D xsi:type="xsd:double"&gt;4.042065&lt;/D&gt;&lt;D xsi:type="xsd:double"&gt;-6.253946&lt;/D&gt;&lt;D xsi:type="xsd:double"&gt;9.875404&lt;/D&gt;&lt;D xsi:type="xsd:double"&gt;5.2466273&lt;/D&gt;&lt;D xsi:type="xsd:double"&gt;-4.179108&lt;/D&gt;&lt;D xsi:type="xsd:double"&gt;-5.2336397&lt;/D&gt;&lt;D xsi:type="xsd:double"&gt;-1.7094016&lt;/D&gt;&lt;D xsi:type="xsd:double"&gt;10.301006&lt;/D&gt;&lt;D xsi:type="xsd:double"&gt;4.1784763&lt;/D&gt;&lt;D xsi:type="xsd:double"&gt;-1.2967825&lt;/D&gt;&lt;D xsi:type="xsd:double"&gt;6.3899636&lt;/D&gt;&lt;D xsi:type="xsd:double"&gt;5.865848&lt;/D&gt;&lt;D xsi:type="xsd:double"&gt;-3.1018078&lt;/D&gt;&lt;D xsi:type="xsd:double"&gt;6.2380314&lt;/D&gt;&lt;/FQL&gt;&lt;FQL&gt;&lt;Q&gt;EWI^FMA_PE(NTMA,-10AY,0,AM,"PORTAGG","MEANR")&lt;/Q&gt;&lt;R&gt;121&lt;/R&gt;&lt;C&gt;1&lt;/C&gt;&lt;D xsi:type="xsd:double"&gt;14.1092781042066&lt;/D&gt;&lt;D xsi:type="xsd:double"&gt;14.4079521938383&lt;/D&gt;&lt;D xsi:type="xsd:double"&gt;13.7822478798322&lt;/D&gt;&lt;D xsi:type="xsd:double"&gt;13.8013716688956&lt;/D&gt;&lt;D xsi:type="xsd:double"&gt;13.6103698624074&lt;/D&gt;&lt;D xsi:type="xsd:double"&gt;12.859005925144&lt;/D&gt;&lt;D xsi:type="xsd:double"&gt;13.0012291690605&lt;/D&gt;&lt;D xsi:type="xsd:double"&gt;12.3383387133165&lt;/D&gt;&lt;D xsi:type="xsd:double"&gt;14.004178174042&lt;/D&gt;&lt;D xsi:type="xsd:double"&gt;15.5512236592378&lt;/D&gt;&lt;D xsi:type="xsd:double"&gt;15.8634053445672&lt;/D&gt;&lt;D xsi:type="xsd:double"&gt;15.7302112379706&lt;/D&gt;&lt;D xsi:type="xsd:double"&gt;15.7682128531581&lt;/D&gt;&lt;D xsi:type="xsd:double"&gt;14.7595589266733&lt;/D&gt;&lt;D xsi:type="xsd:double"&gt;15.4666177640748&lt;/D&gt;&lt;D xsi:type="xsd:double"&gt;14.3894014831502&lt;/D&gt;&lt;D xsi:type="xsd:double"&gt;13.8928770041434&lt;/D&gt;&lt;D xsi:type="xsd:double"&gt;14.7406954620597&lt;/D&gt;&lt;D xsi:type="xsd:double"&gt;15.1042536429889&lt;/D&gt;&lt;D xsi:type="xsd:double"&gt;14.0570435212574&lt;/D&gt;&lt;D xsi:type="xsd:double"&gt;13.034168832855&lt;/D&gt;&lt;D xsi:type="xsd:double"&gt;12.9384392812333&lt;/D&gt;&lt;D xsi:type="xsd:double"&gt;13.2032705500227&lt;/D&gt;&lt;D xsi:type="xsd:double"&gt;13.4221143217494&lt;/D&gt;&lt;D xsi:type="xsd:double"&gt;13.5996513032285&lt;/D&gt;&lt;D xsi:type="xsd:double"&gt;11.7999998651401&lt;/D&gt;&lt;D xsi:type="xsd:double"&gt;12.452074341917&lt;/D&gt;&lt;D xsi:type="xsd:double"&gt;12.5017344109689&lt;/D&gt;&lt;D xsi:type="xsd:double"&gt;11.7803348217568&lt;/D&gt;&lt;D xsi:type="xsd:double"&gt;12.0513768309649&lt;/D&gt;&lt;D xsi:type="xsd:double"&gt;11.875954387836&lt;/D&gt;&lt;D xsi:type="xsd:double"&gt;13.5567131574021&lt;/D&gt;&lt;D xsi:type="xsd:double"&gt;12.4686796244799&lt;/D&gt;&lt;D xsi:type="xsd:double"&gt;12.7903887811697&lt;/D&gt;&lt;D xsi:type="xsd:double"&gt;13.682327478082&lt;/D&gt;&lt;D xsi:type="xsd:double"&gt;13.3991037145028&lt;/D&gt;&lt;D xsi:type="xsd:double"&gt;13.1890616499368&lt;/D&gt;&lt;D xsi:type="xsd:double"&gt;12.9922537854392&lt;/D&gt;&lt;D xsi:type="xsd:double"&gt;13.4678256267059&lt;/D&gt;&lt;D xsi:type="xsd:double"&gt;13.2378357201865&lt;/D&gt;&lt;D xsi:type="xsd:double"&gt;13.5903687427109&lt;/D&gt;&lt;D xsi:type="xsd:double"&gt;13.6350411192155&lt;/D&gt;&lt;D xsi:type="xsd:double"&gt;13.2454284052553&lt;/D&gt;&lt;D xsi:type="xsd:double"&gt;12.9476628628246&lt;/D&gt;&lt;D xsi:type="xsd:double"&gt;13.288832746324&lt;/D&gt;&lt;D xsi:type="xsd:double"&gt;12.5113627539402&lt;/D&gt;&lt;D xsi:type="xsd:double"&gt;12.4578319062636&lt;/D&gt;&lt;D xsi:type="xsd:double"&gt;13.049871991389&lt;/D&gt;&lt;D xsi:type="xsd:double"&gt;11.3756059492932&lt;/D&gt;&lt;D xsi:type="xsd:double"&gt;11.3692943819695&lt;/D&gt;&lt;D xsi:type="xsd:double"&gt;11.7342754623392&lt;/D&gt;&lt;D xsi:type="xsd:double"&gt;10.5885717201615&lt;/D&gt;&lt;D xsi:type="xsd:double"&gt;10.6168313074978&lt;/D&gt;&lt;D xsi:type="xsd:double"&gt;9.75691028689294&lt;/D&gt;&lt;D xsi:type="xsd:double"&gt;9.6810525954439&lt;/D&gt;&lt;D xsi:type="xsd:double"&gt;9.13844380576257&lt;/D&gt;&lt;D xsi:type="xsd:double"&gt;9.95613441688127&lt;/D&gt;&lt;D xsi:type="xsd:double"&gt;10.579188236159&lt;/D&gt;&lt;D xsi:type="xsd:double"&gt;10.7934562425866&lt;/D&gt;&lt;D xsi:type="xsd:double"&gt;10.9436785689093&lt;/D&gt;&lt;D xsi:type="xsd:double"&gt;9.74880618893185&lt;/D&gt;&lt;D xsi:type="xsd:double"&gt;10.4639889943715&lt;/D&gt;&lt;D xsi:type="xsd:double"&gt;10.520218379413&lt;/D&gt;&lt;D xsi:type="xsd:double"&gt;10.5133520374046&lt;/D&gt;&lt;D xsi:type="xsd:double"&gt;10.8184397269608&lt;/D&gt;&lt;D xsi:type="xsd:double"&gt;11.0416931566545&lt;/D&gt;&lt;D xsi:type="xsd:double"&gt;11.2325740446506&lt;/D&gt;&lt;D xsi:type="xsd:double"&gt;11.3789048915432&lt;/D&gt;&lt;D xsi:type="xsd:double"&gt;11.240492013789&lt;/D&gt;&lt;D xsi:type="xsd:double"&gt;10.5432842641668&lt;/D&gt;&lt;D xsi:type="xsd:double"&gt;9.61193847025816&lt;/D&gt;&lt;D xsi:type="xsd:double"&gt;13.2623159592406&lt;/D&gt;&lt;D xsi:type="xsd:double"&gt;15.8762872533126&lt;/D&gt;&lt;D xsi:type="xsd:double"&gt;17.2414882223664&lt;/D&gt;&lt;D xsi:type="xsd:double"&gt;16.4093384617975&lt;/D&gt;&lt;D xsi:type="xsd:double"&gt;15.7270305847545&lt;/D&gt;&lt;D xsi:type="xsd:double"&gt;14.7011754652036&lt;/D&gt;&lt;D xsi:type="xsd:double"&gt;13.1441012812624&lt;/D&gt;&lt;D xsi:type="xsd:double"&gt;14.8762758104877&lt;/D&gt;&lt;D xsi:type="xsd:double"&gt;14.7412461357557&lt;/D&gt;&lt;D xsi:type="xsd:double"&gt;13.3547576062008&lt;/D&gt;&lt;D xsi:type="xsd:double"&gt;13.701980133488&lt;/D&gt;&lt;D xsi:type="xsd:double"&gt;14.0179292392858&lt;/D&gt;&lt;D xsi:type="xsd:double"&gt;13.4412207407004&lt;/D&gt;&lt;D xsi:type="xsd:double"&gt;13.5982743353451&lt;/D&gt;&lt;D xsi:type="xsd:double"&gt;13.3505401064406&lt;/D&gt;&lt;D xsi:type="xsd:double"&gt;12.9775278436631&lt;/D&gt;&lt;D xsi:type="xsd:double"&gt;11.9886583967742&lt;/D&gt;&lt;D xsi:type="xsd:double"&gt;11.6280683453692&lt;/D&gt;&lt;D xsi:type="xsd:double"&gt;11.7310813628874&lt;/D&gt;&lt;D xsi:type="xsd:double"&gt;10.9097293506596&lt;/D&gt;&lt;D xsi:type="xsd:double"&gt;11.069489560574&lt;/D&gt;&lt;D xsi:type="xsd:double"&gt;10.6800436006148&lt;/D&gt;&lt;D xsi:type="xsd:double"&gt;9.83888117357743&lt;/D&gt;&lt;D xsi:type="xsd:double"&gt;9.74838021711855&lt;/D&gt;&lt;D xsi:type="xsd:double"&gt;9.47563261783566&lt;/D&gt;&lt;D xsi:type="xsd:double"&gt;9.03035463615587&lt;/D&gt;&lt;D xsi:type="xsd:double"&gt;7.67715931618624&lt;/D&gt;&lt;D xsi:type="xsd:double"&gt;7.71910789583498&lt;/D&gt;&lt;D xsi:type="xsd:double"&gt;7.28714078625123&lt;/D&gt;&lt;D xsi:type="xsd:double"&gt;7.21126707199346&lt;/D&gt;&lt;D xsi:type="xsd:double"&gt;7.83245321166432&lt;/D&gt;&lt;D xsi:type="xsd:double"&gt;8.06274806841359&lt;/D&gt;&lt;D xsi:type="xsd:double"&gt;7.59438441254583&lt;/D&gt;&lt;D xsi:type="xsd:double"&gt;8.38626523751319&lt;/D&gt;&lt;D xsi:type="xsd:double"&gt;8.25846077016601&lt;/D&gt;&lt;D xsi:type="xsd:double"&gt;8.4771354117954&lt;/D&gt;&lt;D xsi:type="xsd:double"&gt;8.58843610479894&lt;/D&gt;&lt;D xsi:type="xsd:double"&gt;7.90098771065145&lt;/D&gt;&lt;D xsi:type="xsd:double"&gt;8.79260716527943&lt;/D&gt;&lt;D xsi:type="xsd:double"&gt;8.76141888634013&lt;/D&gt;&lt;D xsi:type="xsd:double"&gt;8.40572303902659&lt;/D&gt;&lt;D xsi:type="xsd:double"&gt;8.26959023250955&lt;/D&gt;&lt;D xsi:type="xsd:double"&gt;7.91403717845488&lt;/D&gt;&lt;D xsi:type="xsd:double"&gt;8.40192168199298&lt;/D&gt;&lt;D xsi:type="xsd:double"&gt;8.90130129430784&lt;/D&gt;&lt;D xsi:type="xsd:double"&gt;9.01467497770453&lt;/D&gt;&lt;D xsi:type="xsd:double"&gt;9.26148528316797&lt;/D&gt;</t>
        </r>
      </text>
    </comment>
    <comment ref="A10" authorId="0" shapeId="0" xr:uid="{D4460437-67D2-449D-9DD6-FD08CB09A28B}">
      <text>
        <r>
          <rPr>
            <b/>
            <sz val="9"/>
            <color indexed="81"/>
            <rFont val="Tahoma"/>
            <charset val="1"/>
          </rPr>
          <t>&lt;D xsi:type="xsd:double"&gt;9.80532738080598&lt;/D&gt;&lt;D xsi:type="xsd:double"&gt;9.50406983895669&lt;/D&gt;&lt;D xsi:type="xsd:double"&gt;9.68942928397427&lt;/D&gt;&lt;/FQL&gt;&lt;FQL&gt;&lt;Q&gt;W-FDS^FG_PRICE_CHANGE(0,-3AM)&lt;/Q&gt;&lt;R&gt;1&lt;/R&gt;&lt;C&gt;1&lt;/C&gt;&lt;D xsi:type="xsd:double"&gt;17.4891774891775&lt;/D&gt;&lt;/FQL&gt;&lt;FQL&gt;&lt;Q&gt;TIOS-FDS^FG_PRICE(0)&lt;/Q&gt;&lt;R&gt;1&lt;/R&gt;&lt;C&gt;1&lt;/C&gt;&lt;D xsi:type="xsd:double"&gt;117.62&lt;/D&gt;&lt;/FQL&gt;&lt;FQL&gt;&lt;Q&gt;EWU^FG_PRICE_MAVG(0,,,,60)&lt;/Q&gt;&lt;R&gt;1&lt;/R&gt;&lt;C&gt;1&lt;/C&gt;&lt;D xsi:type="xsd:double"&gt;34.691166&lt;/D&gt;&lt;/FQL&gt;&lt;FQL&gt;&lt;Q&gt;EWL^FG_TOTAL_RETURNC(0,-6AM)&lt;/Q&gt;&lt;R&gt;1&lt;/R&gt;&lt;C&gt;1&lt;/C&gt;&lt;D xsi:type="xsd:double"&gt;8.234262&lt;/D&gt;&lt;/FQL&gt;&lt;FQL&gt;&lt;Q&gt;EWD^FMA_COS_DOWN("EPS","1M",+1,0,,,"PORTAGG","MEANR")&lt;/Q&gt;&lt;R&gt;1&lt;/R&gt;&lt;C&gt;1&lt;/C&gt;&lt;D xsi:type="xsd:double"&gt;11&lt;/D&gt;&lt;/FQL&gt;&lt;FQL&gt;&lt;Q&gt;TRYDE10Y-FDS^FG_YIELD(0,,,,"YTM")&lt;/Q&gt;&lt;R&gt;1&lt;/R&gt;&lt;C&gt;1&lt;/C&gt;&lt;D xsi:type="xsd:double"&gt;2.65&lt;/D&gt;&lt;/FQL&gt;&lt;FQL&gt;&lt;Q&gt;QQQ^FMA_EVAL_EBITDA(NTMA,0,,,"PORTAGG","MEANR")&lt;/Q&gt;&lt;R&gt;1&lt;/R&gt;&lt;C&gt;1&lt;/C&gt;&lt;D xsi:type="xsd:double"&gt;16.1181985831699&lt;/D&gt;&lt;/FQL&gt;&lt;FQL&gt;&lt;Q&gt;TLT^FG_TOTAL_RETURNC(0,-6AM)&lt;/Q&gt;&lt;R&gt;1&lt;/R&gt;&lt;C&gt;1&lt;/C&gt;&lt;D xsi:type="xsd:double"&gt;0.71721077&lt;/D&gt;&lt;/FQL&gt;&lt;FQL&gt;&lt;Q&gt;EWL^FMA_ROE(NTMA,-20AY,NOW,FY,"PORTAGG","MEANR")&lt;/Q&gt;&lt;R&gt;20&lt;/R&gt;&lt;C&gt;1&lt;/C&gt;&lt;D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xsi:type="xsd:double"&gt;19.2996868127809&lt;/D&gt;&lt;/FQL&gt;&lt;FQL&gt;&lt;Q&gt;TRYJP10Y-FDS^FG_YIELD(-10AY,0,Y,,"YTM")&lt;/Q&gt;&lt;R&gt;10&lt;/R&gt;&lt;C&gt;1&lt;/C&gt;&lt;D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xsi:type="xsd:double"&gt;0.6127&lt;/D&gt;&lt;/FQL&gt;&lt;FQL&gt;&lt;Q&gt;USDCAD^STD(FG_PRICE_CHANGE(0,-3AY,M))&lt;/Q&gt;&lt;R&gt;1&lt;/R&gt;&lt;C&gt;1&lt;/C&gt;&lt;D xsi:type="xsd:double"&gt;1.82994010425828&lt;/D&gt;&lt;/FQL&gt;&lt;FQL&gt;&lt;Q&gt;DDR3512M-FDS^MAX(FG_PRICE(0,-5AY))&lt;/Q&gt;&lt;R&gt;1&lt;/R&gt;&lt;C&gt;1&lt;/C&gt;&lt;D xsi:type="xsd:double"&gt;3.3053632&lt;/D&gt;&lt;/FQL&gt;&lt;FQL&gt;&lt;Q&gt;NI-FDS^FG_PRICE_CHANGE(0,-1AY)&lt;/Q&gt;&lt;R&gt;1&lt;/R&gt;&lt;C&gt;1&lt;/C&gt;&lt;D xsi:type="xsd:double"&gt;-3.03178484107579&lt;/D&gt;&lt;/FQL&gt;&lt;FQL&gt;&lt;Q&gt;ENZL^FG_PRICE_MAVG(0,,,,30)&lt;/Q&gt;&lt;R&gt;1&lt;/R&gt;&lt;C&gt;1&lt;/C&gt;&lt;D xsi:type="xsd:double"&gt;45.009&lt;/D&gt;&lt;/FQL&gt;&lt;FQL&gt;&lt;Q&gt;VGK^P_PRICE(0)/P_PRICE_LOW_PR(0,,,,,,"PRICE","INTRA","52W")-1&lt;/Q&gt;&lt;R&gt;1&lt;/R&gt;&lt;C&gt;1&lt;/C&gt;&lt;D xsi:type="xsd:double"&gt;0.26861596&lt;/D&gt;&lt;/FQL&gt;&lt;FQL&gt;&lt;Q&gt;EWN^FG_TOTAL_RETURNC(0,-12AM)&lt;/Q&gt;&lt;R&gt;1&lt;/R&gt;&lt;C&gt;1&lt;/C&gt;&lt;D xsi:type="xsd:double"&gt;24.56186&lt;/D&gt;&lt;/FQL&gt;&lt;FQL&gt;&lt;Q&gt;EWC^P_PRICE(0)/P_PRICE_HIGH_PR(0,,,,,,"PRICE","INTRA","52W")&lt;/Q&gt;&lt;R&gt;1&lt;/R&gt;&lt;C&gt;1&lt;/C&gt;&lt;D xsi:type="xsd:double"&gt;0.9871001&lt;/D&gt;&lt;/FQL&gt;&lt;FQL&gt;&lt;Q&gt;EWC^FG_ROE(0)&lt;/Q&gt;&lt;R&gt;1&lt;/R&gt;&lt;C&gt;1&lt;/C&gt;&lt;D xsi:type="xsd:double"&gt;11.0198518047594&lt;/D&gt;&lt;/FQL&gt;&lt;FQL&gt;&lt;Q&gt;TRYIT10Y-FDS^PCTCHG(FG_YIELD(0,,,,"YTM"),FG_YIELD(-1AM,,,,"YTM"))&lt;/Q&gt;&lt;R&gt;1&lt;/R&gt;&lt;C&gt;1&lt;/C&gt;&lt;D xsi:type="xsd:double"&gt;2.2492216&lt;/D&gt;&lt;/FQL&gt;&lt;FQL&gt;&lt;Q&gt;TRYNZ10Y-FDS^PCTCHG(FG_YIELD(0,,,,"YTM"),FG_YIELD(-1AM,,,,"YTM"))&lt;/Q&gt;&lt;R&gt;1&lt;/R&gt;&lt;C&gt;1&lt;/C&gt;&lt;D xsi:type="xsd:double"&gt;-1.7722527&lt;/D&gt;&lt;/FQL&gt;&lt;FQL&gt;&lt;Q&gt;EWN^FMA_EVAL_EBIT(LTMA,NOW,NOW,M,"PORTAGG","MEANR")&lt;/Q&gt;&lt;R&gt;1&lt;/R&gt;&lt;C&gt;1&lt;/C&gt;&lt;D xsi:type="xsd:double"&gt;21.8631122331591&lt;/D&gt;&lt;/FQL&gt;&lt;FQL&gt;&lt;Q&gt;EWJ^FMA_PE(LTM,0,,,"PORTAGG","MEANR")&lt;/Q&gt;&lt;R&gt;1&lt;/R&gt;&lt;C&gt;1&lt;/C&gt;&lt;D xsi:type="xsd:double"&gt;15.7775814880069&lt;/D&gt;&lt;/FQL&gt;&lt;FQL&gt;&lt;Q&gt;EWA^JULIAN(FMA_DIV_YLD(NTMA,NOW,NOW,M,"PORTAGG","MEANR").DATES)&lt;/Q&gt;&lt;R&gt;1&lt;/R&gt;&lt;C&gt;1&lt;/C&gt;&lt;D xsi:type="xsd:long"&gt;45442&lt;/D&gt;&lt;/FQL&gt;&lt;FQL&gt;&lt;Q&gt;CAGDPY@FR^EE_ACTUAL_ANNUAL(MED,+1)&lt;/Q&gt;&lt;R&gt;1&lt;/R&gt;&lt;C&gt;1&lt;/C&gt;&lt;D xsi:type="xsd:double"&gt;-0.55&lt;/D&gt;&lt;/FQL&gt;&lt;FQL&gt;&lt;Q&gt;CC_CA^FG_COMPANY_NAME&lt;/Q&gt;&lt;R&gt;1&lt;/R&gt;&lt;C&gt;1&lt;/C&gt;&lt;D xsi:type="xsd:string"&gt;Canada&lt;/D&gt;&lt;/FQL&gt;&lt;FQL&gt;&lt;Q&gt;USDGBP^FG_COMPANY_NAME&lt;/Q&gt;&lt;R&gt;1&lt;/R&gt;&lt;C&gt;1&lt;/C&gt;&lt;D xsi:type="xsd:string"&gt;British Pounds per U.S. Dollar&lt;/D&gt;&lt;/FQL&gt;&lt;FQL&gt;&lt;Q&gt;SPY^FMA_EPS(NTMA,-20AY,0,CY,,"PORTAGG","MEANR")&lt;/Q&gt;&lt;R&gt;20&lt;/R&gt;&lt;C&gt;1&lt;/C&gt;&lt;D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xsi:type="xsd:double"&gt;24.3449868014255&lt;/D&gt;&lt;/FQL&gt;&lt;FQL&gt;&lt;Q&gt;SPY^FG_TOTAL_RETURNC(-10AY,0,AM)&lt;/Q&gt;&lt;R&gt;121&lt;/R&gt;&lt;C&gt;1&lt;/C&gt;&lt;D xsi:type="xsd:double"&gt;2.3206353&lt;/D&gt;&lt;D xsi:type="xsd:double"&gt;2.063346&lt;/D&gt;&lt;D xsi:type="xsd:double"&gt;-1.3437569&lt;/D&gt;&lt;D xsi:type="xsd:double"&gt;3.946352&lt;/D&gt;&lt;D xsi:type="xsd:double"&gt;-1.3791203&lt;/D&gt;&lt;D xsi:type="xsd:double"&gt;2.3550868&lt;/D&gt;&lt;D xsi:type="xsd:double"&gt;2.74719&lt;/D&gt;&lt;D xsi:type="xsd:double"&gt;-0.25601983&lt;/D&gt;&lt;D xsi:type="xsd:double"&gt;-2.962923&lt;/D&gt;&lt;D xsi:type="xsd:double"&gt;5.6204557&lt;/D&gt;&lt;D xsi:type="xsd:double"&gt;-1.5744805&lt;/D&gt;&lt;D xsi:type="xsd:double"&gt;0.9833932&lt;/D&gt;&lt;D xsi:type="xsd:double"&gt;1.2856126&lt;/D&gt;&lt;D xsi:type="xsd:double"&gt;-2.0290613&lt;/D&gt;&lt;D xsi:type="xsd:double"&gt;2.2589207&lt;/D&gt;&lt;D xsi:type="xsd:double"&gt;-6.09501&lt;/D&gt;&lt;D xsi:type="xsd:double"&gt;-2.5430024&lt;/D&gt;&lt;D xsi:type="xsd:double"&gt;8.505964&lt;/D&gt;&lt;D xsi:type="xsd:double"&gt;0.3655076&lt;/D&gt;&lt;D xsi:type="xsd:double"&gt;-1.7179251&lt;/D&gt;&lt;D xsi:type="xsd:double"&gt;-4.9782696&lt;/D&gt;&lt;D xsi:type="xsd:double"&gt;-0.08300543&lt;/D&gt;&lt;D xsi:type="xsd:double"&gt;6.7242503&lt;/D&gt;&lt;D xsi:type="xsd:double"&gt;0.39451122&lt;/D&gt;&lt;D xsi:type="xsd:double"&gt;1.7007589&lt;/D&gt;&lt;D xsi:type="xsd:double"&gt;0.34735203&lt;/D&gt;&lt;D xsi:type="xsd:double"&gt;3.6495924&lt;/D&gt;&lt;D xsi:type="xsd:double"&gt;0.11975765&lt;/D&gt;&lt;D xsi:type="xsd:double"&gt;0.0077962875&lt;/D&gt;&lt;D xsi:type="xsd:double"&gt;-1.7337024&lt;/D&gt;&lt;D xsi:type="xsd:double"&gt;3.6838412&lt;/D&gt;&lt;D xsi:type="xsd:double"&gt;2.0283222&lt;/D&gt;&lt;D xsi:type="xsd:double"&gt;1.7894745&lt;/D&gt;&lt;D xsi:type="xsd:double"&gt;3.92915&lt;/D&gt;&lt;D xsi:type="xsd:double"&gt;0.12581348&lt;/D&gt;&lt;D xsi:type="xsd:double"&gt;0.99262&lt;/D&gt;&lt;D xsi:type="xsd:double"&gt;1.4112949&lt;/D&gt;&lt;D xsi:type="xsd:double"&gt;0.6374359&lt;/D&gt;&lt;D xsi:type="xsd:double"&gt;2.0554185&lt;/D&gt;&lt;D xsi:type="xsd:double"&gt;0.29176474&lt;/D&gt;&lt;D xsi:type="xsd:double"&gt;2.0140886&lt;/D&gt;&lt;D xsi:type="xsd:double"&gt;2.35641&lt;/D&gt;&lt;D xsi:type="xsd:double"&gt;3.0565858&lt;/D&gt;&lt;D xsi:type="xsd:double"&gt;1.2086749&lt;/D&gt;&lt;D xsi:type="xsd:double"&gt;5.635917&lt;/D&gt;&lt;D xsi:type="xsd:double"&gt;-3.6360383&lt;/D&gt;&lt;D xsi:type="xsd:double"&gt;-2.7415514&lt;/D&gt;&lt;D xsi:type="xsd:double"&gt;0.51681995&lt;/D&gt;&lt;D xsi:type="xsd:double"&gt;2.430904&lt;/D&gt;&lt;D xsi:type="xsd:double"&gt;0.5755067&lt;/D&gt;&lt;D xsi:type="xsd:double"&gt;3.7046552&lt;/D&gt;&lt;D xsi:type="xsd:double"&gt;3.1919837&lt;/D&gt;&lt;D xsi:type="xsd:double"&gt;0.5948305&lt;/D&gt;&lt;D xsi:type="xsd:double"&gt;-6.910425&lt;/D&gt;&lt;D xsi:type="xsd:double"&gt;1.8549323&lt;/D&gt;&lt;D xsi:type="xsd:double"&gt;-8.793616&lt;/D&gt;&lt;D xsi:type="xsd:double"&gt;8.006561&lt;/D&gt;&lt;D xsi:type="xsd:double"&gt;3.2415867&lt;/D&gt;&lt;D xsi:type="xsd:double"&gt;1.8079042&lt;/D&gt;&lt;D xsi:type="xsd:double"&gt;4.0852427&lt;/D&gt;&lt;D xsi:type="xsd:double"&gt;-6.377119&lt;/D&gt;&lt;D xsi:type="xsd:double"&gt;6.9592714&lt;/D&gt;&lt;D xsi:type="xsd:double"&gt;1.5119433&lt;/D&gt;&lt;D xsi:type="xsd:double"&gt;-1.6743362&lt;/D&gt;&lt;D xsi:type="xsd:double"&gt;1.9478917&lt;/D&gt;&lt;D xsi:type="xsd:double"&gt;2.210462&lt;/D&gt;&lt;D xsi:type="xsd:double"&gt;3.6198258&lt;/D&gt;&lt;D xsi:type="xsd:double"&gt;2.9033542&lt;/D&gt;&lt;D xsi:type="xsd:double"&gt;-0.040382147&lt;/D&gt;&lt;D xsi:type="xsd:double"&gt;-7.9165754&lt;/D&gt;&lt;D xsi:type="xsd:double"&gt;-12.464255&lt;/D&gt;&lt;D xsi:type="xsd:double"&gt;12.698353&lt;/D&gt;&lt;D xsi:type="xsd:double"&gt;4.764521&lt;/D&gt;&lt;D xsi:type="xsd:double"&gt;1.7760754&lt;/D&gt;&lt;D xsi:type="xsd:double"&gt;5.889225&lt;/D&gt;&lt;D xsi:type="xsd:double"&gt;6.979668&lt;/D&gt;&lt;D xsi:type="xsd:double"&gt;-3.739822&lt;/D&gt;&lt;D xsi:type="xsd:double"&gt;-2.4933577&lt;/D&gt;&lt;D xsi:type="xsd:double"&gt;10.877681&lt;/D&gt;&lt;D xsi:type="xsd:double"&gt;3.7065983&lt;/D&gt;&lt;D xsi:type="xsd:double"&gt;-1.0190427&lt;/D&gt;&lt;D xsi:type="xsd:double"&gt;2.7805448&lt;/D&gt;&lt;D xsi:type="xsd:double"&gt;4.540515&lt;/D&gt;&lt;D xsi:type="xsd:double"&gt;5.2910447&lt;/D&gt;&lt;D xsi:type="xsd:double"&gt;0.65660477&lt;/D&gt;&lt;D xsi:type="xsd:double"&gt;2.247262&lt;/D&gt;&lt;D xsi:type="xsd:double"&gt;2.4412513&lt;/D&gt;&lt;D xsi:type="xsd:double"&gt;2.9759884&lt;/D&gt;&lt;D xsi:type="xsd:double"&gt;-4.657531&lt;/D&gt;&lt;D xsi:type="xsd:double"&gt;7.016349&lt;/D&gt;&lt;D xsi:type="xsd:double"&gt;-0.80348253&lt;/D&gt;&lt;D xsi:type="xsd:double"&gt;4.6295047&lt;/D&gt;&lt;D xsi:type="xsd:double"&gt;-5.274123&lt;/D&gt;&lt;D xsi:type="xsd:double"&gt;-2.9516995&lt;/D&gt;&lt;D xsi:type="xsd:double"&gt;3.7555575&lt;/D&gt;&lt;D xsi:type="xsd:double"&gt;-8.776903&lt;/D&gt;&lt;D xsi:type="xsd:double"&gt;0.22572279&lt;/D&gt;&lt;D xsi:type="xsd:double"&gt;-8.2469225&lt;/D&gt;&lt;D xsi:type="xsd:double"&gt;9.208751&lt;/D&gt;&lt;D xsi:type="xsd:double"&gt;-4.0801945&lt;/D&gt;&lt;D xsi:type="xsd:double"&gt;-9.241634&lt;/D&gt;&lt;D xsi:type="xsd:double"&gt;8.127558&lt;/D&gt;&lt;D xsi:type="xsd:double"&gt;5.5591464&lt;/D&gt;&lt;D xsi:type="xsd:double"&gt;-5.757582&lt;/D&gt;&lt;D xsi:type="xsd:double"&gt;6.288743&lt;/D&gt;&lt;D xsi:type="xsd:double"&gt;-2.514267&lt;/D&gt;&lt;D xsi:type="xsd:double"&gt;3.7124991&lt;/D&gt;&lt;D xsi:type="xsd:double"&gt;1.5974879&lt;/D&gt;&lt;D xsi:type="xsd:double"&gt;0.46161413&lt;/D&gt;&lt;D xsi:type="xsd:double"&gt;6.481409&lt;/D&gt;&lt;D xsi:type="xsd:double"&gt;3.273332&lt;/D&gt;&lt;D xsi:type="xsd:double"&gt;-1.6251981&lt;/D&gt;&lt;D xsi:type="xsd:double"&gt;-4.7393265&lt;/D&gt;&lt;D xsi:type="xsd:double"&gt;-2.1708608&lt;/D&gt;&lt;D xsi:type="xsd:double"&gt;9.134377&lt;/D&gt;&lt;D xsi:type="xsd:double"&gt;4.566252&lt;/D&gt;&lt;D xsi:type="xsd:double"&gt;1.592648&lt;/D&gt;&lt;D xsi:type="xsd:double"&gt;5.2186847&lt;/D&gt;&lt;D xsi:type="xsd:double"&gt;3.2723904&lt;/D&gt;&lt;D xsi:type="xsd:double"&gt;-4.0319624&lt;/D&gt;&lt;D xsi:type="xsd:double"&gt;5.0579667&lt;/D&gt;&lt;/FQL&gt;&lt;FQL&gt;&lt;Q&gt;EWD^FMA_PE(NTMA,-10AY,0,AM,"PORTAGG","MEANR")&lt;/Q&gt;&lt;R&gt;121&lt;/R&gt;&lt;C&gt;1&lt;/C&gt;&lt;D xsi:type="xsd:double"&gt;15.9446023527782&lt;/D&gt;&lt;D xsi:type="xsd:double"&gt;15.5149374602116&lt;/D&gt;&lt;D xsi:type="xsd:double"&gt;15.3809341005389&lt;/D&gt;&lt;D xsi:type="xsd:double"&gt;14.7457568698236&lt;/D&gt;&lt;D xsi:type="xsd:double"&gt;14.6879698949728&lt;/D&gt;&lt;D xsi:type="xsd:double"&gt;14.6907340445612&lt;/D&gt;&lt;D xsi:type="xsd:double"&gt;15.6989876845885&lt;/D&gt;&lt;D xsi:type="xsd:double"&gt;15.6107957364202&lt;/D&gt;&lt;D xsi:type="xsd:double"&gt;16.2029143239634&lt;/D&gt;&lt;D xsi:type="xsd:double"&gt;17.3936140410266&lt;/D&gt;&lt;D xsi:type="xsd:double"&gt;16.9976146356648&lt;/D&gt;&lt;D xsi:type="xsd:double"&gt;15.8400824709705&lt;/D&gt;&lt;D xsi:type="xsd:double"&gt;16.4926284571713&lt;/D&gt;&lt;D xsi:type="xsd:double"&gt;15.3818987124474&lt;/D&gt;&lt;D xsi:type="xsd:double"&gt;15.9682175913571&lt;/D&gt;&lt;D xsi:type="xsd:double"&gt;14.9033573095144&lt;/D&gt;&lt;D xsi:type="xsd:double"&gt;14.1084690328356&lt;/D&gt;&lt;D xsi:type="xsd:double"&gt;15.4549049078493&lt;/D&gt;&lt;D xsi:type="xsd:double"&gt;15.7187562895334&lt;/D&gt;&lt;D xsi:type="xsd:double"&gt;14.9750159777383&lt;/D&gt;&lt;D xsi:type="xsd:double"&gt;14.5798742716645&lt;/D&gt;&lt;D xsi:type="xsd:double"&gt;15.1632909635731&lt;/D&gt;&lt;D xsi:type="xsd:double"&gt;15.0704805199272&lt;/D&gt;&lt;D xsi:type="xsd:double"&gt;15.2560793560229&lt;/D&gt;&lt;D xsi:type="xsd:double"&gt;15.0093246160006&lt;/D&gt;&lt;D xsi:type="xsd:double"&gt;14.5167450248544&lt;/D&gt;&lt;D xsi:type="xsd:double"&gt;15.2593380109794&lt;/D&gt;&lt;D xsi:type="xsd:double"&gt;15.4803084887077&lt;/D&gt;&lt;D xsi:type="xsd:double"&gt;15.7653590079957&lt;/D&gt;&lt;D xsi:type="xsd:double"&gt;16.0344242227279&lt;/D&gt;&lt;D xsi:type="xsd:double"&gt;16.1080326381519&lt;/D&gt;&lt;D xsi:type="xsd:double"&gt;16.4046723033614&lt;/D&gt;&lt;D xsi:type="xsd:double"&gt;15.8970560953903&lt;/D&gt;&lt;D xsi:type="xsd:double"&gt;16.3898648505327&lt;/D&gt;&lt;D xsi:type="xsd:double"&gt;17.1510964012342&lt;/D&gt;&lt;D xsi:type="xsd:double"&gt;17.090100577415&lt;/D&gt;&lt;D xsi:type="xsd:double"&gt;17.9885853625156&lt;/D&gt;&lt;D xsi:type="xsd:double"&gt;16.4637755011596&lt;/D&gt;&lt;D xsi:type="xsd:double"&gt;15.9758773781127&lt;/D&gt;&lt;D xsi:type="xsd:double"&gt;15.8016757447029&lt;/D&gt;&lt;D xsi:type="xsd:double"&gt;16.8113671936394&lt;/D&gt;&lt;D xsi:type="xsd:double"&gt;17.3338264535547&lt;/D&gt;&lt;D xsi:type="xsd:double"&gt;16.5359821025612&lt;/D&gt;&lt;D xsi:type="xsd:double"&gt;16.113894235022&lt;/D&gt;&lt;D xsi:type="xsd:double"&gt;16.5756396757437&lt;/D&gt;&lt;D xsi:type="xsd:double"&gt;16.3892673839327&lt;/D&gt;&lt;D xsi:type="xsd:double"&gt;15.8207495332629&lt;/D&gt;&lt;D xsi:type="xsd:double"&gt;15.8794080385152&lt;/D&gt;&lt;D xsi:type="xsd:double"&gt;15.4134314603645&lt;/D&gt;&lt;D xsi:type="xsd:double"&gt;15.3503417864848&lt;/D&gt;&lt;D xsi:type="xsd:double"&gt;15.6429301677145&lt;/D&gt;&lt;D xsi:type="xsd:double"&gt;15.8653631698662&lt;/D&gt;&lt;D xsi:type="xsd:double"&gt;15.8808559138146&lt;/D&gt;&lt;D xsi:type="xsd:double"&gt;14.4416529266084&lt;/D&gt;&lt;D xsi:type="xsd:double"&gt;14.1492544826452&lt;/D&gt;&lt;D xsi:type="xsd:double"&gt;13.3494752250555&lt;/D&gt;&lt;D xsi:type="xsd:double"&gt;14.1151047751926&lt;/D&gt;&lt;D xsi:type="xsd:double"&gt;14.7869103765623&lt;/D&gt;&lt;D xsi:type="xsd:double"&gt;14.6835089300983&lt;/D&gt;&lt;D xsi:type="xsd:double"&gt;15.7059459818929&lt;/D&gt;&lt;D xsi:type="xsd:double"&gt;14.0663539951271&lt;/D&gt;&lt;D xsi:type="xsd:double"&gt;14.9750765508224&lt;/D&gt;&lt;D xsi:type="xsd:double"&gt;14.905814827195&lt;/D&gt;&lt;D xsi:type="xsd:double"&gt;13.7512240670503&lt;/D&gt;&lt;D xsi:type="xsd:double"&gt;15.0427244538468&lt;/D&gt;&lt;D xsi:type="xsd:double"&gt;15.7014480486855&lt;/D&gt;&lt;D xsi:type="xsd:double"&gt;15.6167541330991&lt;/D&gt;&lt;D xsi:type="xsd:double"&gt;16.0880122782739&lt;/D&gt;&lt;D xsi:type="xsd:double"&gt;16.0998274698633&lt;/D&gt;&lt;D xsi:type="xsd:double"&gt;15.0619949205102&lt;/D&gt;&lt;D xsi:type="xsd:double"&gt;14.3006655031041&lt;/D&gt;&lt;D xsi:type="xsd:double"&gt;17.0325318042254&lt;/D&gt;&lt;D xsi:type="xsd:double"&gt;18.5148241623262&lt;/D&gt;&lt;D xsi:type="xsd:double"&gt;19.2900823980149&lt;/D&gt;&lt;D xsi:type="xsd:double"&gt;18.1484750364984&lt;/D&gt;&lt;D xsi:type="xsd:double"&gt;18.0819914973421&lt;/D&gt;&lt;D xsi:type="xsd:double"&gt;18.3113186719891&lt;/D&gt;&lt;D xsi:type="xsd:double"&gt;15.5955476372137&lt;/D&gt;&lt;D xsi:type="xsd:double"&gt;17.3108635106432&lt;/D&gt;&lt;D xsi:type="xsd:double"&gt;17.9826004051755&lt;/D&gt;&lt;D xsi:type="xsd:double"&gt;18.4319610593142&lt;/D&gt;&lt;D xsi:type="xsd:double"&gt;18.7197263345941&lt;/D&gt;&lt;D xsi:type="xsd:double"&gt;20.2558337501735&lt;/D&gt;&lt;D xsi:type="xsd:double"&gt;18.6920494479418&lt;/D&gt;&lt;D xsi:type="xsd:double"&gt;18.4636301746765&lt;/D&gt;&lt;D xsi:type="xsd:double"&gt;18.5117640572089&lt;/D&gt;&lt;D xsi:type="xsd:double"&gt;18.4424423054938&lt;/D&gt;&lt;D xsi:type="xsd:double"&gt;18.3906536062312&lt;/D&gt;&lt;D xsi:type="xsd:double"&gt;17.8356919685468&lt;/D&gt;&lt;D xsi:type="xsd:double"&gt;18.1312430609628&lt;/D&gt;&lt;D xsi:type="xsd:double"&gt;17.9658368748321&lt;/D&gt;&lt;D xsi:type="xsd:double"&gt;18.6078033361492&lt;/D&gt;&lt;D xsi:type="xsd:double"&gt;16.6526114044439&lt;/D&gt;&lt;D xsi:type="xsd:double"&gt;15.0907116901444&lt;/D&gt;&lt;D xsi:type="xsd:double"&gt;15.0673928034922&lt;/D&gt;&lt;D xsi:type="xsd:double"&gt;14.5433017493468&lt;/D&gt;&lt;D xsi:type="xsd:double"&gt;15.9545169882878&lt;/D&gt;&lt;D xsi:type="xsd:double"&gt;14.0482315337327&lt;/D&gt;&lt;D xsi:type="xsd:double"&gt;15.4753974384837&lt;/D&gt;&lt;D xsi:type="xsd:double"&gt;13.9352507470571&lt;/D&gt;&lt;D xsi:type="xsd:double"&gt;13.0652029604564&lt;/D&gt;&lt;D xsi:type="xsd:double"&gt;13.1579884960248&lt;/D&gt;&lt;D xsi:type="xsd:double"&gt;12.9675147885106&lt;/D&gt;&lt;D xsi:type="xsd:double"&gt;12.6115488437411&lt;/D&gt;&lt;D xsi:type="xsd:double"&gt;13.926804844228&lt;/D&gt;&lt;D xsi:type="xsd:double"&gt;14.0822005531498&lt;/D&gt;&lt;D xsi:type="xsd:double"&gt;13.8033449605729&lt;/D&gt;&lt;D xsi:type="xsd:double"&gt;13.765383611905&lt;/D&gt;&lt;D xsi:type="xsd:double"&gt;13.2724610101267&lt;/D&gt;&lt;D xsi:type="xsd:double"&gt;13.6055048185011&lt;/D&gt;&lt;D xsi:type="xsd:double"&gt;13.3963423235833&lt;/D&gt;&lt;D xsi:type="xsd:double"&gt;12.7794910035584&lt;/D&gt;&lt;D xsi:type="xsd:double"&gt;12.9090225088888&lt;/D&gt;&lt;D xsi:type="xsd:double"&gt;12.5157843440879&lt;/D&gt;&lt;D xsi:type="xsd:double"&gt;13.4299214011041&lt;/D&gt;&lt;D xsi:type="xsd:double"&gt;15.7259900145403&lt;/D&gt;&lt;D xsi:type="xsd:double"&gt;15.5517211979344&lt;/D&gt;&lt;D xsi:type="xsd:double"&gt;16.2650688356761&lt;/D&gt;&lt;D xsi:type="xsd:double"&gt;16.4211459844151&lt;/D&gt;&lt;D xsi:type="xsd:double"&gt;16.0135679915272&lt;/D&gt;&lt;D xsi:type="xsd:double"&gt;16.0470351324523&lt;/D&gt;&lt;/FQL&gt;&lt;FQL&gt;&lt;Q&gt;W-FDS^FG_PRICE_CHANGE(0,-1AM)&lt;/Q&gt;&lt;R&gt;1&lt;/R&gt;&lt;C&gt;1&lt;/C&gt;&lt;D xsi:type="xsd:double"&gt;15.982905982906&lt;/D&gt;&lt;/FQL&gt;&lt;FQL&gt;&lt;Q&gt;EWU^FG_PRICE_MAVG(0,,,,30)&lt;/Q&gt;&lt;R&gt;1&lt;/R&gt;&lt;C&gt;1&lt;/C&gt;&lt;D xsi:type="xsd:double"&gt;35.604332&lt;/D&gt;&lt;/FQL&gt;&lt;FQL&gt;&lt;Q&gt;EWL^FG_TOTAL_RETURNC(0,-3AM)&lt;/Q&gt;&lt;R&gt;1&lt;/R&gt;&lt;C&gt;1&lt;/C&gt;&lt;D xsi:type="xsd:double"&gt;4.9978614&lt;/D&gt;&lt;/FQL&gt;&lt;FQL&gt;&lt;Q&gt;FXI^SIZE(FG_CONSTITUENTS)&lt;/Q&gt;&lt;R&gt;1&lt;/R&gt;&lt;C&gt;1&lt;/C&gt;&lt;D xsi:type="xsd:long"&gt;53&lt;/D&gt;&lt;/FQL&gt;&lt;FQL&gt;&lt;Q&gt;EWD^FMA_COS_UP("EPS","1M",+1,0,,,"PORTAGG","MEANR")&lt;/Q&gt;&lt;R&gt;1&lt;/R&gt;&lt;C&gt;1&lt;/C&gt;&lt;D xsi:type="xsd:double"&gt;17&lt;/D&gt;&lt;/FQL&gt;&lt;FQL&gt;&lt;Q&gt;USDJPY^FG_PRICE(0)&lt;/Q&gt;&lt;R&gt;1&lt;/R&gt;&lt;C&gt;1&lt;/C&gt;&lt;D xsi:type="xsd:double"&gt;157.145&lt;/D&gt;&lt;/FQL&gt;&lt;FQL&gt;&lt;Q&gt;QQQ^FMA_EPS(NTMA,-20AY,0,CY,,"PORTAGG","MEANR")&lt;/Q&gt;&lt;R&gt;20&lt;/R&gt;&lt;C&gt;1&lt;/C&gt;&lt;D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xsi:type="xsd:double"&gt;16.3243001938228&lt;/D&gt;&lt;/FQL&gt;&lt;FQL&gt;&lt;Q&gt;QQQ^FMA_DIV_YLD(NTMA,-10AY,0,AM,"PORTAGG","MEANR")&lt;/Q&gt;&lt;R&gt;121&lt;/R&gt;&lt;C&gt;1&lt;/C&gt;&lt;D xsi:type="xsd:double"&gt;1.31245539971502&lt;/D&gt;&lt;D xsi:type="xsd:double"&gt;1.26547070535965&lt;/D&gt;&lt;D xsi:type="xsd:double"&gt;1.26420791694804&lt;/D&gt;&lt;D xsi:type="xsd:double"&gt;1.21275980992652&lt;/D&gt;&lt;D xsi:type="xsd:double"&gt;1.23932327758256&lt;/D&gt;&lt;D xsi:type="xsd:double"&gt;1.22378485612699&lt;/D&gt;&lt;D xsi:type="xsd:double"&gt;1.18921478067016&lt;/D&gt;&lt;D xsi:type="xsd:double"&gt;1.20522103679901&lt;/D&gt;&lt;D xsi:type="xsd:double"&gt;1.24061559788852&lt;/D&gt;&lt;D xsi:type="xsd:double"&gt;1.21346631716943&lt;/D&gt;&lt;D xsi:type="xsd:double"&gt;1.27604673464763&lt;/D&gt;&lt;D xsi:type="xsd:double"&gt;1.25572943888175&lt;/D&gt;&lt;D xsi:type="xsd:double"&gt;1.23902653864636&lt;/D&gt;&lt;D xsi:type="xsd:double"&gt;1.27107986466329&lt;/D&gt;&lt;D xsi:type="xsd:double"&gt;1.26115963601434&lt;/D&gt;&lt;D xsi:type="xsd:double"&gt;1.36126663660398&lt;/D&gt;&lt;D xsi:type="xsd:double"&gt;1.395227630936&lt;/D&gt;&lt;D xsi:type="xsd:double"&gt;1.27153351470829&lt;/D&gt;&lt;D xsi:type="xsd:double"&gt;1.27287654388271&lt;/D&gt;&lt;D xsi:type="xsd:double"&gt;1.25997804336583&lt;/D&gt;&lt;D xsi:type="xsd:double"&gt;1.35895408073496&lt;/D&gt;&lt;D xsi:type="xsd:double"&gt;1.41613152468331&lt;/D&gt;&lt;D xsi:type="xsd:double"&gt;1.33316585165583&lt;/D&gt;&lt;D xsi:type="xsd:double"&gt;1.39099344199501&lt;/D&gt;&lt;D xsi:type="xsd:double"&gt;1.34255606774123&lt;/D&gt;&lt;D xsi:type="xsd:double"&gt;1.36448154564843&lt;/D&gt;&lt;D xsi:type="xsd:double"&gt;1.28997458046823&lt;/D&gt;&lt;D xsi:type="xsd:double"&gt;1.2889295389956&lt;/D&gt;&lt;D xsi:type="xsd:double"&gt;1.26004379696741&lt;/D&gt;&lt;D xsi:type="xsd:double"&gt;1.28964810838131&lt;/D&gt;&lt;D xsi:type="xsd:double"&gt;1.29602971682071&lt;/D&gt;&lt;D xsi:type="xsd:double"&gt;1.30197782946316&lt;/D&gt;&lt;D xsi:type="xsd:double"&gt;1.24672394213797&lt;/D&gt;&lt;D xsi:type="xsd:double"&gt;1.22415700323872&lt;/D&gt;&lt;D xsi:type="xsd:double"&gt;1.20673171258263&lt;/D&gt;&lt;D xsi:type="xsd:double"&gt;1.18832593916955&lt;/D&gt;&lt;D xsi:type="xsd:double"&gt;1.15809527439634&lt;/D&gt;&lt;D xsi:type="xsd:double"&gt;1.19969361998082&lt;/D&gt;&lt;D xsi:type="xsd:double"&gt;1.17418605149178&lt;/D&gt;&lt;D xsi:type="xsd:double"&gt;1.15995951975967&lt;/D&gt;&lt;D xsi:type="xsd:double"&gt;1.16279797138161&lt;/D&gt;&lt;D xsi:type="xsd:double"&gt;1.1171082287263&lt;/D&gt;&lt;D xsi:type="xsd:double"&gt;1.10443109229641&lt;/D&gt;&lt;D xsi:type="xsd:double"&gt;1.10103549957568&lt;/D&gt;&lt;D xsi:type="xsd:double"&gt;1.03144302293207&lt;/D&gt;&lt;D xsi:type="xsd:double"&gt;1.06479442796328&lt;/D&gt;&lt;D xsi:type="xsd:double"&gt;1.12169010247195&lt;/D&gt;&lt;D xsi:type="xsd:double"&gt;1.12858686593306&lt;/D&gt;&lt;D xsi:type="xsd:double"&gt;1.08307522236921&lt;/D&gt;&lt;D xsi:type="xsd:double"&gt;1.07614608708486&lt;/D&gt;&lt;D xsi:type="xsd:double"&gt;1.10262471885249&lt;/D&gt;&lt;D xsi:type="xsd:double"&gt;1.05046082475478&lt;/D&gt;&lt;D xsi:type="xsd:double"&gt;1.06020338050617&lt;/D&gt;&lt;D xsi:type="xsd:double"&gt;1.18137614513665&lt;/D&gt;&lt;D xsi:type="xsd:double"&gt;1.19016442416278&lt;/D&gt;&lt;D xsi:type="xsd:double"&gt;1.32896766213063&lt;/D&gt;&lt;D xsi:type="xsd:double"&gt;1.21857880161809&lt;/D&gt;&lt;D xsi:type="xsd:double"&gt;1.17801506593521&lt;/D&gt;&lt;D xsi:type="xsd:double"&gt;1.13885454821726&lt;/D&gt;&lt;D xsi:type="xsd:double"&gt;1.09374615271282&lt;/D&gt;&lt;D xsi:type="xsd:double"&gt;1.20013896593598&lt;/D&gt;&lt;D xsi:type="xsd:double"&gt;1.1141338537341&lt;/D&gt;&lt;D xsi:type="xsd:double"&gt;1.09360104112937&lt;/D&gt;&lt;D xsi:type="xsd:double"&gt;1.11766359841406&lt;/D&gt;&lt;D xsi:type="xsd:double"&gt;1.11458732578964&lt;/D&gt;&lt;D xsi:type="xsd:double"&gt;1.08392448479909&lt;/D&gt;&lt;D xsi:type="xsd:double"&gt;1.07169012998774&lt;/D&gt;&lt;D xsi:type="xsd:double"&gt;1.04767821188653&lt;/D&gt;&lt;D xsi:type="xsd:double"&gt;1.02349312664834&lt;/D&gt;&lt;D xsi:type="xsd:double"&gt;1.09357289998381&lt;/D&gt;&lt;D xsi:type="xsd:double"&gt;1.18850241001459&lt;/D&gt;&lt;D xsi:type="xsd:double"&gt;1.01872571076637&lt;/D&gt;&lt;D xsi:type="xsd:double"&gt;0.950459889716669&lt;/D&gt;&lt;D xsi:type="xsd:double"&gt;0.894166145971889&lt;/D&gt;&lt;D xsi:type="xsd:double"&gt;0.835276832095417&lt;/D&gt;&lt;D xsi:type="xsd:double"&gt;0.752654651191199&lt;/D&gt;&lt;D xsi:type="xsd:double"&gt;0.801004631073688&lt;/D&gt;&lt;D xsi:type="xsd:double"&gt;0.838160300330545&lt;/D&gt;&lt;D xsi:type="xsd:double"&gt;0.756507038151429&lt;/D&gt;&lt;D xsi:type="xsd:double"&gt;0.763066803932728&lt;/D&gt;&lt;D xsi:type="xsd:double"&gt;0.765726304378392&lt;/D&gt;&lt;D xsi:type="xsd:double"&gt;0.774742301916073&lt;/D&gt;&lt;D xsi:type="xsd:double"&gt;0.767714278643062&lt;/D&gt;&lt;D xsi:type="xsd:double"&gt;0.730901961367236&lt;/D&gt;&lt;D xsi:type="xsd:double"&gt;0.740744187266373&lt;/D&gt;&lt;D xsi:type="xsd:double"&gt;0.704187992556581&lt;/D&gt;&lt;D xsi:type="xsd:double"&gt;0.703921699044689&lt;/D&gt;&lt;D xsi:type="xsd:double"&gt;0.679697360883476&lt;/D&gt;&lt;D xsi:type="xsd:double"&gt;0.728138795063255&lt;/D&gt;&lt;D xsi:type="xsd:double"&gt;0.678574183032493&lt;/D&gt;&lt;D xsi:type="xsd:double"&gt;0.671580136072101&lt;/D&gt;&lt;D xsi:type="xsd:double"&gt;0.667983627601131&lt;/D&gt;&lt;D xsi:type="xsd:double"&gt;0.737470164834491&lt;/D&gt;&lt;D xsi:type="xsd:double"&gt;0.787356254120176&lt;/D&gt;&lt;D xsi:type="xsd:double"&gt;0.759192101010251&lt;/D&gt;&lt;D xsi:type="xsd:double"&gt;0.878393686510995&lt;/D&gt;&lt;D xsi:type="xsd:double"&gt;0.901986315876621&lt;/D&gt;&lt;D xsi:type="xsd:double"&gt;0.999128681390758&lt;/D&gt;&lt;D xsi:type="xsd:double"&gt;0.893432096075099&lt;/D&gt;&lt;D xsi:type="xsd:double"&gt;0.947441094312948&lt;/D&gt;&lt;D xsi:type="xsd:double"&gt;1.07002595175519&lt;/D&gt;&lt;D xsi:type="xsd:double"&gt;1.03650820391809&lt;/D&gt;&lt;D xsi:type="xsd:double"&gt;0.986679169566659&lt;/D&gt;&lt;D xsi:type="xsd:double"&gt;1.0384400172415&lt;/D&gt;&lt;D xsi:type="xsd:double"&gt;0.95020339170107&lt;/D&gt;&lt;D xsi:type="xsd:double"&gt;0.962017703454128&lt;/D&gt;&lt;D xsi:type="xsd:double"&gt;0.884085342159011&lt;/D&gt;&lt;D xsi:type="xsd:double"&gt;0.863925211340448&lt;/D&gt;&lt;D xsi:type="xsd:double"&gt;0.806732182428258&lt;/D&gt;&lt;D xsi:type="xsd:double"&gt;0.762629514025155&lt;/D&gt;&lt;D xsi:type="xsd:double"&gt;0.85636517592352&lt;/D&gt;&lt;D xsi:type="xsd:double"&gt;0.873319057160994&lt;/D&gt;&lt;D xsi:type="xsd:double"&gt;0.945694235699801&lt;/D&gt;&lt;D xsi:type="xsd:double"&gt;0.972118297583118&lt;/D&gt;&lt;D xsi:type="xsd:double"&gt;0.887307113132913&lt;/D&gt;&lt;D xsi:type="xsd:double"&gt;0.919279198083912&lt;/D&gt;&lt;D xsi:type="xsd:double"&gt;0.901275368240303&lt;/D&gt;&lt;D xsi:type="xsd:double"&gt;0.882677293199704&lt;/D&gt;&lt;D xsi:type="xsd:double"&gt;0.882477803601336&lt;/D&gt;&lt;D xsi:type="xsd:double"&gt;0.943896880301974&lt;/D&gt;&lt;D xsi:type="xsd:double"&gt;0.896392968215715&lt;/D&gt;&lt;/FQL&gt;&lt;FQL&gt;&lt;Q&gt;CPALM-FDS^FG_PRICE_CHANGE(0,-3AM)&lt;/Q&gt;&lt;R&gt;1&lt;/R&gt;&lt;C&gt;1&lt;/C&gt;&lt;D xsi:type="xsd:double"&gt;1.09316770186336&lt;/D&gt;&lt;/FQL&gt;&lt;FQL&gt;&lt;Q&gt;EWD^P_PRICE(0)/P_PRICE_HIGH_PR(0,,,,,,"PRICE","INTRA","52W")&lt;/Q&gt;&lt;R&gt;1&lt;/R&gt;&lt;C&gt;1&lt;/C&gt;&lt;D xsi:type="xsd:double"&gt;0.99833333&lt;/D&gt;&lt;/FQL&gt;&lt;FQL&gt;&lt;Q&gt;EWG^FG_TOTAL_RETURNC(0,-3AM)&lt;/Q&gt;&lt;R&gt;1&lt;/R&gt;&lt;C&gt;1&lt;/C&gt;&lt;D xsi:type="xsd:double"&gt;4.6344757&lt;/D&gt;&lt;/FQL&gt;&lt;FQL&gt;&lt;Q&gt;EWU^FMA_RBICS_REV_CURRENT(30, LOC, "PORTAGG")&lt;/Q&gt;&lt;R&gt;1&lt;/R&gt;&lt;C&gt;1&lt;/C&gt;&lt;D xsi:type="xsd:double"&gt;18.8933168361865&lt;/D&gt;&lt;/FQL&gt;&lt;FQL&gt;&lt;Q&gt;TRYJP10Y-FDS^PCTCHG(FG_YIELD(0,,,,"YTM"),FG_YIELD(-1AM,,,,"YTM"))&lt;/Q&gt;&lt;R&gt;1&lt;/R&gt;&lt;C&gt;1&lt;/C&gt;&lt;D xsi:type="xsd:double"&gt;23.271679&lt;/D&gt;&lt;/FQL&gt;&lt;FQL&gt;&lt;Q&gt;EWI^FMA_EVAL_EBITDA(NTMA,0,,,"PORTAGG","MEANR")&lt;/Q&gt;&lt;R&gt;1&lt;/R&gt;&lt;C&gt;1&lt;/C&gt;&lt;D xsi:type="xsd:double"&gt;6.84410677083626&lt;/D&gt;&lt;/FQL&gt;&lt;FQL&gt;&lt;Q&gt;DBA^FG_TOTAL_RETURNC(0,-6AM)&lt;/Q&gt;&lt;R&gt;1&lt;/R&gt;&lt;C&gt;1&lt;/C&gt;&lt;D xsi:type="xsd:double"&gt;17.945444&lt;/D&gt;&lt;/FQL&gt;&lt;FQL&gt;&lt;Q&gt;TRYAU10Y-FDS^FG_YIELD(-10AY,0,Y,,"YTM")&lt;/Q&gt;&lt;R&gt;10&lt;/R&gt;&lt;C&gt;1&lt;/C&gt;&lt;D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xsi:type="xsd:double"&gt;3.955&lt;/D&gt;&lt;/FQL&gt;&lt;FQL&gt;&lt;Q&gt;CAGDPY@CA^EE_ACTUAL_ANNUAL(MED,0)&lt;/Q&gt;&lt;R&gt;1&lt;/R&gt;&lt;C&gt;1&lt;/C&gt;&lt;D xsi:type="xsd:double"&gt;-0.725414399026327&lt;/D&gt;&lt;/FQL&gt;&lt;FQL&gt;&lt;Q&gt;USDCHF^FG_PRICE_CHANGE(0,-3AM)&lt;/Q&gt;&lt;R&gt;1&lt;/R&gt;&lt;C&gt;1&lt;/C&gt;&lt;D xsi:type="xsd:double"&gt;2.4530053&lt;/D&gt;&lt;/FQL&gt;&lt;FQL&gt;&lt;Q&gt;DDR3512M-FDS^FG_PRICE_CHANGE(0,-6AM)&lt;/Q&gt;&lt;R&gt;1&lt;/R&gt;&lt;C&gt;1&lt;/C&gt;&lt;D xsi:type="xsd:double"&gt;-4.77345940594061&lt;/D&gt;&lt;/FQL&gt;&lt;FQL&gt;&lt;Q&gt;EWL^FG_PRICE_MAVG(0,,,,60)&lt;/Q&gt;&lt;R&gt;1&lt;/R&gt;&lt;C&gt;1&lt;/C&gt;&lt;D xsi:type="xsd:double"&gt;47.207165&lt;/D&gt;&lt;/FQL&gt;&lt;FQL&gt;&lt;Q&gt;EWJ^SIZE(FG_CONSTITUENTS)&lt;/Q&gt;&lt;R&gt;1&lt;/R&gt;&lt;C&gt;1&lt;/C&gt;&lt;D xsi:type="xsd:long"&gt;219&lt;/D&gt;&lt;/FQL&gt;&lt;FQL&gt;&lt;Q&gt;REFJPTON-FDS^(SUBARRAY(NOT_NA(NO_REPEAT_F(FG_YIELD(NOW,-10AY,D))),0,1)-SUBARRAY(NOT_NA(NO_REPEAT_F(FG_YIELD(NOW,-10AY,D))),1,1))*100&lt;/Q&gt;&lt;R&gt;1&lt;/R&gt;&lt;C&gt;1&lt;/C&gt;&lt;D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xsi:type="xsd:double"&gt;10&lt;/D&gt;&lt;/FQL&gt;&lt;FQL&gt;&lt;Q&gt;EWI^FG_FCF_YIELD_NTM(0)&lt;/Q&gt;&lt;R&gt;1&lt;/R&gt;&lt;C&gt;1&lt;/C&gt;&lt;D xsi:type="xsd:double"&gt;6.13302066427499&lt;/D&gt;&lt;/FQL&gt;&lt;FQL&gt;&lt;Q&gt;SPY^FMA_PE(LTM,0,,,"PORTAGG","MEANR")&lt;/Q&gt;&lt;R&gt;1&lt;/R&gt;&lt;C&gt;1&lt;/C&gt;&lt;D xsi:type="xsd:double"&gt;25.1847419811952&lt;/D&gt;&lt;/FQL&gt;&lt;FQL&gt;&lt;Q&gt;EWG^FG_FCF_YIELD_NTM(0)&lt;/Q&gt;&lt;R&gt;1&lt;/R&gt;&lt;C&gt;1&lt;/C&gt;&lt;D xsi:type="xsd:double"&gt;5.89724668780468&lt;/D&gt;&lt;/FQL&gt;&lt;FQL&gt;&lt;Q&gt;USDJPY^FG_COMPANY_NAME&lt;/Q&gt;&lt;R&gt;1&lt;/R&gt;&lt;C&gt;1&lt;/C&gt;&lt;D xsi:type="xsd:string"&gt;Japanese Yen per U.S. Dollar&lt;/D&gt;&lt;/FQL&gt;&lt;FQL&gt;&lt;Q&gt;EWU^FMA_DIV_YLD(NTMA,-10AY,0,AM,"PORTAGG","MEANR")&lt;/Q&gt;&lt;R&gt;121&lt;/R&gt;&lt;C&gt;1&lt;/C&gt;&lt;D xsi:type="xsd:double"&gt;3.83589919998927&lt;/D&gt;&lt;D xsi:type="xsd:double"&gt;3.87164581406924&lt;/D&gt;&lt;D xsi:type="xsd:double"&gt;3.90913500739275&lt;/D&gt;&lt;D xsi:type="xsd:double"&gt;3.8939000024378&lt;/D&gt;&lt;D xsi:type="xsd:double"&gt;4.0468711826303&lt;/D&gt;&lt;D xsi:type="xsd:double"&gt;4.09206953370175&lt;/D&gt;&lt;D xsi:type="xsd:double"&gt;4.03438047362769&lt;/D&gt;&lt;D xsi:type="xsd:double"&gt;4.13171988007349&lt;/D&gt;&lt;D xsi:type="xsd:double"&gt;4.07422576221118&lt;/D&gt;&lt;D xsi:type="xsd:double"&gt;3.88455792026231&lt;/D&gt;&lt;D xsi:type="xsd:double"&gt;4.05090992232372&lt;/D&gt;&lt;D xsi:type="xsd:double"&gt;3.89036023737121&lt;/D&gt;&lt;D xsi:type="xsd:double"&gt;3.91962851530386&lt;/D&gt;&lt;D xsi:type="xsd:double"&gt;4.20104357216922&lt;/D&gt;&lt;D xsi:type="xsd:double"&gt;4.096417008216&lt;/D&gt;&lt;D xsi:type="xsd:double"&gt;4.39275878673846&lt;/D&gt;&lt;D xsi:type="xsd:double"&gt;4.48641910561669&lt;/D&gt;&lt;D xsi:type="xsd:double"&gt;4.24491806245958&lt;/D&gt;&lt;D xsi:type="xsd:double"&gt;4.1987568576865&lt;/D&gt;&lt;D xsi:type="xsd:double"&gt;4.30856301942377&lt;/D&gt;&lt;D xsi:type="xsd:double"&gt;4.43757670350483&lt;/D&gt;&lt;D xsi:type="xsd:double"&gt;4.49378642132755&lt;/D&gt;&lt;D xsi:type="xsd:double"&gt;4.34443762519257&lt;/D&gt;&lt;D xsi:type="xsd:double"&gt;4.27161646826222&lt;/D&gt;&lt;D xsi:type="xsd:double"&gt;4.30230991974741&lt;/D&gt;&lt;D xsi:type="xsd:double"&gt;4.21625604305529&lt;/D&gt;&lt;D xsi:type="xsd:double"&gt;4.11933406835795&lt;/D&gt;&lt;D xsi:type="xsd:double"&gt;4.13056347388719&lt;/D&gt;&lt;D xsi:type="xsd:double"&gt;4.1564709474935&lt;/D&gt;&lt;D xsi:type="xsd:double"&gt;4.33926606830881&lt;/D&gt;&lt;D xsi:type="xsd:double"&gt;4.42208032275476&lt;/D&gt;&lt;D xsi:type="xsd:double"&gt;4.27151734515527&lt;/D&gt;&lt;D xsi:type="xsd:double"&gt;4.32964442959742&lt;/D&gt;&lt;D xsi:type="xsd:double"&gt;4.29897374225063&lt;/D&gt;&lt;D xsi:type="xsd:double"&gt;4.32479324020005&lt;/D&gt;&lt;D xsi:type="xsd:double"&gt;4.37740344097825&lt;/D&gt;&lt;D xsi:type="xsd:double"&gt;4.22825806923746&lt;/D&gt;&lt;D xsi:type="xsd:double"&gt;4.35243963248784&lt;/D&gt;&lt;D xsi:type="xsd:double"&gt;4.28043161838196&lt;/D&gt;&lt;D xsi:type="xsd:double"&gt;4.33180590235103&lt;/D&gt;&lt;D xsi:type="xsd:double"&gt;4.29549488536781&lt;/D&gt;&lt;D xsi:type="xsd:double"&gt;4.28923325274319&lt;/D&gt;&lt;D xsi:type="xsd:double"&gt;4.38764739980233&lt;/D&gt;&lt;D xsi:type="xsd:double"&gt;4.19117596008474&lt;/D&gt;&lt;D xsi:type="xsd:double"&gt;4.22972849958425&lt;/D&gt;&lt;D xsi:type="xsd:double"&gt;4.62090205560636&lt;/D&gt;&lt;D xsi:type="xsd:double"&gt;4.56453427272181&lt;/D&gt;&lt;D xsi:type="xsd:double"&gt;4.34599106194862&lt;/D&gt;&lt;D xsi:type="xsd:double"&gt;4.33754476852627&lt;/D&gt;&lt;D xsi:type="xsd:double"&gt;4.40328539217437&lt;/D&gt;&lt;D xsi:type="xsd:double"&gt;4.36958760504981&lt;/D&gt;&lt;D xsi:type="xsd:double"&gt;4.5766306421935&lt;/D&gt;&lt;D xsi:type="xsd:double"&gt;4.51545714486658&lt;/D&gt;&lt;D xsi:type="xsd:double"&gt;4.83985118425096&lt;/D&gt;&lt;D xsi:type="xsd:double"&gt;4.97924386808332&lt;/D&gt;&lt;D xsi:type="xsd:double"&gt;5.34221032429731&lt;/D&gt;&lt;D xsi:type="xsd:double"&gt;5.07384545387958&lt;/D&gt;&lt;D xsi:type="xsd:double"&gt;4.97377466886614&lt;/D&gt;&lt;D xsi:type="xsd:double"&gt;4.91543375327701&lt;/D&gt;&lt;D xsi:type="xsd:double"&gt;4.84219641026257&lt;/D&gt;&lt;D xsi:type="xsd:double"&gt;4.95177272056864&lt;/D&gt;&lt;D xsi:type="xsd:double"&gt;4.77443177975051&lt;/D&gt;&lt;D xsi:type="xsd:double"&gt;4.78551691395624&lt;/D&gt;&lt;D xsi:type="xsd:double"&gt;5.07671047044337&lt;/D&gt;&lt;D xsi:type="xsd:double"&gt;4.87430889467929&lt;/D&gt;&lt;D xsi:type="xsd:double"&gt;4.842679749387&lt;/D&gt;&lt;D xsi:type="xsd:double"&gt;4.73735286170526&lt;/D&gt;&lt;D xsi:type="xsd:double"&gt;4.56266786132553&lt;/D&gt;&lt;D xsi:type="xsd:double"&gt;4.73881751977321&lt;/D&gt;&lt;D xsi:type="xsd:double"&gt;5.32636721220566&lt;/D&gt;&lt;D xsi:type="xsd:double"&gt;6.10342589462125&lt;/D&gt;&lt;D xsi:type="xsd:double"&gt;5.12048652914248&lt;/D&gt;&lt;D xsi:type="xsd:double"&gt;4.19123239090501&lt;/D&gt;&lt;D xsi:type="xsd:double"&gt;4.15843286074476&lt;/D&gt;&lt;D xsi:type="xsd:double"&gt;4.15563004549872&lt;/D&gt;&lt;D xsi:type="xsd:double"&gt;4.03271162816908&lt;/D&gt;&lt;D xsi:type="xsd:double"&gt;4.23429739175012&lt;/D&gt;&lt;D xsi:type="xsd:double"&gt;4.59190016900554&lt;/D&gt;&lt;D xsi:type="xsd:double"&gt;4.01619527668937&lt;/D&gt;&lt;D xsi:type="xsd:double"&gt;3.93897492400488&lt;/D&gt;&lt;D xsi:type="xsd:double"&gt;4.10393488739171&lt;/D&gt;&lt;D xsi:type="xsd:double"&gt;4.05935317045809&lt;/D&gt;&lt;D xsi:type="xsd:double"&gt;4.05530577622058&lt;/D&gt;&lt;D xsi:type="xsd:double"&gt;3.95879453059203&lt;/D&gt;&lt;D xsi:type="xsd:double"&gt;3.89749527791002&lt;/D&gt;&lt;D xsi:type="xsd:double"&gt;4.02644101590477&lt;/D&gt;&lt;D xsi:type="xsd:double"&gt;4.15978291017877&lt;/D&gt;&lt;D xsi:type="xsd:double"&gt;4.18913307741155&lt;/D&gt;&lt;D xsi:type="xsd:double"&gt;4.16967587112883&lt;/D&gt;&lt;D xsi:type="xsd:double"&gt;4.03264243900003&lt;/D&gt;&lt;D xsi:type="xsd:double"&gt;4.17405361776404&lt;/D&gt;&lt;D xsi:type="xsd:double"&gt;3.89717641656201&lt;/D&gt;&lt;D xsi:type="xsd:double"&gt;3.81581694735465&lt;/D&gt;&lt;D xsi:type="xsd:double"&gt;3.90181381356309&lt;/D&gt;&lt;D xsi:type="xsd:double"&gt;3.99646616949063&lt;/D&gt;&lt;D xsi:type="xsd:double"&gt;4.04341835588584&lt;/D&gt;&lt;D xsi:type="xsd:double"&gt;4.01399841530827&lt;/D&gt;&lt;D xsi:type="xsd:double"&gt;4.30276471277111&lt;/D&gt;&lt;D xsi:type="xsd:double"&gt;4.14130063946041&lt;/D&gt;&lt;D xsi:type="xsd:double"&gt;4.41714788170847&lt;/D&gt;&lt;D xsi:type="xsd:double"&gt;4.76080208589926&lt;/D&gt;&lt;D xsi:type="xsd:double"&gt;4.53136804621816&lt;/D&gt;&lt;D xsi:type="xsd:double"&gt;4.24042965398515&lt;/D&gt;&lt;D xsi:type="xsd:double"&gt;4.27492191910242&lt;/D&gt;&lt;D xsi:type="xsd:double"&gt;4.09518423796358&lt;/D&gt;&lt;D xsi:type="xsd:double"&gt;4.1102388561794&lt;/D&gt;&lt;D xsi:type="xsd:double"&gt;4.21560198089841&lt;/D&gt;&lt;D xsi:type="xsd:double"&gt;4.09083219414147&lt;/D&gt;&lt;D xsi:type="xsd:double"&gt;4.47136857977038&lt;/D&gt;&lt;D xsi:type="xsd:double"&gt;4.35085002003268&lt;/D&gt;&lt;D xsi:type="xsd:double"&gt;4.24920096471086&lt;/D&gt;&lt;D xsi:type="xsd:double"&gt;4.48776205793094&lt;/D&gt;&lt;D xsi:type="xsd:double"&gt;4.44668901195418&lt;/D&gt;&lt;D xsi:type="xsd:double"&gt;4.64684547251556&lt;/D&gt;&lt;D xsi:type="xsd:double"&gt;4.44546356868956&lt;/D&gt;&lt;D xsi:type="xsd:double"&gt;4.2665720842035&lt;/D&gt;&lt;D xsi:type="xsd:double"&gt;4.2877996897559&lt;/D&gt;&lt;D xsi:type="xsd:double"&gt;4.20979928862818&lt;/D&gt;&lt;D xsi:type="xsd:double"&gt;4.02549633462349&lt;/D&gt;&lt;D xsi:type="xsd:double"&gt;3.93839678049422&lt;/D&gt;&lt;D xsi:type="xsd:double"&gt;3.91077479509746&lt;/D&gt;&lt;/FQL&gt;&lt;FQL&gt;&lt;Q&gt;CPALM-FDS^FG_PRICE_CHANGE(0,-1AM)&lt;/Q&gt;&lt;R&gt;1&lt;/R&gt;&lt;C&gt;1&lt;/C&gt;&lt;D xsi:type="xsd:double"&gt;5.35991714137753&lt;/D&gt;&lt;/FQL&gt;&lt;FQL&gt;&lt;Q&gt;EWD^PERCENT_CHANGE(FMA_EPS(+1,0,,,,"PORTAGG","MEAN"),FMA_EPS(+1,-3AM,,,,"PORTAGG","MEAN"))&lt;/Q&gt;&lt;R&gt;1&lt;/R&gt;&lt;C&gt;1&lt;/C&gt;&lt;D xsi:type="xsd:double"&gt;3.45840444311965&lt;/D&gt;&lt;/FQL&gt;&lt;FQL&gt;&lt;Q&gt;TRYDE10Y-FDS^PCTCHG(FG_YIELD(0,,,,"YTM"),FG_YIELD(-3AM,,,,"YTM"))&lt;/Q&gt;&lt;R&gt;1&lt;/R&gt;&lt;C&gt;1&lt;/C&gt;&lt;D xsi:type="xsd:double"&gt;9.549408&lt;/D&gt;&lt;/FQL&gt;&lt;FQL&gt;&lt;Q&gt;QQQ^FG_TOTAL_RETURNC(0,-6AM)&lt;/Q&gt;&lt;R&gt;1&lt;/R&gt;&lt;C&gt;1&lt;/C&gt;&lt;D xsi:type="xsd:double"&gt;16.357803&lt;/D&gt;&lt;/FQL&gt;&lt;FQL&gt;&lt;Q&gt;TRYPE10Y-FDS^FG_YIELD(-10AY,0,Y,,"YTM")&lt;/Q&gt;&lt;R&gt;10&lt;/R&gt;&lt;C&gt;1&lt;/C&gt;&lt;D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xsi:type="xsd:double"&gt;6.6087&lt;/D&gt;&lt;/FQL&gt;&lt;FQL&gt;&lt;Q&gt;CAGDPY@AU^EE_ACTUAL_ANNUAL(MED,+1)&lt;/Q&gt;&lt;R&gt;1&lt;/R&gt;&lt;C&gt;1&lt;/C&gt;&lt;D xsi:type="xsd:double"&gt;0.5&lt;/D&gt;&lt;/FQL&gt;&lt;FQL&gt;&lt;Q&gt;USDCHF^FG_PRICE_CHANGE(0,-1AM)&lt;/Q&gt;&lt;R&gt;1&lt;/R&gt;&lt;C&gt;1&lt;/C&gt;&lt;D xsi:type="xsd:double"&gt;-1.6355038&lt;/D&gt;&lt;/FQL&gt;&lt;FQL&gt;&lt;Q&gt;EWL^FMA_EPS(NTMA,-20AY,0,CY,,"PORTAGG","MEANR")&lt;/Q&gt;&lt;R&gt;20&lt;/R&gt;&lt;C&gt;1&lt;/C&gt;&lt;D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xsi:type="xsd:double"&gt;2.86429657487096&lt;/D&gt;&lt;/FQL&gt;&lt;FQL&gt;&lt;Q&gt;DDR3512M-FDS^FG_PRICE_CHANGE(0,-1AM)&lt;/Q&gt;&lt;R&gt;1&lt;/R&gt;&lt;C&gt;1&lt;/C&gt;&lt;D xsi:type="xsd:double"&gt;-0.846591752577319&lt;/D&gt;&lt;/FQL&gt;&lt;FQL&gt;&lt;Q&gt;URTH^FG_TOTAL_RETURNC(0,-6AM)&lt;</t>
        </r>
      </text>
    </comment>
    <comment ref="A11" authorId="0" shapeId="0" xr:uid="{B70D671F-DF2D-4A5A-B249-D75DC49E45E3}">
      <text>
        <r>
          <rPr>
            <b/>
            <sz val="9"/>
            <color indexed="81"/>
            <rFont val="Tahoma"/>
            <charset val="1"/>
          </rPr>
          <t>/Q&gt;&lt;R&gt;1&lt;/R&gt;&lt;C&gt;1&lt;/C&gt;&lt;D xsi:type="xsd:double"&gt;14.982891&lt;/D&gt;&lt;/FQL&gt;&lt;FQL&gt;&lt;Q&gt;EWG^PERCENT_CHANGE(FMA_EPS(+1,0,,,,"PORTAGG","MEAN"),FMA_EPS(+1,-3AM,,,,"PORTAGG","MEAN"))&lt;/Q&gt;&lt;R&gt;1&lt;/R&gt;&lt;C&gt;1&lt;/C&gt;&lt;D xsi:type="xsd:double"&gt;2.23861401502895&lt;/D&gt;&lt;/FQL&gt;&lt;FQL&gt;&lt;Q&gt;VWO^FMA_COS_DOWN("EPS","1M",+1,0,,,"PORTAGG","MEANR")&lt;/Q&gt;&lt;R&gt;1&lt;/R&gt;&lt;C&gt;1&lt;/C&gt;&lt;D xsi:type="xsd:double"&gt;1617&lt;/D&gt;&lt;/FQL&gt;&lt;FQL&gt;&lt;Q&gt;EWC^SIZE(FG_CONSTITUENTS)&lt;/Q&gt;&lt;R&gt;1&lt;/R&gt;&lt;C&gt;1&lt;/C&gt;&lt;D xsi:type="xsd:long"&gt;88&lt;/D&gt;&lt;/FQL&gt;&lt;FQL&gt;&lt;Q&gt;REFJPTON-FDS^FG_YIELD(NOW,,,0)&lt;/Q&gt;&lt;R&gt;1&lt;/R&gt;&lt;C&gt;1&lt;/C&gt;&lt;D xsi:type="xsd:double"&gt;0.1&lt;/D&gt;&lt;/FQL&gt;&lt;FQL&gt;&lt;Q&gt;USDITL^FG_PRICE(0)&lt;/Q&gt;&lt;R&gt;1&lt;/R&gt;&lt;C&gt;1&lt;/C&gt;&lt;D xsi:type="xsd:double"&gt;1783.5944&lt;/D&gt;&lt;/FQL&gt;&lt;FQL&gt;&lt;Q&gt;USDAUD^STD(FG_PRICE_CHANGE(0,-1AY,AM))&lt;/Q&gt;&lt;R&gt;1&lt;/R&gt;&lt;C&gt;1&lt;/C&gt;&lt;D xsi:type="xsd:double"&gt;2.59443488566345&lt;/D&gt;&lt;/FQL&gt;&lt;FQL&gt;&lt;Q&gt;ENZL^P_PRICE_RETURNS_PR('52W',2,-10AY,0,AM)&lt;/Q&gt;&lt;R&gt;121&lt;/R&gt;&lt;C&gt;1&lt;/C&gt;&lt;D xsi:type="xsd:double"&gt;23.286247&lt;/D&gt;&lt;D xsi:type="xsd:double"&gt;31.10534&lt;/D&gt;&lt;D xsi:type="xsd:double"&gt;20.49017&lt;/D&gt;&lt;D xsi:type="xsd:double"&gt;25.00683&lt;/D&gt;&lt;D xsi:type="xsd:double"&gt;4.4864893&lt;/D&gt;&lt;D xsi:type="xsd:double"&gt;5.0650716&lt;/D&gt;&lt;D xsi:type="xsd:double"&gt;9.209024&lt;/D&gt;&lt;D xsi:type="xsd:double"&gt;12.599718&lt;/D&gt;&lt;D xsi:type="xsd:double"&gt;6.8862915&lt;/D&gt;&lt;D xsi:type="xsd:double"&gt;8.312106&lt;/D&gt;&lt;D xsi:type="xsd:double"&gt;-1.9092023&lt;/D&gt;&lt;D xsi:type="xsd:double"&gt;-1.7613053&lt;/D&gt;&lt;D xsi:type="xsd:double"&gt;-5.0462666&lt;/D&gt;&lt;D xsi:type="xsd:double"&gt;-13.184566&lt;/D&gt;&lt;D xsi:type="xsd:double"&gt;-9.44537&lt;/D&gt;&lt;D xsi:type="xsd:double"&gt;-16.774685&lt;/D&gt;&lt;D xsi:type="xsd:double"&gt;-12.372619&lt;/D&gt;&lt;D xsi:type="xsd:double"&gt;-3.9097548&lt;/D&gt;&lt;D xsi:type="xsd:double"&gt;-5.7112875&lt;/D&gt;&lt;D xsi:type="xsd:double"&gt;-1.9886672&lt;/D&gt;&lt;D xsi:type="xsd:double"&gt;-5.6719723&lt;/D&gt;&lt;D xsi:type="xsd:double"&gt;-7.7569666&lt;/D&gt;&lt;D xsi:type="xsd:double"&gt;7.3414087&lt;/D&gt;&lt;D xsi:type="xsd:double"&gt;7.6375127&lt;/D&gt;&lt;D xsi:type="xsd:double"&gt;15.108037&lt;/D&gt;&lt;D xsi:type="xsd:double"&gt;28.056263&lt;/D&gt;&lt;D xsi:type="xsd:double"&gt;37.02644&lt;/D&gt;&lt;D xsi:type="xsd:double"&gt;49.98044&lt;/D&gt;&lt;D xsi:type="xsd:double"&gt;51.206062&lt;/D&gt;&lt;D xsi:type="xsd:double"&gt;21.831524&lt;/D&gt;&lt;D xsi:type="xsd:double"&gt;21.880363&lt;/D&gt;&lt;D xsi:type="xsd:double"&gt;10.709274&lt;/D&gt;&lt;D xsi:type="xsd:double"&gt;29.869497&lt;/D&gt;&lt;D xsi:type="xsd:double"&gt;23.936033&lt;/D&gt;&lt;D xsi:type="xsd:double"&gt;7.5505853&lt;/D&gt;&lt;D xsi:type="xsd:double"&gt;7.6562405&lt;/D&gt;&lt;D xsi:type="xsd:double"&gt;10.216093&lt;/D&gt;&lt;D xsi:type="xsd:double"&gt;13.302744&lt;/D&gt;&lt;D xsi:type="xsd:double"&gt;7.9239845&lt;/D&gt;&lt;D xsi:type="xsd:double"&gt;4.869044&lt;/D&gt;&lt;D xsi:type="xsd:double"&gt;7.3923707&lt;/D&gt;&lt;D xsi:type="xsd:double"&gt;11.971867&lt;/D&gt;&lt;D xsi:type="xsd:double"&gt;13.570177&lt;/D&gt;&lt;D xsi:type="xsd:double"&gt;22.99831&lt;/D&gt;&lt;D xsi:type="xsd:double"&gt;18.513084&lt;/D&gt;&lt;D xsi:type="xsd:double"&gt;16.050316&lt;/D&gt;&lt;D xsi:type="xsd:double"&gt;21.153248&lt;/D&gt;&lt;D xsi:type="xsd:double"&gt;15.918505&lt;/D&gt;&lt;D xsi:type="xsd:double"&gt;14.759421&lt;/D&gt;&lt;D xsi:type="xsd:double"&gt;8.741915&lt;/D&gt;&lt;D xsi:type="xsd:double"&gt;5.0070643&lt;/D&gt;&lt;D xsi:type="xsd:double"&gt;9.108675&lt;/D&gt;&lt;D xsi:type="xsd:double"&gt;6.7557573&lt;/D&gt;&lt;D xsi:type="xsd:double"&gt;3.067994&lt;/D&gt;&lt;D xsi:type="xsd:double"&gt;9.931696&lt;/D&gt;&lt;D xsi:type="xsd:double"&gt;0.3503561&lt;/D&gt;&lt;D xsi:type="xsd:double"&gt;1.3843656&lt;/D&gt;&lt;D xsi:type="xsd:double"&gt;6.1311364&lt;/D&gt;&lt;D xsi:type="xsd:double"&gt;10.915017&lt;/D&gt;&lt;D xsi:type="xsd:double"&gt;13.941801&lt;/D&gt;&lt;D xsi:type="xsd:double"&gt;8.390844&lt;/D&gt;&lt;D xsi:type="xsd:double"&gt;13.758814&lt;/D&gt;&lt;D xsi:type="xsd:double"&gt;16.385996&lt;/D&gt;&lt;D xsi:type="xsd:double"&gt;8.1835985&lt;/D&gt;&lt;D xsi:type="xsd:double"&gt;10.290634&lt;/D&gt;&lt;D xsi:type="xsd:double"&gt;19.663752&lt;/D&gt;&lt;D xsi:type="xsd:double"&gt;20.654179&lt;/D&gt;&lt;D xsi:type="xsd:double"&gt;30.100859&lt;/D&gt;&lt;D xsi:type="xsd:double"&gt;19.802452&lt;/D&gt;&lt;D xsi:type="xsd:double"&gt;10.86787&lt;/D&gt;&lt;D xsi:type="xsd:double"&gt;-11.631227&lt;/D&gt;&lt;D xsi:type="xsd:double"&gt;-3.6056578&lt;/D&gt;&lt;D xsi:type="xsd:double"&gt;5.25285&lt;/D&gt;&lt;D xsi:type="xsd:double"&gt;9.161293&lt;/D&gt;&lt;D xsi:type="xsd:double"&gt;11.098612&lt;/D&gt;&lt;D xsi:type="xsd:double"&gt;20.848488&lt;/D&gt;&lt;D xsi:type="xsd:double"&gt;14.063764&lt;/D&gt;&lt;D xsi:type="xsd:double"&gt;16.567791&lt;/D&gt;&lt;D xsi:type="xsd:double"&gt;22.236788&lt;/D&gt;&lt;D xsi:type="xsd:double"&gt;20.04013&lt;/D&gt;&lt;D xsi:type="xsd:double"&gt;20.325232&lt;/D&gt;&lt;D xsi:type="xsd:double"&gt;15.762925&lt;/D&gt;&lt;D xsi:type="xsd:double"&gt;42.26209&lt;/D&gt;&lt;D xsi:type="xsd:double"&gt;35.153103&lt;/D&gt;&lt;D xsi:type="xsd:double"&gt;23.299658&lt;/D&gt;&lt;D xsi:type="xsd:double"&gt;9.3649025&lt;/D&gt;&lt;D xsi:type="xsd:double"&gt;4.8636556&lt;/D&gt;&lt;D xsi:type="xsd:double"&gt;6.8530083&lt;/D&gt;&lt;D xsi:type="xsd:double"&gt;9.538436&lt;/D&gt;&lt;D xsi:type="xsd:double"&gt;7.740867&lt;/D&gt;&lt;D xsi:type="xsd:double"&gt;-9.883743&lt;/D&gt;&lt;D xsi:type="xsd:double"&gt;-11.381138&lt;/D&gt;&lt;D xsi:type="xsd:double"&gt;-21.317858&lt;/D&gt;&lt;D xsi:type="xsd:double"&gt;-10.869855&lt;/D&gt;&lt;D xsi:type="xsd:double"&gt;-9.487783&lt;/D&gt;&lt;D xsi:type="xsd:double"&gt;-21.67635&lt;/D&gt;&lt;D xsi:type="xsd:double"&gt;-19.618952&lt;/D&gt;&lt;D xsi:type="xsd:double"&gt;-24.767965&lt;/D&gt;&lt;D xsi:type="xsd:double"&gt;-19.619762&lt;/D&gt;&lt;D xsi:type="xsd:double"&gt;-24.45938&lt;/D&gt;&lt;D xsi:type="xsd:double"&gt;-31.495863&lt;/D&gt;&lt;D xsi:type="xsd:double"&gt;-29.828518&lt;/D&gt;&lt;D xsi:type="xsd:double"&gt;-14.581453&lt;/D&gt;&lt;D xsi:type="xsd:double"&gt;-16.554832&lt;/D&gt;&lt;D xsi:type="xsd:double"&gt;1.9206285&lt;/D&gt;&lt;D xsi:type="xsd:double"&gt;-8.5211935&lt;/D&gt;&lt;D xsi:type="xsd:double"&gt;-7.7160654&lt;/D&gt;&lt;D xsi:type="xsd:double"&gt;0.11956692&lt;/D&gt;&lt;D xsi:type="xsd:double"&gt;0.25509596&lt;/D&gt;&lt;D xsi:type="xsd:double"&gt;11.783588&lt;/D&gt;&lt;D xsi:type="xsd:double"&gt;5.4997325&lt;/D&gt;&lt;D xsi:type="xsd:double"&gt;-1.5544236&lt;/D&gt;&lt;D xsi:type="xsd:double"&gt;6.871724&lt;/D&gt;&lt;D xsi:type="xsd:double"&gt;-3.0939162&lt;/D&gt;&lt;D xsi:type="xsd:double"&gt;-3.2643616&lt;/D&gt;&lt;D xsi:type="xsd:double"&gt;1.6126633&lt;/D&gt;&lt;D xsi:type="xsd:double"&gt;-8.91344&lt;/D&gt;&lt;D xsi:type="xsd:double"&gt;-5.132723&lt;/D&gt;&lt;D xsi:type="xsd:double"&gt;-4.6717644&lt;/D&gt;&lt;D xsi:type="xsd:double"&gt;-8.504468&lt;/D&gt;&lt;D xsi:type="xsd:double"&gt;0.87560415&lt;/D&gt;&lt;/FQL&gt;&lt;FQL&gt;&lt;Q&gt;PASP-FDS^FG_PRICE(0)&lt;/Q&gt;&lt;R&gt;1&lt;/R&gt;&lt;C&gt;1&lt;/C&gt;&lt;D xsi:type="xsd:double"&gt;960&lt;/D&gt;&lt;/FQL&gt;&lt;FQL&gt;&lt;Q&gt;EWQ^FMA_PCT_ABOVE_MAVG(200,0,,,,"PORTAGG")&lt;/Q&gt;&lt;R&gt;1&lt;/R&gt;&lt;C&gt;1&lt;/C&gt;&lt;D xsi:type="xsd:double"&gt;68.2539682539683&lt;/D&gt;&lt;/FQL&gt;&lt;FQL&gt;&lt;Q&gt;EWN^FMA_COS_UP("EPS","1M",+1,0,,,"PORTAGG","MEANR")&lt;/Q&gt;&lt;R&gt;1&lt;/R&gt;&lt;C&gt;1&lt;/C&gt;&lt;D xsi:type="xsd:double"&gt;19&lt;/D&gt;&lt;/FQL&gt;&lt;FQL&gt;&lt;Q&gt;CC_AU^IMF_IFS_RCPI_Q(0)&lt;/Q&gt;&lt;R&gt;1&lt;/R&gt;&lt;C&gt;1&lt;/C&gt;&lt;D xsi:type="xsd:double"&gt;3.61991&lt;/D&gt;&lt;/FQL&gt;&lt;FQL&gt;&lt;Q&gt;USDGBP^STD(FG_PRICE_CHANGE(0,-3AY,M))&lt;/Q&gt;&lt;R&gt;1&lt;/R&gt;&lt;C&gt;1&lt;/C&gt;&lt;D xsi:type="xsd:double"&gt;2.39397017808334&lt;/D&gt;&lt;/FQL&gt;&lt;FQL&gt;&lt;Q&gt;USDNZD^STD(FG_PRICE_CHANGE(0,-3AY,M))&lt;/Q&gt;&lt;R&gt;1&lt;/R&gt;&lt;C&gt;1&lt;/C&gt;&lt;D xsi:type="xsd:double"&gt;3.48353946509793&lt;/D&gt;&lt;/FQL&gt;&lt;FQL&gt;&lt;Q&gt;EWQ^FMA_PE(LTMA,-10AY,0,AM,"PORTAGG","MEANR")&lt;/Q&gt;&lt;R&gt;121&lt;/R&gt;&lt;C&gt;1&lt;/C&gt;&lt;D xsi:type="xsd:double"&gt;15.8182028245643&lt;/D&gt;&lt;D xsi:type="xsd:double"&gt;15.6568004392555&lt;/D&gt;&lt;D xsi:type="xsd:double"&gt;15.2715268137531&lt;/D&gt;&lt;D xsi:type="xsd:double"&gt;15.4255219956301&lt;/D&gt;&lt;D xsi:type="xsd:double"&gt;15.4128068747396&lt;/D&gt;&lt;D xsi:type="xsd:double"&gt;14.9429776821522&lt;/D&gt;&lt;D xsi:type="xsd:double"&gt;15.4478417961018&lt;/D&gt;&lt;D xsi:type="xsd:double"&gt;15.0703384486285&lt;/D&gt;&lt;D xsi:type="xsd:double"&gt;16.1656093707683&lt;/D&gt;&lt;D xsi:type="xsd:double"&gt;17.5590988431393&lt;/D&gt;&lt;D xsi:type="xsd:double"&gt;17.537641625751&lt;/D&gt;&lt;D xsi:type="xsd:double"&gt;17.4642604036489&lt;/D&gt;&lt;D xsi:type="xsd:double"&gt;17.3925517718493&lt;/D&gt;&lt;D xsi:type="xsd:double"&gt;16.9402603782318&lt;/D&gt;&lt;D xsi:type="xsd:double"&gt;17.1919416855132&lt;/D&gt;&lt;D xsi:type="xsd:double"&gt;16.141248181763&lt;/D&gt;&lt;D xsi:type="xsd:double"&gt;15.4840549574838&lt;/D&gt;&lt;D xsi:type="xsd:double"&gt;16.4233636129775&lt;/D&gt;&lt;D xsi:type="xsd:double"&gt;16.4488323177996&lt;/D&gt;&lt;D xsi:type="xsd:double"&gt;15.4220750370538&lt;/D&gt;&lt;D xsi:type="xsd:double"&gt;14.7090533005549&lt;/D&gt;&lt;D xsi:type="xsd:double"&gt;15.1416256473815&lt;/D&gt;&lt;D xsi:type="xsd:double"&gt;15.1517292017638&lt;/D&gt;&lt;D xsi:type="xsd:double"&gt;15.1765127198323&lt;/D&gt;&lt;D xsi:type="xsd:double"&gt;15.255605394241&lt;/D&gt;&lt;D xsi:type="xsd:double"&gt;14.8000257220752&lt;/D&gt;&lt;D xsi:type="xsd:double"&gt;15.093070600551&lt;/D&gt;&lt;D xsi:type="xsd:double"&gt;14.9098257533221&lt;/D&gt;&lt;D xsi:type="xsd:double"&gt;14.8789840518654&lt;/D&gt;&lt;D xsi:type="xsd:double"&gt;14.9599392601041&lt;/D&gt;&lt;D xsi:type="xsd:double"&gt;14.9803869170503&lt;/D&gt;&lt;D xsi:type="xsd:double"&gt;15.7881796008571&lt;/D&gt;&lt;D xsi:type="xsd:double"&gt;15.3992671433428&lt;/D&gt;&lt;D xsi:type="xsd:double"&gt;15.5832062176459&lt;/D&gt;&lt;D xsi:type="xsd:double"&gt;15.6742006521623&lt;/D&gt;&lt;D xsi:type="xsd:double"&gt;15.7677768365969&lt;/D&gt;&lt;D xsi:type="xsd:double"&gt;15.7492235296421&lt;/D&gt;&lt;D xsi:type="xsd:double"&gt;15.5101231229392&lt;/D&gt;&lt;D xsi:type="xsd:double"&gt;15.4733943852105&lt;/D&gt;&lt;D xsi:type="xsd:double"&gt;15.4734176980909&lt;/D&gt;&lt;D xsi:type="xsd:double"&gt;15.9446849679102&lt;/D&gt;&lt;D xsi:type="xsd:double"&gt;16.3219379829014&lt;/D&gt;&lt;D xsi:type="xsd:double"&gt;16.0659138986526&lt;/D&gt;&lt;D xsi:type="xsd:double"&gt;15.9684031818278&lt;/D&gt;&lt;D xsi:type="xsd:double"&gt;16.4391689655087&lt;/D&gt;&lt;D xsi:type="xsd:double"&gt;15.6214282695546&lt;/D&gt;&lt;D xsi:type="xsd:double"&gt;15.4673578153265&lt;/D&gt;&lt;D xsi:type="xsd:double"&gt;15.6091265603648&lt;/D&gt;&lt;D xsi:type="xsd:double"&gt;15.3902461726048&lt;/D&gt;&lt;D xsi:type="xsd:double"&gt;15.1696652076955&lt;/D&gt;&lt;D xsi:type="xsd:double"&gt;15.324875454619&lt;/D&gt;&lt;D xsi:type="xsd:double"&gt;15.0320387753647&lt;/D&gt;&lt;D xsi:type="xsd:double"&gt;15.1034403151283&lt;/D&gt;&lt;D xsi:type="xsd:double"&gt;14.1423161503322&lt;/D&gt;&lt;D xsi:type="xsd:double"&gt;13.7530718875671&lt;/D&gt;&lt;D xsi:type="xsd:double"&gt;12.9349299562362&lt;/D&gt;&lt;D xsi:type="xsd:double"&gt;13.7605349281608&lt;/D&gt;&lt;D xsi:type="xsd:double"&gt;14.5731947255995&lt;/D&gt;&lt;D xsi:type="xsd:double"&gt;14.5431723684416&lt;/D&gt;&lt;D xsi:type="xsd:double"&gt;14.6919990284815&lt;/D&gt;&lt;D xsi:type="xsd:double"&gt;14.3250107055749&lt;/D&gt;&lt;D xsi:type="xsd:double"&gt;14.683889494528&lt;/D&gt;&lt;D xsi:type="xsd:double"&gt;14.8162082848887&lt;/D&gt;&lt;D xsi:type="xsd:double"&gt;14.7725511007279&lt;/D&gt;&lt;D xsi:type="xsd:double"&gt;15.1890275748946&lt;/D&gt;&lt;D xsi:type="xsd:double"&gt;15.6105424942002&lt;/D&gt;&lt;D xsi:type="xsd:double"&gt;16.0933141210066&lt;/D&gt;&lt;D xsi:type="xsd:double"&gt;16.497961554424&lt;/D&gt;&lt;D xsi:type="xsd:double"&gt;16.0515710526366&lt;/D&gt;&lt;D xsi:type="xsd:double"&gt;14.6441363505227&lt;/D&gt;&lt;D xsi:type="xsd:double"&gt;14.433713027227&lt;/D&gt;&lt;D xsi:type="xsd:double"&gt;15.8734806645912&lt;/D&gt;&lt;D xsi:type="xsd:double"&gt;16.8652930025533&lt;/D&gt;&lt;D xsi:type="xsd:double"&gt;18.5906850267692&lt;/D&gt;&lt;D xsi:type="xsd:double"&gt;20.7681842366167&lt;/D&gt;&lt;D xsi:type="xsd:double"&gt;22.5292511755023&lt;/D&gt;&lt;D xsi:type="xsd:double"&gt;23.0775460527579&lt;/D&gt;&lt;D xsi:type="xsd:double"&gt;22.9517526175939&lt;/D&gt;&lt;D xsi:type="xsd:double"&gt;27.8935220067002&lt;/D&gt;&lt;D xsi:type="xsd:double"&gt;28.8602295434066&lt;/D&gt;&lt;D xsi:type="xsd:double"&gt;27.2816850381335&lt;/D&gt;&lt;D xsi:type="xsd:double"&gt;27.0710573404601&lt;/D&gt;&lt;D xsi:type="xsd:double"&gt;26.2953868544694&lt;/D&gt;&lt;D xsi:type="xsd:double"&gt;25.4484766270221&lt;/D&gt;&lt;D xsi:type="xsd:double"&gt;24.7097662524367&lt;/D&gt;&lt;D xsi:type="xsd:double"&gt;23.6094322589914&lt;/D&gt;&lt;D xsi:type="xsd:double"&gt;22.2836657231612&lt;/D&gt;&lt;D xsi:type="xsd:double"&gt;21.0489896355775&lt;/D&gt;&lt;D xsi:type="xsd:double"&gt;19.5732567672684&lt;/D&gt;&lt;D xsi:type="xsd:double"&gt;18.8350019007308&lt;/D&gt;&lt;D xsi:type="xsd:double"&gt;17.2453344796844&lt;/D&gt;&lt;D xsi:type="xsd:double"&gt;17.2038333997496&lt;/D&gt;&lt;D xsi:type="xsd:double"&gt;16.3034512585233&lt;/D&gt;&lt;D xsi:type="xsd:double"&gt;15.4793464627125&lt;/D&gt;&lt;D xsi:type="xsd:double"&gt;15.2619806521194&lt;/D&gt;&lt;D xsi:type="xsd:double"&gt;14.8678883286999&lt;/D&gt;&lt;D xsi:type="xsd:double"&gt;14.3785216082724&lt;/D&gt;&lt;D xsi:type="xsd:double"&gt;13.5490009000702&lt;/D&gt;&lt;D xsi:type="xsd:double"&gt;13.40840599843&lt;/D&gt;&lt;D xsi:type="xsd:double"&gt;12.5063136996977&lt;/D&gt;&lt;D xsi:type="xsd:double"&gt;11.4728680650455&lt;/D&gt;&lt;D xsi:type="xsd:double"&gt;11.7617692645641&lt;/D&gt;&lt;D xsi:type="xsd:double"&gt;12.1907842647374&lt;/D&gt;&lt;D xsi:type="xsd:double"&gt;11.5286030923617&lt;/D&gt;&lt;D xsi:type="xsd:double"&gt;12.8432199679198&lt;/D&gt;&lt;D xsi:type="xsd:double"&gt;12.9007029973893&lt;/D&gt;&lt;D xsi:type="xsd:double"&gt;12.9903789765406&lt;/D&gt;&lt;D xsi:type="xsd:double"&gt;13.2308014458446&lt;/D&gt;&lt;D xsi:type="xsd:double"&gt;12.9478307353273&lt;/D&gt;&lt;D xsi:type="xsd:double"&gt;13.3012820963737&lt;/D&gt;&lt;D xsi:type="xsd:double"&gt;13.4788641855995&lt;/D&gt;&lt;D xsi:type="xsd:double"&gt;13.2624897955478&lt;/D&gt;&lt;D xsi:type="xsd:double"&gt;12.982563318238&lt;/D&gt;&lt;D xsi:type="xsd:double"&gt;12.6049036615918&lt;/D&gt;&lt;D xsi:type="xsd:double"&gt;13.3862801604871&lt;/D&gt;&lt;D xsi:type="xsd:double"&gt;14.0873839320359&lt;/D&gt;&lt;D xsi:type="xsd:double"&gt;14.5195895206131&lt;/D&gt;&lt;D xsi:type="xsd:double"&gt;15.4853083345016&lt;/D&gt;&lt;D xsi:type="xsd:double"&gt;15.5309917800675&lt;/D&gt;&lt;D xsi:type="xsd:double"&gt;15.4022971273621&lt;/D&gt;&lt;D xsi:type="xsd:double"&gt;15.2933605597398&lt;/D&gt;&lt;/FQL&gt;&lt;FQL&gt;&lt;Q&gt;NI-FDS^FG_PRICE_CHANGE(0,-1AM)&lt;/Q&gt;&lt;R&gt;1&lt;/R&gt;&lt;C&gt;1&lt;/C&gt;&lt;D xsi:type="xsd:double"&gt;4.50592885375494&lt;/D&gt;&lt;/FQL&gt;&lt;FQL&gt;&lt;Q&gt;COPP-FDS^FG_PRICE_CHANGE(0,-1AM)&lt;/Q&gt;&lt;R&gt;1&lt;/R&gt;&lt;C&gt;1&lt;/C&gt;&lt;D xsi:type="xsd:double"&gt;0.996823310329731&lt;/D&gt;&lt;/FQL&gt;&lt;FQL&gt;&lt;Q&gt;SPY^FG_PRICE_MAVG(0,,,,200)&lt;/Q&gt;&lt;R&gt;1&lt;/R&gt;&lt;C&gt;1&lt;/C&gt;&lt;D xsi:type="xsd:double"&gt;476.1936&lt;/D&gt;&lt;/FQL&gt;&lt;FQL&gt;&lt;Q&gt;ENZL^P_PRICE(0)/P_PRICE_HIGH_PR(0,,,,,,"PRICE","INTRA","52W")&lt;/Q&gt;&lt;R&gt;1&lt;/R&gt;&lt;C&gt;1&lt;/C&gt;&lt;D xsi:type="xsd:double"&gt;0.90953404&lt;/D&gt;&lt;/FQL&gt;&lt;FQL&gt;&lt;Q&gt;TRYIT10Y-FDS^FG_YIELD_NAME&lt;/Q&gt;&lt;R&gt;1&lt;/R&gt;&lt;C&gt;1&lt;/C&gt;&lt;D xsi:type="xsd:string"&gt;Italy Benchmark Bond - 10 Year&lt;/D&gt;&lt;/FQL&gt;&lt;FQL&gt;&lt;Q&gt;TRYNL10Y-FDS^PCTCHG(FG_YIELD(0,,,,"YTM"),FG_YIELD(-3AM,,,,"YTM"))&lt;/Q&gt;&lt;R&gt;1&lt;/R&gt;&lt;C&gt;1&lt;/C&gt;&lt;D xsi:type="xsd:double"&gt;7.161129&lt;/D&gt;&lt;/FQL&gt;&lt;FQL&gt;&lt;Q&gt;CC_NZ^IMF_IFS_RCPI_Q(0)&lt;/Q&gt;&lt;R&gt;1&lt;/R&gt;&lt;C&gt;1&lt;/C&gt;&lt;D xsi:type="xsd:double"&gt;4.022989&lt;/D&gt;&lt;/FQL&gt;&lt;FQL&gt;&lt;Q&gt;EWN^FMA_PE(NTMA,0,,,"PORTAGG","MEANR")&lt;/Q&gt;&lt;R&gt;1&lt;/R&gt;&lt;C&gt;1&lt;/C&gt;&lt;D xsi:type="xsd:double"&gt;16.1302055844928&lt;/D&gt;&lt;/FQL&gt;&lt;FQL&gt;&lt;Q&gt;EWL^FMA_DIV_YLD(NTMA,NOW,NOW,M,"PORTAGG","MEANR")&lt;/Q&gt;&lt;R&gt;1&lt;/R&gt;&lt;C&gt;1&lt;/C&gt;&lt;D xsi:type="xsd:double"&gt;3.26795935688626&lt;/D&gt;&lt;/FQL&gt;&lt;FQL&gt;&lt;Q&gt;VWO^FG_TOTAL_RETURNC(0,-6AM)&lt;/Q&gt;&lt;R&gt;1&lt;/R&gt;&lt;C&gt;1&lt;/C&gt;&lt;D xsi:type="xsd:double"&gt;8.411503&lt;/D&gt;&lt;/FQL&gt;&lt;FQL&gt;&lt;Q&gt;TRYBR10Y-FDS^FG_YIELD(-10AY,0,Y,,"YTM")&lt;/Q&gt;&lt;R&gt;10&lt;/R&gt;&lt;C&gt;1&lt;/C&gt;&lt;D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xsi:type="xsd:long"&gt;45289&lt;/D&gt;&lt;/FQL&gt;&lt;FQL&gt;&lt;Q&gt;USDSEK^FG_PRICE_CHANGE(0,-1AM)&lt;/Q&gt;&lt;R&gt;1&lt;/R&gt;&lt;C&gt;1&lt;/C&gt;&lt;D xsi:type="xsd:double"&gt;-4.1791496&lt;/D&gt;&lt;/FQL&gt;&lt;FQL&gt;&lt;Q&gt;VGK^PERCENT_CHANGE(FMA_EPS(+1,0,,,,"PORTAGG","MEAN"),FMA_EPS(+1,-1AM,,,,"PORTAGG","MEAN"))&lt;/Q&gt;&lt;R&gt;1&lt;/R&gt;&lt;C&gt;1&lt;/C&gt;&lt;D xsi:type="xsd:double"&gt;0&lt;/D&gt;&lt;/FQL&gt;&lt;FQL&gt;&lt;Q&gt;SPY^P_PRICE(0)/P_PRICE_LOW_PR(0,,,,,,"PRICE","INTRA","52W")-1&lt;/Q&gt;&lt;R&gt;1&lt;/R&gt;&lt;C&gt;1&lt;/C&gt;&lt;D xsi:type="xsd:double"&gt;0.28875148&lt;/D&gt;&lt;/FQL&gt;&lt;FQL&gt;&lt;Q&gt;TRYNL10Y-FDS^PCTCHG(FG_YIELD(0,,,,"YTM"),FG_YIELD(-1AM,,,,"YTM"))&lt;/Q&gt;&lt;R&gt;1&lt;/R&gt;&lt;C&gt;1&lt;/C&gt;&lt;D xsi:type="xsd:double"&gt;2.1595275&lt;/D&gt;&lt;/FQL&gt;&lt;FQL&gt;&lt;Q&gt;EWN^FMA_PE(LTM,0,,,"PORTAGG","MEANR")&lt;/Q&gt;&lt;R&gt;1&lt;/R&gt;&lt;C&gt;1&lt;/C&gt;&lt;D xsi:type="xsd:double"&gt;20.2933942346028&lt;/D&gt;&lt;/FQL&gt;&lt;FQL&gt;&lt;Q&gt;USDNZD^STD(FG_PRICE_CHANGE(0,-1AY,AM))&lt;/Q&gt;&lt;R&gt;1&lt;/R&gt;&lt;C&gt;1&lt;/C&gt;&lt;D xsi:type="xsd:double"&gt;3.1077017986997&lt;/D&gt;&lt;/FQL&gt;&lt;FQL&gt;&lt;Q&gt;QQQ^FG_TOTAL_RETURNC(-10AY,0,AM)&lt;/Q&gt;&lt;R&gt;121&lt;/R&gt;&lt;C&gt;1&lt;/C&gt;&lt;D xsi:type="xsd:double"&gt;4.485643&lt;/D&gt;&lt;D xsi:type="xsd:double"&gt;3.1236053&lt;/D&gt;&lt;D xsi:type="xsd:double"&gt;1.181972&lt;/D&gt;&lt;D xsi:type="xsd:double"&gt;5.0094724&lt;/D&gt;&lt;D xsi:type="xsd:double"&gt;-0.7566869&lt;/D&gt;&lt;D xsi:type="xsd:double"&gt;2.641964&lt;/D&gt;&lt;D xsi:type="xsd:double"&gt;4.546356&lt;/D&gt;&lt;D xsi:type="xsd:double"&gt;-2.2423923&lt;/D&gt;&lt;D xsi:type="xsd:double"&gt;-2.082324&lt;/D&gt;&lt;D xsi:type="xsd:double"&gt;7.220578&lt;/D&gt;&lt;D xsi:type="xsd:double"&gt;-2.3603678&lt;/D&gt;&lt;D xsi:type="xsd:double"&gt;1.9223452&lt;/D&gt;&lt;D xsi:type="xsd:double"&gt;2.248454&lt;/D&gt;&lt;D xsi:type="xsd:double"&gt;-2.4828374&lt;/D&gt;&lt;D xsi:type="xsd:double"&gt;4.5577645&lt;/D&gt;&lt;D xsi:type="xsd:double"&gt;-6.8244753&lt;/D&gt;&lt;D xsi:type="xsd:double"&gt;-2.203852&lt;/D&gt;&lt;D xsi:type="xsd:double"&gt;11.3698845&lt;/D&gt;&lt;D xsi:type="xsd:double"&gt;0.6088376&lt;/D&gt;&lt;D xsi:type="xsd:double"&gt;-1.5886188&lt;/D&gt;&lt;D xsi:type="xsd:double"&gt;-6.910425&lt;/D&gt;&lt;D xsi:type="xsd:double"&gt;-1.5653491&lt;/D&gt;&lt;D xsi:type="xsd:double"&gt;6.8519115&lt;/D&gt;&lt;D xsi:type="xsd:double"&gt;-3.18681&lt;/D&gt;&lt;D xsi:type="xsd:double"&gt;4.3700337&lt;/D&gt;&lt;D xsi:type="xsd:double"&gt;-2.2752523&lt;/D&gt;&lt;D xsi:type="xsd:double"&gt;7.150829&lt;/D&gt;&lt;D xsi:type="xsd:double"&gt;1.0500789&lt;/D&gt;&lt;D xsi:type="xsd:double"&gt;2.2135496&lt;/D&gt;&lt;D xsi:type="xsd:double"&gt;-1.4572144&lt;/D&gt;&lt;D xsi:type="xsd:double"&gt;0.43593645&lt;/D&gt;&lt;D xsi:type="xsd:double"&gt;1.1332989&lt;/D&gt;&lt;D xsi:type="xsd:double"&gt;5.140102&lt;/D&gt;&lt;D xsi:type="xsd:double"&gt;4.3750525&lt;/D&gt;&lt;D xsi:type="xsd:double"&gt;2.0270705&lt;/D&gt;&lt;D xsi:type="xsd:double"&gt;2.726996&lt;/D&gt;&lt;D xsi:type="xsd:double"&gt;3.8973331&lt;/D&gt;&lt;D xsi:type="xsd:double"&gt;-2.3164928&lt;/D&gt;&lt;D xsi:type="xsd:double"&gt;4.0613174&lt;/D&gt;&lt;D xsi:type="xsd:double"&gt;2.073586&lt;/D&gt;&lt;D xsi:type="xsd:double"&gt;-0.29468536&lt;/D&gt;&lt;D xsi:type="xsd:double"&gt;4.60639&lt;/D&gt;&lt;D xsi:type="xsd:double"&gt;1.9717336&lt;/D&gt;&lt;D xsi:type="xsd:double"&gt;0.60163736&lt;/D&gt;&lt;D xsi:type="xsd:double"&gt;8.757067&lt;/D&gt;&lt;D xsi:type="xsd:double"&gt;-1.292789&lt;/D&gt;&lt;D xsi:type="xsd:double"&gt;-4.075706&lt;/D&gt;&lt;D xsi:type="xsd:double"&gt;0.5058408&lt;/D&gt;&lt;D xsi:type="xsd:double"&gt;5.6729198&lt;/D&gt;&lt;D xsi:type="xsd:double"&gt;1.1453867&lt;/D&gt;&lt;D xsi:type="xsd:double"&gt;2.7963877&lt;/D&gt;&lt;D xsi:type="xsd:double"&gt;5.780673&lt;/D&gt;&lt;D xsi:type="xsd:double"&gt;-0.28226376&lt;/D&gt;&lt;D xsi:type="xsd:double"&gt;-8.595716&lt;/D&gt;&lt;D xsi:type="xsd:double"&gt;-0.2649963&lt;/D&gt;&lt;D xsi:type="xsd:double"&gt;-8.654338&lt;/D&gt;&lt;D xsi:type="xsd:double"&gt;9.010768&lt;/D&gt;&lt;D xsi:type="xsd:double"&gt;2.9911995&lt;/D&gt;&lt;D xsi:type="xsd:double"&gt;3.9242387&lt;/D&gt;&lt;D xsi:type="xsd:double"&gt;5.4992676&lt;/D&gt;&lt;D xsi:type="xsd:double"&gt;-8.225173&lt;/D&gt;&lt;D xsi:type="xsd:double"&gt;7.589793&lt;/D&gt;&lt;D xsi:type="xsd:double"&gt;2.3347974&lt;/D&gt;&lt;D xsi:type="xsd:double"&gt;-1.8995345&lt;/D&gt;&lt;D xsi:type="xsd:double"&gt;0.9178877&lt;/D&gt;&lt;D xsi:type="xsd:double"&gt;4.380071&lt;/D&gt;&lt;D xsi:type="xsd:double"&gt;4.0694118&lt;/D&gt;&lt;D xsi:type="xsd:double"&gt;3.885603&lt;/D&gt;&lt;D xsi:type="xsd:double"&gt;3.0384302&lt;/D&gt;&lt;D xsi:type="xsd:double"&gt;-6.0574236&lt;/D&gt;&lt;D xsi:type="xsd:double"&gt;-7.286149&lt;/D&gt;&lt;D xsi:type="xsd:double"&gt;14.973747&lt;/D&gt;&lt;D xsi:type="xsd:double"&gt;6.6008806&lt;/D&gt;&lt;D xsi:type="xsd:double"&gt;6.2845945&lt;/D&gt;&lt;D xsi:type="xsd:double"&gt;7.346523&lt;/D&gt;&lt;D xsi:type="xsd:double"&gt;10.944724&lt;/D&gt;&lt;D xsi:type="xsd:double"&gt;-5.641884&lt;/D&gt;&lt;D xsi:type="xsd:double"&gt;-3.0449152&lt;/D&gt;&lt;D xsi:type="xsd:double"&gt;11.225772&lt;/D&gt;&lt;D xsi:type="xsd:double"&gt;4.902911&lt;/D&gt;&lt;D xsi:type="xsd:double"&gt;0.26136637&lt;/D&gt;&lt;D xsi:type="xsd:double"&gt;-0.1335144&lt;/D&gt;&lt;D xsi:type="xsd:double"&gt;1.7142892&lt;/D&gt;&lt;D xsi:type="xsd:double"&gt;5.9098125&lt;/D&gt;&lt;D xsi:type="xsd:double"&gt;-1.2012184&lt;/D&gt;&lt;D xsi:type="xsd:double"&gt;6.261301&lt;/D&gt;&lt;D xsi:type="xsd:double"&gt;2.8609395&lt;/D&gt;&lt;D xsi:type="xsd:double"&gt;4.2186737&lt;/D&gt;&lt;D xsi:type="xsd:double"&gt;-5.680972&lt;/D&gt;&lt;D xsi:type="xsd:double"&gt;7.8640103&lt;/D&gt;&lt;D xsi:type="xsd:double"&gt;1.996851&lt;/D&gt;&lt;D xsi:type="xsd:double"&gt;1.1537075&lt;/D&gt;&lt;D xsi:type="xsd:double"&gt;-8.747017&lt;/D&gt;&lt;D xsi:type="xsd:double"&gt;-4.4759693&lt;/D&gt;&lt;D xsi:type="xsd:double"&gt;4.6681643&lt;/D&gt;&lt;D xsi:type="xsd:double"&gt;-13.595742&lt;/D&gt;&lt;D xsi:type="xsd:double"&gt;-1.5865922&lt;/D&gt;&lt;D xsi:type="xsd:double"&gt;-8.912057&lt;/D&gt;&lt;D xsi:type="xsd:double"&gt;12.551737&lt;/D&gt;&lt;D xsi:type="xsd:double"&gt;-5.1321864&lt;/D&gt;&lt;D xsi:type="xsd:double"&gt;-10.536909&lt;/D&gt;&lt;D xsi:type="xsd:double"&gt;3.9998531&lt;/D&gt;&lt;D xsi:type="xsd:double"&gt;5.54415&lt;/D&gt;&lt;D xsi:type="xsd:double"&gt;-9.010434&lt;/D&gt;&lt;D xsi:type="xsd:double"&gt;10.642934&lt;/D&gt;&lt;D xsi:type="xsd:double"&gt;-0.35978556&lt;/D&gt;&lt;D xsi:type="xsd:double"&gt;9.492207&lt;/D&gt;&lt;D xsi:type="xsd:double"&gt;0.5079031&lt;/D&gt;&lt;D xsi:type="xsd:double"&gt;7.883799&lt;/D&gt;&lt;D xsi:type="xsd:double"&gt;6.3040257&lt;/D&gt;&lt;D xsi:type="xsd:double"&gt;3.860104&lt;/D&gt;&lt;D xsi:type="xsd:double"&gt;-1.4830053&lt;/D&gt;&lt;D xsi:type="xsd:double"&gt;-5.080122&lt;/D&gt;&lt;D xsi:type="xsd:double"&gt;-2.0654798&lt;/D&gt;&lt;D xsi:type="xsd:double"&gt;10.818815&lt;/D&gt;&lt;D xsi:type="xsd:double"&gt;5.5855513&lt;/D&gt;&lt;D xsi:type="xsd:double"&gt;1.8192053&lt;/D&gt;&lt;D xsi:type="xsd:double"&gt;5.2833557&lt;/D&gt;&lt;D xsi:type="xsd:double"&gt;1.2738109&lt;/D&gt;&lt;D xsi:type="xsd:double"&gt;-4.373777&lt;/D&gt;&lt;D xsi:type="xsd:double"&gt;6.151819&lt;/D&gt;&lt;/FQL&gt;&lt;FQL&gt;&lt;Q&gt;SPY^FMA_PE(LTMA,-10AY,0,AM,"PORTAGG","MEANR")&lt;/Q&gt;&lt;R&gt;121&lt;/R&gt;&lt;C&gt;1&lt;/C&gt;&lt;D xsi:type="xsd:double"&gt;16.2953238156548&lt;/D&gt;&lt;D xsi:type="xsd:double"&gt;16.3973381550998&lt;/D&gt;&lt;D xsi:type="xsd:double"&gt;16.1698671644831&lt;/D&gt;&lt;D xsi:type="xsd:double"&gt;16.5165946550167&lt;/D&gt;&lt;D xsi:type="xsd:double"&gt;16.3909101440955&lt;/D&gt;&lt;D xsi:type="xsd:double"&gt;16.7341229559942&lt;/D&gt;&lt;D xsi:type="xsd:double"&gt;17.1148636188273&lt;/D&gt;&lt;D xsi:type="xsd:double"&gt;17.3010358861258&lt;/D&gt;&lt;D xsi:type="xsd:double"&gt;16.7185963770641&lt;/D&gt;&lt;D xsi:type="xsd:double"&gt;17.59103730002&lt;/D&gt;&lt;D xsi:type="xsd:double"&gt;17.4882420897012&lt;/D&gt;&lt;D xsi:type="xsd:double"&gt;17.5027217363424&lt;/D&gt;&lt;D xsi:type="xsd:double"&gt;17.5147419982975&lt;/D&gt;&lt;D xsi:type="xsd:double"&gt;17.3285036837458&lt;/D&gt;&lt;D xsi:type="xsd:double"&gt;17.5282892922124&lt;/D&gt;&lt;D xsi:type="xsd:double"&gt;16.8195737373106&lt;/D&gt;&lt;D xsi:type="xsd:double"&gt;16.4507486364067&lt;/D&gt;&lt;D xsi:type="xsd:double"&gt;17.3980491760626&lt;/D&gt;&lt;D xsi:type="xsd:double"&gt;17.4091988165783&lt;/D&gt;&lt;D xsi:type="xsd:double"&gt;17.1423143271944&lt;/D&gt;&lt;D xsi:type="xsd:double"&gt;16.2966838906097&lt;/D&gt;&lt;D xsi:type="xsd:double"&gt;16.18819342752&lt;/D&gt;&lt;D xsi:type="xsd:double"&gt;16.4452153070474&lt;/D&gt;&lt;D xsi:type="xsd:double"&gt;16.565182572191&lt;/D&gt;&lt;D xsi:type="xsd:double"&gt;16.7575366352268&lt;/D&gt;&lt;D xsi:type="xsd:double"&gt;16.8930620098699&lt;/D&gt;&lt;D xsi:type="xsd:double"&gt;17.3852036643489&lt;/D&gt;&lt;D xsi:type="xsd:double"&gt;17.553922187925&lt;/D&gt;&lt;D xsi:type="xsd:double"&gt;17.7472227651928&lt;/D&gt;&lt;D xsi:type="xsd:double"&gt;17.5429251676046&lt;/D&gt;&lt;D xsi:type="xsd:double"&gt;18.2587961005746&lt;/D&gt;&lt;D xsi:type="xsd:double"&gt;18.7888782880815&lt;/D&gt;&lt;D xsi:type="xsd:double"&gt;18.925841919614&lt;/D&gt;&lt;D xsi:type="xsd:double"&gt;19.4949236055791&lt;/D&gt;&lt;D xsi:type="xsd:double"&gt;19.3434696885449&lt;/D&gt;&lt;D xsi:type="xsd:double"&gt;19.2294920728576&lt;/D&gt;&lt;D xsi:type="xsd:double"&gt;19.1610917097126&lt;/D&gt;&lt;D xsi:type="xsd:double"&gt;19.0829110788387&lt;/D&gt;&lt;D xsi:type="xsd:double"&gt;19.1691877745895&lt;/D&gt;&lt;D xsi:type="xsd:double"&gt;19.0754165585191&lt;/D&gt;&lt;D xsi:type="xsd:double"&gt;19.3338918115731&lt;/D&gt;&lt;D xsi:type="xsd:double"&gt;19.6009324750759&lt;/D&gt;&lt;D xsi:type="xsd:double"&gt;20.028472980703&lt;/D&gt;&lt;D xsi:type="xsd:double"&gt;20.2347233132771&lt;/D&gt;&lt;D xsi:type="xsd:double"&gt;20.9972813080589&lt;/D&gt;&lt;D xsi:type="xsd:double"&gt;19.7961415133282&lt;/D&gt;&lt;D xsi:type="xsd:double"&gt;19.442240691761&lt;/D&gt;&lt;D xsi:type="xsd:double"&gt;19.0775311964782&lt;/D&gt;&lt;D xsi:type="xsd:double"&gt;18.8573523873582&lt;/D&gt;&lt;D xsi:type="xsd:double"&gt;18.6134370089549&lt;/D&gt;&lt;D xsi:type="xsd:double"&gt;18.6215199452716&lt;/D&gt;&lt;D xsi:type="xsd:double"&gt;18.7016893540282&lt;/D&gt;&lt;D xsi:type="xsd:double"&gt;18.5967626970535&lt;/D&gt;&lt;D xsi:type="xsd:double"&gt;17.2971586739341&lt;/D&gt;&lt;D xsi:type="xsd:double"&gt;17.2533705877263&lt;/D&gt;&lt;D xsi:type="xsd:double"&gt;15.4897044891365&lt;/D&gt;&lt;D xsi:type="xsd:double"&gt;16.6955306424228&lt;/D&gt;&lt;D xsi:type="xsd:double"&gt;17.1101396920555&lt;/D&gt;&lt;D xsi:type="xsd:double"&gt;17.136536634805&lt;/D&gt;&lt;D xsi:type="xsd:double"&gt;17.3199641718157&lt;/D&gt;&lt;D xsi:type="xsd:double"&gt;16.8699525537769&lt;/D&gt;&lt;D xsi:type="xsd:double"&gt;17.4039736500125&lt;/D&gt;&lt;D xsi:type="xsd:double"&gt;17.6495606365581&lt;/D&gt;&lt;D xsi:type="xsd:double"&gt;17.5214082773281&lt;/D&gt;&lt;D xsi:type="xsd:double"&gt;17.8723272783681&lt;/D&gt;&lt;D xsi:type="xsd:double"&gt;18.3339021282811&lt;/D&gt;&lt;D xsi:type="xsd:double"&gt;19.0907003534949&lt;/D&gt;&lt;D xsi:type="xsd:double"&gt;19.8780204779491&lt;/D&gt;&lt;D xsi:type="xsd:double"&gt;19.6689283170853&lt;/D&gt;&lt;D xsi:type="xsd:double"&gt;17.9045011516544&lt;/D&gt;&lt;D xsi:type="xsd:double"&gt;17.6070289760391&lt;/D&gt;&lt;D xsi:type="xsd:double"&gt;19.340836708991&lt;/D&gt;&lt;D xsi:type="xsd:double"&gt;20.4473825837164&lt;/D&gt;&lt;D xsi:type="xsd:double"&gt;21.2259083995477&lt;/D&gt;&lt;D xsi:type="xsd:double"&gt;22.0892593032468&lt;/D&gt;&lt;D xsi:type="xsd:double"&gt;23.68113484344&lt;/D&gt;&lt;D xsi:type="xsd:double"&gt;23.5667485477203&lt;/D&gt;&lt;D xsi:type="xsd:double"&gt;22.8456466163072&lt;/D&gt;&lt;D xsi:type="xsd:double"&gt;25.3302236676853&lt;/D&gt;&lt;D xsi:type="xsd:double"&gt;27.4234729383004&lt;/D&gt;&lt;D xsi:type="xsd:double"&gt;26.2991881567304&lt;/D&gt;&lt;D xsi:type="xsd:double"&gt;26.2931693996623&lt;/D&gt;&lt;D xsi:type="xsd:double"&gt;25.9924107861177&lt;/D&gt;&lt;D xsi:type="xsd:double"&gt;25.579834145149&lt;/D&gt;&lt;D xsi:type="xsd:double"&gt;25.1175797979051&lt;/D&gt;&lt;D xsi:type="xsd:double"&gt;24.8222578009705&lt;/D&gt;&lt;D xsi:type="xsd:double"&gt;24.1699611148285&lt;/D&gt;&lt;D xsi:type="xsd:double"&gt;24.0104865690963&lt;/D&gt;&lt;D xsi:type="xsd:double"&gt;22.9022844874081&lt;/D&gt;&lt;D xsi:type="xsd:double"&gt;23.3454320363752&lt;/D&gt;&lt;D xsi:type="xsd:double"&gt;22.6499669530279&lt;/D&gt;&lt;D xsi:type="xsd:double"&gt;23.2347863056791&lt;/D&gt;&lt;D xsi:type="xsd:double"&gt;21.7859275728511&lt;/D&gt;&lt;D xsi:type="xsd:double"&gt;20.7184478635386&lt;/D&gt;&lt;D xsi:type="xsd:double"&gt;20.7041490966197&lt;/D&gt;&lt;D xsi:type="xsd:double"&gt;20.0247566203234&lt;/D&gt;&lt;D xsi:type="xsd:double"&gt;19.7463477202389&lt;/D&gt;&lt;D xsi:type="xsd:double"&gt;18.7458746285164&lt;/D&gt;&lt;D xsi:type="xsd:double"&gt;19.372230412058&lt;/D&gt;&lt;D xsi:type="xsd:double"&gt;18.6533722381607&lt;/D&gt;&lt;D xsi:type="xsd:double"&gt;17.2655556711666&lt;/D&gt;&lt;D xsi:type="xsd:double"&gt;18.0578415081489&lt;/D&gt;&lt;D xsi:type="xsd:double"&gt;18.6643361037516&lt;/D&gt;&lt;D xsi:type="xsd:double"&gt;17.4105939472441&lt;/D&gt;&lt;D xsi:type="xsd:double"&gt;18.5014384469102&lt;/D&gt;&lt;D xsi:type="xsd:double"&gt;18.0557703106641&lt;/D&gt;&lt;D xsi:type="xsd:double"&gt;18.2162863705631&lt;/D&gt;&lt;D xsi:type="xsd:double"&gt;18.3316453468671&lt;/D&gt;&lt;D xsi:type="xsd:double"&gt;18.4083592611078&lt;/D&gt;&lt;D xsi:type="xsd:double"&gt;19.1373266219174&lt;/D&gt;&lt;D xsi:type="xsd:double"&gt;19.7137211680135&lt;/D&gt;&lt;D xsi:type="xsd:double"&gt;19.5575762015162&lt;/D&gt;&lt;D xsi:type="xsd:double"&gt;19.0499238497821&lt;/D&gt;&lt;D xsi:type="xsd:double"&gt;18.8667747930604&lt;/D&gt;&lt;D xsi:type="xsd:double"&gt;20.4539509380675&lt;/D&gt;&lt;D xsi:type="xsd:double"&gt;21.7256395112884&lt;/D&gt;&lt;D xsi:type="xsd:double"&gt;21.9569453534576&lt;/D&gt;&lt;D xsi:type="xsd:double"&gt;22.7770019860478&lt;/D&gt;&lt;D xsi:type="xsd:double"&gt;22.7675024402134&lt;/D&gt;&lt;D xsi:type="xsd:double"&gt;22.3248297739701&lt;/D&gt;&lt;D xsi:type="xsd:double"&gt;22.4255737974657&lt;/D&gt;&lt;/FQL&gt;&lt;FQL&gt;&lt;Q&gt;NI-FDS^FG_PRICE(0)&lt;/Q&gt;&lt;R&gt;1&lt;/R&gt;&lt;C&gt;1&lt;/C&gt;&lt;D xsi:type="xsd:double"&gt;19830&lt;/D&gt;&lt;/FQL&gt;&lt;FQL&gt;&lt;Q&gt;COPP-FDS^FG_PRICE_MAVG(0,,,,30)&lt;/Q&gt;&lt;R&gt;1&lt;/R&gt;&lt;C&gt;1&lt;/C&gt;&lt;D xsi:type="xsd:double"&gt;4.7124834&lt;/D&gt;&lt;/FQL&gt;&lt;FQL&gt;&lt;Q&gt;SPY^FG_PRICE_MAVG(0,,,,60)&lt;/Q&gt;&lt;R&gt;1&lt;/R&gt;&lt;C&gt;1&lt;/C&gt;&lt;D xsi:type="xsd:double"&gt;516.2762&lt;/D&gt;&lt;/FQL&gt;&lt;FQL&gt;&lt;Q&gt;ENZL^FG_TOTAL_RETURNC(0,-6AM)&lt;/Q&gt;&lt;R&gt;1&lt;/R&gt;&lt;C&gt;1&lt;/C&gt;&lt;D xsi:type="xsd:double"&gt;2.4433494&lt;/D&gt;&lt;/FQL&gt;&lt;FQL&gt;&lt;Q&gt;SPY^SIZE(FG_CONSTITUENTS)&lt;/Q&gt;&lt;R&gt;1&lt;/R&gt;&lt;C&gt;1&lt;/C&gt;&lt;D xsi:type="xsd:long"&gt;504&lt;/D&gt;&lt;/FQL&gt;&lt;FQL&gt;&lt;Q&gt;TRYNL10Y-FDS^FG_YIELD_NAME&lt;/Q&gt;&lt;R&gt;1&lt;/R&gt;&lt;C&gt;1&lt;/C&gt;&lt;D xsi:type="xsd:string"&gt;Netherlands Benchmark Bond - 10 Year&lt;/D&gt;&lt;/FQL&gt;&lt;FQL&gt;&lt;Q&gt;TRYGB10Y-FDS^FG_YIELD(0,,,,"YTM")&lt;/Q&gt;&lt;R&gt;1&lt;/R&gt;&lt;C&gt;1&lt;/C&gt;&lt;D xsi:type="xsd:double"&gt;4.313&lt;/D&gt;&lt;/FQL&gt;&lt;FQL&gt;&lt;Q&gt;VWO^FG_FCF_YIELD_NTM(0)&lt;/Q&gt;&lt;R&gt;1&lt;/R&gt;&lt;C&gt;1&lt;/C&gt;&lt;D xsi:type="xsd:double"&gt;5.38071052006143&lt;/D&gt;&lt;/FQL&gt;&lt;FQL&gt;&lt;Q&gt;TRYIN10Y-FDS^FG_YIELD(-10AY,0,Y,,"YTM")&lt;/Q&gt;&lt;R&gt;10&lt;/R&gt;&lt;C&gt;1&lt;/C&gt;&lt;D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xsi:type="xsd:double"&gt;7.19&lt;/D&gt;&lt;/FQL&gt;&lt;FQL&gt;&lt;Q&gt;USDSEK^FG_COMPANY_NAME&lt;/Q&gt;&lt;R&gt;1&lt;/R&gt;&lt;C&gt;1&lt;/C&gt;&lt;D xsi:type="xsd:string"&gt;Swedish Krona per U.S. Dollar&lt;/D&gt;&lt;/FQL&gt;&lt;FQL&gt;&lt;Q&gt;VGK^FMA_PCT_ABOVE_MAVG(200,0,,,,"PORTAGG")&lt;/Q&gt;&lt;R&gt;1&lt;/R&gt;&lt;C&gt;1&lt;/C&gt;&lt;D xsi:type="xsd:double"&gt;67.3015873015873&lt;/D&gt;&lt;/FQL&gt;&lt;FQL&gt;&lt;Q&gt;TRYFR10Y-FDS^PCTCHG(FG_YIELD(0,,,,"YTM"),FG_YIELD(-3AM,,,,"YTM"))&lt;/Q&gt;&lt;R&gt;1&lt;/R&gt;&lt;C&gt;1&lt;/C&gt;&lt;D xsi:type="xsd:double"&gt;8.301626&lt;/D&gt;&lt;/FQL&gt;&lt;FQL&gt;&lt;Q&gt;VWO^FG_PE(0)&lt;/Q&gt;&lt;R&gt;1&lt;/R&gt;&lt;C&gt;1&lt;/C&gt;&lt;D xsi:type="xsd:double"&gt;14.3826098477444&lt;/D&gt;&lt;/FQL&gt;&lt;FQL&gt;&lt;Q&gt;EWN^JULIAN(FMA_DIV_YLD(NTMA,NOW,NOW,M,"PORTAGG","MEANR").DATES)&lt;/Q&gt;&lt;R&gt;1&lt;/R&gt;&lt;C&gt;1&lt;/C&gt;&lt;D xsi:type="xsd:long"&gt;45442&lt;/D&gt;&lt;/FQL&gt;&lt;FQL&gt;&lt;Q&gt;ENZL^FMA_PE(NTMA,0,,,"PORTAGG","MEANR")&lt;/Q&gt;&lt;R&gt;1&lt;/R&gt;&lt;C&gt;1&lt;/C&gt;&lt;D xsi:type="xsd:double"&gt;24.9767849885702&lt;/D&gt;&lt;/FQL&gt;&lt;FQL&gt;&lt;Q&gt;VWO^FG_TOTAL_RETURNC(0,-1AM)&lt;/Q&gt;&lt;R&gt;1&lt;/R&gt;&lt;C&gt;1&lt;/C&gt;&lt;D xsi:type="xsd:double"&gt;2.1579385&lt;/D&gt;&lt;/FQL&gt;&lt;FQL&gt;&lt;Q&gt;CAGDPY@FR^EE_ACTUAL_ANNUAL(MED,0)&lt;/Q&gt;&lt;R&gt;1&lt;/R&gt;&lt;C&gt;1&lt;/C&gt;&lt;D xsi:type="xsd:double"&gt;-0.758020195472472&lt;/D&gt;&lt;/FQL&gt;&lt;FQL&gt;&lt;Q&gt;USDNZD^FG_PRICE_CHANGE(0,-6AM)&lt;/Q&gt;&lt;R&gt;1&lt;/R&gt;&lt;C&gt;1&lt;/C&gt;&lt;D xsi:type="xsd:double"&gt;0.5289674&lt;/D&gt;&lt;/FQL&gt;&lt;FQL&gt;&lt;Q&gt;EWU^FG_TOTAL_RETURNC(-10AY,0,AM)&lt;/Q&gt;&lt;R&gt;121&lt;/R&gt;&lt;C&gt;1&lt;/C&gt;&lt;D xsi:type="xsd:double"&gt;0.9758353&lt;/D&gt;&lt;D xsi:type="xsd:double"&gt;0.8143544&lt;/D&gt;&lt;D xsi:type="xsd:double"&gt;-2.3946345&lt;/D&gt;&lt;D xsi:type="xsd:double"&gt;0.78508854&lt;/D&gt;&lt;D xsi:type="xsd:double"&gt;-5.647528&lt;/D&gt;&lt;D xsi:type="xsd:double"&gt;-1.9091785&lt;/D&gt;&lt;D xsi:type="xsd:double"&gt;0.10521412&lt;/D&gt;&lt;D xsi:type="xsd:double"&gt;-3.3848226&lt;/D&gt;&lt;D xsi:type="xsd:double"&gt;0.055468082&lt;/D&gt;&lt;D xsi:type="xsd:double"&gt;5.875826&lt;/D&gt;&lt;D xsi:type="xsd:double"&gt;-5.706805&lt;/D&gt;&lt;D xsi:type="xsd:double"&gt;6.662953&lt;/D&gt;&lt;D xsi:type="xsd:double"&gt;0.6246805&lt;/D&gt;&lt;D xsi:type="xsd:double"&gt;-3.8664758&lt;/D&gt;&lt;D xsi:type="xsd:double"&gt;1.5890479&lt;/D&gt;&lt;D xsi:type="xsd:double"&gt;-7.982749&lt;/D&gt;&lt;D xsi:type="xsd:double"&gt;-3.9273143&lt;/D&gt;&lt;D xsi:type="xsd:double"&gt;6.589389&lt;/D&gt;&lt;D xsi:type="xsd:double"&gt;-1.6599834&lt;/D&gt;&lt;D xsi:type="xsd:double"&gt;-4.1776476&lt;/D&gt;&lt;D xsi:type="xsd:double"&gt;-4.832715&lt;/D&gt;&lt;D xsi:type="xsd:double"&gt;-3.125&lt;/D&gt;&lt;D xsi:type="xsd:double"&gt;5.376351&lt;/D&gt;&lt;D xsi:type="xsd:double"&gt;4.0178537&lt;/D&gt;&lt;D xsi:type="xsd:double"&gt;-1.1649191&lt;/D&gt;&lt;D xsi:type="xsd:double"&gt;-2.2998035&lt;/D&gt;&lt;D xsi:type="xsd:double"&gt;1.4964223&lt;/D&gt;&lt;D xsi:type="xsd:double"&gt;1.0897398&lt;/D&gt;&lt;D xsi:type="xsd:double"&gt;0.4438758&lt;/D&gt;&lt;D xsi:type="xsd:double"&gt;-5.303031&lt;/D&gt;&lt;D xsi:type="xsd:double"&gt;0.19999743&lt;/D&gt;&lt;D xsi:type="xsd:double"&gt;3.509593&lt;/D&gt;&lt;D xsi:type="xsd:double"&gt;2.4763823&lt;/D&gt;&lt;D xsi:type="xsd:double"&gt;1.4626384&lt;/D&gt;&lt;D xsi:type="xsd:double"&gt;2.0056367&lt;/D&gt;&lt;D xsi:type="xsd:double"&gt;1.6897082&lt;/D&gt;&lt;D xsi:type="xsd:double"&gt;4.561937&lt;/D&gt;&lt;D xsi:type="xsd:double"&gt;-1.5382707&lt;/D&gt;&lt;D xsi:type="xsd:double"&gt;2.3702264&lt;/D&gt;&lt;D xsi:type="xsd:double"&gt;-0.8206308&lt;/D&gt;&lt;D xsi:type="xsd:double"&gt;2.984631&lt;/D&gt;&lt;D xsi:type="xsd:double"&gt;0.60259104&lt;/D&gt;&lt;D xsi:type="xsd:double"&gt;-0.11409521&lt;/D&gt;&lt;D xsi:type="xsd:double"&gt;4.217088&lt;/D&gt;&lt;D xsi:type="xsd:double"&gt;3.7409306&lt;/D&gt;&lt;D xsi:type="xsd:double"&gt;-6.70076&lt;/D&gt;&lt;D xsi:type="xsd:double"&gt;0.23075342&lt;/D&gt;&lt;D xsi:type="xsd:double"&gt;4.3165445&lt;/D&gt;&lt;D xsi:type="xsd:double"&gt;-0.60690045&lt;/D&gt;&lt;D xsi:type="xsd:double"&gt;-1.1732638&lt;/D&gt;&lt;D xsi:type="xsd:double"&gt;0.9488225&lt;/D&gt;&lt;D xsi:type="xsd:double"&gt;-4.386216&lt;/D&gt;&lt;D xsi:type="xsd:double"&gt;1.6383648&lt;/D&gt;&lt;D xsi:type="xsd:double"&gt;-6.7702236&lt;/D&gt;&lt;D xsi:type="xsd:double"&gt;-1.1945903&lt;/D&gt;&lt;D xsi:type="xsd:double"&gt;-4.5764627&lt;/D&gt;&lt;D xsi:type="xsd:double"&gt;7.291305&lt;/D&gt;&lt;D xsi:type="xsd:double"&gt;3.4296632&lt;/D&gt;&lt;D xsi:type="xsd:double"&gt;1.3509274&lt;/D&gt;&lt;D xsi:type="xsd:double"&gt;2.2720337&lt;/D&gt;&lt;D xsi:type="xsd:double"&gt;-6.1315117&lt;/D&gt;&lt;D xsi:type="xsd:double"&gt;4.6052814&lt;/D&gt;&lt;D xsi:type="xsd:double"&gt;-2.4133623&lt;/D&gt;&lt;D xsi:type="xsd:double"&gt;-3.8046956&lt;/D&gt;&lt;D xsi:type="xsd:double"&gt;3.5926223&lt;/D&gt;&lt;D xsi:type="xsd:double"&gt;3.4998417&lt;/D&gt;&lt;D xsi:type="xsd:double"&gt;1.2296438&lt;/D&gt;&lt;D xsi:type="xsd:double"&gt;5.3659916&lt;/D&gt;&lt;D xsi:type="xsd:double"&gt;-4.281521&lt;/D&gt;&lt;D xsi:type="xsd:double"&gt;-10.2328415&lt;/D&gt;&lt;D xsi:type="xsd:double"&gt;-18.498295&lt;/D&gt;&lt;D xsi:type="xsd:double"&gt;5.7370186&lt;/D&gt;&lt;D xsi:type="xsd:double"&gt;1.9009829&lt;/D&gt;&lt;D xsi:type="xsd:double"&gt;1.6341805&lt;/D&gt;&lt;D xsi:type="xsd:double"&gt;0.6599426&lt;/D&gt;&lt;D xsi:type="xsd:double"&gt;2.738142&lt;/D&gt;&lt;D xsi:type="xsd:double"&gt;-4.3168125&lt;/D&gt;&lt;D xsi:type="xsd:double"&gt;-4.511571&lt;/D&gt;&lt;D xsi:type="xsd:double"&gt;16.105175&lt;/D&gt;&lt;D xsi:type="xsd:double"&gt;4.832244&lt;/D&gt;&lt;D xsi:type="xsd:double"&gt;-0.23899674&lt;/D&gt;&lt;D xsi:type="xsd:double"&gt;3.9356709&lt;/D&gt;&lt;D xsi:type="xsd:double"&gt;3.09515&lt;/D&gt;&lt;D xsi:type="xsd:double"&gt;3.8965106&lt;/D&gt;&lt;D xsi:type="xsd:double"&gt;3.8733602&lt;/D&gt;&lt;D xsi:type="xsd:double"&gt;-1.5906334&lt;/D&gt;&lt;D xsi:type="xsd:double"&gt;0.2752304&lt;/D&gt;&lt;D xsi:type="xsd:double"&gt;0.6709337&lt;/D&gt;&lt;D xsi:type="xsd:double"&gt;-2.3023248&lt;/D&gt;&lt;D xsi:type="xsd:double"&gt;4.4341087&lt;/D&gt;&lt;D xsi:type="xsd:double"&gt;-4.86936&lt;/D&gt;&lt;D xsi:type="xsd:double"&gt;6.280625&lt;/D&gt;&lt;D xsi:type="xsd:double"&gt;2.2631288&lt;/D&gt;&lt;D xsi:type="xsd:double"&gt;-1.1802852&lt;/D&gt;&lt;D xsi:type="xsd:double"&gt;0.44789314&lt;/D&gt;&lt;D xsi:type="xsd:double"&gt;-3.9833546&lt;/D&gt;&lt;D xsi:type="xsd:double"&gt;2.6934981&lt;/D&gt;&lt;D xsi:type="xsd:double"&gt;-8.019132&lt;/D&gt;&lt;D xsi:type="xsd:double"&gt;3.1708956&lt;/D&gt;&lt;D xsi:type="xsd:double"&gt;-6.4704&lt;/D&gt;&lt;D xsi:type="xsd:double"&gt;-9.339333&lt;/D&gt;&lt;D xsi:type="xsd:double"&gt;6.982076&lt;/D&gt;&lt;D xsi:type="xsd:double"&gt;12.446499&lt;/D&gt;&lt;D xsi:type="xsd:double"&gt;-1.3042808&lt;/D&gt;&lt;D xsi:type="xsd:double"&gt;6.229615&lt;/D&gt;&lt;D xsi:type="xsd:double"&gt;-0.89039207&lt;/D&gt;&lt;D xsi:type="xsd:double"&gt;-0.06195903&lt;/D&gt;&lt;D xsi:type="xsd:double"&gt;5.176699&lt;/D&gt;&lt;D xsi:type="xsd:double"&gt;-5.9829054&lt;/D&gt;&lt;D xsi:type="xsd:double"&gt;3.3806205&lt;/D&gt;&lt;D xsi:type="xsd:double"&gt;2.9366374&lt;/D&gt;&lt;D xsi:type="xsd:double"&gt;-3.9039016&lt;/D&gt;&lt;D xsi:type="xsd:double"&gt;-1.1250019&lt;/D&gt;&lt;D xsi:type="xsd:double"&gt;-3.6030352&lt;/D&gt;&lt;D xsi:type="xsd:double"&gt;6.1967134&lt;/D&gt;&lt;D xsi:type="xsd:double"&gt;4.386735&lt;/D&gt;&lt;D xsi:type="xsd:double"&gt;-1.875943&lt;/D&gt;&lt;D xsi:type="xsd:double"&gt;0.986743&lt;/D&gt;&lt;D xsi:type="xsd:double"&gt;4.45801&lt;/D&gt;&lt;D xsi:type="xsd:double"&gt;1.4323354&lt;/D&gt;&lt;D xsi:type="xsd:double"&gt;4.6685815&lt;/D&gt;&lt;/FQL&gt;&lt;FQL&gt;&lt;Q&gt;QQQ^FMA_PE(LTMA,-10AY,0,AM,"PORTAGG","MEANR")&lt;/Q&gt;&lt;R&gt;121&lt;/R&gt;&lt;C&gt;1&lt;/C&gt;&lt;D xsi:type="xsd:double"&gt;18.9088944573408&lt;/D&gt;&lt;D xsi:type="xsd:double"&gt;19.0493297955975&lt;/D&gt;&lt;D xsi:type="xsd:double"&gt;18.9401403285788&lt;/D&gt;&lt;D xsi:type="xsd:double"&gt;19.4608535100563&lt;/D&gt;&lt;D xsi:type="xsd:double"&gt;19.3393125546235&lt;/D&gt;&lt;D xsi:type="xsd:double"&gt;19.7109218244523&lt;/D&gt;&lt;D xsi:type="xsd:double"&gt;20.5332905806804&lt;/D&gt;&lt;D xsi:type="xsd:double"&gt;20.1096275394862&lt;/D&gt;&lt;D xsi:type="xsd:double"&gt;19.4513791235403&lt;/D&gt;&lt;D xsi:type="xsd:double"&gt;20.7927523096553&lt;/D&gt;&lt;D xsi:type="xsd:double"&gt;20.4917906153844&lt;/D&gt;&lt;D xsi:type="xsd:double"&gt;20.3477062160439&lt;/D&gt;&lt;D xsi:type="xsd:double"&gt;20.2708026242024&lt;/D&gt;&lt;D xsi:type="xsd:double"&gt;19.8861388300821&lt;/D&gt;&lt;D xsi:type="xsd:double"&gt;20.4269856102997&lt;/D&gt;&lt;D xsi:type="xsd:double"&gt;19.4490725855202&lt;/D&gt;&lt;D xsi:type="xsd:double"&gt;18.9874276641812&lt;/D&gt;&lt;D xsi:type="xsd:double"&gt;20.2749133493708&lt;/D&gt;&lt;D xsi:type="xsd:double"&gt;20.409234334328&lt;/D&gt;&lt;D xsi:type="xsd:double"&gt;20.3489696602954&lt;/D&gt;&lt;D xsi:type="xsd:double"&gt;18.8271811631151&lt;/D&gt;&lt;D xsi:type="xsd:double"&gt;18.171940910564&lt;/D&gt;&lt;D xsi:type="xsd:double"&gt;18.3943049093417&lt;/D&gt;&lt;D xsi:type="xsd:double"&gt;18.3157234271995&lt;/D&gt;&lt;D xsi:type="xsd:double"&gt;18.6386000251153&lt;/D&gt;&lt;D xsi:type="xsd:double"&gt;18.5890906218831&lt;/D&gt;&lt;D xsi:type="xsd:double"&gt;19.3471848278029&lt;/D&gt;&lt;D xsi:type="xsd:double</t>
        </r>
      </text>
    </comment>
    <comment ref="A12" authorId="0" shapeId="0" xr:uid="{463C518A-5CCA-47E2-BD37-C6F26FDE3479}">
      <text>
        <r>
          <rPr>
            <b/>
            <sz val="9"/>
            <color indexed="81"/>
            <rFont val="Tahoma"/>
            <charset val="1"/>
          </rPr>
          <t>"&gt;19.5222454934444&lt;/D&gt;&lt;D xsi:type="xsd:double"&gt;19.971558870215&lt;/D&gt;&lt;D xsi:type="xsd:double"&gt;19.7587692270475&lt;/D&gt;&lt;D xsi:type="xsd:double"&gt;19.8925058223708&lt;/D&gt;&lt;D xsi:type="xsd:double"&gt;20.2941205773802&lt;/D&gt;&lt;D xsi:type="xsd:double"&gt;21.1025312162113&lt;/D&gt;&lt;D xsi:type="xsd:double"&gt;21.7141306880179&lt;/D&gt;&lt;D xsi:type="xsd:double"&gt;21.6628465067159&lt;/D&gt;&lt;D xsi:type="xsd:double"&gt;21.7013956552269&lt;/D&gt;&lt;D xsi:type="xsd:double"&gt;21.9663666256006&lt;/D&gt;&lt;D xsi:type="xsd:double"&gt;21.6377295866646&lt;/D&gt;&lt;D xsi:type="xsd:double"&gt;22.091233456092&lt;/D&gt;&lt;D xsi:type="xsd:double"&gt;22.3082955917245&lt;/D&gt;&lt;D xsi:type="xsd:double"&gt;22.3042785946712&lt;/D&gt;&lt;D xsi:type="xsd:double"&gt;22.8898425208517&lt;/D&gt;&lt;D xsi:type="xsd:double"&gt;23.1712703923686&lt;/D&gt;&lt;D xsi:type="xsd:double"&gt;23.5271162523326&lt;/D&gt;&lt;D xsi:type="xsd:double"&gt;25.1623030184504&lt;/D&gt;&lt;D xsi:type="xsd:double"&gt;24.1192849747836&lt;/D&gt;&lt;D xsi:type="xsd:double"&gt;23.6415291626979&lt;/D&gt;&lt;D xsi:type="xsd:double"&gt;23.1572813551424&lt;/D&gt;&lt;D xsi:type="xsd:double"&gt;23.1586477091917&lt;/D&gt;&lt;D xsi:type="xsd:double"&gt;22.9760281305682&lt;/D&gt;&lt;D xsi:type="xsd:double"&gt;22.9294418883112&lt;/D&gt;&lt;D xsi:type="xsd:double"&gt;23.4622072819795&lt;/D&gt;&lt;D xsi:type="xsd:double"&gt;23.2714903030339&lt;/D&gt;&lt;D xsi:type="xsd:double"&gt;21.1577722300235&lt;/D&gt;&lt;D xsi:type="xsd:double"&gt;20.7527256929268&lt;/D&gt;&lt;D xsi:type="xsd:double"&gt;18.6396623122827&lt;/D&gt;&lt;D xsi:type="xsd:double"&gt;20.4109511419258&lt;/D&gt;&lt;D xsi:type="xsd:double"&gt;20.8978946598702&lt;/D&gt;&lt;D xsi:type="xsd:double"&gt;21.0307549409424&lt;/D&gt;&lt;D xsi:type="xsd:double"&gt;21.4441069271417&lt;/D&gt;&lt;D xsi:type="xsd:double"&gt;20.7919206066475&lt;/D&gt;&lt;D xsi:type="xsd:double"&gt;21.6053896951725&lt;/D&gt;&lt;D xsi:type="xsd:double"&gt;21.9696815582864&lt;/D&gt;&lt;D xsi:type="xsd:double"&gt;21.8368739225458&lt;/D&gt;&lt;D xsi:type="xsd:double"&gt;22.1083168333452&lt;/D&gt;&lt;D xsi:type="xsd:double"&gt;22.9348268862713&lt;/D&gt;&lt;D xsi:type="xsd:double"&gt;24.1622282318709&lt;/D&gt;&lt;D xsi:type="xsd:double"&gt;25.4709466074783&lt;/D&gt;&lt;D xsi:type="xsd:double"&gt;25.5797300133346&lt;/D&gt;&lt;D xsi:type="xsd:double"&gt;23.8036531052565&lt;/D&gt;&lt;D xsi:type="xsd:double"&gt;23.5245778695945&lt;/D&gt;&lt;D xsi:type="xsd:double"&gt;25.0822503379865&lt;/D&gt;&lt;D xsi:type="xsd:double"&gt;26.4841290462988&lt;/D&gt;&lt;D xsi:type="xsd:double"&gt;27.6696302145787&lt;/D&gt;&lt;D xsi:type="xsd:double"&gt;28.717693811546&lt;/D&gt;&lt;D xsi:type="xsd:double"&gt;31.5197857189405&lt;/D&gt;&lt;D xsi:type="xsd:double"&gt;30.8591969471784&lt;/D&gt;&lt;D xsi:type="xsd:double"&gt;29.74254705397&lt;/D&gt;&lt;D xsi:type="xsd:double"&gt;33.1645666218469&lt;/D&gt;&lt;D xsi:type="xsd:double"&gt;35.2372737395196&lt;/D&gt;&lt;D xsi:type="xsd:double"&gt;34.1163793056014&lt;/D&gt;&lt;D xsi:type="xsd:double"&gt;32.9457007699314&lt;/D&gt;&lt;D xsi:type="xsd:double"&gt;32.5673284675074&lt;/D&gt;&lt;D xsi:type="xsd:double"&gt;32.1483462619996&lt;/D&gt;&lt;D xsi:type="xsd:double"&gt;31.5157306023278&lt;/D&gt;&lt;D xsi:type="xsd:double"&gt;31.8745660517676&lt;/D&gt;&lt;D xsi:type="xsd:double"&gt;31.4117273385011&lt;/D&gt;&lt;D xsi:type="xsd:double"&gt;31.7576910310946&lt;/D&gt;&lt;D xsi:type="xsd:double"&gt;30.2402293140226&lt;/D&gt;&lt;D xsi:type="xsd:double"&gt;31.4591250243978&lt;/D&gt;&lt;D xsi:type="xsd:double"&gt;31.6313009067847&lt;/D&gt;&lt;D xsi:type="xsd:double"&gt;31.9012291369718&lt;/D&gt;&lt;D xsi:type="xsd:double"&gt;28.6983786605693&lt;/D&gt;&lt;D xsi:type="xsd:double"&gt;26.702801833479&lt;/D&gt;&lt;D xsi:type="xsd:double"&gt;26.8282137792759&lt;/D&gt;&lt;D xsi:type="xsd:double"&gt;25.8249989774962&lt;/D&gt;&lt;D xsi:type="xsd:double"&gt;25.3401526546511&lt;/D&gt;&lt;D xsi:type="xsd:double"&gt;24.0607443386755&lt;/D&gt;&lt;D xsi:type="xsd:double"&gt;25.6618449582714&lt;/D&gt;&lt;D xsi:type="xsd:double"&gt;24.7424339663294&lt;/D&gt;&lt;D xsi:type="xsd:double"&gt;22.6957009953717&lt;/D&gt;&lt;D xsi:type="xsd:double"&gt;23.2739898967765&lt;/D&gt;&lt;D xsi:type="xsd:double"&gt;24.1167345457555&lt;/D&gt;&lt;D xsi:type="xsd:double"&gt;22.7307339981462&lt;/D&gt;&lt;D xsi:type="xsd:double"&gt;25.0827156962451&lt;/D&gt;&lt;D xsi:type="xsd:double"&gt;25.2426632599227&lt;/D&gt;&lt;D xsi:type="xsd:double"&gt;25.6827595575912&lt;/D&gt;&lt;D xsi:type="xsd:double"&gt;25.6688299934999&lt;/D&gt;&lt;D xsi:type="xsd:double"&gt;26.3361349736436&lt;/D&gt;&lt;D xsi:type="xsd:double"&gt;27.2777332010365&lt;/D&gt;&lt;D xsi:type="xsd:double"&gt;27.1510678065286&lt;/D&gt;&lt;D xsi:type="xsd:double"&gt;26.8055714622803&lt;/D&gt;&lt;D xsi:type="xsd:double"&gt;25.9499091751989&lt;/D&gt;&lt;D xsi:type="xsd:double"&gt;25.3006292582798&lt;/D&gt;&lt;D xsi:type="xsd:double"&gt;27.6389309742113&lt;/D&gt;&lt;D xsi:type="xsd:double"&gt;29.1637514305089&lt;/D&gt;&lt;D xsi:type="xsd:double"&gt;29.2667418299174&lt;/D&gt;&lt;D xsi:type="xsd:double"&gt;30.3210668909199&lt;/D&gt;&lt;D xsi:type="xsd:double"&gt;30.0748944351255&lt;/D&gt;&lt;D xsi:type="xsd:double"&gt;29.3786482093436&lt;/D&gt;&lt;D xsi:type="xsd:double"&gt;29.5499872769703&lt;/D&gt;&lt;/FQL&gt;&lt;FQL&gt;&lt;Q&gt;PLATI-FDS^MAX(FG_PRICE(0,-5AY))&lt;/Q&gt;&lt;R&gt;1&lt;/R&gt;&lt;C&gt;1&lt;/C&gt;&lt;D xsi:type="xsd:double"&gt;1272.59&lt;/D&gt;&lt;/FQL&gt;&lt;FQL&gt;&lt;Q&gt;COPP-FDS^FG_PRICE(0)&lt;/Q&gt;&lt;R&gt;1&lt;/R&gt;&lt;C&gt;1&lt;/C&gt;&lt;D xsi:type="xsd:double"&gt;4.61&lt;/D&gt;&lt;/FQL&gt;&lt;FQL&gt;&lt;Q&gt;SPY^FG_PRICE_MAVG(0,,,,30)&lt;/Q&gt;&lt;R&gt;1&lt;/R&gt;&lt;C&gt;1&lt;/C&gt;&lt;D xsi:type="xsd:double"&gt;517.4327&lt;/D&gt;&lt;/FQL&gt;&lt;FQL&gt;&lt;Q&gt;EWL^JULIAN(FMA_DIV_YLD(NTMA,NOW,NOW,M,"PORTAGG","MEANR").DATES)&lt;/Q&gt;&lt;R&gt;1&lt;/R&gt;&lt;C&gt;1&lt;/C&gt;&lt;D xsi:type="xsd:long"&gt;45441&lt;/D&gt;&lt;/FQL&gt;&lt;FQL&gt;&lt;Q&gt;TLT^FG_TOTAL_RETURNC(0,-3AM)&lt;/Q&gt;&lt;R&gt;1&lt;/R&gt;&lt;C&gt;1&lt;/C&gt;&lt;D xsi:type="xsd:double"&gt;-2.9992402&lt;/D&gt;&lt;/FQL&gt;&lt;FQL&gt;&lt;Q&gt;TRYUS10Y-FDS^FG_YIELD(-10AY,0,Y,,"YTM")&lt;/Q&gt;&lt;R&gt;10&lt;/R&gt;&lt;C&gt;1&lt;/C&gt;&lt;D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xsi:type="xsd:double"&gt;3.8791&lt;/D&gt;&lt;/FQL&gt;&lt;FQL&gt;&lt;Q&gt;USDANG^STD(FG_PRICE_CHANGE(0,-3AY,M))&lt;/Q&gt;&lt;R&gt;1&lt;/R&gt;&lt;C&gt;1&lt;/C&gt;&lt;D xsi:type="xsd:double"&gt;0.0586284178983467&lt;/D&gt;&lt;/FQL&gt;&lt;FQL&gt;&lt;Q&gt;USDAUD^STD(FG_PRICE_CHANGE(0,-3AY,M))&lt;/Q&gt;&lt;R&gt;1&lt;/R&gt;&lt;C&gt;1&lt;/C&gt;&lt;D xsi:type="xsd:double"&gt;3.05025589181645&lt;/D&gt;&lt;/FQL&gt;&lt;FQL&gt;&lt;Q&gt;EWC^FMA_DIV_YLD(NTMA,-10AY,0,AM,"PORTAGG","MEANR")&lt;/Q&gt;&lt;R&gt;121&lt;/R&gt;&lt;C&gt;1&lt;/C&gt;&lt;D xsi:type="xsd:double"&gt;2.89670712365053&lt;/D&gt;&lt;D xsi:type="xsd:double"&gt;2.80799866440763&lt;/D&gt;&lt;D xsi:type="xsd:double"&gt;2.77535080428917&lt;/D&gt;&lt;D xsi:type="xsd:double"&gt;2.75013004366271&lt;/D&gt;&lt;D xsi:type="xsd:double"&gt;2.87856874467884&lt;/D&gt;&lt;D xsi:type="xsd:double"&gt;2.96281853899497&lt;/D&gt;&lt;D xsi:type="xsd:double"&gt;2.94726098853546&lt;/D&gt;&lt;D xsi:type="xsd:double"&gt;2.92691965115154&lt;/D&gt;&lt;D xsi:type="xsd:double"&gt;2.9582966929684&lt;/D&gt;&lt;D xsi:type="xsd:double"&gt;2.84975029796081&lt;/D&gt;&lt;D xsi:type="xsd:double"&gt;2.91255766992827&lt;/D&gt;&lt;D xsi:type="xsd:double"&gt;2.84228190154128&lt;/D&gt;&lt;D xsi:type="xsd:double"&gt;2.9035305544884&lt;/D&gt;&lt;D xsi:type="xsd:double"&gt;3.0186372856572&lt;/D&gt;&lt;D xsi:type="xsd:double"&gt;3.06299969268628&lt;/D&gt;&lt;D xsi:type="xsd:double"&gt;3.1584845718002&lt;/D&gt;&lt;D xsi:type="xsd:double"&gt;3.30475888306735&lt;/D&gt;&lt;D xsi:type="xsd:double"&gt;3.26721661089548&lt;/D&gt;&lt;D xsi:type="xsd:double"&gt;3.29154399448276&lt;/D&gt;&lt;D xsi:type="xsd:double"&gt;3.3535405693637&lt;/D&gt;&lt;D xsi:type="xsd:double"&gt;3.35714533709028&lt;/D&gt;&lt;D xsi:type="xsd:double"&gt;3.34256100760867&lt;/D&gt;&lt;D xsi:type="xsd:double"&gt;3.15091788784959&lt;/D&gt;&lt;D xsi:type="xsd:double"&gt;3.05014927767596&lt;/D&gt;&lt;D xsi:type="xsd:double"&gt;3.04069497734654&lt;/D&gt;&lt;D xsi:type="xsd:double"&gt;3.07663352900386&lt;/D&gt;&lt;D xsi:type="xsd:double"&gt;2.97221708976925&lt;/D&gt;&lt;D xsi:type="xsd:double"&gt;2.96565461561485&lt;/D&gt;&lt;D xsi:type="xsd:double"&gt;2.93724662923556&lt;/D&gt;&lt;D xsi:type="xsd:double"&gt;2.93066719630278&lt;/D&gt;&lt;D xsi:type="xsd:double"&gt;2.87194800448432&lt;/D&gt;&lt;D xsi:type="xsd:double"&gt;2.84844159413114&lt;/D&gt;&lt;D xsi:type="xsd:double"&gt;2.83899231820656&lt;/D&gt;&lt;D xsi:type="xsd:double"&gt;2.88074790409572&lt;/D&gt;&lt;D xsi:type="xsd:double"&gt;2.91893378364749&lt;/D&gt;&lt;D xsi:type="xsd:double"&gt;2.93573978875242&lt;/D&gt;&lt;D xsi:type="xsd:double"&gt;3.0052902496125&lt;/D&gt;&lt;D xsi:type="xsd:double"&gt;3.04960316508655&lt;/D&gt;&lt;D xsi:type="xsd:double"&gt;3.0460247428575&lt;/D&gt;&lt;D xsi:type="xsd:double"&gt;3.06025945312174&lt;/D&gt;&lt;D xsi:type="xsd:double"&gt;2.98033222192467&lt;/D&gt;&lt;D xsi:type="xsd:double"&gt;2.91561087469541&lt;/D&gt;&lt;D xsi:type="xsd:double"&gt;2.92152545487883&lt;/D&gt;&lt;D xsi:type="xsd:double"&gt;2.90768089224411&lt;/D&gt;&lt;D xsi:type="xsd:double"&gt;2.97073040743189&lt;/D&gt;&lt;D xsi:type="xsd:double"&gt;3.13272547253015&lt;/D&gt;&lt;D xsi:type="xsd:double"&gt;3.18679481647357&lt;/D&gt;&lt;D xsi:type="xsd:double"&gt;3.15357641136164&lt;/D&gt;&lt;D xsi:type="xsd:double"&gt;3.08222742484363&lt;/D&gt;&lt;D xsi:type="xsd:double"&gt;3.06731781683034&lt;/D&gt;&lt;D xsi:type="xsd:double"&gt;3.06188188260431&lt;/D&gt;&lt;D xsi:type="xsd:double"&gt;3.12182649824625&lt;/D&gt;&lt;D xsi:type="xsd:double"&gt;3.17398287086951&lt;/D&gt;&lt;D xsi:type="xsd:double"&gt;3.40537425314083&lt;/D&gt;&lt;D xsi:type="xsd:double"&gt;3.39016347737641&lt;/D&gt;&lt;D xsi:type="xsd:double"&gt;3.58980144760299&lt;/D&gt;&lt;D xsi:type="xsd:double"&gt;3.33687245731477&lt;/D&gt;&lt;D xsi:type="xsd:double"&gt;3.27702630141593&lt;/D&gt;&lt;D xsi:type="xsd:double"&gt;3.28183325236327&lt;/D&gt;&lt;D xsi:type="xsd:double"&gt;3.19143584821002&lt;/D&gt;&lt;D xsi:type="xsd:double"&gt;3.38181444492034&lt;/D&gt;&lt;D xsi:type="xsd:double"&gt;3.31897631701878&lt;/D&gt;&lt;D xsi:type="xsd:double"&gt;3.34763198437027&lt;/D&gt;&lt;D xsi:type="xsd:double"&gt;3.39213479429931&lt;/D&gt;&lt;D xsi:type="xsd:double"&gt;3.32965802699399&lt;/D&gt;&lt;D xsi:type="xsd:double"&gt;3.36241949702391&lt;/D&gt;&lt;D xsi:type="xsd:double"&gt;3.24688046235831&lt;/D&gt;&lt;D xsi:type="xsd:double"&gt;3.26356056899418&lt;/D&gt;&lt;D xsi:type="xsd:double"&gt;3.28104813208701&lt;/D&gt;&lt;D xsi:type="xsd:double"&gt;3.54561819129622&lt;/D&gt;&lt;D xsi:type="xsd:double"&gt;4.28426464465209&lt;/D&gt;&lt;D xsi:type="xsd:double"&gt;3.86599875502394&lt;/D&gt;&lt;D xsi:type="xsd:double"&gt;3.64801319633486&lt;/D&gt;&lt;D xsi:type="xsd:double"&gt;3.55070937428345&lt;/D&gt;&lt;D xsi:type="xsd:double"&gt;3.42456448502804&lt;/D&gt;&lt;D xsi:type="xsd:double"&gt;3.34953694927173&lt;/D&gt;&lt;D xsi:type="xsd:double"&gt;3.45155886673739&lt;/D&gt;&lt;D xsi:type="xsd:double"&gt;3.55025297501576&lt;/D&gt;&lt;D xsi:type="xsd:double"&gt;3.21433577942853&lt;/D&gt;&lt;D xsi:type="xsd:double"&gt;3.13893857768554&lt;/D&gt;&lt;D xsi:type="xsd:double"&gt;3.14992608623059&lt;/D&gt;&lt;D xsi:type="xsd:double"&gt;2.9804457227924&lt;/D&gt;&lt;D xsi:type="xsd:double"&gt;2.84608720868312&lt;/D&gt;&lt;D xsi:type="xsd:double"&gt;2.76250451755712&lt;/D&gt;&lt;D xsi:type="xsd:double"&gt;2.62112529194407&lt;/D&gt;&lt;D xsi:type="xsd:double"&gt;2.71202729499343&lt;/D&gt;&lt;D xsi:type="xsd:double"&gt;2.71174355517182&lt;/D&gt;&lt;D xsi:type="xsd:double"&gt;2.74275936838187&lt;/D&gt;&lt;D xsi:type="xsd:double"&gt;2.833228881162&lt;/D&gt;&lt;D xsi:type="xsd:double"&gt;2.74364002013317&lt;/D&gt;&lt;D xsi:type="xsd:double"&gt;2.85014085855667&lt;/D&gt;&lt;D xsi:type="xsd:double"&gt;2.78733273169164&lt;/D&gt;&lt;D xsi:type="xsd:double"&gt;2.82699696381811&lt;/D&gt;&lt;D xsi:type="xsd:double"&gt;2.87507502204958&lt;/D&gt;&lt;D xsi:type="xsd:double"&gt;2.83457554570645&lt;/D&gt;&lt;D xsi:type="xsd:double"&gt;3.07116332644503&lt;/D&gt;&lt;D xsi:type="xsd:double"&gt;3.10368489533288&lt;/D&gt;&lt;D xsi:type="xsd:double"&gt;3.42631803976524&lt;/D&gt;&lt;D xsi:type="xsd:double"&gt;3.32211746054201&lt;/D&gt;&lt;D xsi:type="xsd:double"&gt;3.46791377024269&lt;/D&gt;&lt;D xsi:type="xsd:double"&gt;3.63468459642186&lt;/D&gt;&lt;D xsi:type="xsd:double"&gt;3.44395083487456&lt;/D&gt;&lt;D xsi:type="xsd:double"&gt;3.27463947317885&lt;/D&gt;&lt;D xsi:type="xsd:double"&gt;3.4707922433344&lt;/D&gt;&lt;D xsi:type="xsd:double"&gt;3.26374781950248&lt;/D&gt;&lt;D xsi:type="xsd:double"&gt;3.35357065127257&lt;/D&gt;&lt;D xsi:type="xsd:double"&gt;3.34635251017124&lt;/D&gt;&lt;D xsi:type="xsd:double"&gt;3.22698166537333&lt;/D&gt;&lt;D xsi:type="xsd:double"&gt;3.39770801270419&lt;/D&gt;&lt;D xsi:type="xsd:double"&gt;3.2521051096131&lt;/D&gt;&lt;D xsi:type="xsd:double"&gt;3.1345663337759&lt;/D&gt;&lt;D xsi:type="xsd:double"&gt;3.49634647870294&lt;/D&gt;&lt;D xsi:type="xsd:double"&gt;3.63507320584458&lt;/D&gt;&lt;D xsi:type="xsd:double"&gt;3.78588702883687&lt;/D&gt;&lt;D xsi:type="xsd:double"&gt;3.47551187294823&lt;/D&gt;&lt;D xsi:type="xsd:double"&gt;3.35737266903611&lt;/D&gt;&lt;D xsi:type="xsd:double"&gt;3.33422595937892&lt;/D&gt;&lt;D xsi:type="xsd:double"&gt;3.25811010136747&lt;/D&gt;&lt;D xsi:type="xsd:double"&gt;3.10692325273597&lt;/D&gt;&lt;D xsi:type="xsd:double"&gt;3.14136477279701&lt;/D&gt;&lt;D xsi:type="xsd:double"&gt;3.29124499170617&lt;/D&gt;&lt;/FQL&gt;&lt;FQL&gt;&lt;Q&gt;SPY^FG_PRICE(0)&lt;/Q&gt;&lt;R&gt;1&lt;/R&gt;&lt;C&gt;1&lt;/C&gt;&lt;D xsi:type="xsd:double"&gt;527.37&lt;/D&gt;&lt;/FQL&gt;&lt;FQL&gt;&lt;Q&gt;EWI^FG_TOTAL_RETURNC(0,-12AM)&lt;/Q&gt;&lt;R&gt;1&lt;/R&gt;&lt;C&gt;1&lt;/C&gt;&lt;D xsi:type="xsd:double"&gt;35.730064&lt;/D&gt;&lt;/FQL&gt;&lt;FQL&gt;&lt;Q&gt;EWU^FG_TOTAL_RETURNC(0,-3AM)&lt;/Q&gt;&lt;R&gt;1&lt;/R&gt;&lt;C&gt;1&lt;/C&gt;&lt;D xsi:type="xsd:double"&gt;10.90076&lt;/D&gt;&lt;/FQL&gt;&lt;FQL&gt;&lt;Q&gt;EWA^PERCENT_CHANGE(FMA_EPS(+1,0,,,,"PORTAGG","MEAN"),FMA_EPS(+1,-1AM,,,,"PORTAGG","MEAN"))&lt;/Q&gt;&lt;R&gt;1&lt;/R&gt;&lt;C&gt;1&lt;/C&gt;&lt;D xsi:type="xsd:double"&gt;4.23962398449786&lt;/D&gt;&lt;/FQL&gt;&lt;FQL&gt;&lt;Q&gt;VGK^FG_FCF_YIELD_NTM(0)&lt;/Q&gt;&lt;R&gt;1&lt;/R&gt;&lt;C&gt;1&lt;/C&gt;&lt;D xsi:type="xsd:double"&gt;5.34893392825677&lt;/D&gt;&lt;/FQL&gt;&lt;FQL&gt;&lt;Q&gt;PLATI-FDS^FG_PRICE(0)/MAX(FG_PRICE(0,-1AY))&lt;/Q&gt;&lt;R&gt;1&lt;/R&gt;&lt;C&gt;1&lt;/C&gt;&lt;D xsi:type="xsd:double"&gt;0.968194574368569&lt;/D&gt;&lt;/FQL&gt;&lt;FQL&gt;&lt;Q&gt;QQQ^FG_PRICE(0)&lt;/Q&gt;&lt;R&gt;1&lt;/R&gt;&lt;C&gt;1&lt;/C&gt;&lt;D xsi:type="xsd:double"&gt;450.71&lt;/D&gt;&lt;/FQL&gt;&lt;FQL&gt;&lt;Q&gt;EWI^PERCENT_CHANGE(FMA_EPS(+1,0,,,,"PORTAGG","MEAN"),FMA_EPS(+1,-1AM,,,,"PORTAGG","MEAN"))&lt;/Q&gt;&lt;R&gt;1&lt;/R&gt;&lt;C&gt;1&lt;/C&gt;&lt;D xsi:type="xsd:double"&gt;2.93138643389561&lt;/D&gt;&lt;/FQL&gt;&lt;FQL&gt;&lt;Q&gt;EWU^PERCENT_CHANGE(FMA_EPS(+1,0,,,,"PORTAGG","MEAN"),FMA_EPS(+1,-3AM,,,,"PORTAGG","MEAN"))&lt;/Q&gt;&lt;R&gt;1&lt;/R&gt;&lt;C&gt;1&lt;/C&gt;&lt;D xsi:type="xsd:double"&gt;2.81097483699118&lt;/D&gt;&lt;/FQL&gt;&lt;FQL&gt;&lt;Q&gt;EWA^FG_ROE(0)&lt;/Q&gt;&lt;R&gt;1&lt;/R&gt;&lt;C&gt;1&lt;/C&gt;&lt;D xsi:type="xsd:double"&gt;12.6256551146176&lt;/D&gt;&lt;/FQL&gt;&lt;FQL&gt;&lt;Q&gt;REFCHMPR-FDS^(SUBARRAY(NOT_NA(NO_REPEAT_F(FG_YIELD(NOW,-10AY,D))),0,1)-SUBARRAY(NOT_NA(NO_REPEAT_F(FG_YIELD(NOW,-10AY,D))),1,1))*100&lt;/Q&gt;&lt;R&gt;1&lt;/R&gt;&lt;C&gt;1&lt;/C&gt;&lt;D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xsi:type="xsd:double"&gt;-25&lt;/D&gt;&lt;/FQL&gt;&lt;FQL&gt;&lt;Q&gt;QQQ^FMA_PE(NTMA,0,,,"PORTAGG","MEANR")&lt;/Q&gt;&lt;R&gt;1&lt;/R&gt;&lt;C&gt;1&lt;/C&gt;&lt;D xsi:type="xsd:double"&gt;25.7464296072419&lt;/D&gt;&lt;/FQL&gt;&lt;FQL&gt;&lt;Q&gt;EWA^FMA_DIV_YLD(NTMA,NOW,NOW,M,"PORTAGG","MEANR")&lt;/Q&gt;&lt;R&gt;1&lt;/R&gt;&lt;C&gt;1&lt;/C&gt;&lt;D xsi:type="xsd:double"&gt;4.03071317759373&lt;/D&gt;&lt;/FQL&gt;&lt;FQL&gt;&lt;Q&gt;UUP^FG_TOTAL_RETURNC(0,-3AM)&lt;/Q&gt;&lt;R&gt;1&lt;/R&gt;&lt;C&gt;1&lt;/C&gt;&lt;D xsi:type="xsd:double"&gt;2.0647883&lt;/D&gt;&lt;/FQL&gt;&lt;FQL&gt;&lt;Q&gt;USDNZD^FG_PRICE_CHANGE(0,-3AM)&lt;/Q&gt;&lt;R&gt;1&lt;/R&gt;&lt;C&gt;1&lt;/C&gt;&lt;D xsi:type="xsd:double"&gt;-0.8382201&lt;/D&gt;&lt;/FQL&gt;&lt;FQL&gt;&lt;Q&gt;FXI^FG_TOTAL_RETURNC(0,-12AM)&lt;/Q&gt;&lt;R&gt;1&lt;/R&gt;&lt;C&gt;1&lt;/C&gt;&lt;D xsi:type="xsd:double"&gt;5.85109&lt;/D&gt;&lt;/FQL&gt;&lt;FQL&gt;&lt;Q&gt;ENZL^FG_TOTAL_RETURNC(0,-1AM)&lt;/Q&gt;&lt;R&gt;1&lt;/R&gt;&lt;C&gt;1&lt;/C&gt;&lt;D xsi:type="xsd:double"&gt;5.304742&lt;/D&gt;&lt;/FQL&gt;&lt;FQL&gt;&lt;Q&gt;EWC^FMA_COS_UP("EPS","1M",+1,0,,,"PORTAGG","MEANR")&lt;/Q&gt;&lt;R&gt;1&lt;/R&gt;&lt;C&gt;1&lt;/C&gt;&lt;D xsi:type="xsd:double"&gt;43&lt;/D&gt;&lt;/FQL&gt;&lt;FQL&gt;&lt;Q&gt;TRYIT10Y-FDS^FG_YIELD(0,,,,"YTM")&lt;/Q&gt;&lt;R&gt;1&lt;/R&gt;&lt;C&gt;1&lt;/C&gt;&lt;D xsi:type="xsd:double"&gt;3.955&lt;/D&gt;&lt;/FQL&gt;&lt;FQL&gt;&lt;Q&gt;VGK^FMA_DIV_YLD(NTMA,NOW,NOW,M,"PORTAGG","MEANR")&lt;/Q&gt;&lt;R&gt;1&lt;/R&gt;&lt;C&gt;1&lt;/C&gt;&lt;D xsi:type="xsd:double"&gt;3.52344423095699&lt;/D&gt;&lt;/FQL&gt;&lt;FQL&gt;&lt;Q&gt;CAGDPY@US^EE_ACTUAL_ANNUAL(MED,0)&lt;/Q&gt;&lt;R&gt;1&lt;/R&gt;&lt;C&gt;1&lt;/C&gt;&lt;D xsi:type="xsd:double"&gt;-2.99561673751749&lt;/D&gt;&lt;/FQL&gt;&lt;FQL&gt;&lt;Q&gt;EWI^FMA_PCT_ABOVE_MAVG(200,0,,,,"PORTAGG")&lt;/Q&gt;&lt;R&gt;1&lt;/R&gt;&lt;C&gt;1&lt;/C&gt;&lt;D xsi:type="xsd:double"&gt;60&lt;/D&gt;&lt;/FQL&gt;&lt;FQL&gt;&lt;Q&gt;EWU^FMA_PCT_ABOVE_MAVG(200,0,,,,"PORTAGG")&lt;/Q&gt;&lt;R&gt;1&lt;/R&gt;&lt;C&gt;1&lt;/C&gt;&lt;D xsi:type="xsd:double"&gt;63.0952380952381&lt;/D&gt;&lt;/FQL&gt;&lt;FQL&gt;&lt;Q&gt;ENZL^FG_ROE(0)&lt;/Q&gt;&lt;R&gt;1&lt;/R&gt;&lt;C&gt;1&lt;/C&gt;&lt;D xsi:type="xsd:double"&gt;5.01322152775298&lt;/D&gt;&lt;/FQL&gt;&lt;FQL&gt;&lt;Q&gt;EWU^FMA_EVAL_EBIT(LTMA,NOW,NOW,M,"PORTAGG","MEANR")&lt;/Q&gt;&lt;R&gt;1&lt;/R&gt;&lt;C&gt;1&lt;/C&gt;&lt;D xsi:type="xsd:double"&gt;10.5458610036081&lt;/D&gt;&lt;/FQL&gt;&lt;FQL&gt;&lt;Q&gt;EWA^FMA_PE(NTMA,0,,,"PORTAGG","MEANR")&lt;/Q&gt;&lt;R&gt;1&lt;/R&gt;&lt;C&gt;1&lt;/C&gt;&lt;D xsi:type="xsd:double"&gt;16.4006782644244&lt;/D&gt;&lt;/FQL&gt;&lt;FQL&gt;&lt;Q&gt;UUP^FG_TOTAL_RETURNC(0,-1AM)&lt;/Q&gt;&lt;R&gt;1&lt;/R&gt;&lt;C&gt;1&lt;/C&gt;&lt;D xsi:type="xsd:double"&gt;-1.0697007&lt;/D&gt;&lt;/FQL&gt;&lt;FQL&gt;&lt;Q&gt;USDUSD^FG_COMPANY_NAME&lt;/Q&gt;&lt;R&gt;1&lt;/R&gt;&lt;C&gt;1&lt;/C&gt;&lt;D xsi:type="xsd:string"&gt;U.S. Dollar per U.S. Dollar&lt;/D&gt;&lt;/FQL&gt;&lt;FQL&gt;&lt;Q&gt;USDNZD^FG_PRICE_CHANGE(0,-1AM)&lt;/Q&gt;&lt;R&gt;1&lt;/R&gt;&lt;C&gt;1&lt;/C&gt;&lt;D xsi:type="xsd:double"&gt;-3.6865234&lt;/D&gt;&lt;/FQL&gt;&lt;FQL&gt;&lt;Q&gt;EWU^FMA_PE(NTMA,-10AY,0,AM,"PORTAGG","MEANR")&lt;/Q&gt;&lt;R&gt;121&lt;/R&gt;&lt;C&gt;1&lt;/C&gt;&lt;D xsi:type="xsd:double"&gt;13.6686342138199&lt;/D&gt;&lt;D xsi:type="xsd:double"&gt;13.5741530285133&lt;/D&gt;&lt;D xsi:type="xsd:double"&gt;13.5578187334002&lt;/D&gt;&lt;D xsi:type="xsd:double"&gt;13.5557307291156&lt;/D&gt;&lt;D xsi:type="xsd:double"&gt;13.0656420372183&lt;/D&gt;&lt;D xsi:type="xsd:double"&gt;13.1604728966266&lt;/D&gt;&lt;D xsi:type="xsd:double"&gt;13.5634694393154&lt;/D&gt;&lt;D xsi:type="xsd:double"&gt;13.8378427236722&lt;/D&gt;&lt;D xsi:type="xsd:double"&gt;14.9714517027184&lt;/D&gt;&lt;D xsi:type="xsd:double"&gt;15.7673388929755&lt;/D&gt;&lt;D xsi:type="xsd:double"&gt;15.3709184485006&lt;/D&gt;&lt;D xsi:type="xsd:double"&gt;16.0614627835823&lt;/D&gt;&lt;D xsi:type="xsd:double"&gt;15.9826389200667&lt;/D&gt;&lt;D xsi:type="xsd:double"&gt;14.9534600255921&lt;/D&gt;&lt;D xsi:type="xsd:double"&gt;15.4029204684913&lt;/D&gt;&lt;D xsi:type="xsd:double"&gt;14.369057628721&lt;/D&gt;&lt;D xsi:type="xsd:double"&gt;14.2666304047092&lt;/D&gt;&lt;D xsi:type="xsd:double"&gt;15.3196187474176&lt;/D&gt;&lt;D xsi:type="xsd:double"&gt;15.3728546532406&lt;/D&gt;&lt;D xsi:type="xsd:double"&gt;15.2053139260079&lt;/D&gt;&lt;D xsi:type="xsd:double"&gt;15.5045578309475&lt;/D&gt;&lt;D xsi:type="xsd:double"&gt;15.612412794759&lt;/D&gt;&lt;D xsi:type="xsd:double"&gt;16.1595068225194&lt;/D&gt;&lt;D xsi:type="xsd:double"&gt;16.2175590994556&lt;/D&gt;&lt;D xsi:type="xsd:double"&gt;15.8743674764832&lt;/D&gt;&lt;D xsi:type="xsd:double"&gt;15.9991981811096&lt;/D&gt;&lt;D xsi:type="xsd:double"&gt;16.1830905739224&lt;/D&gt;&lt;D xsi:type="xsd:double"&gt;15.9080729651937&lt;/D&gt;&lt;D xsi:type="xsd:double"&gt;15.7154072811657&lt;/D&gt;&lt;D xsi:type="xsd:double"&gt;14.9040565403123&lt;/D&gt;&lt;D xsi:type="xsd:double"&gt;14.2231753641962&lt;/D&gt;&lt;D xsi:type="xsd:double"&gt;14.4510565442094&lt;/D&gt;&lt;D xsi:type="xsd:double"&gt;14.1597858094171&lt;/D&gt;&lt;D xsi:type="xsd:double"&gt;14.3874260448601&lt;/D&gt;&lt;D xsi:type="xsd:double"&gt;14.4190694742358&lt;/D&gt;&lt;D xsi:type="xsd:double"&gt;14.3108472927418&lt;/D&gt;&lt;D xsi:type="xsd:double"&gt;14.8012972524472&lt;/D&gt;&lt;D xsi:type="xsd:double"&gt;14.3989278646626&lt;/D&gt;&lt;D xsi:type="xsd:double"&gt;14.7019187928699&lt;/D&gt;&lt;D xsi:type="xsd:double"&gt;14.5510550377484&lt;/D&gt;&lt;D xsi:type="xsd:double"&gt;14.5413076611886&lt;/D&gt;&lt;D xsi:type="xsd:double"&gt;14.5231755949159&lt;/D&gt;&lt;D xsi:type="xsd:double"&gt;14.1766262414814&lt;/D&gt;&lt;D xsi:type="xsd:double"&gt;14.7771218833858&lt;/D&gt;&lt;D xsi:type="xsd:double"&gt;14.3691189962291&lt;/D&gt;&lt;D xsi:type="xsd:double"&gt;13.116669102772&lt;/D&gt;&lt;D xsi:type="xsd:double"&gt;13.2236066575751&lt;/D&gt;&lt;D xsi:type="xsd:double"&gt;13.8126762412488&lt;/D&gt;&lt;D xsi:type="xsd:double"&gt;13.5758896429766&lt;/D&gt;&lt;D xsi:type="xsd:double"&gt;13.2933875981989&lt;/D&gt;&lt;D xsi:type="xsd:double"&gt;13.3440474944267&lt;/D&gt;&lt;D xsi:type="xsd:double"&gt;12.6358290761544&lt;/D&gt;&lt;D xsi:type="xsd:double"&gt;12.7726243200956&lt;/D&gt;&lt;D xsi:type="xsd:double"&gt;11.8276552639453&lt;/D&gt;&lt;D xsi:type="xsd:double"&gt;11.7049560237895&lt;/D&gt;&lt;D xsi:type="xsd:double"&gt;11.3877881290485&lt;/D&gt;&lt;D xsi:type="xsd:double"&gt;12.173444114254&lt;/D&gt;&lt;D xsi:type="xsd:double"&gt;12.3996300525624&lt;/D&gt;&lt;D xsi:type="xsd:double"&gt;12.5347448196817&lt;/D&gt;&lt;D xsi:type="xsd:double"&gt;12.6677820390447&lt;/D&gt;&lt;D xsi:type="xsd:double"&gt;12.1321932869227&lt;/D&gt;&lt;D xsi:type="xsd:double"&gt;12.6020831393815&lt;/D&gt;&lt;D xsi:type="xsd:double"&gt;12.6350625999954&lt;/D&gt;&lt;D xsi:type="xsd:double"&gt;12.0100629121872&lt;/D&gt;&lt;D xsi:type="xsd:double"&gt;12.4787086352598&lt;/D&gt;&lt;D xsi:type="xsd:double"&gt;12.6328368462817&lt;/D&gt;&lt;D xsi:type="xsd:double"&gt;13.0108732074319&lt;/D&gt;&lt;D xsi:type="xsd:double"&gt;13.469423852567&lt;/D&gt;&lt;D xsi:type="xsd:double"&gt;13.0931297253783&lt;/D&gt;&lt;D xsi:type="xsd:double"&gt;11.8829556289106&lt;/D&gt;&lt;D xsi:type="xsd:double"&gt;12.0796182502959&lt;/D&gt;&lt;D xsi:type="xsd:double"&gt;14.9489203922834&lt;/D&gt;&lt;D xsi:type="xsd:double"&gt;15.8127675010876&lt;/D&gt;&lt;D xsi:type="xsd:double"&gt;15.8428508722166&lt;/D&gt;&lt;D xsi:type="xsd:double"&gt;15.1369169965873&lt;/D&gt;&lt;D xsi:type="xsd:double"&gt;15.3835456418731&lt;/D&gt;&lt;D xsi:type="xsd:double"&gt;14.3974913184336&lt;/D&gt;&lt;D xsi:type="xsd:double"&gt;13.0060077952806&lt;/D&gt;&lt;D xsi:type="xsd:double"&gt;14.5552521013513&lt;/D&gt;&lt;D xsi:type="xsd:double"&gt;14.4161324782778&lt;/D&gt;&lt;D xsi:type="xsd:double"&gt;13.6708901394477&lt;/D&gt;&lt;D xsi:type="xsd:double"&gt;13.7793074967779&lt;/D&gt;&lt;D xsi:type="xsd:double"&gt;13.4535954277664&lt;/D&gt;&lt;D xsi:type="xsd:double"&gt;13.2574413323787&lt;/D&gt;&lt;D xsi:type="xsd:double"&gt;13.2017664326985&lt;/D&gt;&lt;D xsi:type="xsd:double"&gt;12.6427936408023&lt;/D&gt;&lt;D xsi:type="xsd:double"&gt;12.2767203759514&lt;/D&gt;&lt;D xsi:type="xsd:double"&gt;12.2071058170223&lt;/D&gt;&lt;D xsi:type="xsd:double"&gt;11.9008950126071&lt;/D&gt;&lt;D xsi:type="xsd:double"&gt;12.2088080942973&lt;/D&gt;&lt;D xsi:type="xsd:double"&gt;11.6196424592164&lt;/D&gt;&lt;D xsi:type="xsd:double"&gt;12.2247813660463&lt;/D&gt;&lt;D xsi:type="xsd:double"&gt;12.1808330223634&lt;/D&gt;&lt;D xsi:type="xsd:double"&gt;11.9662719937991&lt;/D&gt;&lt;D xsi:type="xsd:double"&gt;11.2733117831634&lt;/D&gt;&lt;D xsi:type="xsd:double"&gt;10.8325203805629&lt;/D&gt;&lt;D xsi:type="xsd:double"&gt;10.5880093937351&lt;/D&gt;&lt;D xsi:type="xsd:double"&gt;9.65693833062477&lt;/D&gt;&lt;D xsi:type="xsd:double"&gt;9.91346121522977&lt;/D&gt;&lt;D xsi:type="xsd:double"&gt;9.29471018985479&lt;/D&gt;&lt;D xsi:type="xsd:double"&gt;8.56408553102023&lt;/D&gt;&lt;D xsi:type="xsd:double"&gt;9.02026839027405&lt;/D&gt;&lt;D xsi:type="xsd:double"&gt;9.82345962657814&lt;/D&gt;&lt;D xsi:type="xsd:double"&gt;9.81442426544529&lt;/D&gt;&lt;D xsi:type="xsd:double"&gt;10.538177721911&lt;/D&gt;&lt;D xsi:type="xsd:double"&gt;10.5285089913559&lt;/D&gt;&lt;D xsi:type="xsd:double"&gt;10.352619357974&lt;/D&gt;&lt;D xsi:type="xsd:double"&gt;10.845245369593&lt;/D&gt;&lt;D xsi:type="xsd:double"&gt;10.0332999972089&lt;/D&gt;&lt;D xsi:type="xsd:double"&gt;10.3883093658564&lt;/D&gt;&lt;D xsi:type="xsd:double"&gt;10.8025044191129&lt;/D&gt;&lt;D xsi:type="xsd:double"&gt;10.3286897272198&lt;/D&gt;&lt;D xsi:type="xsd:double"&gt;10.4426442915571&lt;/D&gt;&lt;D xsi:type="xsd:double"&gt;9.98236908701359&lt;/D&gt;&lt;D xsi:type="xsd:double"&gt;10.4860147005345&lt;/D&gt;&lt;D xsi:type="xsd:double"&gt;11.0064275434716&lt;/D&gt;&lt;D xsi:type="xsd:double"&gt;11.0830975275046&lt;/D&gt;&lt;D xsi:type="xsd:double"&gt;11.1495338546415&lt;/D&gt;&lt;D xsi:type="xsd:double"&gt;11.5418671567193&lt;/D&gt;&lt;D xsi:type="xsd:double"&gt;11.6219827305396&lt;/D&gt;&lt;D xsi:type="xsd:double"&gt;11.5530330507331&lt;/D&gt;&lt;/FQL&gt;&lt;FQL&gt;&lt;Q&gt;CPALM-FDS^FG_PRICE_CHANGE(0,-1AY)&lt;/Q&gt;&lt;R&gt;1&lt;/R&gt;&lt;C&gt;1&lt;/C&gt;&lt;D xsi:type="xsd:double"&gt;25.0076804915515&lt;/D&gt;&lt;/FQL&gt;&lt;FQL&gt;&lt;Q&gt;EWU^FG_PRICE(0)&lt;/Q&gt;&lt;R&gt;1&lt;/R&gt;&lt;C&gt;1&lt;/C&gt;&lt;D xsi:type="xsd:double"&gt;36.32&lt;/D&gt;&lt;/FQL&gt;&lt;FQL&gt;&lt;Q&gt;FXI^P_PRICE(0)/P_PRICE_LOW_PR(0,,,,,,"PRICE","INTRA","52W")-1&lt;/Q&gt;&lt;R&gt;1&lt;/R&gt;&lt;C&gt;1&lt;/C&gt;&lt;D xsi:type="xsd:double"&gt;0.27660584&lt;/D&gt;&lt;/FQL&gt;&lt;FQL&gt;&lt;Q&gt;EWD^FG_TOTAL_RETURNC(0,-12AM)&lt;/Q&gt;&lt;R&gt;1&lt;/R&gt;&lt;C&gt;1&lt;/C&gt;&lt;D xsi:type="xsd:double"&gt;25.117731&lt;/D&gt;&lt;/FQL&gt;&lt;FQL&gt;&lt;Q&gt;EWA^SIZE(FG_CONSTITUENTS)&lt;/Q&gt;&lt;R&gt;1&lt;/R&gt;&lt;C&gt;1&lt;/C&gt;&lt;D xsi:type="xsd:long"&gt;60&lt;/D&gt;&lt;/FQL&gt;&lt;FQL&gt;&lt;Q&gt;TRYDE10Y-FDS^FG_YIELD_NAME&lt;/Q&gt;&lt;R&gt;1&lt;/R&gt;&lt;C&gt;1&lt;/C&gt;&lt;D xsi:type="xsd:string"&gt;Germany Benchmark Bond - 10 Year&lt;/D&gt;&lt;/FQL&gt;&lt;FQL&gt;&lt;Q&gt;VGK^FG_PE_NTM(0,,,90,0)&lt;/Q&gt;&lt;R&gt;1&lt;/R&gt;&lt;C&gt;1&lt;/C&gt;&lt;D xsi:type="xsd:double"&gt;13.2986636872722&lt;/D&gt;&lt;/FQL&gt;&lt;FQL&gt;&lt;Q&gt;EWN^FMA_ROE(NTMA,-20AY,NOW,FY,"PORTAGG","MEANR")&lt;/Q&gt;&lt;R&gt;20&lt;/R&gt;&lt;C&gt;1&lt;/C&gt;&lt;D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xsi:type="xsd:double"&gt;12.7459856653411&lt;/D&gt;&lt;/FQL&gt;&lt;FQL&gt;&lt;Q&gt;EWL^FG_TOTAL_RETURNC(0,-12AM)&lt;/Q&gt;&lt;R&gt;1&lt;/R&gt;&lt;C&gt;1&lt;/C&gt;&lt;D xsi:type="xsd:double"&gt;8.63111&lt;/D&gt;&lt;/FQL&gt;&lt;FQL&gt;&lt;Q&gt;FXI^FMA_COS_UP("EPS","1M",+1,0,,,"PORTAGG","MEANR")&lt;/Q&gt;&lt;R&gt;1&lt;/R&gt;&lt;C&gt;1&lt;/C&gt;&lt;D xsi:type="xsd:double"&gt;22&lt;/D&gt;&lt;/FQL&gt;&lt;FQL&gt;&lt;Q&gt;ENZL^FMA_PE(LTM,0,,,"PORTAGG","MEANR")&lt;/Q&gt;&lt;R&gt;1&lt;/R&gt;&lt;C&gt;1&lt;/C&gt;&lt;D xsi:type="xsd:double"&gt;34.3672785273935&lt;/D&gt;&lt;/FQL&gt;&lt;FQL&gt;&lt;Q&gt;USDITL^STD(FG_PRICE_CHANGE(0,-1AY,AM))&lt;/Q&gt;&lt;R&gt;1&lt;/R&gt;&lt;C&gt;1&lt;/C&gt;&lt;D xsi:type="xsd:double"&gt;1.93913301261177&lt;/D&gt;&lt;/FQL&gt;&lt;FQL&gt;&lt;Q&gt;USDJPY^FG_PRICE_CHANGE(0,-3AM)&lt;/Q&gt;&lt;R&gt;1&lt;/R&gt;&lt;C&gt;1&lt;/C&gt;&lt;D xsi:type="xsd:double"&gt;4.994321&lt;/D&gt;&lt;/FQL&gt;&lt;FQL&gt;&lt;Q&gt;EWQ^FG_TOTAL_RETURNC(0,-3AM)&lt;/Q&gt;&lt;R&gt;1&lt;/R&gt;&lt;C&gt;1&lt;/C&gt;&lt;D xsi:type="xsd:double"&gt;3.7055492&lt;/D&gt;&lt;/FQL&gt;&lt;FQL&gt;&lt;Q&gt;EWG^FG_TOTAL_RETURNC(0,-6AM)&lt;/Q&gt;&lt;R&gt;1&lt;/R&gt;&lt;C&gt;1&lt;/C&gt;&lt;D xsi:type="xsd:double"&gt;12.853503&lt;/D&gt;&lt;/FQL&gt;&lt;FQL&gt;&lt;Q&gt;SPY^FMA_RBICS_REV_CURRENT(30, LOC, "PORTAGG")&lt;/Q&gt;&lt;R&gt;1&lt;/R&gt;&lt;C&gt;1&lt;/C&gt;&lt;D xsi:type="xsd:double"&gt;12.6373564575531&lt;/D&gt;&lt;/FQL&gt;&lt;FQL&gt;&lt;Q&gt;EWN^FG_FCF_YIELD_NTM(0)&lt;/Q&gt;&lt;R&gt;1&lt;/R&gt;&lt;C&gt;1&lt;/C&gt;&lt;D xsi:type="xsd:double"&gt;3.71666559516705&lt;/D&gt;&lt;/FQL&gt;&lt;FQL&gt;&lt;Q&gt;USDEUR^STD(FG_PRICE_CHANGE(0,-3AY,M))&lt;/Q&gt;&lt;R&gt;1&lt;/R&gt;&lt;C&gt;1&lt;/C&gt;&lt;D xsi:type="xsd:double"&gt;2.17066400551634&lt;/D&gt;&lt;/FQL&gt;&lt;FQL&gt;&lt;Q&gt;WL-FDS^MAX(FG_PRICE(0,-5AY))&lt;/Q&gt;&lt;R&gt;1&lt;/R&gt;&lt;C&gt;1&lt;/C&gt;&lt;D xsi:type="xsd:double"&gt;763.4&lt;/D&gt;&lt;/FQL&gt;&lt;FQL&gt;&lt;Q&gt;EWQ^PERCENT_CHANGE(FMA_EPS(+1,0,,,,"PORTAGG","MEAN"),FMA_EPS(+1,-1AM,,,,"PORTAGG","MEAN"))&lt;/Q&gt;&lt;R&gt;1&lt;/R&gt;&lt;C&gt;1&lt;/C&gt;&lt;D xsi:type="xsd:double"&gt;3.33371945894884&lt;/D&gt;&lt;/FQL&gt;&lt;FQL&gt;&lt;Q&gt;QQQ^FMA_RBICS_REV_CURRENT(30, LOC, "PORTAGG")&lt;/Q&gt;&lt;R&gt;1&lt;/R&gt;&lt;C&gt;1&lt;/C&gt;&lt;D xsi:type="xsd:double"&gt;0.907617891806808&lt;/D&gt;&lt;/FQL&gt;&lt;FQL&gt;&lt;Q&gt;EWN^FMA_DIV_YLD(NTMA,NOW,NOW,M,"PORTAGG","MEANR")&lt;/Q&gt;&lt;R&gt;1&lt;/R&gt;&lt;C&gt;1&lt;/C&gt;&lt;D xsi:type="xsd:double"&gt;2.50136950481345&lt;/D&gt;&lt;/FQL&gt;&lt;FQL&gt;&lt;Q&gt;VGK^P_PRICE(0)/P_PRICE_HIGH_PR(0,,,USD,,,"PRICE","INTRA","52W")&lt;/Q&gt;&lt;R&gt;1&lt;/R&gt;&lt;C&gt;1&lt;/C&gt;&lt;D xsi:type="xsd:double"&gt;0.99345756&lt;/D&gt;&lt;/FQL&gt;&lt;FQL&gt;&lt;Q&gt;CC_GB^IMF_IFS_RCPI_Q(0)&lt;/Q&gt;&lt;R&gt;1&lt;/R&gt;&lt;C&gt;1&lt;/C&gt;&lt;D xsi:type="xsd:double"&gt;3.9194994&lt;/D&gt;&lt;/FQL&gt;&lt;FQL&gt;&lt;Q&gt;TRYGR10Y-FDS^FG_YIELD(-10AY,0,Y,,"YTM")&lt;/Q&gt;&lt;R&gt;10&lt;/R&gt;&lt;C&gt;1&lt;/C&gt;&lt;D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xsi:type="xsd:double"&gt;3.099&lt;/D&gt;&lt;/FQL&gt;&lt;FQL&gt;&lt;Q&gt;USDEUR^FG_PRICE_CHANGE(0,-3AM)&lt;/Q&gt;&lt;R&gt;1&lt;/R&gt;&lt;C&gt;1&lt;/C&gt;&lt;D xsi:type="xsd:double"&gt;-0.31780005&lt;/D&gt;&lt;/FQL&gt;&lt;FQL&gt;&lt;Q&gt;TIOS-FDS^MAX(FG_PRICE(0,-5AY))&lt;/Q&gt;&lt;R&gt;1&lt;/R&gt;&lt;C&gt;1&lt;/C&gt;&lt;D xsi:type="xsd:double"&gt;219.77&lt;/D&gt;&lt;/FQL&gt;&lt;FQL&gt;&lt;Q&gt;EWD^FG_ROE(0)&lt;/Q&gt;&lt;R&gt;1&lt;/R&gt;&lt;C&gt;1&lt;/C&gt;&lt;D xsi:type="xsd:double"&gt;16.8541783143673&lt;/D&gt;&lt;/FQL&gt;&lt;FQL&gt;&lt;Q&gt;CC_CH^IMF_IFS_RCPI_Q(0)&lt;/Q&gt;&lt;R&gt;1&lt;/R&gt;&lt;C&gt;1&lt;/C&gt;&lt;D xsi:type="xsd:double"&gt;1.1636324&lt;/D&gt;&lt;/FQL&gt;&lt;FQL&gt;&lt;Q&gt;EWC^FG_FCF_YIELD_NTM(0)&lt;/Q&gt;&lt;R&gt;1&lt;/R&gt;&lt;C&gt;1&lt;/C&gt;&lt;D xsi:type="xsd:double"&gt;5.03338168817803&lt;/D&gt;&lt;/FQL&gt;&lt;FQL&gt;&lt;Q&gt;TRYCH10Y-FDS^FG_YIELD(-10AY,0,Y,,"YTM")&lt;/Q&gt;&lt;R&gt;10&lt;/R&gt;&lt;C&gt;1&lt;/C&gt;&lt;D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xsi:type="xsd:double"&gt;0.703&lt;/D&gt;&lt;/FQL&gt;&lt;FQL&gt;&lt;Q&gt;USDEUR^FG_PRICE_CHANGE(0,-1AY)&lt;/Q&gt;&lt;R&gt;1&lt;/R&gt;&lt;C&gt;1&lt;/C&gt;&lt;D xsi:type="xsd:double"&gt;-1.7962396&lt;/D&gt;&lt;/FQL&gt;&lt;FQL&gt;&lt;Q&gt;EWD^FG_PRICE_MAVG(0,,,,200)&lt;/Q&gt;&lt;R&gt;1&lt;/R&gt;&lt;C&gt;1&lt;/C&gt;&lt;D xsi:type="xsd:double"&gt;36.8835&lt;/D&gt;&lt;/FQL&gt;&lt;FQL&gt;&lt;Q&gt;EWC^PERCENT_CHANGE(FMA_EPS(+1,0,,,,"PORTAGG","MEAN"),FMA_EPS(+1,-3AM,,,,"PORTAGG","MEAN"))&lt;/Q&gt;&lt;R&gt;1&lt;/R&gt;&lt;C&gt;1&lt;/C&gt;&lt;D xsi:type="xsd:double"&gt;-0.166750372354616&lt;/D&gt;&lt;/FQL&gt;&lt;FQL&gt;&lt;Q&gt;EWN^FG_ROE(0)&lt;/Q&gt;&lt;R&gt;1&lt;/R&gt;&lt;C&gt;1&lt;/C&gt;&lt;D xsi:type="xsd:double"&gt;11.5963179754304&lt;/D&gt;&lt;/FQL&gt;&lt;FQL&gt;&lt;Q&gt;SPY^FMA_EVAL_EBIT(LTMA,NOW,NOW,M,"PORTAGG","MEANR")&lt;/Q&gt;&lt;R&gt;1&lt;/R&gt;&lt;C&gt;1&lt;/C&gt;&lt;D xsi:type="xsd:double"&gt;20.4422908324806&lt;/D&gt;&lt;/FQL&gt;&lt;FQL&gt;&lt;Q&gt;USDANG^STD(FG_PRICE_CHANGE(0,-1AY,AM))&lt;/Q&gt;&lt;R&gt;1&lt;/R&gt;&lt;C&gt;1&lt;/C&gt;&lt;D xsi:type="xsd:double"&gt;0.101547390548198&lt;/D&gt;&lt;/FQL&gt;&lt;FQL&gt;&lt;Q&gt;EWG^FG_TOTAL_RETURNC(-10AY,0,AM)&lt;/Q&gt;&lt;R&gt;121&lt;/R&gt;&lt;C&gt;1&lt;/C&gt;&lt;D xsi:type="xsd:double"&gt;1.4520168&lt;/D&gt;&lt;D xsi:type="xsd:double"&gt;-0.7124722&lt;/D&gt;&lt;D xsi:type="xsd:double"&gt;-6.8094673&lt;/D&gt;&lt;D xsi:type="xsd:double"&gt;-0.78902245&lt;/D&gt;&lt;D xsi:type="xsd:double"&gt;-4.2185307&lt;/D&gt;&lt;D xsi:type="xsd:double"&gt;-1.6967535&lt;/D&gt;&lt;D xsi:type="xsd:double"&gt;5.728984&lt;/D&gt;&lt;D xsi:type="xsd:double"&gt;-4.793334&lt;/D&gt;&lt;D xsi:type="xsd:double"&gt;2.3349166&lt;/D&gt;&lt;D xsi:type="xsd:double"&gt;5.8823586&lt;/D&gt;&lt;D xsi:type="xsd:double"&gt;0.47137737&lt;/D&gt;&lt;D xsi:type="xsd:double"&gt;-0.7372618&lt;/D&gt;&lt;D xsi:type="xsd:double"&gt;-1.7218113&lt;/D&gt;&lt;D xsi:type="xsd:double"&gt;-2.5632262&lt;/D&gt;&lt;D xsi:type="xsd:double"&gt;1.614058&lt;/D&gt;&lt;D xsi:type="xsd:double"&gt;-7.024354&lt;/D&gt;&lt;D xsi:type="xsd:double"&gt;-6.0744104&lt;/D&gt;&lt;D xsi:type="xsd:double"&gt;9.579635&lt;/D&gt;&lt;D xsi:type="xsd:double"&gt;0.51641464&lt;/D&gt;&lt;D xsi:type="xsd:double"&gt;-3.8899064&lt;/D&gt;&lt;D xsi:type="xsd:double"&gt;-7.101947&lt;/D&gt;&lt;D xsi:type="xsd:double"&gt;-3.9868474&lt;/D&gt;&lt;D xsi:type="xsd:double"&gt;10.145545&lt;/D&gt;&lt;D xsi:type="xsd:double"&gt;1.9432545&lt;/D&gt;&lt;D xsi:type="xsd:double"&gt;-1.1437237&lt;/D&gt;&lt;D xsi:type="xsd:double"&gt;-4.9965024&lt;/D&gt;&lt;D xsi:type="xsd:double"&gt;6.652808&lt;/D&gt;&lt;D xsi:type="xsd:double"&gt;2.1832347&lt;/D&gt;&lt;D xsi:type="xsd:double"&gt;0.22892952&lt;/D&gt;&lt;D xsi:type="xsd:double"&gt;-1.3703883&lt;/D&gt;&lt;D xsi:type="xsd:double"&gt;-4.168272&lt;/D&gt;&lt;D xsi:type="xsd:double"&gt;6.6818357&lt;/D&gt;&lt;D xsi:type="xsd:double"&gt;3.8897276&lt;/D&gt;&lt;D xsi:type="xsd:double"&gt;0.036346912&lt;/D&gt;&lt;D xsi:type="xsd:double"&gt;4.469478&lt;/D&gt;&lt;D xsi:type="xsd:double"&gt;3.2347798&lt;/D&gt;&lt;D xsi:type="xsd:double"&gt;4.5148253&lt;/D&gt;&lt;D xsi:type="xsd:double"&gt;-0.51738024&lt;/D&gt;&lt;D xsi:type="xsd:double"&gt;1.4535785&lt;/D&gt;&lt;D xsi:type="xsd:double"&gt;0.16281605&lt;/D&gt;&lt;D xsi:type="xsd:double"&gt;5.429125&lt;/D&gt;&lt;D xsi:type="xsd:double"&gt;1.973474&lt;/D&gt;&lt;D xsi:type="xsd:double"&gt;0.5140662&lt;/D&gt;&lt;D xsi:type="xsd:double"&gt;-0.411129&lt;/D&gt;&lt;D xsi:type="xsd:double"&gt;6.0266495&lt;/D&gt;&lt;D xsi:type="xsd:double"&gt;-7.3693156&lt;/D&gt;&lt;D xsi:type="xsd:double"&gt;-1.2025893&lt;/D&gt;&lt;D xsi:type="xsd:double"&gt;1.3108611&lt;/D&gt;&lt;D xsi:type="xsd:double"&gt;-2.526188&lt;/D&gt;&lt;D xsi:type="xsd:double"&gt;-2.9587448&lt;/D&gt;&lt;D xsi:type="xsd:double"&gt;4.4362903&lt;/D&gt;&lt;D xsi:type="xsd:double"&gt;-3.4493744&lt;/D&gt;&lt;D xsi:type="xsd:double"&gt;-1.6209066&lt;/D&gt;&lt;D xsi:type="xsd:double"&gt;-8.372563&lt;/D&gt;&lt;D xsi:type="xsd:double"&gt;-1.5045881&lt;/D&gt;&lt;D xsi:type="xsd:double"&gt;-5.5514154&lt;/D&gt;&lt;D xsi:type="xsd:double"&gt;5.6804776&lt;/D&gt;&lt;D xsi:type="xsd:double"&gt;1.9036889&lt;/D&gt;&lt;D xsi:type="xsd:double"&gt;-1.3919413&lt;/D&gt;&lt;D xsi:type="xsd:double"&gt;6.9836497&lt;/D&gt;&lt;D xsi:type="xsd:double"&gt;-6.527776&lt;/D&gt;&lt;D xsi:type="xsd:double"&gt;7.053387&lt;/D&gt;&lt;D xsi:type="xsd:double"&gt;-4.385024&lt;/D&gt;&lt;D xsi:type="xsd:double"&gt;-2.125281&lt;/D&gt;&lt;D xsi:type="xsd:double"&gt;2.5142908&lt;/D&gt;&lt;D xsi:type="xsd:double"&gt;6.094384&lt;/D&gt;&lt;D xsi:type="xsd:double"&gt;1.3660312&lt;/D&gt;&lt;D xsi:type="xsd:double"&gt;1.589489&lt;/D&gt;&lt;D xsi:type="xsd:double"&gt;-2.9591799&lt;/D&gt;&lt;D xsi:type="xsd:double"&gt;-8.096743&lt;/D&gt;&lt;D xsi:type="xsd:double"&gt;-18.077803&lt;/D&gt;&lt;D xsi:type="xsd:double"&gt;9.776533&lt;/D&gt;&lt;D xsi:type="xsd:double"&gt;9.372354&lt;/D&gt;&lt;D xsi:type="xsd:double"&gt;6.2144876&lt;/D&gt;&lt;D xsi:type="xsd:double"&gt;4.205084&lt;/D&gt;&lt;D xsi:type="xsd:double"&gt;6.548679&lt;/D&gt;&lt;D xsi:type="xsd:double"&gt;-3.2225966&lt;/D&gt;&lt;D xsi:type="xsd:double"&gt;-9.783721&lt;/D&gt;&lt;D xsi:type="xsd:double"&gt;16.286146&lt;/D&gt;&lt;D xsi:type="xsd:double"&gt;5.2691817&lt;/D&gt;&lt;D xsi:type="xsd:double"&gt;-0.97576976&lt;/D&gt;&lt;D xsi:type="xsd:double"&gt;1.7482519&lt;/D&gt;&lt;D xsi:type="xsd:double"&gt;4.467356&lt;/D&gt;&lt;D xsi:type="xsd:double"&gt;3.5287142&lt;/D&gt;&lt;D xsi:type="xsd:double"&gt;3.3506632&lt;/D&gt;&lt;D xsi:type="xsd:double"&gt;-1.6548514&lt;/D&gt;&lt;D xsi:type="xsd:double"&gt;-0.23120642&lt;/D&gt;&lt;D xsi:type="xsd:double"&gt;1.2456536&lt;/D&gt;&lt;D xsi:type="xsd:double"&gt;-5.8083057&lt;/D&gt;&lt;D xsi:type="xsd:double"&gt;2.5820255&lt;/D&gt;&lt;D xsi:type="xsd:double"&gt;-5.8039722&lt;/D&gt;&lt;D xsi:type="xsd:double"&gt;3.940916&lt;/D&gt;&lt;D xsi:type="xsd:double"&gt;-2.3489952&lt;/D&gt;&lt;D xsi:type="xsd:double"&gt;-9.153384&lt;/D&gt;&lt;D xsi:type="xsd:double"&gt;-2.3727655&lt;/D&gt;&lt;D xsi:type="xsd:double"&gt;-8.383232&lt;/D&gt;&lt;D xsi:type="xsd:double"&gt;5.074966&lt;/D&gt;&lt;D xsi:type="xsd:double"&gt;-13.203526&lt;/D&gt;&lt;D xsi:type="xsd:double"&gt;2.477181&lt;/D&gt;&lt;D xsi:type="xsd:double"&gt;-7.3791323&lt;/D&gt;&lt;D xsi:type="xsd:double"&gt;-9.615385&lt;/D&gt;&lt;D xsi:type="xsd:double"&gt;10.536981&lt;/D&gt;&lt;D xsi:type="xsd:double"&gt;16.361141&lt;/D&gt;&lt;D xsi:type="xsd:double"&gt;-2.566719&lt;/D&gt;&lt;D xsi:type="xsd:double"&gt;13.384557&lt;/D&gt;&lt;D xsi:type="xsd:double"&gt;-2.6747525&lt;/D&gt;&lt;D xsi:type="xsd:double"&gt;4.2872787&lt;/D&gt;&lt;D xsi:type="xsd:double"&gt;3.338027&lt;/D&gt;&lt;D xsi:type="xsd:double"&gt;-4.8622904&lt;/D&gt;&lt;D xsi:type="xsd:double"&gt;4.912436&lt;/D&gt;&lt;D xsi:type="xsd:double"&gt;2.6251316&lt;/D&gt;&lt;D xsi:type="xsd:double"&gt;-4.7748985&lt;/D&gt;&lt;D xsi:type="xsd:double"&gt;-6.1604557&lt;/D&gt;&lt;D xsi:type="xsd:double"&gt;-3.893131&lt;/D&gt;&lt;D xsi:type="xsd:double"&gt;12.827635&lt;/D&gt;&lt;D xsi:type="xsd:double"&gt;4.510927&lt;/D&gt;&lt;D xsi:type="xsd:double"&gt;-2.0882487&lt;/D&gt;&lt;D xsi:type="xsd:double"&gt;5.400753&lt;/D&gt;&lt;D xsi:type="xsd:double"&gt;3.6227226&lt;/D&gt;&lt;D xsi:type="xsd:double"&gt;-4.062992&lt;/D&gt;&lt;D xsi:type="xsd:double"&gt;5.2528024&lt;/D&gt;&lt;/FQL&gt;&lt;FQL&gt;&lt;Q&gt;CC_JP^IMF_IFS_RCPI_Q(0)&lt;/Q&gt;&lt;R&gt;1&lt;/R&gt;&lt;C&gt;1&lt;/C&gt;&lt;D xsi:type="xsd:double"&gt;2.5231562&lt;/D&gt;&lt;/FQL&gt;&lt;FQL&gt;&lt;Q&gt;TRYTR7Y-FDS^FG_YIELD(-10AY,0,Y,,"YTM")&lt;/Q&gt;&lt;R&gt;10&lt;/R&gt;&lt;C&gt;1&lt;/C&gt;&lt;D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xsi:type="xsd:double"&gt;21.984322&lt;/D&gt;&lt;/FQL&gt;&lt;FQL&gt;&lt;Q&gt;EWQ^FG_ROE(0)&lt;/Q&gt;&lt;R&gt;1&lt;/R&gt;&lt;C&gt;1&lt;/C&gt;&lt;D xsi:type="xsd:double"&gt;12.7414861527925&lt;/D&gt;&lt;/FQL&gt;&lt;FQL&gt;&lt;Q&gt;TRYCA10Y-FDS^PCTCHG(FG_YIELD(0,,,,"YTM"),FG_YIELD(-1AM,,,,"YTM"))&lt;/Q&gt;&lt;R&gt;1&lt;/R&gt;&lt;C&gt;1&lt;/C&gt;&lt;D xsi:type="xsd:double"&gt;-4.8541393&lt;/D&gt;&lt;/FQL&gt;&lt;FQL&gt;&lt;Q&gt;USDANG^FG_PRICE_CHANGE(0,-6AM)&lt;/Q&gt;&lt;R&gt;1&lt;/R&gt;&lt;C&gt;1&lt;/C&gt;&lt;D xsi:type="xsd:double"&gt;0&lt;/D&gt;&lt;/FQL&gt;&lt;FQL&gt;&lt;Q&gt;VWO^PERCENT_CHANGE(FMA_EPS(+1,0,,,,"PORTAGG","MEAN"),FMA_EPS(+1,-3AM,,,,"PORTAGG","MEAN"))&lt;/Q&gt;&lt;R&gt;1&lt;/R&gt;&lt;C&gt;1&lt;/C&gt;&lt;D xsi:type="xsd:double"&gt;-2.61754779477781&lt;/D&gt;&lt;/FQL&gt;&lt;FQL&gt;&lt;Q&gt;EWU^FMA_COS_UP("EPS","1M",+1,0,,,"PORTAGG","MEANR")&lt;/Q&gt;&lt;R&gt;1&lt;/R&gt;&lt;C&gt;1&lt;/C&gt;&lt;D xsi:type="xsd:double"&gt;37&lt;/D&gt;&lt;/FQL&gt;&lt;FQL&gt;&lt;Q&gt;TRYAU10Y-FDS^PCTCHG(FG_YIELD(0,,,,"YTM"),FG_YIELD(-3AM,,,,"YTM"))&lt;/Q&gt;&lt;R&gt;1&lt;/R&gt;&lt;C&gt;1&lt;/C&gt;&lt;D xsi:type="xsd:double"&gt;6.624751&lt;/D&gt;&lt;/FQL&gt;&lt;FQL&gt;&lt;Q&gt;EWC^FMA_PE(NTMA,0,,,"PORTAGG","MEANR")&lt;/Q&gt;&lt;R&gt;1&lt;/R&gt;&lt;C&gt;1&lt;/C&gt;&lt;D xsi:type="xsd:double"&gt;14.1644589400734&lt;/D&gt;&lt;/FQL&gt;&lt;FQL&gt;&lt;Q&gt;DBA^P_PRICE(0)/P_PRICE_HIGH_PR(0,,,USD,,,"PRICE","INTRA","52W")&lt;/Q&gt;&lt;R&gt;1&lt;/R&gt;&lt;C&gt;1&lt;/C&gt;&lt;D xsi:type="xsd:double"&gt;0.9445593&lt;/D&gt;&lt;/FQL&gt;&lt;FQL&gt;&lt;Q&gt;TRYDE10Y-FDS^FG_YIELD(-10AY,0,Y,,"YTM")&lt;/Q&gt;&lt;R&gt;10&lt;/R&gt;&lt;C&gt;1&lt;/C&gt;&lt;D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xsi:type="xsd:double"&gt;2.004&lt;/D&gt;&lt;/FQL&gt;&lt;FQL&gt;&lt;Q&gt;USDCAD^FG_PRICE_CHANGE(0,-1AM)&lt;/Q&gt;&lt;R&gt;1&lt;/R&gt;&lt;C&gt;1&lt;/C&gt;&lt;D xsi:type="xsd:double"&gt;-0.77883005&lt;/D&gt;&lt;/FQL&gt;&lt;FQL&gt;&lt;Q&gt;TRYPH10Y-FDS^FG_YIELD(-10AY,0,Y,,"YTM")&lt;/Q&gt;&lt;R&gt;10&lt;/R&gt;&lt;C&gt;1&lt;/C&gt;&lt;D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xsi:type="xsd:double"&gt;6.0028777&lt;/D&gt;&lt;/FQL&gt;&lt;FQL&gt;&lt;Q&gt;EWG^P_PRICE_RETURNS_PR('52W',2,-10AY,0,AM)&lt;/Q&gt;&lt;R&gt;121&lt;/R&gt;&lt;C&gt;1&lt;/C&gt;&lt;D xsi:type="xsd:double"&gt;23.311674&lt;/D&gt;&lt;D xsi:type="xsd:double"&gt;29.194366&lt;/D&gt;&lt;D xsi:type="xsd:double"&gt;12.986469&lt;/D&gt;</t>
        </r>
      </text>
    </comment>
    <comment ref="A13" authorId="0" shapeId="0" xr:uid="{C2AF90E7-5584-43F8-B565-57C67A00850D}">
      <text>
        <r>
          <rPr>
            <b/>
            <sz val="9"/>
            <color indexed="81"/>
            <rFont val="Tahoma"/>
            <charset val="1"/>
          </rPr>
          <t>&lt;D xsi:type="xsd:double"&gt;13.956749&lt;/D&gt;&lt;D xsi:type="xsd:double"&gt;1.6137838&lt;/D&gt;&lt;D xsi:type="xsd:double"&gt;-5.319333&lt;/D&gt;&lt;D xsi:type="xsd:double"&gt;-3.3219814&lt;/D&gt;&lt;D xsi:type="xsd:double"&gt;-11.955476&lt;/D&gt;&lt;D xsi:type="xsd:double"&gt;-5.8379354&lt;/D&gt;&lt;D xsi:type="xsd:double"&gt;-3.5980344&lt;/D&gt;&lt;D xsi:type="xsd:double"&gt;-2.896452&lt;/D&gt;&lt;D xsi:type="xsd:double"&gt;-4.616398&lt;/D&gt;&lt;D xsi:type="xsd:double"&gt;-7.456422&lt;/D&gt;&lt;D xsi:type="xsd:double"&gt;-9.322744&lt;/D&gt;&lt;D xsi:type="xsd:double"&gt;-1.1263967&lt;/D&gt;&lt;D xsi:type="xsd:double"&gt;-7.340521&lt;/D&gt;&lt;D xsi:type="xsd:double"&gt;-9.13592&lt;/D&gt;&lt;D xsi:type="xsd:double"&gt;2.7588725&lt;/D&gt;&lt;D xsi:type="xsd:double"&gt;-3.7064612&lt;/D&gt;&lt;D xsi:type="xsd:double"&gt;-2.79271&lt;/D&gt;&lt;D xsi:type="xsd:double"&gt;-13.271772&lt;/D&gt;&lt;D xsi:type="xsd:double"&gt;-19.981808&lt;/D&gt;&lt;D xsi:type="xsd:double"&gt;-12.277037&lt;/D&gt;&lt;D xsi:type="xsd:double"&gt;-9.938538&lt;/D&gt;&lt;D xsi:type="xsd:double"&gt;-9.378206&lt;/D&gt;&lt;D xsi:type="xsd:double"&gt;-11.6413&lt;/D&gt;&lt;D xsi:type="xsd:double"&gt;-6.8983374&lt;/D&gt;&lt;D xsi:type="xsd:double"&gt;1.9244194&lt;/D&gt;&lt;D xsi:type="xsd:double"&gt;8.764577&lt;/D&gt;&lt;D xsi:type="xsd:double"&gt;-2.1040082&lt;/D&gt;&lt;D xsi:type="xsd:double"&gt;-6.666565&lt;/D&gt;&lt;D xsi:type="xsd:double"&gt;1.9262791&lt;/D&gt;&lt;D xsi:type="xsd:double"&gt;15.857649&lt;/D&gt;&lt;D xsi:type="xsd:double"&gt;19.2322&lt;/D&gt;&lt;D xsi:type="xsd:double"&gt;14.491785&lt;/D&gt;&lt;D xsi:type="xsd:double"&gt;15.283024&lt;/D&gt;&lt;D xsi:type="xsd:double"&gt;22.578848&lt;/D&gt;&lt;D xsi:type="xsd:double"&gt;28.358067&lt;/D&gt;&lt;D xsi:type="xsd:double"&gt;22.100712&lt;/D&gt;&lt;D xsi:type="xsd:double"&gt;19.686485&lt;/D&gt;&lt;D xsi:type="xsd:double"&gt;28.738546&lt;/D&gt;&lt;D xsi:type="xsd:double"&gt;30.164505&lt;/D&gt;&lt;D xsi:type="xsd:double"&gt;36.524345&lt;/D&gt;&lt;D xsi:type="xsd:double"&gt;28.124655&lt;/D&gt;&lt;D xsi:type="xsd:double"&gt;30.06872&lt;/D&gt;&lt;D xsi:type="xsd:double"&gt;20.439768&lt;/D&gt;&lt;D xsi:type="xsd:double"&gt;13.781881&lt;/D&gt;&lt;D xsi:type="xsd:double"&gt;11.777914&lt;/D&gt;&lt;D xsi:type="xsd:double"&gt;4.247594&lt;/D&gt;&lt;D xsi:type="xsd:double"&gt;1.3211012&lt;/D&gt;&lt;D xsi:type="xsd:double"&gt;4.678941&lt;/D&gt;&lt;D xsi:type="xsd:double"&gt;0.9038806&lt;/D&gt;&lt;D xsi:type="xsd:double"&gt;-4.6081305&lt;/D&gt;&lt;D xsi:type="xsd:double"&gt;-15.396494&lt;/D&gt;&lt;D xsi:type="xsd:double"&gt;-17.095613&lt;/D&gt;&lt;D xsi:type="xsd:double"&gt;-21.374733&lt;/D&gt;&lt;D xsi:type="xsd:double"&gt;-21.631443&lt;/D&gt;&lt;D xsi:type="xsd:double"&gt;-13.786173&lt;/D&gt;&lt;D xsi:type="xsd:double"&gt;-13.951403&lt;/D&gt;&lt;D xsi:type="xsd:double"&gt;-9.133202&lt;/D&gt;&lt;D xsi:type="xsd:double"&gt;-12.863559&lt;/D&gt;&lt;D xsi:type="xsd:double"&gt;-2.4084985&lt;/D&gt;&lt;D xsi:type="xsd:double"&gt;-11.992783&lt;/D&gt;&lt;D xsi:type="xsd:double"&gt;-12.065733&lt;/D&gt;&lt;D xsi:type="xsd:double"&gt;-7.035881&lt;/D&gt;&lt;D xsi:type="xsd:double"&gt;7.6421022&lt;/D&gt;&lt;D xsi:type="xsd:double"&gt;9.797514&lt;/D&gt;&lt;D xsi:type="xsd:double"&gt;19.154919&lt;/D&gt;&lt;D xsi:type="xsd:double"&gt;9.413683&lt;/D&gt;&lt;D xsi:type="xsd:double"&gt;-1.3237476&lt;/D&gt;&lt;D xsi:type="xsd:double"&gt;-18.021149&lt;/D&gt;&lt;D xsi:type="xsd:double"&gt;-15.881032&lt;/D&gt;&lt;D xsi:type="xsd:double"&gt;-2.3698092&lt;/D&gt;&lt;D xsi:type="xsd:double"&gt;-2.3432434&lt;/D&gt;&lt;D xsi:type="xsd:double"&gt;6.430316&lt;/D&gt;&lt;D xsi:type="xsd:double"&gt;15.862476&lt;/D&gt;&lt;D xsi:type="xsd:double"&gt;9.378624&lt;/D&gt;&lt;D xsi:type="xsd:double"&gt;-7.218504&lt;/D&gt;&lt;D xsi:type="xsd:double"&gt;6.6990256&lt;/D&gt;&lt;D xsi:type="xsd:double"&gt;10.563791&lt;/D&gt;&lt;D xsi:type="xsd:double"&gt;10.423923&lt;/D&gt;&lt;D xsi:type="xsd:double"&gt;20.497835&lt;/D&gt;&lt;D xsi:type="xsd:double"&gt;59.28507&lt;/D&gt;&lt;D xsi:type="xsd:double"&gt;50.21949&lt;/D&gt;&lt;D xsi:type="xsd:double"&gt;42.224648&lt;/D&gt;&lt;D xsi:type="xsd:double"&gt;31.431997&lt;/D&gt;&lt;D xsi:type="xsd:double"&gt;23.347795&lt;/D&gt;&lt;D xsi:type="xsd:double"&gt;19.573582&lt;/D&gt;&lt;D xsi:type="xsd:double"&gt;16.37882&lt;/D&gt;&lt;D xsi:type="xsd:double"&gt;31.331135&lt;/D&gt;&lt;D xsi:type="xsd:double"&gt;7.1926236&lt;/D&gt;&lt;D xsi:type="xsd:double"&gt;5.840075&lt;/D&gt;&lt;D xsi:type="xsd:double"&gt;4.3723226&lt;/D&gt;&lt;D xsi:type="xsd:double"&gt;-6.8104625&lt;/D&gt;&lt;D xsi:type="xsd:double"&gt;-12.912154&lt;/D&gt;&lt;D xsi:type="xsd:double"&gt;-23.92131&lt;/D&gt;&lt;D xsi:type="xsd:double"&gt;-21.646618&lt;/D&gt;&lt;D xsi:type="xsd:double"&gt;-30.847656&lt;/D&gt;&lt;D xsi:type="xsd:double"&gt;-29.562145&lt;/D&gt;&lt;D xsi:type="xsd:double"&gt;-35.021187&lt;/D&gt;&lt;D xsi:type="xsd:double"&gt;-37.647526&lt;/D&gt;&lt;D xsi:type="xsd:double"&gt;-32.812263&lt;/D&gt;&lt;D xsi:type="xsd:double"&gt;-17.002422&lt;/D&gt;&lt;D xsi:type="xsd:double"&gt;-22.198814&lt;/D&gt;&lt;D xsi:type="xsd:double"&gt;-9.663468&lt;/D&gt;&lt;D xsi:type="xsd:double"&gt;-3.2212138&lt;/D&gt;&lt;D xsi:type="xsd:double"&gt;3.3809423&lt;/D&gt;&lt;D xsi:type="xsd:double"&gt;15.233874&lt;/D&gt;&lt;D xsi:type="xsd:double"&gt;5.579376&lt;/D&gt;&lt;D xsi:type="xsd:double"&gt;27.615654&lt;/D&gt;&lt;D xsi:type="xsd:double"&gt;27.799892&lt;/D&gt;&lt;D xsi:type="xsd:double"&gt;31.393278&lt;/D&gt;&lt;D xsi:type="xsd:double"&gt;36.277664&lt;/D&gt;&lt;D xsi:type="xsd:double"&gt;18.607271&lt;/D&gt;&lt;D xsi:type="xsd:double"&gt;15.005565&lt;/D&gt;&lt;D xsi:type="xsd:double"&gt;21.783829&lt;/D&gt;&lt;D xsi:type="xsd:double"&gt;6.5256357&lt;/D&gt;&lt;D xsi:type="xsd:double"&gt;15.364552&lt;/D&gt;&lt;D xsi:type="xsd:double"&gt;18.630993&lt;/D&gt;&lt;D xsi:type="xsd:double"&gt;6.4196944&lt;/D&gt;&lt;D xsi:type="xsd:double"&gt;17.7343&lt;/D&gt;&lt;/FQL&gt;&lt;FQL&gt;&lt;Q&gt;BRENT-FDS^FG_PRICE_CHANGE(0,-1AM)&lt;/Q&gt;&lt;R&gt;1&lt;/R&gt;&lt;C&gt;1&lt;/C&gt;&lt;D xsi:type="xsd:double"&gt;0&lt;/D&gt;&lt;/FQL&gt;&lt;FQL&gt;&lt;Q&gt;EWA^FG_PRICE(0)&lt;/Q&gt;&lt;R&gt;1&lt;/R&gt;&lt;C&gt;1&lt;/C&gt;&lt;D xsi:type="xsd:double"&gt;24.65&lt;/D&gt;&lt;/FQL&gt;&lt;FQL&gt;&lt;Q&gt;URTH^PERCENT_CHANGE(FMA_EPS(+1,0,,,,"PORTAGG","MEAN"),FMA_EPS(+1,-1AM,,,,"PORTAGG","MEAN"))&lt;/Q&gt;&lt;R&gt;1&lt;/R&gt;&lt;C&gt;1&lt;/C&gt;&lt;D xsi:type="xsd:double"&gt;0.987600295496124&lt;/D&gt;&lt;/FQL&gt;&lt;FQL&gt;&lt;Q&gt;EWI^FMA_COS_UP("EPS","1M",+1,0,,,"PORTAGG","MEANR")&lt;/Q&gt;&lt;R&gt;1&lt;/R&gt;&lt;C&gt;1&lt;/C&gt;&lt;D xsi:type="xsd:double"&gt;15&lt;/D&gt;&lt;/FQL&gt;&lt;FQL&gt;&lt;Q&gt;CC_IT^IMF_IFS_RCPI_Q(0)&lt;/Q&gt;&lt;R&gt;1&lt;/R&gt;&lt;C&gt;1&lt;/C&gt;&lt;D xsi:type="xsd:double"&gt;0.92385906&lt;/D&gt;&lt;/FQL&gt;&lt;FQL&gt;&lt;Q&gt;USDITL^FG_PRICE_CHANGE(0,-6AM)&lt;/Q&gt;&lt;R&gt;1&lt;/R&gt;&lt;C&gt;1&lt;/C&gt;&lt;D xsi:type="xsd:double"&gt;0.50662756&lt;/D&gt;&lt;/FQL&gt;&lt;FQL&gt;&lt;Q&gt;EWG^FMA_EVAL_EBITDA(NTMA,0,,,"PORTAGG","MEANR")&lt;/Q&gt;&lt;R&gt;1&lt;/R&gt;&lt;C&gt;1&lt;/C&gt;&lt;D xsi:type="xsd:double"&gt;8.41056947196396&lt;/D&gt;&lt;/FQL&gt;&lt;FQL&gt;&lt;Q&gt;EWC^P_PRICE_RETURNS_PR('52W',2,-10AY,0,AM)&lt;/Q&gt;&lt;R&gt;121&lt;/R&gt;&lt;C&gt;1&lt;/C&gt;&lt;D xsi:type="xsd:double"&gt;11.285913&lt;/D&gt;&lt;D xsi:type="xsd:double"&gt;25.788807&lt;/D&gt;&lt;D xsi:type="xsd:double"&gt;18.866146&lt;/D&gt;&lt;D xsi:type="xsd:double"&gt;22.249817&lt;/D&gt;&lt;D xsi:type="xsd:double"&gt;10.708261&lt;/D&gt;&lt;D xsi:type="xsd:double"&gt;4.0884495&lt;/D&gt;&lt;D xsi:type="xsd:double"&gt;5.505812&lt;/D&gt;&lt;D xsi:type="xsd:double"&gt;1.0822177&lt;/D&gt;&lt;D xsi:type="xsd:double"&gt;-3.384763&lt;/D&gt;&lt;D xsi:type="xsd:double"&gt;-1.3864279&lt;/D&gt;&lt;D xsi:type="xsd:double"&gt;-6.058401&lt;/D&gt;&lt;D xsi:type="xsd:double"&gt;-2.6158571&lt;/D&gt;&lt;D xsi:type="xsd:double"&gt;-7.4305477&lt;/D&gt;&lt;D xsi:type="xsd:double"&gt;-15.409994&lt;/D&gt;&lt;D xsi:type="xsd:double"&gt;-18.836344&lt;/D&gt;&lt;D xsi:type="xsd:double"&gt;-24.544842&lt;/D&gt;&lt;D xsi:type="xsd:double"&gt;-23.43722&lt;/D&gt;&lt;D xsi:type="xsd:double"&gt;-18.298363&lt;/D&gt;&lt;D xsi:type="xsd:double"&gt;-20.598019&lt;/D&gt;&lt;D xsi:type="xsd:double"&gt;-23.909348&lt;/D&gt;&lt;D xsi:type="xsd:double"&gt;-19.649559&lt;/D&gt;&lt;D xsi:type="xsd:double"&gt;-21.154387&lt;/D&gt;&lt;D xsi:type="xsd:double"&gt;-10.901326&lt;/D&gt;&lt;D xsi:type="xsd:double"&gt;-12.176168&lt;/D&gt;&lt;D xsi:type="xsd:double"&gt;-9.99465&lt;/D&gt;&lt;D xsi:type="xsd:double"&gt;-6.111133&lt;/D&gt;&lt;D xsi:type="xsd:double"&gt;1.121378&lt;/D&gt;&lt;D xsi:type="xsd:double"&gt;6.5408587&lt;/D&gt;&lt;D xsi:type="xsd:double"&gt;14.111673&lt;/D&gt;&lt;D xsi:type="xsd:double"&gt;8.816528&lt;/D&gt;&lt;D xsi:type="xsd:double"&gt;14.192545&lt;/D&gt;&lt;D xsi:type="xsd:double"&gt;22.90405&lt;/D&gt;&lt;D xsi:type="xsd:double"&gt;32.326973&lt;/D&gt;&lt;D xsi:type="xsd:double"&gt;25.616014&lt;/D&gt;&lt;D xsi:type="xsd:double"&gt;15.411925&lt;/D&gt;&lt;D xsi:type="xsd:double"&gt;5.831349&lt;/D&gt;&lt;D xsi:type="xsd:double"&gt;8.787573&lt;/D&gt;&lt;D xsi:type="xsd:double"&gt;11.180282&lt;/D&gt;&lt;D xsi:type="xsd:double"&gt;12.564063&lt;/D&gt;&lt;D xsi:type="xsd:double"&gt;12.132061&lt;/D&gt;&lt;D xsi:type="xsd:double"&gt;15.073109&lt;/D&gt;&lt;D xsi:type="xsd:double"&gt;15.650808&lt;/D&gt;&lt;D xsi:type="xsd:double"&gt;13.303447&lt;/D&gt;&lt;D xsi:type="xsd:double"&gt;15.656078&lt;/D&gt;&lt;D xsi:type="xsd:double"&gt;12.260019&lt;/D&gt;&lt;D xsi:type="xsd:double"&gt;6.324649&lt;/D&gt;&lt;D xsi:type="xsd:double"&gt;4.079807&lt;/D&gt;&lt;D xsi:type="xsd:double"&gt;9.387827&lt;/D&gt;&lt;D xsi:type="xsd:double"&gt;12.187123&lt;/D&gt;&lt;D xsi:type="xsd:double"&gt;8.639013&lt;/D&gt;&lt;D xsi:type="xsd:double"&gt;6.878102&lt;/D&gt;&lt;D xsi:type="xsd:double"&gt;5.491352&lt;/D&gt;&lt;D xsi:type="xsd:double"&gt;1.5204668&lt;/D&gt;&lt;D xsi:type="xsd:double"&gt;-5.999666&lt;/D&gt;&lt;D xsi:type="xsd:double"&gt;-6.0283127&lt;/D&gt;&lt;D xsi:type="xsd:double"&gt;-17.157238&lt;/D&gt;&lt;D xsi:type="xsd:double"&gt;-7.224637&lt;/D&gt;&lt;D xsi:type="xsd:double"&gt;2.70288&lt;/D&gt;&lt;D xsi:type="xsd:double"&gt;2.7791023&lt;/D&gt;&lt;D xsi:type="xsd:double"&gt;4.0117264&lt;/D&gt;&lt;D xsi:type="xsd:double"&gt;-2.5461853&lt;/D&gt;&lt;D xsi:type="xsd:double"&gt;4.422462&lt;/D&gt;&lt;D xsi:type="xsd:double"&gt;-0.28201938&lt;/D&gt;&lt;D xsi:type="xsd:double"&gt;-0.84872246&lt;/D&gt;&lt;D xsi:type="xsd:double"&gt;3.0259728&lt;/D&gt;&lt;D xsi:type="xsd:double"&gt;11.383462&lt;/D&gt;&lt;D xsi:type="xsd:double"&gt;14.156378&lt;/D&gt;&lt;D xsi:type="xsd:double"&gt;27.563404&lt;/D&gt;&lt;D xsi:type="xsd:double"&gt;12.159813&lt;/D&gt;&lt;D xsi:type="xsd:double"&gt;1.3009429&lt;/D&gt;&lt;D xsi:type="xsd:double"&gt;-19.164825&lt;/D&gt;&lt;D xsi:type="xsd:double"&gt;-13.037986&lt;/D&gt;&lt;D xsi:type="xsd:double"&gt;-6.5877495&lt;/D&gt;&lt;D xsi:type="xsd:double"&gt;-7.444334&lt;/D&gt;&lt;D xsi:type="xsd:double"&gt;-1.5388966&lt;/D&gt;&lt;D xsi:type="xsd:double"&gt;4.242909&lt;/D&gt;&lt;D xsi:type="xsd:double"&gt;-2.9222608&lt;/D&gt;&lt;D xsi:type="xsd:double"&gt;-6.023836&lt;/D&gt;&lt;D xsi:type="xsd:double"&gt;4.600239&lt;/D&gt;&lt;D xsi:type="xsd:double"&gt;5.5211782&lt;/D&gt;&lt;D xsi:type="xsd:double"&gt;3.9695382&lt;/D&gt;&lt;D xsi:type="xsd:double"&gt;13.449931&lt;/D&gt;&lt;D xsi:type="xsd:double"&gt;59.37377&lt;/D&gt;&lt;D xsi:type="xsd:double"&gt;49.994205&lt;/D&gt;&lt;D xsi:type="xsd:double"&gt;52.60012&lt;/D&gt;&lt;D xsi:type="xsd:double"&gt;46.710682&lt;/D&gt;&lt;D xsi:type="xsd:double"&gt;38.592754&lt;/D&gt;&lt;D xsi:type="xsd:double"&gt;32.497524&lt;/D&gt;&lt;D xsi:type="xsd:double"&gt;34.916233&lt;/D&gt;&lt;D xsi:type="xsd:double"&gt;49.941887&lt;/D&gt;&lt;D xsi:type="xsd:double"&gt;25.762177&lt;/D&gt;&lt;D xsi:type="xsd:double"&gt;27.000809&lt;/D&gt;&lt;D xsi:type="xsd:double"&gt;27.197529&lt;/D&gt;&lt;D xsi:type="xsd:double"&gt;21.08494&lt;/D&gt;&lt;D xsi:type="xsd:double"&gt;20.355915&lt;/D&gt;&lt;D xsi:type="xsd:double"&gt;4.8905015&lt;/D&gt;&lt;D xsi:type="xsd:double"&gt;1.8102527&lt;/D&gt;&lt;D xsi:type="xsd:double"&gt;-7.7803493&lt;/D&gt;&lt;D xsi:type="xsd:double"&gt;-3.7562132&lt;/D&gt;&lt;D xsi:type="xsd:double"&gt;-7.92591&lt;/D&gt;&lt;D xsi:type="xsd:double"&gt;-13.525009&lt;/D&gt;&lt;D xsi:type="xsd:double"&gt;-13.969016&lt;/D&gt;&lt;D xsi:type="xsd:double"&gt;-3.9293528&lt;/D&gt;&lt;D xsi:type="xsd:double"&gt;-12.537366&lt;/D&gt;&lt;D xsi:type="xsd:double"&gt;-4.102969&lt;/D&gt;&lt;D xsi:type="xsd:double"&gt;-8.9385805&lt;/D&gt;&lt;D xsi:type="xsd:double"&gt;-13.114768&lt;/D&gt;&lt;D xsi:type="xsd:double"&gt;-5.018151&lt;/D&gt;&lt;D xsi:type="xsd:double"&gt;-10.134327&lt;/D&gt;&lt;D xsi:type="xsd:double"&gt;6.471312&lt;/D&gt;&lt;D xsi:type="xsd:double"&gt;4.7199726&lt;/D&gt;&lt;D xsi:type="xsd:double"&gt;5.527103&lt;/D&gt;&lt;D xsi:type="xsd:double"&gt;10.333061&lt;/D&gt;&lt;D xsi:type="xsd:double"&gt;-1.5174985&lt;/D&gt;&lt;D xsi:type="xsd:double"&gt;1.8735051&lt;/D&gt;&lt;D xsi:type="xsd:double"&gt;13.87651&lt;/D&gt;&lt;D xsi:type="xsd:double"&gt;3.875482&lt;/D&gt;&lt;D xsi:type="xsd:double"&gt;10.568655&lt;/D&gt;&lt;D xsi:type="xsd:double"&gt;18.091917&lt;/D&gt;&lt;D xsi:type="xsd:double"&gt;7.392633&lt;/D&gt;&lt;D xsi:type="xsd:double"&gt;17.781807&lt;/D&gt;&lt;/FQL&gt;&lt;FQL&gt;&lt;Q&gt;COPP-FDS^FG_PRICE_CHANGE(0,-3AM)&lt;/Q&gt;&lt;R&gt;1&lt;/R&gt;&lt;C&gt;1&lt;/C&gt;&lt;D xsi:type="xsd:double"&gt;20.2242795670883&lt;/D&gt;&lt;/FQL&gt;&lt;FQL&gt;&lt;Q&gt;EWI^FG_PRICE_MAVG(0,,,,200)&lt;/Q&gt;&lt;R&gt;1&lt;/R&gt;&lt;C&gt;1&lt;/C&gt;&lt;D xsi:type="xsd:double"&gt;33.94325&lt;/D&gt;&lt;/FQL&gt;&lt;FQL&gt;&lt;Q&gt;EWC^FG_TOTAL_RETURNC(0,-3AM)&lt;/Q&gt;&lt;R&gt;1&lt;/R&gt;&lt;C&gt;1&lt;/C&gt;&lt;D xsi:type="xsd:double"&gt;4.05221&lt;/D&gt;&lt;/FQL&gt;&lt;FQL&gt;&lt;Q&gt;TRYCH10Y-FDS^PCTCHG(FG_YIELD(0,,,,"YTM"),FG_YIELD(-1AM,,,,"YTM"))&lt;/Q&gt;&lt;R&gt;1&lt;/R&gt;&lt;C&gt;1&lt;/C&gt;&lt;D xsi:type="xsd:double"&gt;19.75968&lt;/D&gt;&lt;/FQL&gt;&lt;FQL&gt;&lt;Q&gt;USDITL^FG_PRICE_CHANGE(0,-1AM)&lt;/Q&gt;&lt;R&gt;1&lt;/R&gt;&lt;C&gt;1&lt;/C&gt;&lt;D xsi:type="xsd:double"&gt;-1.5060782&lt;/D&gt;&lt;/FQL&gt;&lt;FQL&gt;&lt;Q&gt;WL-FDS^FG_PRICE_MAVG(0,,,,30)&lt;/Q&gt;&lt;R&gt;1&lt;/R&gt;&lt;C&gt;1&lt;/C&gt;&lt;D xsi:type="xsd:double"&gt;558.5867&lt;/D&gt;&lt;/FQL&gt;&lt;FQL&gt;&lt;Q&gt;EWN^FMA_COS_DOWN("EPS","1M",+1,0,,,"PORTAGG","MEANR")&lt;/Q&gt;&lt;R&gt;1&lt;/R&gt;&lt;C&gt;1&lt;/C&gt;&lt;D xsi:type="xsd:double"&gt;21&lt;/D&gt;&lt;/FQL&gt;&lt;FQL&gt;&lt;Q&gt;EWQ^JULIAN(FMA_DIV_YLD(NTMA,NOW,NOW,M,"PORTAGG","MEANR").DATES)&lt;/Q&gt;&lt;R&gt;1&lt;/R&gt;&lt;C&gt;1&lt;/C&gt;&lt;D xsi:type="xsd:long"&gt;45441&lt;/D&gt;&lt;/FQL&gt;&lt;FQL&gt;&lt;Q&gt;EWG^FMA_PE(LTM,0,,,"PORTAGG","MEANR")&lt;/Q&gt;&lt;R&gt;1&lt;/R&gt;&lt;C&gt;1&lt;/C&gt;&lt;D xsi:type="xsd:double"&gt;16.1208178019667&lt;/D&gt;&lt;/FQL&gt;&lt;FQL&gt;&lt;Q&gt;EWJ^FG_TOTAL_RETURNC(-10AY,0,AM)&lt;/Q&gt;&lt;R&gt;121&lt;/R&gt;&lt;C&gt;1&lt;/C&gt;&lt;D xsi:type="xsd:double"&gt;4.512632&lt;/D&gt;&lt;D xsi:type="xsd:double"&gt;4.6839714&lt;/D&gt;&lt;D xsi:type="xsd:double"&gt;-0.33222437&lt;/D&gt;&lt;D xsi:type="xsd:double"&gt;-1.6666651&lt;/D&gt;&lt;D xsi:type="xsd:double"&gt;-0.25423765&lt;/D&gt;&lt;D xsi:type="xsd:double"&gt;2.4638891&lt;/D&gt;&lt;D xsi:type="xsd:double"&gt;-3.64843&lt;/D&gt;&lt;D xsi:type="xsd:double"&gt;-2.7009964&lt;/D&gt;&lt;D xsi:type="xsd:double"&gt;2.224195&lt;/D&gt;&lt;D xsi:type="xsd:double"&gt;7.48477&lt;/D&gt;&lt;D xsi:type="xsd:double"&gt;1.4574885&lt;/D&gt;&lt;D xsi:type="xsd:double"&gt;2.633679&lt;/D&gt;&lt;D xsi:type="xsd:double"&gt;1.4774561&lt;/D&gt;&lt;D xsi:type="xsd:double"&gt;-1.3438344&lt;/D&gt;&lt;D xsi:type="xsd:double"&gt;0.93677044&lt;/D&gt;&lt;D xsi:type="xsd:double"&gt;-6.2645016&lt;/D&gt;&lt;D xsi:type="xsd:double"&gt;-5.693066&lt;/D&gt;&lt;D xsi:type="xsd:double"&gt;7.7865243&lt;/D&gt;&lt;D xsi:type="xsd:double"&gt;0.48701763&lt;/D&gt;&lt;D xsi:type="xsd:double"&gt;-1.387459&lt;/D&gt;&lt;D xsi:type="xsd:double"&gt;-5.115509&lt;/D&gt;&lt;D xsi:type="xsd:double"&gt;-5.3043423&lt;/D&gt;&lt;D xsi:type="xsd:double"&gt;4.7750235&lt;/D&gt;&lt;D xsi:type="xsd:double"&gt;0.08764267&lt;/D&gt;&lt;D xsi:type="xsd:double"&gt;3.2399297&lt;/D&gt;&lt;D xsi:type="xsd:double"&gt;-1.6857207&lt;/D&gt;&lt;D xsi:type="xsd:double"&gt;4.8695683&lt;/D&gt;&lt;D xsi:type="xsd:double"&gt;1.8242121&lt;/D&gt;&lt;D xsi:type="xsd:double"&gt;2.1172643&lt;/D&gt;&lt;D xsi:type="xsd:double"&gt;0.7176995&lt;/D&gt;&lt;D xsi:type="xsd:double"&gt;-1.2470305&lt;/D&gt;&lt;D xsi:type="xsd:double"&gt;-0.91589093&lt;/D&gt;&lt;D xsi:type="xsd:double"&gt;3.499794&lt;/D&gt;&lt;D xsi:type="xsd:double"&gt;1.3051271&lt;/D&gt;&lt;D xsi:type="xsd:double"&gt;0.5270362&lt;/D&gt;&lt;D xsi:type="xsd:double"&gt;0.69903135&lt;/D&gt;&lt;D xsi:type="xsd:double"&gt;2.75743&lt;/D&gt;&lt;D xsi:type="xsd:double"&gt;1.3241053&lt;/D&gt;&lt;D xsi:type="xsd:double"&gt;2.0689607&lt;/D&gt;&lt;D xsi:type="xsd:double"&gt;-0.091308355&lt;/D&gt;&lt;D xsi:type="xsd:double"&gt;1.8278241&lt;/D&gt;&lt;D xsi:type="xsd:double"&gt;5.2773356&lt;/D&gt;&lt;D xsi:type="xsd:double"&gt;2.1483302&lt;/D&gt;&lt;D xsi:type="xsd:double"&gt;0.70364475&lt;/D&gt;&lt;D xsi:type="xsd:double"&gt;5.022526&lt;/D&gt;&lt;D xsi:type="xsd:double"&gt;-2.971083&lt;/D&gt;&lt;D xsi:type="xsd:double"&gt;-0.6386101&lt;/D&gt;&lt;D xsi:type="xsd:double"&gt;-0.06592274&lt;/D&gt;&lt;D xsi:type="xsd:double"&gt;-1.4841676&lt;/D&gt;&lt;D xsi:type="xsd:double"&gt;-2.304113&lt;/D&gt;&lt;D xsi:type="xsd:double"&gt;1.0706306&lt;/D&gt;&lt;D xsi:type="xsd:double"&gt;-0.5296409&lt;/D&gt;&lt;D xsi:type="xsd:double"&gt;3.4524202&lt;/D&gt;&lt;D xsi:type="xsd:double"&gt;-8.94903&lt;/D&gt;&lt;D xsi:type="xsd:double"&gt;0.9117484&lt;/D&gt;&lt;D xsi:type="xsd:double"&gt;-7.692194&lt;/D&gt;&lt;D xsi:type="xsd:double"&gt;7.0822597&lt;/D&gt;&lt;D xsi:type="xsd:double"&gt;0.14739037&lt;/D&gt;&lt;D xsi:type="xsd:double"&gt;0.6622553&lt;/D&gt;&lt;D xsi:type="xsd:double"&gt;1.2792349&lt;/D&gt;&lt;D xsi:type="xsd:double"&gt;-4.871881&lt;/D&gt;&lt;D xsi:type="xsd:double"&gt;4.4680476&lt;/D&gt;&lt;D xsi:type="xsd:double"&gt;-0.42140484&lt;/D&gt;&lt;D xsi:type="xsd:double"&gt;-0.7911682&lt;/D&gt;&lt;D xsi:type="xsd:double"&gt;5.229974&lt;/D&gt;&lt;D xsi:type="xsd:double"&gt;3.4191012&lt;/D&gt;&lt;D xsi:type="xsd:double"&gt;1.2781143&lt;/D&gt;&lt;D xsi:type="xsd:double"&gt;0.8640766&lt;/D&gt;&lt;D xsi:type="xsd:double"&gt;-2.5151968&lt;/D&gt;&lt;D xsi:type="xsd:double"&gt;-8.2943735&lt;/D&gt;&lt;D xsi:type="xsd:double"&gt;-6.7409334&lt;/D&gt;&lt;D xsi:type="xsd:double"&gt;4.7985435&lt;/D&gt;&lt;D xsi:type="xsd:double"&gt;7.051778&lt;/D&gt;&lt;D xsi:type="xsd:double"&gt;-0.08968711&lt;/D&gt;&lt;D xsi:type="xsd:double"&gt;-1.0742843&lt;/D&gt;&lt;D xsi:type="xsd:double"&gt;6.79183&lt;/D&gt;&lt;D xsi:type="xsd:double"&gt;1.8097162&lt;/D&gt;&lt;D xsi:type="xsd:double"&gt;-1.405108&lt;/D&gt;&lt;D xsi:type="xsd:double"&gt;10.55975&lt;/D&gt;&lt;D xsi:type="xsd:double"&gt;5.33427&lt;/D&gt;&lt;D xsi:type="xsd:double"&gt;-0.8436918&lt;/D&gt;&lt;D xsi:type="xsd:double"&gt;1.8360972&lt;/D&gt;&lt;D xsi:type="xsd:double"&gt;0.43975115&lt;/D&gt;&lt;D xsi:type="xsd:double"&gt;-1.6053677&lt;/D&gt;&lt;D xsi:type="xsd:double"&gt;1.7205596&lt;/D&gt;&lt;D xsi:type="xsd:double"&gt;-0.7935941&lt;/D&gt;&lt;D xsi:type="xsd:double"&gt;-0.63666105&lt;/D&gt;&lt;D xsi:type="xsd:double"&gt;1.922214&lt;/D&gt;&lt;D xsi:type="xsd:double"&gt;2.70468&lt;/D&gt;&lt;D xsi:type="xsd:double"&gt;-2.6334524&lt;/D&gt;&lt;D xsi:type="xsd:double"&gt;-3.0263126&lt;/D&gt;&lt;D xsi:type="xsd:double"&gt;2.2901654&lt;/D&gt;&lt;D xsi:type="xsd:double"&gt;-4.301071&lt;/D&gt;&lt;D xsi:type="xsd:double"&gt;-1.7790318&lt;/D&gt;&lt;D xsi:type="xsd:double"&gt;-2.1131217&lt;/D&gt;&lt;D xsi:type="xsd:double"&gt;-8.099336&lt;/D&gt;&lt;D xsi:type="xsd:double"&gt;1.7308354&lt;/D&gt;&lt;D xsi:type="xsd:double"&gt;-7.3839483&lt;/D&gt;&lt;D xsi:type="xsd:double"&gt;6.2843084&lt;/D&gt;&lt;D xsi:type="xsd:double"&gt;-4.559219&lt;/D&gt;&lt;D xsi:type="xsd:double"&gt;-8.844936&lt;/D&gt;&lt;D xsi:type="xsd:double"&gt;2.3336768&lt;/D&gt;&lt;D xsi:type="xsd:double"&gt;11.622322&lt;/D&gt;&lt;D xsi:type="xsd:double"&gt;-2.2204459&lt;/D&gt;&lt;D xsi:type="xsd:double"&gt;7.7700257&lt;/D&gt;&lt;D xsi:type="xsd:double"&gt;-4.653144&lt;/D&gt;&lt;D xsi:type="xsd:double"&gt;4.9159765&lt;/D&gt;&lt;D xsi:type="xsd:double"&gt;0.25558472&lt;/D&gt;&lt;D xsi:type="xsd:double"&gt;0.8497596&lt;/D&gt;&lt;D xsi:type="xsd:double"&gt;5.050552&lt;/D&gt;&lt;D xsi:type="xsd:double"&gt;2.4555683&lt;/D&gt;&lt;D xsi:type="xsd:double"&gt;-2.8066814&lt;/D&gt;&lt;D xsi:type="xsd:double"&gt;-2.190131&lt;/D&gt;&lt;D xsi:type="xsd:double"&gt;-2.2060096&lt;/D&gt;&lt;D xsi:type="xsd:double"&gt;6.1906457&lt;/D&gt;&lt;D xsi:type="xsd:double"&gt;3.8876295&lt;/D&gt;&lt;D xsi:type="xsd:double"&gt;3.2273173&lt;/D&gt;&lt;D xsi:type="xsd:double"&gt;4.3951154&lt;/D&gt;&lt;D xsi:type="xsd:double"&gt;3.2262683&lt;/D&gt;&lt;D xsi:type="xsd:double"&gt;-5.718291&lt;/D&gt;&lt;D xsi:type="xsd:double"&gt;2.5271416&lt;/D&gt;&lt;/FQL&gt;&lt;FQL&gt;&lt;Q&gt;USO^P_PRICE(0)/P_PRICE_HIGH_PR(0,,,USD,,,"PRICE","INTRA","52W")&lt;/Q&gt;&lt;R&gt;1&lt;/R&gt;&lt;C&gt;1&lt;/C&gt;&lt;D xsi:type="xsd:double"&gt;0.8970147&lt;/D&gt;&lt;/FQL&gt;&lt;FQL&gt;&lt;Q&gt;PASP-FDS^FG_PRICE(0)/MAX(FG_PRICE(0,-1AY))&lt;/Q&gt;&lt;R&gt;1&lt;/R&gt;&lt;C&gt;1&lt;/C&gt;&lt;D xsi:type="xsd:double"&gt;0.671328671328671&lt;/D&gt;&lt;/FQL&gt;&lt;FQL&gt;&lt;Q&gt;TIOS-FDS^FG_PRICE_CHANGE(0,-1AM)&lt;/Q&gt;&lt;R&gt;1&lt;/R&gt;&lt;C&gt;1&lt;/C&gt;&lt;D xsi:type="xsd:double"&gt;6.04995041024254&lt;/D&gt;&lt;/FQL&gt;&lt;FQL&gt;&lt;Q&gt;QQQ^P_PRICE(0)/P_PRICE_LOW_PR(0,,,,,,"PRICE","INTRA","52W")-1&lt;/Q&gt;&lt;R&gt;1&lt;/R&gt;&lt;C&gt;1&lt;/C&gt;&lt;D xsi:type="xsd:double"&gt;0.3165182&lt;/D&gt;&lt;/FQL&gt;&lt;FQL&gt;&lt;Q&gt;EWC^FMA_PCT_ABOVE_MAVG(200,0,,,,"PORTAGG")&lt;/Q&gt;&lt;R&gt;1&lt;/R&gt;&lt;C&gt;1&lt;/C&gt;&lt;D xsi:type="xsd:double"&gt;65.9090909090909&lt;/D&gt;&lt;/FQL&gt;&lt;FQL&gt;&lt;Q&gt;EWU^FMA_COS_DOWN("EPS","1M",+1,0,,,"PORTAGG","MEANR")&lt;/Q&gt;&lt;R&gt;1&lt;/R&gt;&lt;C&gt;1&lt;/C&gt;&lt;D xsi:type="xsd:double"&gt;37&lt;/D&gt;&lt;/FQL&gt;&lt;FQL&gt;&lt;Q&gt;TRYDE10Y-FDS^PCTCHG(FG_YIELD(0,,,,"YTM"),FG_YIELD(-1AM,,,,"YTM"))&lt;/Q&gt;&lt;R&gt;1&lt;/R&gt;&lt;C&gt;1&lt;/C&gt;&lt;D xsi:type="xsd:double"&gt;2.554179&lt;/D&gt;&lt;/FQL&gt;&lt;FQL&gt;&lt;Q&gt;EWC^FMA_DIV_YLD(NTMA,NOW,NOW,M,"PORTAGG","MEANR")&lt;/Q&gt;&lt;R&gt;1&lt;/R&gt;&lt;C&gt;1&lt;/C&gt;&lt;D xsi:type="xsd:double"&gt;3.29124499170617&lt;/D&gt;&lt;/FQL&gt;&lt;FQL&gt;&lt;Q&gt;USDCAD^STD(FG_PRICE_CHANGE(0,-1AY,AM))&lt;/Q&gt;&lt;R&gt;1&lt;/R&gt;&lt;C&gt;1&lt;/C&gt;&lt;D xsi:type="xsd:double"&gt;1.87795070595889&lt;/D&gt;&lt;/FQL&gt;&lt;FQL&gt;&lt;Q&gt;EWD^FG_PRICE_MAVG(0,,,,30)&lt;/Q&gt;&lt;R&gt;1&lt;/R&gt;&lt;C&gt;1&lt;/C&gt;&lt;D xsi:type="xsd:double"&gt;40.291832&lt;/D&gt;&lt;/FQL&gt;&lt;FQL&gt;&lt;Q&gt;SPY^FMA_EVAL_EBITDA(NTMA,0,,,"PORTAGG","MEANR")&lt;/Q&gt;&lt;R&gt;1&lt;/R&gt;&lt;C&gt;1&lt;/C&gt;&lt;D xsi:type="xsd:double"&gt;14.0174321079134&lt;/D&gt;&lt;/FQL&gt;&lt;FQL&gt;&lt;Q&gt;PASP-FDS^FG_PRICE_CHANGE(0,-6AM)&lt;/Q&gt;&lt;R&gt;1&lt;/R&gt;&lt;C&gt;1&lt;/C&gt;&lt;D xsi:type="xsd:double"&gt;-7.69230769230769&lt;/D&gt;&lt;/FQL&gt;&lt;FQL&gt;&lt;Q&gt;QQQ^P_PRICE(0)/P_PRICE_HIGH_PR(0,,,,,,"PRICE","INTRA","52W")&lt;/Q&gt;&lt;R&gt;1&lt;/R&gt;&lt;C&gt;1&lt;/C&gt;&lt;D xsi:type="xsd:double"&gt;0.9785705&lt;/D&gt;&lt;/FQL&gt;&lt;FQL&gt;&lt;Q&gt;EWA^FG_TOTAL_RETURNC(0,-12AM)&lt;/Q&gt;&lt;R&gt;1&lt;/R&gt;&lt;C&gt;1&lt;/C&gt;&lt;D xsi:type="xsd:double"&gt;17.20804&lt;/D&gt;&lt;/FQL&gt;&lt;FQL&gt;&lt;Q&gt;CC_DE^IMF_IFS_RCPI_Q(0)&lt;/Q&gt;&lt;R&gt;1&lt;/R&gt;&lt;C&gt;1&lt;/C&gt;&lt;D xsi:type="xsd:double"&gt;2.5173564&lt;/D&gt;&lt;/FQL&gt;&lt;FQL&gt;&lt;Q&gt;SPY^FMA_DIV_YLD(NTMA,-10AY,0,AM,"PORTAGG","MEANR")&lt;/Q&gt;&lt;R&gt;121&lt;/R&gt;&lt;C&gt;1&lt;/C&gt;&lt;D xsi:type="xsd:double"&gt;2.12337879640548&lt;/D&gt;&lt;D xsi:type="xsd:double"&gt;2.09570463357521&lt;/D&gt;&lt;D xsi:type="xsd:double"&gt;2.14947079620148&lt;/D&gt;&lt;D xsi:type="xsd:double"&gt;2.08613123405872&lt;/D&gt;&lt;D xsi:type="xsd:double"&gt;2.13245081194279&lt;/D&gt;&lt;D xsi:type="xsd:double"&gt;2.10653241131414&lt;/D&gt;&lt;D xsi:type="xsd:double"&gt;2.07002631581591&lt;/D&gt;&lt;D xsi:type="xsd:double"&gt;2.10026093509841&lt;/D&gt;&lt;D xsi:type="xsd:double"&gt;2.19446282471469&lt;/D&gt;&lt;D xsi:type="xsd:double"&gt;2.09873762013911&lt;/D&gt;&lt;D xsi:type="xsd:double"&gt;2.17880307138382&lt;/D&gt;&lt;D xsi:type="xsd:double"&gt;2.17218934608535&lt;/D&gt;&lt;D xsi:type="xsd:double"&gt;2.1596182086592&lt;/D&gt;&lt;D xsi:type="xsd:double"&gt;2.21044090523288&lt;/D&gt;&lt;D xsi:type="xsd:double"&gt;2.18739124047345&lt;/D&gt;&lt;D xsi:type="xsd:double"&gt;2.34991311909914&lt;/D&gt;&lt;D xsi:type="xsd:double"&gt;2.42056136890452&lt;/D&gt;&lt;D xsi:type="xsd:double"&gt;2.24984846935225&lt;/D&gt;&lt;D xsi:type="xsd:double"&gt;2.27569929001516&lt;/D&gt;&lt;D xsi:type="xsd:double"&gt;2.31468341119618&lt;/D&gt;&lt;D xsi:type="xsd:double"&gt;2.45182025901469&lt;/D&gt;&lt;D xsi:type="xsd:double"&gt;2.47519773454617&lt;/D&gt;&lt;D xsi:type="xsd:double"&gt;2.29179874134034&lt;/D&gt;&lt;D xsi:type="xsd:double"&gt;2.29270141173246&lt;/D&gt;&lt;D xsi:type="xsd:double"&gt;2.27315180261463&lt;/D&gt;&lt;D xsi:type="xsd:double"&gt;2.28200574926318&lt;/D&gt;&lt;D xsi:type="xsd:double"&gt;2.21237101127921&lt;/D&gt;&lt;D xsi:type="xsd:double"&gt;2.22134536513504&lt;/D&gt;&lt;D xsi:type="xsd:double"&gt;2.22038243921728&lt;/D&gt;&lt;D xsi:type="xsd:double"&gt;2.27646209870725&lt;/D&gt;&lt;D xsi:type="xsd:double"&gt;2.21537787655594&lt;/D&gt;&lt;D xsi:type="xsd:double"&gt;2.18859151652776&lt;/D&gt;&lt;D xsi:type="xsd:double"&gt;2.16870380596126&lt;/D&gt;&lt;D xsi:type="xsd:double"&gt;2.10455079975663&lt;/D&gt;&lt;D xsi:type="xsd:double"&gt;2.11464581814407&lt;/D&gt;&lt;D xsi:type="xsd:double"&gt;2.10879459552998&lt;/D&gt;&lt;D xsi:type="xsd:double"&gt;2.0990388826246&lt;/D&gt;&lt;D xsi:type="xsd:double"&gt;2.10344270989808&lt;/D&gt;&lt;D xsi:type="xsd:double"&gt;2.08585486501534&lt;/D&gt;&lt;D xsi:type="xsd:double"&gt;2.09758817086249&lt;/D&gt;&lt;D xsi:type="xsd:double"&gt;2.06074268842083&lt;/D&gt;&lt;D xsi:type="xsd:double"&gt;2.02936045773719&lt;/D&gt;&lt;D xsi:type="xsd:double"&gt;1.97051672394644&lt;/D&gt;&lt;D xsi:type="xsd:double"&gt;1.9630925267995&lt;/D&gt;&lt;D xsi:type="xsd:double"&gt;1.88449586434694&lt;/D&gt;&lt;D xsi:type="xsd:double"&gt;1.98433360458719&lt;/D&gt;&lt;D xsi:type="xsd:double"&gt;2.05715340307065&lt;/D&gt;&lt;D xsi:type="xsd:double"&gt;2.07429411518898&lt;/D&gt;&lt;D xsi:type="xsd:double"&gt;2.04367279603551&lt;/D&gt;&lt;D xsi:type="xsd:double"&gt;2.05172486254481&lt;/D&gt;&lt;D xsi:type="xsd:double"&gt;2.00330899085957&lt;/D&gt;&lt;D xsi:type="xsd:double"&gt;1.95551789133049&lt;/D&gt;&lt;D xsi:type="xsd:double"&gt;1.95598188865906&lt;/D&gt;&lt;D xsi:type="xsd:double"&gt;2.10923522461796&lt;/D&gt;&lt;D xsi:type="xsd:double"&gt;2.08669050371727&lt;/D&gt;&lt;D xsi:type="xsd:double"&gt;2.31975633088368&lt;/D&gt;&lt;D xsi:type="xsd:double"&gt;2.16102264317105&lt;/D&gt;&lt;D xsi:type="xsd:double"&gt;2.10759963480262&lt;/D&gt;&lt;D xsi:type="xsd:double"&gt;2.08594448799516&lt;/D&gt;&lt;D xsi:type="xsd:double"&gt;2.02603420393325&lt;/D&gt;&lt;D xsi:type="xsd:double"&gt;2.17784237831635&lt;/D&gt;&lt;D xsi:type="xsd:double"&gt;2.04816008868976&lt;/D&gt;&lt;D xsi:type="xsd:double"&gt;2.03280288882727&lt;/D&gt;&lt;D xsi:type="xsd:double"&gt;2.08063231134793&lt;/D&gt;&lt;D xsi:type="xsd:double"&gt;2.05179220997489&lt;/D&gt;&lt;D xsi:type="xsd:double"&gt;2.02923325010667&lt;/D&gt;&lt;D xsi:type="xsd:double"&gt;1.97569979641632&lt;/D&gt;&lt;D xsi:type="xsd:double"&gt;1.93350465659419&lt;/D&gt;&lt;D xsi:type="xsd:double"&gt;1.95202992703531&lt;/D&gt;&lt;D xsi:type="xsd:double"&gt;2.1457295024269&lt;/D&gt;&lt;D xsi:type="xsd:double"&gt;2.43315172648703&lt;/D&gt;&lt;D xsi:type="xsd:double"&gt;2.10268419056791&lt;/D&gt;&lt;D xsi:type="xsd:double"&gt;1.98317131541866&lt;/D&gt;&lt;D xsi:type="xsd:double"&gt;1.93525385169332&lt;/D&gt;&lt;D xsi:type="xsd:double"&gt;1.81788451651092&lt;/D&gt;&lt;D xsi:type="xsd:double"&gt;1.70382179255329&lt;/D&gt;&lt;D xsi:type="xsd:double"&gt;1.77337414057162&lt;/D&gt;&lt;D xsi:type="xsd:double"&gt;1.83288236103323&lt;/D&gt;&lt;D xsi:type="xsd:double"&gt;1.65814600831979&lt;/D&gt;&lt;D xsi:type="xsd:double"&gt;1.57770774766304&lt;/D&gt;&lt;D xsi:type="xsd:double"&gt;1.60434742854214&lt;/D&gt;&lt;D xsi:type="xsd:double"&gt;1.57925339429634&lt;/D&gt;&lt;D xsi:type="xsd:double"&gt;1.52366165989755&lt;/D&gt;&lt;D xsi:type="xsd:double"&gt;1.46012557345929&lt;/D&gt;&lt;D xsi:type="xsd:double"&gt;1.45861702644183&lt;/D&gt;&lt;D xsi:type="xsd:double"&gt;1.44251760620993&lt;/D&gt;&lt;D xsi:type="xsd:double"&gt;1.42856785073642&lt;/D&gt;&lt;D xsi:type="xsd:double"&gt;1.40064715754166&lt;/D&gt;&lt;D xsi:type="xsd:double"&gt;1.47517951564826&lt;/D&gt;&lt;D xsi:type="xsd:double"&gt;1.39349387228374&lt;/D&gt;&lt;D xsi:type="xsd:double"&gt;1.41041130826651&lt;/D&gt;&lt;D xsi:type="xsd:double"&gt;1.35459202448055&lt;/D&gt;&lt;D xsi:type="xsd:double"&gt;1.44801737002659&lt;/D&gt;&lt;D xsi:type="xsd:double"&gt;1.51096902065247&lt;/D&gt;&lt;D xsi:type="xsd:double"&gt;1.45532138224525&lt;/D&gt;&lt;D xsi:type="xsd:double"&gt;1.59898245025281&lt;/D&gt;&lt;D xsi:type="xsd:double"&gt;1.60615591644253&lt;/D&gt;&lt;D xsi:type="xsd:double"&gt;1.77276920641245&lt;/D&gt;&lt;D xsi:type="xsd:double"&gt;1.63238780999488&lt;/D&gt;&lt;D xsi:type="xsd:double"&gt;1.72629534527709&lt;/D&gt;&lt;D xsi:type="xsd:double"&gt;1.91157674221866&lt;/D&gt;&lt;D xsi:type="xsd:double"&gt;1.78498659593081&lt;/D&gt;&lt;D xsi:type="xsd:double"&gt;1.69997310038627&lt;/D&gt;&lt;D xsi:type="xsd:double"&gt;1.80889407839403&lt;/D&gt;&lt;D xsi:type="xsd:double"&gt;1.71582296774257&lt;/D&gt;&lt;D xsi:type="xsd:double"&gt;1.76861393156543&lt;/D&gt;&lt;D xsi:type="xsd:double"&gt;1.71388883272638&lt;/D&gt;&lt;D xsi:type="xsd:double"&gt;1.69249471074931&lt;/D&gt;&lt;D xsi:type="xsd:double"&gt;1.69670231241583&lt;/D&gt;&lt;D xsi:type="xsd:double"&gt;1.59650435282419&lt;/D&gt;&lt;D xsi:type="xsd:double"&gt;1.5564473356865&lt;/D&gt;&lt;D xsi:type="xsd:double"&gt;1.5942000887164&lt;/D&gt;&lt;D xsi:type="xsd:double"&gt;1.68910821907462&lt;/D&gt;&lt;D xsi:type="xsd:double"&gt;1.73348993621248&lt;/D&gt;&lt;D xsi:type="xsd:double"&gt;1.59559364920055&lt;/D&gt;&lt;D xsi:type="xsd:double"&gt;1.54343197414577&lt;/D&gt;&lt;D xsi:type="xsd:double"&gt;1.52698651059553&lt;/D&gt;&lt;D xsi:type="xsd:double"&gt;1.47134148240322&lt;/D&gt;&lt;D xsi:type="xsd:double"&gt;1.42698300698687&lt;/D&gt;&lt;D xsi:type="xsd:double"&gt;1.50897382186799&lt;/D&gt;&lt;D xsi:type="xsd:double"&gt;1.4636113624261&lt;/D&gt;&lt;/FQL&gt;&lt;FQL&gt;&lt;Q&gt;EWG^FMA_PE(NTMA,-10AY,0,AM,"PORTAGG","MEANR")&lt;/Q&gt;&lt;R&gt;121&lt;/R&gt;&lt;C&gt;1&lt;/C&gt;&lt;D xsi:type="xsd:double"&gt;13.3525876650323&lt;/D&gt;&lt;D xsi:type="xsd:double"&gt;13.0856754223696&lt;/D&gt;&lt;D xsi:type="xsd:double"&gt;12.569832872199&lt;/D&gt;&lt;D xsi:type="xsd:double"&gt;12.5684138824964&lt;/D&gt;&lt;D xsi:type="xsd:double"&gt;12.4983496964228&lt;/D&gt;&lt;D xsi:type="xsd:double"&gt;12.2997736717441&lt;/D&gt;&lt;D xsi:type="xsd:double"&gt;13.0889943655129&lt;/D&gt;&lt;D xsi:type="xsd:double"&gt;12.8434669890816&lt;/D&gt;&lt;D xsi:type="xsd:double"&gt;13.9831599569778&lt;/D&gt;&lt;D xsi:type="xsd:double"&gt;14.8213749994138&lt;/D&gt;&lt;D xsi:type="xsd:double"&gt;15.4243111701265&lt;/D&gt;&lt;D xsi:type="xsd:double"&gt;14.5687719047174&lt;/D&gt;&lt;D xsi:type="xsd:double"&gt;14.0968650326133&lt;/D&gt;&lt;D xsi:type="xsd:double"&gt;13.3610959292245&lt;/D&gt;&lt;D xsi:type="xsd:double"&gt;13.7553346204986&lt;/D&gt;&lt;D xsi:type="xsd:double"&gt;12.4524703433758&lt;/D&gt;&lt;D xsi:type="xsd:double"&gt;11.8525198878621&lt;/D&gt;&lt;D xsi:type="xsd:double"&gt;13.3647461553588&lt;/D&gt;&lt;D xsi:type="xsd:double"&gt;14.1684872769296&lt;/D&gt;&lt;D xsi:type="xsd:double"&gt;13.3509645902165&lt;/D&gt;&lt;D xsi:type="xsd:double"&gt;12.3195530888269&lt;/D&gt;&lt;D xsi:type="xsd:double"&gt;12.1481120219163&lt;/D&gt;&lt;D xsi:type="xsd:double"&gt;12.7103735596592&lt;/D&gt;&lt;D xsi:type="xsd:double"&gt;12.7755065394228&lt;/D&gt;&lt;D xsi:type="xsd:double"&gt;12.7070518434154&lt;/D&gt;&lt;D xsi:type="xsd:double"&gt;11.9616931461294&lt;/D&gt;&lt;D xsi:type="xsd:double"&gt;12.7496981471905&lt;/D&gt;&lt;D xsi:type="xsd:double"&gt;12.9395229813876&lt;/D&gt;&lt;D xsi:type="xsd:double"&gt;12.875623321803&lt;/D&gt;&lt;D xsi:type="xsd:double"&gt;12.9235789210187&lt;/D&gt;&lt;D xsi:type="xsd:double"&gt;12.7951059129632&lt;/D&gt;&lt;D xsi:type="xsd:double"&gt;13.6385817263297&lt;/D&gt;&lt;D xsi:type="xsd:double"&gt;13.6113095822535&lt;/D&gt;&lt;D xsi:type="xsd:double"&gt;13.6862963204782&lt;/D&gt;&lt;D xsi:type="xsd:double"&gt;14.0644180489508&lt;/D&gt;&lt;D xsi:type="xsd:double"&gt;13.9737694644847&lt;/D&gt;&lt;D xsi:type="xsd:double"&gt;13.7340018946943&lt;/D&gt;&lt;D xsi:type="xsd:double"&gt;13.2857038333978&lt;/D&gt;&lt;D xsi:type="xsd:double"&gt;13.039104321887&lt;/D&gt;&lt;D xsi:type="xsd:double"&gt;12.9139941723114&lt;/D&gt;&lt;D xsi:type="xsd:double"&gt;13.6674893399511&lt;/D&gt;&lt;D xsi:type="xsd:double"&gt;14.0514970755995&lt;/D&gt;&lt;D xsi:type="xsd:double"&gt;13.8156129509429&lt;/D&gt;&lt;D xsi:type="xsd:double"&gt;13.7384136589018&lt;/D&gt;&lt;D xsi:type="xsd:double"&gt;13.9091832648249&lt;/D&gt;&lt;D xsi:type="xsd:double"&gt;13.1139166925308&lt;/D&gt;&lt;D xsi:type="xsd:double"&gt;12.7480705914781&lt;/D&gt;&lt;D xsi:type="xsd:double"&gt;13.1951986195276&lt;/D&gt;&lt;D xsi:type="xsd:double"&gt;12.9254045554545&lt;/D&gt;&lt;D xsi:type="xsd:double"&gt;12.7246507591889&lt;/D&gt;&lt;D xsi:type="xsd:double"&gt;13.2016305303199&lt;/D&gt;&lt;D xsi:type="xsd:double"&gt;12.8487783933063&lt;/D&gt;&lt;D xsi:type="xsd:double"&gt;12.6567280375032&lt;/D&gt;&lt;D xsi:type="xsd:double"&gt;11.7133531362793&lt;/D&gt;&lt;D xsi:type="xsd:double"&gt;11.5262510132241&lt;/D&gt;&lt;D xsi:type="xsd:double"&gt;10.9212601040765&lt;/D&gt;&lt;D xsi:type="xsd:double"&gt;11.7332307693746&lt;/D&gt;&lt;D xsi:type="xsd:double"&gt;12.1105530419794&lt;/D&gt;&lt;D xsi:type="xsd:double"&gt;12.1338253409302&lt;/D&gt;&lt;D xsi:type="xsd:double"&gt;12.9872797056593&lt;/D&gt;&lt;D xsi:type="xsd:double"&gt;12.1109148274646&lt;/D&gt;&lt;D xsi:type="xsd:double"&gt;12.7511913848013&lt;/D&gt;&lt;D xsi:type="xsd:double"&gt;12.8397788012627&lt;/D&gt;&lt;D xsi:type="xsd:double"&gt;12.5139450991495&lt;/D&gt;&lt;D xsi:type="xsd:double"&gt;13.0496184924956&lt;/D&gt;&lt;D xsi:type="xsd:double"&gt;13.5276376099798&lt;/D&gt;&lt;D xsi:type="xsd:double"&gt;14.0872778464288&lt;/D&gt;&lt;D xsi:type="xsd:double"&gt;14.0793923786763&lt;/D&gt;&lt;D xsi:type="xsd:double"&gt;13.8458279539415&lt;/D&gt;&lt;D xsi:type="xsd:double"&gt;12.6907237186621&lt;/D&gt;&lt;D xsi:type="xsd:double"&gt;12.0728787649402&lt;/D&gt;&lt;D xsi:type="xsd:double"&gt;15.1071238044782&lt;/D&gt;&lt;D xsi:type="xsd:double"&gt;16.5971365663729&lt;/D&gt;&lt;D xsi:type="xsd:double"&gt;17.7200977209409&lt;/D&gt;&lt;D xsi:type="xsd:double"&gt;17.4132627231127&lt;/D&gt;&lt;D xsi:type="xsd:double"&gt;17.7182636462601&lt;/D&gt;&lt;D xsi:type="xsd:double"&gt;16.8699101955222&lt;/D&gt;&lt;D xsi:type="xsd:double"&gt;14.5512280266285&lt;/D&gt;&lt;D xsi:type="xsd:double"&gt;16.1155823432988&lt;/D&gt;&lt;D xsi:type="xsd:double"&gt;16.0451618403573&lt;/D&gt;&lt;D xsi:type="xsd:double"&gt;15.3688849271311&lt;/D&gt;&lt;D xsi:type="xsd:double"&gt;15.3083667940233&lt;/D&gt;&lt;D xsi:type="xsd:double"&gt;16.1165396918087&lt;/D&gt;&lt;D xsi:type="xsd:double"&gt;15.1918256612677&lt;/D&gt;&lt;D xsi:type="xsd:double"&gt;14.8841803245684&lt;/D&gt;&lt;D xsi:type="xsd:double"&gt;14.6854686979446&lt;/D&gt;&lt;D xsi:type="xsd:double"&gt;14.2274549215954&lt;/D&gt;&lt;D xsi:type="xsd:double"&gt;14.1991346483662&lt;/D&gt;&lt;D xsi:type="xsd:double"&gt;13.5516290711622&lt;/D&gt;&lt;D xsi:type="xsd:double"&gt;13.6984344527226&lt;/D&gt;&lt;D xsi:type="xsd:double"&gt;12.8399521595601&lt;/D&gt;&lt;D xsi:type="xsd:double"&gt;13.3826184607391&lt;/D&gt;&lt;D xsi:type="xsd:double"&gt;12.9016603656077&lt;/D&gt;&lt;D xsi:type="xsd:double"&gt;11.8620758358814&lt;/D&gt;&lt;D xsi:type="xsd:double"&gt;11.6184543010363&lt;/D&gt;&lt;D xsi:type="xsd:double"&gt;11.1607123813548&lt;/D&gt;&lt;D xsi:type="xsd:double"&gt;10.9675817916226&lt;/D&gt;&lt;D xsi:type="xsd:double"&gt;9.69283494279892&lt;/D&gt;&lt;D xsi:type="xsd:double"&gt;10.2619094530624&lt;/D&gt;&lt;D xsi:type="xsd:double"&gt;9.55635079104174&lt;/D&gt;&lt;D xsi:type="xsd:double"&gt;8.99432918296975&lt;/D&gt;&lt;D xsi:type="xsd:double"&gt;9.86976407343747&lt;/D&gt;&lt;D xsi:type="xsd:double"&gt;10.7769062050921&lt;/D&gt;&lt;D xsi:type="xsd:double"&gt;10.4616660277966&lt;/D&gt;&lt;D xsi:type="xsd:double"&gt;11.4985716196259&lt;/D&gt;&lt;D xsi:type="xsd:double"&gt;11.5392153914345&lt;/D&gt;&lt;D xsi:type="xsd:double"&gt;11.4300989069475&lt;/D&gt;&lt;D xsi:type="xsd:double"&gt;11.3746518957681&lt;/D&gt;&lt;D xsi:type="xsd:double"&gt;10.6616154413108&lt;/D&gt;&lt;D xsi:type="xsd:double"&gt;10.8633793984956&lt;/D&gt;&lt;D xsi:type="xsd:double"&gt;11.0256151026448&lt;/D&gt;&lt;D xsi:type="xsd:double"&gt;10.663899700946&lt;/D&gt;&lt;D xsi:type="xsd:double"&gt;10.3206036467796&lt;/D&gt;&lt;D xsi:type="xsd:double"&gt;9.89056467394874&lt;/D&gt;&lt;D xsi:type="xsd:double"&gt;10.9374174144798&lt;/D&gt;&lt;D xsi:type="xsd:double"&gt;11.167694094965&lt;/D&gt;&lt;D xsi:type="xsd:double"&gt;11.5199218930643&lt;/D&gt;&lt;D xsi:type="xsd:double"&gt;12.0102087445963&lt;/D&gt;&lt;D xsi:type="xsd:double"&gt;12.3924706262758&lt;/D&gt;&lt;D xsi:type="xsd:double"&gt;11.8891729149041&lt;/D&gt;&lt;D xsi:type="xsd:double"&gt;11.8498561318536&lt;/D&gt;&lt;/FQL&gt;&lt;FQL&gt;&lt;Q&gt;EWJ^FG_TOTAL_RETURNC(0,-12AM)&lt;/Q&gt;&lt;R&gt;1&lt;/R&gt;&lt;C&gt;1&lt;/C&gt;&lt;D xsi:type="xsd:double"&gt;18.69886&lt;/D&gt;&lt;/FQL&gt;&lt;FQL&gt;&lt;Q&gt;EWG^FG_TOTAL_RETURNC(0,-12AM)&lt;/Q&gt;&lt;R&gt;1&lt;/R&gt;&lt;C&gt;1&lt;/C&gt;&lt;D xsi:type="xsd:double"&gt;17.7343&lt;/D&gt;&lt;/FQL&gt;&lt;FQL&gt;&lt;Q&gt;SPY^FMA_ROE(NTMA,-20AY,NOW,FY,"PORTAGG","MEANR")&lt;/Q&gt;&lt;R&gt;20&lt;/R&gt;&lt;C&gt;1&lt;/C&gt;&lt;D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xsi:type="xsd:double"&gt;20.6862902761839&lt;/D&gt;&lt;D xsi:type="xsd:double"&gt;20.5983105929019&lt;/D&gt;&lt;D xsi:type="xsd:double"&gt;20.3505037761569&lt;/D&gt;&lt;/FQL&gt;&lt;FQL&gt;&lt;Q&gt;REFNZOCR-FDS^FG_YIELD(NOW,,,0)&lt;/Q&gt;&lt;R&gt;1&lt;/R&gt;&lt;C&gt;1&lt;/C&gt;&lt;D xsi:type="xsd:double"&gt;5.5&lt;/D&gt;&lt;/FQL&gt;&lt;FQL&gt;&lt;Q&gt;VWO^P_PRICE(0)/P_PRICE_HIGH_PR(0,,,USD,,,"PRICE","INTRA","52W")&lt;/Q&gt;&lt;R&gt;1&lt;/R&gt;&lt;C&gt;1&lt;/C&gt;&lt;D xsi:type="xsd:double"&gt;0.9580594&lt;/D&gt;&lt;/FQL&gt;&lt;FQL&gt;&lt;Q&gt;EWJ^FMA_ROE(NTMA,-20AY,NOW,FY,"PORTAGG","MEANR")&lt;/Q&gt;&lt;R&gt;20&lt;/R&gt;&lt;C&gt;1&lt;/C&gt;&lt;D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xsi:type="xsd:double"&gt;8.35596278131311&lt;/D&gt;&lt;D xsi:type="xsd:double"&gt;7.43859928704762&lt;/D&gt;&lt;D xsi:type="xsd:double"&gt;9.22076567652677&lt;/D&gt;&lt;D xsi:type="xsd:double"&gt;9.22544557398871&lt;/D&gt;&lt;D xsi:type="xsd:double"&gt;9.29937608846777&lt;/D&gt;&lt;/FQL&gt;&lt;FQL&gt;&lt;Q&gt;EWU^FMA_PE(LTMA,-10AY,0,AM,"PORTAGG","MEANR")&lt;/Q&gt;&lt;R&gt;121&lt;/R&gt;&lt;C&gt;1&lt;/C&gt;&lt;D xsi:type="xsd:double"&gt;14.3926165606294&lt;/D&gt;&lt;D xsi:type="xsd:double"&gt;14.327837730412&lt;/D&gt;&lt;D xsi:type="xsd:double"&gt;14.3023330371433&lt;/D&gt;&lt;D xsi:type="xsd:double"&gt;14.2925925149719&lt;/D&gt;&lt;D xsi:type="xsd:double"&gt;13.9066723583202&lt;/D&gt;&lt;D xsi:type="xsd:double"&gt;13.7939795690512&lt;/D&gt;&lt;D xsi:type="xsd:double"&gt;14.0070217222602&lt;/D&gt;&lt;D xsi:type="xsd:double"&gt;13.7928204998699&lt;/D&gt;&lt;D xsi:type="xsd:double"&gt;14.1767710880989&lt;/D&gt;&lt;D xsi:type="xsd:double"&gt;15.1831166741616&lt;/D&gt;&lt;D xsi:type="xsd:double"&gt;15.2252688636764&lt;/D&gt;&lt;D xsi:type="xsd:double"&gt;15.5807954714911&lt;/D&gt;&lt;D xsi:type="xsd:double"&gt;15.731722719819&lt;/D&gt;&lt;D xsi:type="xsd:double"&gt;15.4190639558293&lt;/D&gt;&lt;D xsi:type="xsd:double"&gt;15.7515100816941&lt;/D&gt;&lt;D xsi:type="xsd:double"&gt;15.1467984147563&lt;/D&gt;&lt;D xsi:type="xsd:double"&gt;14.93849148781&lt;/D&gt;&lt;D xsi:type="xsd:double"&gt;15.8152124711938&lt;/D&gt;&lt;D xsi:type="xsd:double"&gt;15.9705113937451&lt;/D&gt;&lt;D xsi:type="xsd:double"&gt;15.6728845885555&lt;/D&gt;&lt;D xsi:type="xsd:double"&gt;15.2564397368487&lt;/D&gt;&lt;D xsi:type="xsd:double"&gt;15.5134985685262&lt;/D&gt;&lt;D xsi:type="xsd:double"&gt;15.7588678521774&lt;/D&gt;&lt;D xsi:type="xsd:double"&gt;15.9506779249857&lt;/D&gt;&lt;D xsi:type="xsd:double"&gt;16.0194419923976&lt;/D&gt;&lt;D xsi:type="xsd:double"&gt;16.2904102970238&lt;/D&gt;&lt;D xsi:type="xsd:double"&gt;16.6926973835479&lt;/D&gt;&lt;D xsi:type="xsd:double"&gt;16.8642573245758&lt;/D&gt;&lt;D xsi:type="xsd:double"&gt;17.073490822109&lt;/D&gt;&lt;D xsi:type="xsd:double"&gt;16.7698730267868&lt;/D&gt;&lt;D xsi:type="xsd:double"&gt;16.4087768814925&lt;/D&gt;&lt;D xsi:type="xsd:double"&gt;17.2050718769924&lt;/D&gt;&lt;D xsi:type="xsd:double"&gt;16.9170612137032&lt;/D&gt;&lt;D xsi:type="xsd:double"&gt;17.3731213198354&lt;/D&gt;&lt;D xsi:type="xsd:double"&gt;17.1205694382888&lt;/D&gt;&lt;D xsi:type="xsd:double"&gt;16.8675870270699&lt;/D&gt;&lt;D xsi:type="xsd:double"&gt;16.7972764731012&lt;/D&gt;&lt;D xsi:type="xsd:double"&gt;16.4216199612828&lt;/D&gt;&lt;D xsi:type="xsd:double"&gt;16.3641592995377&lt;/D&gt;&lt;D xsi:type="xsd:double"&gt;16.0661</t>
        </r>
      </text>
    </comment>
    <comment ref="A14" authorId="0" shapeId="0" xr:uid="{C93EC449-8C1D-47F6-8F20-A766BE1BB975}">
      <text>
        <r>
          <rPr>
            <b/>
            <sz val="9"/>
            <color indexed="81"/>
            <rFont val="Tahoma"/>
            <charset val="1"/>
          </rPr>
          <t>571809043&lt;/D&gt;&lt;D xsi:type="xsd:double"&gt;15.8458154642555&lt;/D&gt;&lt;D xsi:type="xsd:double"&gt;15.622717985333&lt;/D&gt;&lt;D xsi:type="xsd:double"&gt;15.135486432799&lt;/D&gt;&lt;D xsi:type="xsd:double"&gt;15.5492985215324&lt;/D&gt;&lt;D xsi:type="xsd:double"&gt;15.3633731963132&lt;/D&gt;&lt;D xsi:type="xsd:double"&gt;13.9107841959167&lt;/D&gt;&lt;D xsi:type="xsd:double"&gt;13.8898657312745&lt;/D&gt;&lt;D xsi:type="xsd:double"&gt;14.0522513012969&lt;/D&gt;&lt;D xsi:type="xsd:double"&gt;13.97521081159&lt;/D&gt;&lt;D xsi:type="xsd:double"&gt;13.848330194823&lt;/D&gt;&lt;D xsi:type="xsd:double"&gt;13.9667816126439&lt;/D&gt;&lt;D xsi:type="xsd:double"&gt;13.5125453110635&lt;/D&gt;&lt;D xsi:type="xsd:double"&gt;13.6250788663895&lt;/D&gt;&lt;D xsi:type="xsd:double"&gt;12.848369351872&lt;/D&gt;&lt;D xsi:type="xsd:double"&gt;12.5509714836934&lt;/D&gt;&lt;D xsi:type="xsd:double"&gt;11.9434339120145&lt;/D&gt;&lt;D xsi:type="xsd:double"&gt;12.587114094204&lt;/D&gt;&lt;D xsi:type="xsd:double"&gt;12.9344829141285&lt;/D&gt;&lt;D xsi:type="xsd:double"&gt;12.9477071182046&lt;/D&gt;&lt;D xsi:type="xsd:double"&gt;13.0061462553982&lt;/D&gt;&lt;D xsi:type="xsd:double"&gt;12.8170105442727&lt;/D&gt;&lt;D xsi:type="xsd:double"&gt;13.0587080839204&lt;/D&gt;&lt;D xsi:type="xsd:double"&gt;13.1346861031572&lt;/D&gt;&lt;D xsi:type="xsd:double"&gt;12.7992158157478&lt;/D&gt;&lt;D xsi:type="xsd:double"&gt;13.1937174934933&lt;/D&gt;&lt;D xsi:type="xsd:double"&gt;13.2269474933509&lt;/D&gt;&lt;D xsi:type="xsd:double"&gt;13.5533398219348&lt;/D&gt;&lt;D xsi:type="xsd:double"&gt;14.1498606836551&lt;/D&gt;&lt;D xsi:type="xsd:double"&gt;13.7918554772621&lt;/D&gt;&lt;D xsi:type="xsd:double"&gt;12.3461505849041&lt;/D&gt;&lt;D xsi:type="xsd:double"&gt;12.4319544914076&lt;/D&gt;&lt;D xsi:type="xsd:double"&gt;13.6429188342853&lt;/D&gt;&lt;D xsi:type="xsd:double"&gt;14.5560866640481&lt;/D&gt;&lt;D xsi:type="xsd:double"&gt;15.157621974194&lt;/D&gt;&lt;D xsi:type="xsd:double"&gt;15.4436795299238&lt;/D&gt;&lt;D xsi:type="xsd:double"&gt;16.6926491664378&lt;/D&gt;&lt;D xsi:type="xsd:double"&gt;16.7974782751777&lt;/D&gt;&lt;D xsi:type="xsd:double"&gt;15.7468984494646&lt;/D&gt;&lt;D xsi:type="xsd:double"&gt;18.500124446795&lt;/D&gt;&lt;D xsi:type="xsd:double"&gt;19.7675701788905&lt;/D&gt;&lt;D xsi:type="xsd:double"&gt;19.0737983607471&lt;/D&gt;&lt;D xsi:type="xsd:double"&gt;18.8420188437019&lt;/D&gt;&lt;D xsi:type="xsd:double"&gt;18.2646285099842&lt;/D&gt;&lt;D xsi:type="xsd:double"&gt;17.6966793512784&lt;/D&gt;&lt;D xsi:type="xsd:double"&gt;17.2025263334682&lt;/D&gt;&lt;D xsi:type="xsd:double"&gt;16.3715000764658&lt;/D&gt;&lt;D xsi:type="xsd:double"&gt;15.4795031807506&lt;/D&gt;&lt;D xsi:type="xsd:double"&gt;14.7797310401706&lt;/D&gt;&lt;D xsi:type="xsd:double"&gt;13.9725142898982&lt;/D&gt;&lt;D xsi:type="xsd:double"&gt;13.6389874787536&lt;/D&gt;&lt;D xsi:type="xsd:double"&gt;12.454774390325&lt;/D&gt;&lt;D xsi:type="xsd:double"&gt;12.4017307730779&lt;/D&gt;&lt;D xsi:type="xsd:double"&gt;12.6042862195826&lt;/D&gt;&lt;D xsi:type="xsd:double"&gt;12.5643973568605&lt;/D&gt;&lt;D xsi:type="xsd:double"&gt;12.3248160229918&lt;/D&gt;&lt;D xsi:type="xsd:double"&gt;12.0756410567851&lt;/D&gt;&lt;D xsi:type="xsd:double"&gt;11.791462810697&lt;/D&gt;&lt;D xsi:type="xsd:double"&gt;11.1752193418653&lt;/D&gt;&lt;D xsi:type="xsd:double"&gt;11.0402794573197&lt;/D&gt;&lt;D xsi:type="xsd:double"&gt;10.3302435387547&lt;/D&gt;&lt;D xsi:type="xsd:double"&gt;9.49604117509468&lt;/D&gt;&lt;D xsi:type="xsd:double"&gt;9.54443185232189&lt;/D&gt;&lt;D xsi:type="xsd:double"&gt;9.88005102186773&lt;/D&gt;&lt;D xsi:type="xsd:double"&gt;9.57417569269107&lt;/D&gt;&lt;D xsi:type="xsd:double"&gt;10.1533048234586&lt;/D&gt;&lt;D xsi:type="xsd:double"&gt;10.2657922652406&lt;/D&gt;&lt;D xsi:type="xsd:double"&gt;10.2651976104885&lt;/D&gt;&lt;D xsi:type="xsd:double"&gt;10.4531092345739&lt;/D&gt;&lt;D xsi:type="xsd:double"&gt;10.1936864399238&lt;/D&gt;&lt;D xsi:type="xsd:double"&gt;10.3804780467537&lt;/D&gt;&lt;D xsi:type="xsd:double"&gt;10.6828294195994&lt;/D&gt;&lt;D xsi:type="xsd:double"&gt;10.4812601755338&lt;/D&gt;&lt;D xsi:type="xsd:double"&gt;10.620164611203&lt;/D&gt;&lt;D xsi:type="xsd:double"&gt;10.319448413571&lt;/D&gt;&lt;D xsi:type="xsd:double"&gt;10.8112541725146&lt;/D&gt;&lt;D xsi:type="xsd:double"&gt;11.3200801754861&lt;/D&gt;&lt;D xsi:type="xsd:double"&gt;11.3736343472031&lt;/D&gt;&lt;D xsi:type="xsd:double"&gt;11.4353203404438&lt;/D&gt;&lt;D xsi:type="xsd:double"&gt;11.5363868023913&lt;/D&gt;&lt;D xsi:type="xsd:double"&gt;11.620504796463&lt;/D&gt;&lt;D xsi:type="xsd:double"&gt;11.6634870177961&lt;/D&gt;&lt;/FQL&gt;&lt;FQL&gt;&lt;Q&gt;EWG^P_PRICE(0)/P_PRICE_LOW_PR(0,,,,,,"PRICE","INTRA","52W")-1&lt;/Q&gt;&lt;R&gt;1&lt;/R&gt;&lt;C&gt;1&lt;/C&gt;&lt;D xsi:type="xsd:double"&gt;0.29771304&lt;/D&gt;&lt;/FQL&gt;&lt;FQL&gt;&lt;Q&gt;EWD^FMA_DIV_YLD(NTMA,NOW,NOW,M,"PORTAGG","MEANR")&lt;/Q&gt;&lt;R&gt;1&lt;/R&gt;&lt;C&gt;1&lt;/C&gt;&lt;D xsi:type="xsd:double"&gt;3.21957058157903&lt;/D&gt;&lt;/FQL&gt;&lt;FQL&gt;&lt;Q&gt;EWI^FMA_RBICS_REV_CURRENT(30, LOC, "PORTAGG")&lt;/Q&gt;&lt;R&gt;1&lt;/R&gt;&lt;C&gt;1&lt;/C&gt;&lt;D xsi:type="xsd:double"&gt;36.6089143757674&lt;/D&gt;&lt;/FQL&gt;&lt;FQL&gt;&lt;Q&gt;EWA^FMA_ROE(NTMA,-20AY,NOW,FY,"PORTAGG","MEANR")&lt;/Q&gt;&lt;R&gt;20&lt;/R&gt;&lt;C&gt;1&lt;/C&gt;&lt;D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xsi:type="xsd:double"&gt;13.2261379950135&lt;/D&gt;&lt;/FQL&gt;&lt;FQL&gt;&lt;Q&gt;EWJ^FMA_PE(LTMA,-10AY,0,AM,"PORTAGG","MEANR")&lt;/Q&gt;&lt;R&gt;121&lt;/R&gt;&lt;C&gt;1&lt;/C&gt;&lt;D xsi:type="xsd:double"&gt;15.1829141745011&lt;/D&gt;&lt;D xsi:type="xsd:double"&gt;15.3012397249482&lt;/D&gt;&lt;D xsi:type="xsd:double"&gt;15.2888825198255&lt;/D&gt;&lt;D xsi:type="xsd:double"&gt;15.0149201880092&lt;/D&gt;&lt;D xsi:type="xsd:double"&gt;15.4764093680241&lt;/D&gt;&lt;D xsi:type="xsd:double"&gt;15.3501722772435&lt;/D&gt;&lt;D xsi:type="xsd:double"&gt;15.8589010011577&lt;/D&gt;&lt;D xsi:type="xsd:double"&gt;15.9743435221029&lt;/D&gt;&lt;D xsi:type="xsd:double"&gt;15.523350036289&lt;/D&gt;&lt;D xsi:type="xsd:double"&gt;16.9321203067015&lt;/D&gt;&lt;D xsi:type="xsd:double"&gt;16.8257214064251&lt;/D&gt;&lt;D xsi:type="xsd:double"&gt;16.9059381305768&lt;/D&gt;&lt;D xsi:type="xsd:double"&gt;17.2168527003656&lt;/D&gt;&lt;D xsi:type="xsd:double"&gt;16.7618105575761&lt;/D&gt;&lt;D xsi:type="xsd:double"&gt;16.8590830233591&lt;/D&gt;&lt;D xsi:type="xsd:double"&gt;15.9004354693776&lt;/D&gt;&lt;D xsi:type="xsd:double"&gt;14.7978713104301&lt;/D&gt;&lt;D xsi:type="xsd:double"&gt;15.8897336621607&lt;/D&gt;&lt;D xsi:type="xsd:double"&gt;16.1118872437872&lt;/D&gt;&lt;D xsi:type="xsd:double"&gt;15.7241220272528&lt;/D&gt;&lt;D xsi:type="xsd:double"&gt;14.6339361659907&lt;/D&gt;&lt;D xsi:type="xsd:double"&gt;13.8051582203488&lt;/D&gt;&lt;D xsi:type="xsd:double"&gt;13.8284470903504&lt;/D&gt;&lt;D xsi:type="xsd:double"&gt;13.7931562937423&lt;/D&gt;&lt;D xsi:type="xsd:double"&gt;14.1556870264556&lt;/D&gt;&lt;D xsi:type="xsd:double"&gt;13.6592487560129&lt;/D&gt;&lt;D xsi:type="xsd:double"&gt;14.0810064402976&lt;/D&gt;&lt;D xsi:type="xsd:double"&gt;14.2856614659265&lt;/D&gt;&lt;D xsi:type="xsd:double"&gt;14.1918651950187&lt;/D&gt;&lt;D xsi:type="xsd:double"&gt;14.8109022300832&lt;/D&gt;&lt;D xsi:type="xsd:double"&gt;15.6703506606805&lt;/D&gt;&lt;D xsi:type="xsd:double"&gt;16.336549755413&lt;/D&gt;&lt;D xsi:type="xsd:double"&gt;16.2829883231844&lt;/D&gt;&lt;D xsi:type="xsd:double"&gt;15.9475569637409&lt;/D&gt;&lt;D xsi:type="xsd:double"&gt;15.7187584660595&lt;/D&gt;&lt;D xsi:type="xsd:double"&gt;15.5963855462278&lt;/D&gt;&lt;D xsi:type="xsd:double"&gt;15.6046159728585&lt;/D&gt;&lt;D xsi:type="xsd:double"&gt;15.5614075878747&lt;/D&gt;&lt;D xsi:type="xsd:double"&gt;15.4017922239161&lt;/D&gt;&lt;D xsi:type="xsd:double"&gt;14.9665947828059&lt;/D&gt;&lt;D xsi:type="xsd:double"&gt;15.0466824256912&lt;/D&gt;&lt;D xsi:type="xsd:double"&gt;15.449079910775&lt;/D&gt;&lt;D xsi:type="xsd:double"&gt;16.0286680729306&lt;/D&gt;&lt;D xsi:type="xsd:double"&gt;16.3566554731427&lt;/D&gt;&lt;D xsi:type="xsd:double"&gt;16.279022879672&lt;/D&gt;&lt;D xsi:type="xsd:double"&gt;14.4932574540538&lt;/D&gt;&lt;D xsi:type="xsd:double"&gt;14.2542395217387&lt;/D&gt;&lt;D xsi:type="xsd:double"&gt;14.2967769480474&lt;/D&gt;&lt;D xsi:type="xsd:double"&gt;14.0706555170014&lt;/D&gt;&lt;D xsi:type="xsd:double"&gt;13.9104417820475&lt;/D&gt;&lt;D xsi:type="xsd:double"&gt;13.8768966570591&lt;/D&gt;&lt;D xsi:type="xsd:double"&gt;13.6506504736833&lt;/D&gt;&lt;D xsi:type="xsd:double"&gt;13.9803538867761&lt;/D&gt;&lt;D xsi:type="xsd:double"&gt;12.8398526102144&lt;/D&gt;&lt;D xsi:type="xsd:double"&gt;12.8279675403355&lt;/D&gt;&lt;D xsi:type="xsd:double"&gt;11.4780634857225&lt;/D&gt;&lt;D xsi:type="xsd:double"&gt;12.1417878039103&lt;/D&gt;&lt;D xsi:type="xsd:double"&gt;12.6835180820457&lt;/D&gt;&lt;D xsi:type="xsd:double"&gt;12.687555236804&lt;/D&gt;&lt;D xsi:type="xsd:double"&gt;12.786808906553&lt;/D&gt;&lt;D xsi:type="xsd:double"&gt;12.6047285191562&lt;/D&gt;&lt;D xsi:type="xsd:double"&gt;12.8569130332454&lt;/D&gt;&lt;D xsi:type="xsd:double"&gt;12.9955778748587&lt;/D&gt;&lt;D xsi:type="xsd:double"&gt;12.7294124117303&lt;/D&gt;&lt;D xsi:type="xsd:double"&gt;13.415446466988&lt;/D&gt;&lt;D xsi:type="xsd:double"&gt;14.0857705741796&lt;/D&gt;&lt;D xsi:type="xsd:double"&gt;14.7328737445074&lt;/D&gt;&lt;D xsi:type="xsd:double"&gt;15.3183648508336&lt;/D&gt;&lt;D xsi:type="xsd:double"&gt;15.041330177922&lt;/D&gt;&lt;D xsi:type="xsd:double"&gt;13.9774595347207&lt;/D&gt;&lt;D xsi:type="xsd:double"&gt;13.7472101337229&lt;/D&gt;&lt;D xsi:type="xsd:double"&gt;14.3371429390979&lt;/D&gt;&lt;D xsi:type="xsd:double"&gt;15.5262142384167&lt;/D&gt;&lt;D xsi:type="xsd:double"&gt;16.9342099826686&lt;/D&gt;&lt;D xsi:type="xsd:double"&gt;17.3845613454213&lt;/D&gt;&lt;D xsi:type="xsd:double"&gt;18.9068623945884&lt;/D&gt;&lt;D xsi:type="xsd:double"&gt;19.9828069684574&lt;/D&gt;&lt;D xsi:type="xsd:double"&gt;20.1516996007093&lt;/D&gt;&lt;D xsi:type="xsd:double"&gt;22.5333083977084&lt;/D&gt;&lt;D xsi:type="xsd:double"&gt;23.6107677762699&lt;/D&gt;&lt;D xsi:type="xsd:double"&gt;22.9628107571436&lt;/D&gt;&lt;D xsi:type="xsd:double"&gt;21.6770993626188&lt;/D&gt;&lt;D xsi:type="xsd:double"&gt;21.3117376442009&lt;/D&gt;&lt;D xsi:type="xsd:double"&gt;20.7215401133062&lt;/D&gt;&lt;D xsi:type="xsd:double"&gt;20.3594317914714&lt;/D&gt;&lt;D xsi:type="xsd:double"&gt;19.7705700018904&lt;/D&gt;&lt;D xsi:type="xsd:double"&gt;19.0042166909759&lt;/D&gt;&lt;D xsi:type="xsd:double"&gt;18.3976184558982&lt;/D&gt;&lt;D xsi:type="xsd:double"&gt;18.1390414761114&lt;/D&gt;&lt;D xsi:type="xsd:double"&gt;17.4988758556358&lt;/D&gt;&lt;D xsi:type="xsd:double"&gt;16.3803101529415&lt;/D&gt;&lt;D xsi:type="xsd:double"&gt;16.1019754878596&lt;/D&gt;&lt;D xsi:type="xsd:double"&gt;15.0817154215936&lt;/D&gt;&lt;D xsi:type="xsd:double"&gt;14.753576483141&lt;/D&gt;&lt;D xsi:type="xsd:double"&gt;14.620861399818&lt;/D&gt;&lt;D xsi:type="xsd:double"&gt;14.357138614586&lt;/D&gt;&lt;D xsi:type="xsd:double"&gt;14.2287403167562&lt;/D&gt;&lt;D xsi:type="xsd:double"&gt;13.8517255554239&lt;/D&gt;&lt;D xsi:type="xsd:double"&gt;13.9346949220086&lt;/D&gt;&lt;D xsi:type="xsd:double"&gt;13.8231879996379&lt;/D&gt;&lt;D xsi:type="xsd:double"&gt;12.9355938544323&lt;/D&gt;&lt;D xsi:type="xsd:double"&gt;13.2576912707412&lt;/D&gt;&lt;D xsi:type="xsd:double"&gt;13.5770438672863&lt;/D&gt;&lt;D xsi:type="xsd:double"&gt;12.7449453205506&lt;/D&gt;&lt;D xsi:type="xsd:double"&gt;13.4096101621484&lt;/D&gt;&lt;D xsi:type="xsd:double"&gt;13.6544223947897&lt;/D&gt;&lt;D xsi:type="xsd:double"&gt;13.6528380728028&lt;/D&gt;&lt;D xsi:type="xsd:double"&gt;13.756685204465&lt;/D&gt;&lt;D xsi:type="xsd:double"&gt;14.0024505248482&lt;/D&gt;&lt;D xsi:type="xsd:double"&gt;14.5900146292265&lt;/D&gt;&lt;D xsi:type="xsd:double"&gt;14.8039501740444&lt;/D&gt;&lt;D xsi:type="xsd:double"&gt;14.7659618324921&lt;/D&gt;&lt;D xsi:type="xsd:double"&gt;14.7739100865456&lt;/D&gt;&lt;D xsi:type="xsd:double"&gt;14.487367116559&lt;/D&gt;&lt;D xsi:type="xsd:double"&gt;15.2273256467939&lt;/D&gt;&lt;D xsi:type="xsd:double"&gt;15.2923439191278&lt;/D&gt;&lt;D xsi:type="xsd:double"&gt;16.5282536355019&lt;/D&gt;&lt;D xsi:type="xsd:double"&gt;17.044832444662&lt;/D&gt;&lt;D xsi:type="xsd:double"&gt;17.0076678820377&lt;/D&gt;&lt;D xsi:type="xsd:double"&gt;16.8419972480573&lt;/D&gt;&lt;D xsi:type="xsd:double"&gt;16.7437055221493&lt;/D&gt;&lt;/FQL&gt;&lt;FQL&gt;&lt;Q&gt;SPY^FG_ROE(0)&lt;/Q&gt;&lt;R&gt;1&lt;/R&gt;&lt;C&gt;1&lt;/C&gt;&lt;D xsi:type="xsd:double"&gt;18.4252579359648&lt;/D&gt;&lt;/FQL&gt;&lt;FQL&gt;&lt;Q&gt;SPY^FMA_PE(NTMA,0,,,"PORTAGG","MEANR")&lt;/Q&gt;&lt;R&gt;1&lt;/R&gt;&lt;C&gt;1&lt;/C&gt;&lt;D xsi:type="xsd:double"&gt;20.3156903048109&lt;/D&gt;&lt;/FQL&gt;&lt;FQL&gt;&lt;Q&gt;DDR3512M-FDS^FG_PRICE(0)/MAX(FG_PRICE(0,-1AY))&lt;/Q&gt;&lt;R&gt;1&lt;/R&gt;&lt;C&gt;1&lt;/C&gt;&lt;D xsi:type="xsd:double"&gt;0.924796211538461&lt;/D&gt;&lt;/FQL&gt;&lt;FQL&gt;&lt;Q&gt;SPY^JULIAN(FMA_DIV_YLD(NTMA,NOW,NOW,M,"PORTAGG","MEANR").DATES)&lt;/Q&gt;&lt;R&gt;1&lt;/R&gt;&lt;C&gt;1&lt;/C&gt;&lt;D xsi:type="xsd:long"&gt;45442&lt;/D&gt;&lt;/FQL&gt;&lt;FQL&gt;&lt;Q&gt;PASP-FDS^FG_PRICE_CHANGE(0,-3AM)&lt;/Q&gt;&lt;R&gt;1&lt;/R&gt;&lt;C&gt;1&lt;/C&gt;&lt;D xsi:type="xsd:double"&gt;-0.518134715025909&lt;/D&gt;&lt;/FQL&gt;&lt;FQL&gt;&lt;Q&gt;EWA^FG_TOTAL_RETURNC(0,-1AM)&lt;/Q&gt;&lt;R&gt;1&lt;/R&gt;&lt;C&gt;1&lt;/C&gt;&lt;D xsi:type="xsd:double"&gt;5.6126833&lt;/D&gt;&lt;/FQL&gt;&lt;FQL&gt;&lt;Q&gt;EWQ^FG_PRICE(0)&lt;/Q&gt;&lt;R&gt;1&lt;/R&gt;&lt;C&gt;1&lt;/C&gt;&lt;D xsi:type="xsd:double"&gt;41.7&lt;/D&gt;&lt;/FQL&gt;&lt;FQL&gt;&lt;Q&gt;EWU^FG_ROE(0)&lt;/Q&gt;&lt;R&gt;1&lt;/R&gt;&lt;C&gt;1&lt;/C&gt;&lt;D xsi:type="xsd:double"&gt;14.5352939013628&lt;/D&gt;&lt;/FQL&gt;&lt;FQL&gt;&lt;Q&gt;PASP-FDS^FG_PRICE_CHANGE(0,-1AM)&lt;/Q&gt;&lt;R&gt;1&lt;/R&gt;&lt;C&gt;1&lt;/C&gt;&lt;D xsi:type="xsd:double"&gt;0.523560209424079&lt;/D&gt;&lt;/FQL&gt;&lt;FQL&gt;&lt;Q&gt;EWD^P_PRICE(0)/P_PRICE_LOW_PR(0,,,,,,"PRICE","INTRA","52W")-1&lt;/Q&gt;&lt;R&gt;1&lt;/R&gt;&lt;C&gt;1&lt;/C&gt;&lt;D xsi:type="xsd:double"&gt;0.3664657&lt;/D&gt;&lt;/FQL&gt;&lt;FQL&gt;&lt;Q&gt;EWU^FG_FCF_YIELD_NTM(0)&lt;/Q&gt;&lt;R&gt;1&lt;/R&gt;&lt;C&gt;1&lt;/C&gt;&lt;D xsi:type="xsd:double"&gt;6.17144512530346&lt;/D&gt;&lt;/FQL&gt;&lt;FQL&gt;&lt;Q&gt;USDCAD^FG_PRICE(0)&lt;/Q&gt;&lt;R&gt;1&lt;/R&gt;&lt;C&gt;1&lt;/C&gt;&lt;D xsi:type="xsd:double"&gt;1.36315&lt;/D&gt;&lt;/FQL&gt;&lt;FQL&gt;&lt;Q&gt;CPALM-FDS^FG_PRICE_CHANGE(0,-6AM)&lt;/Q&gt;&lt;R&gt;1&lt;/R&gt;&lt;C&gt;1&lt;/C&gt;&lt;D xsi:type="xsd:double"&gt;8.39104954714971&lt;/D&gt;&lt;/FQL&gt;&lt;FQL&gt;&lt;Q&gt;EWJ^FG_PRICE_MAVG(0,,,,30)&lt;/Q&gt;&lt;R&gt;1&lt;/R&gt;&lt;C&gt;1&lt;/C&gt;&lt;D xsi:type="xsd:double"&gt;68.083&lt;/D&gt;&lt;/FQL&gt;&lt;FQL&gt;&lt;Q&gt;EWD^PERCENT_CHANGE(FMA_EPS(+1,0,,,,"PORTAGG","MEAN"),FMA_EPS(+1,-1AM,,,,"PORTAGG","MEAN"))&lt;/Q&gt;&lt;R&gt;1&lt;/R&gt;&lt;C&gt;1&lt;/C&gt;&lt;D xsi:type="xsd:double"&gt;6.13135638889332&lt;/D&gt;&lt;/FQL&gt;&lt;FQL&gt;&lt;Q&gt;TRYCH10Y-FDS^FG_YIELD(0,,,,"YTM")&lt;/Q&gt;&lt;R&gt;1&lt;/R&gt;&lt;C&gt;1&lt;/C&gt;&lt;D xsi:type="xsd:double"&gt;0.897&lt;/D&gt;&lt;/FQL&gt;&lt;FQL&gt;&lt;Q&gt;EWD^FMA_EPS(NTMA,-20AY,0,CY,,"PORTAGG","MEANR")&lt;/Q&gt;&lt;R&gt;20&lt;/R&gt;&lt;C&gt;1&lt;/C&gt;&lt;D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xsi:type="xsd:double"&gt;2.04500092559165&lt;/D&gt;&lt;D xsi:type="xsd:double"&gt;2.21325053681031&lt;/D&gt;&lt;D xsi:type="xsd:double"&gt;2.48981565223205&lt;/D&gt;&lt;D xsi:type="xsd:double"&gt;2.56381617157873&lt;/D&gt;&lt;D xsi:type="xsd:double"&gt;2.51009258677616&lt;/D&gt;&lt;/FQL&gt;&lt;FQL&gt;&lt;Q&gt;EWN^P_PRICE(0)/P_PRICE_HIGH_PR(0,,,,,,"PRICE","INTRA","52W")&lt;/Q&gt;&lt;R&gt;1&lt;/R&gt;&lt;C&gt;1&lt;/C&gt;&lt;D xsi:type="xsd:double"&gt;0.98366636&lt;/D&gt;&lt;/FQL&gt;&lt;FQL&gt;&lt;Q&gt;EWL^FMA_EVAL_EBITDA(NTMA,0,,,"PORTAGG","MEANR")&lt;/Q&gt;&lt;R&gt;1&lt;/R&gt;&lt;C&gt;1&lt;/C&gt;&lt;D xsi:type="xsd:double"&gt;12.6782335856393&lt;/D&gt;&lt;/FQL&gt;&lt;FQL&gt;&lt;Q&gt;EWN^FG_TOTAL_RETURNC(0,-1AM)&lt;/Q&gt;&lt;R&gt;1&lt;/R&gt;&lt;C&gt;1&lt;/C&gt;&lt;D xsi:type="xsd:double"&gt;7.1593046&lt;/D&gt;&lt;/FQL&gt;&lt;FQL&gt;&lt;Q&gt;EWL^FG_FCF_YIELD_NTM(0)&lt;/Q&gt;&lt;R&gt;1&lt;/R&gt;&lt;C&gt;1&lt;/C&gt;&lt;D xsi:type="xsd:double"&gt;4.99156196428375&lt;/D&gt;&lt;/FQL&gt;&lt;FQL&gt;&lt;Q&gt;EWC^FG_PRICE(0)&lt;/Q&gt;&lt;R&gt;1&lt;/R&gt;&lt;C&gt;1&lt;/C&gt;&lt;D xsi:type="xsd:double"&gt;38.26&lt;/D&gt;&lt;/FQL&gt;&lt;FQL&gt;&lt;Q&gt;EWL^FMA_PE(NTMA,0,,,"PORTAGG","MEANR")&lt;/Q&gt;&lt;R&gt;1&lt;/R&gt;&lt;C&gt;1&lt;/C&gt;&lt;D xsi:type="xsd:double"&gt;16.953925543285&lt;/D&gt;&lt;/FQL&gt;&lt;FQL&gt;&lt;Q&gt;EWN^PERCENT_CHANGE(FMA_EPS(+1,0,,,,"PORTAGG","MEAN"),FMA_EPS(+1,-3AM,,,,"PORTAGG","MEAN"))&lt;/Q&gt;&lt;R&gt;1&lt;/R&gt;&lt;C&gt;1&lt;/C&gt;&lt;D xsi:type="xsd:double"&gt;3.98840689481755&lt;/D&gt;&lt;/FQL&gt;&lt;FQL&gt;&lt;Q&gt;VGK^SIZE(FG_CONSTITUENTS)&lt;/Q&gt;&lt;R&gt;1&lt;/R&gt;&lt;C&gt;1&lt;/C&gt;&lt;D xsi:type="xsd:long"&gt;1281&lt;/D&gt;&lt;/FQL&gt;&lt;FQL&gt;&lt;Q&gt;EWL^FG_TOTAL_RETURNC(0,-1AM)&lt;/Q&gt;&lt;R&gt;1&lt;/R&gt;&lt;C&gt;1&lt;/C&gt;&lt;D xsi:type="xsd:double"&gt;8.37742&lt;/D&gt;&lt;/FQL&gt;&lt;FQL&gt;&lt;Q&gt;REFAUCASH-FDS^PROPER_NAME(0,,,"SECURITY","NAME")&lt;/Q&gt;&lt;R&gt;1&lt;/R&gt;&lt;C&gt;1&lt;/C&gt;&lt;D xsi:type="xsd:string"&gt;Australia Target Cash Rate&lt;/D&gt;&lt;/FQL&gt;&lt;FQL&gt;&lt;Q&gt;EWD^FMA_EVAL_EBITDA(NTMA,0,,,"PORTAGG","MEANR")&lt;/Q&gt;&lt;R&gt;1&lt;/R&gt;&lt;C&gt;1&lt;/C&gt;&lt;D xsi:type="xsd:double"&gt;11.0815096813129&lt;/D&gt;&lt;/FQL&gt;&lt;FQL&gt;&lt;Q&gt;TRYSE10Y-FDS^PCTCHG(FG_YIELD(0,,,,"YTM"),FG_YIELD(-1AM,,,,"YTM"))&lt;/Q&gt;&lt;R&gt;1&lt;/R&gt;&lt;C&gt;1&lt;/C&gt;&lt;D xsi:type="xsd:double"&gt;-2.4038439&lt;/D&gt;&lt;/FQL&gt;&lt;FQL&gt;&lt;Q&gt;EWG^P_PRICE(0)/P_PRICE_HIGH_PR(0,,,,,,"PRICE","INTRA","52W")&lt;/Q&gt;&lt;R&gt;1&lt;/R&gt;&lt;C&gt;1&lt;/C&gt;&lt;D xsi:type="xsd:double"&gt;0.97900605&lt;/D&gt;&lt;/FQL&gt;&lt;FQL&gt;&lt;Q&gt;EWA^JULIAN(FMA_ROE(NTMA,-20AY,NOW,FY,"PORTAGG","MEANR").DATES)&lt;/Q&gt;&lt;R&gt;20&lt;/R&gt;&lt;C&gt;1&lt;/C&gt;&lt;D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xsi:type="xsd:long"&gt;45289&lt;/D&gt;&lt;/FQL&gt;&lt;FQL&gt;&lt;Q&gt;ENZL^FMA_PE(LTMA,-10AY,0,AM,"PORTAGG","MEANR")&lt;/Q&gt;&lt;R&gt;121&lt;/R&gt;&lt;C&gt;1&lt;/C&gt;&lt;D xsi:type="xsd:double"&gt;17.9753010847125&lt;/D&gt;&lt;D xsi:type="xsd:double"&gt;17.9786900819352&lt;/D&gt;&lt;D xsi:type="xsd:double"&gt;18.0461288139876&lt;/D&gt;&lt;D xsi:type="xsd:double"&gt;18.0499421595283&lt;/D&gt;&lt;D xsi:type="xsd:double"&gt;17.9444898314828&lt;/D&gt;&lt;D xsi:type="xsd:double"&gt;18.3922776203662&lt;/D&gt;&lt;D xsi:type="xsd:double"&gt;18.4770941038802&lt;/D&gt;&lt;D xsi:type="xsd:double"&gt;19.1978195738568&lt;/D&gt;&lt;D xsi:type="xsd:double"&gt;19.8353719172872&lt;/D&gt;&lt;D xsi:type="xsd:double"&gt;20.5337322033324&lt;/D&gt;&lt;D xsi:type="xsd:double"&gt;20.1637639432777&lt;/D&gt;&lt;D xsi:type="xsd:double"&gt;20.0928985186972&lt;/D&gt;&lt;D xsi:type="xsd:double"&gt;20.0576477764403&lt;/D&gt;&lt;D xsi:type="xsd:double"&gt;19.6681020420949&lt;/D&gt;&lt;D xsi:type="xsd:double"&gt;19.8477085315348&lt;/D&gt;&lt;D xsi:type="xsd:double"&gt;19.2699420952798&lt;/D&gt;&lt;D xsi:type="xsd:double"&gt;18.6371679508517&lt;/D&gt;&lt;D xsi:type="xsd:double"&gt;19.4731393543498&lt;/D&gt;&lt;D xsi:type="xsd:double"&gt;19.5711643103755&lt;/D&gt;&lt;D xsi:type="xsd:double"&gt;19.8617758299773&lt;/D&gt;&lt;D xsi:type="xsd:double"&gt;19.1505838899285&lt;/D&gt;&lt;D xsi:type="xsd:double"&gt;19.2608458712223&lt;/D&gt;&lt;D xsi:type="xsd:double"&gt;19.3653614936468&lt;/D&gt;&lt;D xsi:type="xsd:double"&gt;19.4245354060829&lt;/D&gt;&lt;D xsi:type="xsd:double"&gt;19.815095581722&lt;/D&gt;&lt;D xsi:type="xsd:double"&gt;19.6690528510669&lt;/D&gt;&lt;D xsi:type="xsd:double"&gt;20.5680266521813&lt;/D&gt;&lt;D xsi:type="xsd:double"&gt;20.9317980813109&lt;/D&gt;&lt;D xsi:type="xsd:double"&gt;20.9571967123212&lt;/D&gt;&lt;D xsi:type="xsd:double"&gt;20.0985246992754&lt;/D&gt;&lt;D xsi:type="xsd:double"&gt;19.9903882445882&lt;/D&gt;&lt;D xsi:type="xsd:double"&gt;19.9705823649528&lt;/D&gt;&lt;D xsi:type="xsd:double"&gt;20.4163664869855&lt;/D&gt;&lt;D xsi:type="xsd:double"&gt;19.7021358680457&lt;/D&gt;&lt;D xsi:type="xsd:double"&gt;19.7808677360449&lt;/D&gt;&lt;D xsi:type="xsd:double"&gt;19.9491833529165&lt;/D&gt;&lt;D xsi:type="xsd:double"&gt;19.9907934235889&lt;/D&gt;&lt;D xsi:type="xsd:double"&gt;20.1012546266455&lt;/D&gt;&lt;D xsi:type="xsd:double"&gt;20.3820830765531&lt;/D&gt;&lt;D xsi:type="xsd:double"&gt;20.6769771942106&lt;/D&gt;&lt;D xsi:type="xsd:double"&gt;20.6402295727802&lt;/D&gt;&lt;D xsi:type="xsd:double"&gt;21.4082622377535&lt;/D&gt;&lt;D xsi:type="xsd:double"&gt;21.503132159392&lt;/D&gt;&lt;D xsi:type="xsd:double"&gt;22.3889251547657&lt;/D&gt;&lt;D xsi:type="xsd:double"&gt;22.4868909508771&lt;/D&gt;&lt;D xsi:type="xsd:double"&gt;22.6915007290246&lt;/D&gt;&lt;D xsi:type="xsd:double"&gt;22.3954716683229&lt;/D&gt;&lt;D xsi:type="xsd:double"&gt;22.3177414404435&lt;/D&gt;&lt;D xsi:type="xsd:double"&gt;22.3924160485054&lt;/D&gt;&lt;D xsi:type="xsd:double"&gt;22.8475905494538&lt;/D&gt;&lt;D xsi:type="xsd:double"&gt;22.8871486196427&lt;/D&gt;&lt;D xsi:type="xsd:double"&gt;23.757388864391&lt;/D&gt;&lt;D xsi:type="xsd:double"&gt;23.5544135019859&lt;/D&gt;&lt;D xsi:type="xsd:double"&gt;22.6067105936316&lt;/D&gt;&lt;D xsi:type="xsd:double"&gt;22.721928670499&lt;/D&gt;&lt;D xsi:type="xsd:double"&gt;22.9740924814715&lt;/D&gt;&lt;D xsi:type="xsd:double"&gt;23.2507354827855&lt;/D&gt;&lt;D xsi:type="xsd:double"&gt;24.1815760550784&lt;/D&gt;&lt;D xsi:type="xsd:double"&gt;24.1751665012234&lt;/D&gt;&lt;D xsi:type="xsd:double"&gt;24.2039690047466&lt;/D&gt;&lt;D xsi:type="xsd:double"&gt;24.2756481212711&lt;/D&gt;&lt;D xsi:type="xsd:double"&gt;24.6848111926374&lt;/D&gt;&lt;D xsi:type="xsd:double"&gt;25.37690170099&lt;/D&gt;&lt;D xsi:type="xsd:double"&gt;27.6180524236735&lt;/D&gt;&lt;D xsi:type="xsd:double"&gt;28.5828969973231&lt;/D&gt;&lt;D xsi:type="xsd:double"&gt;28.833038667675&lt;/D&gt;&lt;D xsi:type="xsd:double"&gt;31.2537203147485&lt;/D&gt;&lt;D xsi:type="xsd:double"&gt;32.3417714961783&lt;/D&gt;&lt;D xsi:type="xsd:double"&gt;32.637837937192&lt;/D&gt;&lt;D xsi:type="xsd:double"&gt;31.1164202842496&lt;/D&gt;&lt;D xsi:type="xsd:double"&gt;30.4058892600378&lt;/D&gt;&lt;D xsi:type="xsd:double"&gt;31.5637840630387&lt;/D&gt;&lt;D xsi:type="xsd:double"&gt;32.5400463154974&lt;/D&gt;&lt;D xsi:type="xsd:double"&gt;32.715118672149&lt;/D&gt;&lt;D xsi:type="xsd:double"&gt;33.6752292840071&lt;/D&gt;&lt;D xsi:type="xsd:double"&gt;34.1571253950792&lt;/D&gt;&lt;D xsi:type="xsd:double"&gt;33.7070015327243&lt;/D&gt;&lt;D xsi:type="xsd:double"&gt;34.8687428432479&lt;/D&gt;&lt;D xsi:type="xsd:double"&gt;35.6443987227356&lt;/D&gt;&lt;D xsi:type="xsd:double"&gt;37.9280375106667&lt;/D&gt;&lt;D xsi:type="xsd:double"&gt;37.1346259511647&lt;/D&gt;&lt;D xsi:type="xsd:double"&gt;34.3437409257866&lt;/D&gt;&lt;D xsi:type="xsd:double"&gt;34.5128326113795&lt;/D&gt;&lt;D xsi:type="xsd:double"&gt;34.5850753527358&lt;/D&gt;&lt;D xsi:type="xsd:double"&gt;34.8523571738549&lt;/D&gt;&lt;D xsi:type="xsd:double"&gt;36.0465163553223&lt;/D&gt;&lt;D xsi:type="xsd:double"&gt;36.4057314824182&lt;/D&gt;&lt;D xsi:type="xsd:double"&gt;38.2949513989551&lt;/D&gt;&lt;D xsi:type="xsd:double"&gt;38.9249664522703&lt;/D&gt;&lt;D xsi:type="xsd:double"&gt;39.2928678220484&lt;/D&gt;&lt;D xsi:type="xsd:double"&gt;38.2542846246003&lt;/D&gt;&lt;D xsi:type="xsd:double"&gt;39.3549452476964&lt;/D&gt;&lt;D xsi:type="xsd:double"&gt;35.9547497516757&lt;/D&gt;&lt;D xsi:type="xsd:double"&gt;35.2856899235504&lt;/D&gt;&lt;D xsi:type="xsd:double"&gt;35.0943854930366&lt;/D&gt;&lt;D xsi:type="xsd:double"&gt;34.6100890008135&lt;/D&gt;&lt;D xsi:type="xsd:double"&gt;33.9146135493092&lt;/D&gt;&lt;D xsi:type="xsd:double"&gt;32.8884634253261&lt;/D&gt;&lt;D xsi:type="xsd:double"&gt;33.1517368904988&lt;/D&gt;&lt;D xsi:type="xsd:double"&gt;34.4756062445772&lt;/D&gt;&lt;D xsi:type="xsd:double"&gt;31.7065092068335&lt;/D&gt;&lt;D xsi:type="xsd:double"&gt;31.5887057199602&lt;/D&gt;&lt;D xsi:type="xsd:double"&gt;30.4141026491167&lt;/D&gt;&lt;D xsi:type="xsd:double"&gt;29.0383466191266&lt;/D&gt;&lt;D xsi:type="xsd:double"&gt;29.7050883538144&lt;/D&gt;&lt;D xsi:type="xsd:double"&gt;29.6107728543115&lt;/D&gt;&lt;D xsi:type="xsd:double"&gt;28.9469486321736&lt;/D&gt;&lt;D xsi:type="xsd:double"&gt;28.5523055121322&lt;/D&gt;&lt;D xsi:type="xsd:double"&gt;27.9180858852699&lt;/D&gt;&lt;D xsi:type="xsd:double"&gt;26.0947908042071&lt;/D&gt;&lt;D xsi:type="xsd:double"&gt;25.4146959226675&lt;/D&gt;&lt;D xsi:type="xsd:double"&gt;24.4139639299126&lt;/D&gt;&lt;D xsi:type="xsd:double"&gt;23.8230599621873&lt;/D&gt;&lt;D xsi:type="xsd:double"&gt;22.349646183697&lt;/D&gt;&lt;D xsi:type="xsd:double"&gt;22.2932433552854&lt;/D&gt;&lt;D xsi:type="xsd:double"&gt;24.0799065843605&lt;/D&gt;&lt;D xsi:type="xsd:double"&gt;23.2436689984228&lt;/D&gt;&lt;D xsi:type="xsd:double"&gt;23.3289896193867&lt;/D&gt;&lt;D xsi:type="xsd:double"&gt;24.0463237926062&lt;/D&gt;&lt;D xsi:type="xsd:double"&gt;24.4045804450787&lt;/D&gt;&lt;D xsi:type="xsd:double"&gt;24.4868905874189&lt;/D&gt;&lt;/FQL&gt;&lt;FQL&gt;&lt;Q&gt;EWD^FG_PRICE(0)&lt;/Q&gt;&lt;R&gt;1&lt;/R&gt;&lt;C&gt;1&lt;/C&gt;&lt;D xsi:type="xsd:double"&gt;41.93&lt;/D&gt;&lt;/FQL&gt;&lt;FQL&gt;&lt;Q&gt;VWO^PERCENT_CHANGE(FMA_EPS(+1,0,,,,"PORTAGG","MEAN"),FMA_EPS(+1,-1AM,,,,"PORTAGG","MEAN"))&lt;/Q&gt;&lt;R&gt;1&lt;/R&gt;&lt;C&gt;1&lt;/C&gt;&lt;D xsi:type="xsd:double"&gt;0&lt;/D&gt;&lt;/FQL&gt;&lt;FQL&gt;&lt;Q&gt;QQQ^FG_FCF_YIELD_NTM(0)&lt;/Q&gt;&lt;R&gt;1&lt;/R&gt;&lt;C&gt;1&lt;/C&gt;&lt;D xsi:type="xsd:double"&gt;3.68986407220635&lt;/D&gt;&lt;/FQL&gt;&lt;FQL&gt;&lt;Q&gt;EWL^FG_PRICE_MAVG(0,,,,200)&lt;/Q&gt;&lt;R&gt;1&lt;/R&gt;&lt;C&gt;1&lt;/C&gt;&lt;D xsi:type="xsd:double"&gt;46.03475&lt;/D&gt;&lt;/FQL&gt;&lt;FQL&gt;&lt;Q&gt;W-FDS^FG_PRICE(0)/MAX(FG_PRICE(0,-1AY))&lt;/Q&gt;&lt;R&gt;1&lt;/R&gt;&lt;C&gt;1&lt;/C&gt;&lt;D xsi:type="xsd:double"&gt;0.892469582374219&lt;/D&gt;&lt;/FQL&gt;&lt;FQL&gt;&lt;Q&gt;EWC^FG_PRICE_MAVG(0,,,,30)&lt;/Q&gt;&lt;R&gt;1&lt;/R&gt;&lt;C&gt;1&lt;/C&gt;&lt;D xsi:type="xsd:double"&gt;37.861332&lt;/D&gt;&lt;/FQL&gt;&lt;FQL&gt;&lt;Q&gt;VWO^FMA_COS_UP("EPS","1M",+1,0,,,"PORTAGG","MEANR")&lt;/Q&gt;&lt;R&gt;1&lt;/R&gt;&lt;C&gt;1&lt;/C&gt;&lt;D xsi:type="xsd:double"&gt;857&lt;/D&gt;&lt;/FQL&gt;&lt;FQL&gt;&lt;Q&gt;TRYJP10Y-FDS^FG_YIELD(0,,,,"YTM")&lt;/Q&gt;&lt;R&gt;1&lt;/R&gt;&lt;C&gt;1&lt;/C&gt;&lt;D xsi:type="xsd:double"&gt;1.0663&lt;/D&gt;&lt;/FQL&gt;&lt;FQL&gt;&lt;Q&gt;EWG^FMA_EPS(NTMA,-20AY,0,CY,,"PORTAGG","MEANR")&lt;/Q&gt;&lt;R&gt;20&lt;/R&gt;&lt;C&gt;1&lt;/C&gt;&lt;D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xsi:type="xsd:double"&gt;2.65863143369802&lt;/D&gt;&lt;/FQL&gt;&lt;FQL&gt;&lt;Q&gt;CAGDPY@DE^EE_ACTUAL_ANNUAL(MED,0)&lt;/Q&gt;&lt;R&gt;1&lt;/R&gt;&lt;C&gt;1&lt;/C&gt;&lt;D xsi:type="xsd:double"&gt;6.09669740069846&lt;/D&gt;&lt;/FQL&gt;&lt;FQL&gt;&lt;Q&gt;BRENT-FDS^MAX(FG_PRICE(0,-5AY))&lt;/Q&gt;&lt;R&gt;1&lt;/R&gt;&lt;C&gt;1&lt;/C&gt;&lt;D xsi:type="xsd:double"&gt;140.85&lt;/D&gt;&lt;/FQL&gt;&lt;FQL&gt;&lt;Q&gt;EWA^FG_PRICE_MAVG(0,,,,200)&lt;/Q&gt;&lt;R&gt;1&lt;/R&gt;&lt;C&gt;1&lt;/C&gt;&lt;D xsi:type="xsd:double"&gt;23.08425&lt;/D&gt;&lt;/FQL&gt;&lt;FQL&gt;&lt;Q&gt;EWJ^FMA_EVAL_EBIT(LTMA,NOW,NOW,M,"PORTAGG","MEANR")&lt;/Q&gt;&lt;R&gt;1&lt;/R&gt;&lt;C&gt;1&lt;/C&gt;&lt;D xsi:type="xsd:double"&gt;17.7402698223714&lt;/D&gt;&lt;/FQL&gt;&lt;FQL&gt;&lt;Q&gt;ENZL^FMA_EPS(NTMA,-20AY,0,CY,,"PORTAGG","MEANR")&lt;/Q&gt;&lt;R&gt;20&lt;/R&gt;&lt;C&gt;1&lt;/C&gt;&lt;D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xsi:type="xsd:double"&gt;2.11106621771878&lt;/D&gt;&lt;/FQL&gt;&lt;FQL&gt;&lt;Q&gt;EWN^PERCENT_CHANGE(FMA_EPS(+1,0,,,,"PORTAGG","MEAN"),FMA_EPS(+1,-1AM,,,,"PORTAGG","MEAN"))&lt;/Q&gt;&lt;R&gt;1&lt;/R&gt;&lt;C&gt;1&lt;/C&gt;&lt;D xsi:type="xsd:double"&gt;2.47629420275701&lt;/D&gt;&lt;/FQL&gt;&lt;FQL&gt;&lt;Q&gt;VGK^FMA_COS_DOWN("EPS","1M",+1,0,,,"PORTAGG","MEANR")&lt;/Q&gt;&lt;R&gt;1&lt;/R&gt;&lt;C&gt;1&lt;/C&gt;&lt;D xsi:type="xsd:double"&gt;541&lt;/D&gt;&lt;/FQL&gt;&lt;FQL&gt;&lt;Q&gt;TRYNZ10Y-FDS^FG_YIELD(0,,,,"YTM")&lt;/Q&gt;&lt;R&gt;1&lt;/R&gt;&lt;C&gt;1&lt;/C&gt;&lt;D xsi:type="xsd:double"&gt;4.8109&lt;/D&gt;&lt;/FQL&gt;&lt;FQL&gt;&lt;Q&gt;CAGDPY@AU^EE_ACTUAL_ANNUAL(MED,0)&lt;/Q&gt;&lt;R&gt;1&lt;/R&gt;&lt;C&gt;1&lt;/C&gt;&lt;D xsi:type="xsd:double"&gt;1.21871580460395&lt;/D&gt;&lt;/FQL&gt;&lt;FQL&gt;&lt;Q&gt;BRENT-FDS^FG_PRICE_CHANGE(0,-6AM)&lt;/Q&gt;&lt;R&gt;1&lt;/R&gt;&lt;C&gt;1&lt;/C&gt;&lt;D xsi:type="xsd:double"&gt;0&lt;/D&gt;&lt;/FQL&gt;&lt;FQL&gt;&lt;Q&gt;EWA^FG_PRICE_MAVG(0,,,,60)&lt;/Q&gt;&lt;R&gt;1&lt;/R&gt;&lt;C&gt;1&lt;/C&gt;&lt;D xsi:type="xsd:double"&gt;24.3075&lt;/D&gt;&lt;/FQL&gt;&lt;FQL&gt;&lt;Q&gt;EWJ^P_PRICE(0)/P_PRICE_HIGH_PR(0,,,USD,,,"PRICE","INTRA","52W")&lt;/Q&gt;&lt;R&gt;1&lt;/R&gt;&lt;C&gt;1&lt;/C&gt;&lt;D xsi:type="xsd:double"&gt;0.95705265&lt;/D&gt;&lt;/FQL&gt;&lt;FQL&gt;&lt;Q&gt;EWQ^P_PRICE_RETURNS_PR('52W',2,-10AY,0,AM)&lt;/Q&gt;&lt;R&gt;121&lt;/R&gt;&lt;C&gt;1&lt;/C&gt;&lt;D xsi:type="xsd:double"&gt;21.696198&lt;/D&gt;&lt;D xsi:type="xsd:double"&gt;28.241467&lt;/D&gt;&lt;D xsi:type="xsd:double"&gt;9.678483&lt;/D&gt;&lt;D xsi:type="xsd:double"&gt;11.927187&lt;/D&gt;&lt;D xsi:type="xsd:double"&gt;1.2902141&lt;/D&gt;&lt;D xsi:type="xsd:double"&gt;-6.071639&lt;/D&gt;&lt;D xsi:type="xsd:double"&gt;-3.2256424&lt;/D&gt;&lt;D xsi:type="xsd:double"&gt;-10.757172&lt;/D&gt;&lt;D xsi:type="xsd:double"&gt;-5.969304&lt;/D&gt;&lt;D xsi:type="xsd:double"&gt;-5.814022&lt;/D&gt;&lt;D xsi:type="xsd:double"&gt;-8.357912&lt;/D&gt;&lt;D xsi:type="xsd:double"&gt;-6.8745193&lt;/D&gt;&lt;D xsi:type="xsd:double"&gt;-7.908386&lt;/D&gt;&lt;D xsi:type="xsd:double"&gt;-9.441728&lt;/D&gt;&lt;D xsi:type="xsd:double"&gt;0.89969635&lt;/D&gt;&lt;D xsi:type="xsd:double"&gt;-6.894052&lt;/D&gt;&lt;D xsi:type="xsd:double"&gt;-6.988108&lt;/D&gt;&lt;D xsi:type="xsd:double"&gt;4.997194&lt;/D&gt;&lt;D xsi:type="xsd:double"&gt;-1.7722428&lt;/D&gt;&lt;D xsi:type="xsd:double"&gt;0.23943186&lt;/D&gt;&lt;D xsi:type="xsd:double"&gt;-6.5642414&lt;/D&gt;&lt;D xsi:type="xsd:double"&gt;-12.573981&lt;/D&gt;&lt;D xsi:type="xsd:double"&gt;-5.010003&lt;/D&gt;&lt;D xsi:type="xsd:double"&gt;-6.7202687&lt;/D&gt;&lt;D xsi:type="xsd:double"&gt;-6.39019&lt;/D&gt;&lt;D xsi:type="xsd:double"&gt;-8.492529&lt;/D&gt;&lt;D xsi:type="xsd:double"&gt;-7.0959272&lt;/D&gt;&lt;D xsi:type="xsd:double"&gt;-1.7810464&lt;/D&gt;&lt;D xsi:type="xsd:double"&gt;3.3358574&lt;/D&gt;&lt;D xsi:type="xsd:double"&gt;-3.9949894&lt;/D&gt;&lt;D xsi:type="xsd:double"&gt;-4.160434&lt;/D&gt;&lt;D xsi:type="xsd:double"&gt;3.4080744&lt;/D&gt;&lt;D xsi:type="xsd:double"&gt;10.54976&lt;/D&gt;&lt;D xsi:type="xsd:double"&gt;12.671757&lt;/D&gt;&lt;D xsi:type="xsd:double"&gt;12.867022&lt;/D&gt;&lt;D xsi:type="xsd:double"&gt;16.032768&lt;/D&gt;&lt;D xsi:type="xsd:double"&gt;22.4944&lt;/D&gt;&lt;D xsi:type="xsd:double"&gt;28.388237&lt;/D&gt;&lt;D xsi:type="xsd:double"&gt;25.497414&lt;/D&gt;&lt;D xsi:type="xsd:double"&gt;27.030075&lt;/D&gt;&lt;D xsi:type="xsd:double"&gt;32.55131&lt;/D&gt;&lt;D xsi:type="xsd:double"&gt;33.25355&lt;/D&gt;&lt;D xsi:type="xsd:double"&gt;36.53239&lt;/D&gt;&lt;D xsi:type="xsd:double"&gt;30.07884&lt;/D&gt;&lt;D xsi:type="xsd:double"&gt;35.98286&lt;/D&gt;&lt;D xsi:type="xsd:double"&gt;29.565084&lt;/D&gt;&lt;D xsi:type="xsd:double"&gt;20.996893&lt;/D&gt;&lt;D xsi:type="xsd:double"&gt;19.008076&lt;/D&gt;&lt;D xsi:type="xsd:double"&gt;10.474777&lt;/D&gt;&lt;D xsi:type="xsd:double"&gt;8.55254&lt;/D&gt;&lt;D xsi:type="xsd:double"&gt;10.329712&lt;/D&gt;&lt;D xsi:type="xsd:double"&gt;6.950426&lt;/D&gt;&lt;D xsi:type="xsd:double"&gt;5.1460624&lt;/D&gt;&lt;D xsi:type="xsd:double"&gt;-7.321912&lt;/D&gt;&lt;D xsi:type="xsd:double"&gt;-8.310795&lt;/D&gt;&lt;D xsi:type="xsd:double"&gt;-12.881112&lt;/D&gt;&lt;D xsi:type="xsd:double"&gt;-13.380682&lt;/D&gt;&lt;D xsi:type="xsd:double"&gt;-4.8342586&lt;/D&gt;&lt;D xsi:type="xsd:double"&gt;-3.745246&lt;/D&gt;&lt;D xsi:type="xsd:double"&gt;-3.0589879&lt;/D&gt;&lt;D xsi:type="xsd:double"&gt;-6.530583&lt;/D&gt;&lt;D xsi:type="xsd:double"&gt;4.5194983&lt;/D&gt;&lt;D xsi:type="xsd:double"&gt;-3.3131719&lt;/D&gt;&lt;D xsi:type="xsd:double"&gt;-3.6489785&lt;/D&gt;&lt;D xsi:type="xsd:double"&gt;-1.148814&lt;/D&gt;&lt;D xsi:type="xsd:double"&gt;13.169837&lt;/D&gt;&lt;D xsi:type="xsd:double"&gt;15.377844&lt;/D&gt;&lt;D xsi:type="xsd:double"&gt;26.66837&lt;/D&gt;&lt;D xsi:type="xsd:double"&gt;14.554572&lt;/D&gt;&lt;D xsi:type="xsd:double"&gt;1.2282014&lt;/D&gt;&lt;D xsi:type="xsd:double"&gt;-18.315685&lt;/D&gt;&lt;D xsi:type="xsd:double"&gt;-18.61307&lt;/D&gt;&lt;D xsi:type="xsd:double"&gt;-8.268887&lt;/D&gt;&lt;D xsi:type="xsd:double"&gt;-9.762067&lt;/D&gt;&lt;D xsi:type="xsd:double"&gt;-5.362451&lt;/D&gt;&lt;D xsi:type="xsd:double"&gt;0.081026554&lt;/D&gt;&lt;D xsi:type="xsd:double"&gt;-6.4948916&lt;/D&gt;&lt;D xsi:type="xsd:double"&gt;-14.244759&lt;/D&gt;&lt;D xsi:type="xsd:double"&gt;3.5120726&lt;/D&gt;&lt;D xsi:type="xsd:double"&gt;2.8523922&lt;/D&gt;&lt;D xsi:type="xsd:double"&gt;2.5445938&lt;/D&gt;&lt;D xsi:type="xsd:double"&gt;14.276338&lt;/D&gt;&lt;D xsi:type="xsd:double"&gt;50.30334&lt;/D&gt;&lt;D xsi:type="xsd:double"&gt;52.801704&lt;/D&gt;&lt;D xsi:type="xsd:double"&gt;52.235092&lt;/D&gt;&lt;D xsi:type="xsd:double"&gt;40.27076&lt;/D&gt;&lt;D xsi:type="xsd:double"&gt;36.081635&lt;/D&gt;&lt;D xsi:type="xsd:double"&gt;34.297718&lt;/D&gt;&lt;D xsi:type="xsd:double"&gt;35.44159&lt;/D&gt;&lt;D xsi:type="xsd:double"&gt;49.834454&lt;/D&gt;&lt;D xsi:type="xsd:double"&gt;18.19414&lt;/D&gt;&lt;D xsi:type="xsd:double"&gt;21.472895&lt;/D&gt;&lt;D xsi:type="xsd:double"&gt;21.559525&lt;/D&gt;&lt;D xsi:type="xsd:double"&gt;8.393645&lt;/D&gt;&lt;D xsi:type="xsd:double"&gt;5.406034&lt;/D&gt;&lt;D xsi:type="xsd:double"&gt;-8.985215&lt;/D&gt;&lt;D xsi:type="xsd:double"&gt;-8.56182&lt;/D&gt;&lt;D xsi:type="xsd:double"&gt;-16.116613&lt;/D&gt;&lt;D xsi:type="xsd:double"&gt;-11.986751&lt;/D&gt;&lt;D xsi:type="xsd:double"&gt;-18.907654&lt;/D&gt;&lt;D xsi:type="xsd:double"&gt;-23.862099&lt;/D&gt;&lt;D xsi:type="xsd:double"&gt;-20.09334&lt;/D&gt;&lt;D xsi:type="xsd:double"&gt;-5.4288745&lt;/D&gt;&lt;D xsi:type="xsd:double"&gt;-11.827093&lt;/D&gt;&lt;D xsi:type="xsd:double"&gt;0.78498125&lt;/D&gt;&lt;D xsi:type="xsd:double"&gt;6.801069&lt;/D&gt;&lt;D xsi:type="xsd:double"&gt;10.544372&lt;/D&gt;&lt;D xsi:type="xsd:double"&gt;22.224545&lt;/D&gt;&lt;D xsi:type="xsd:double"&gt;11.454117&lt;/D&gt;&lt;D xsi:type="xsd:double"&gt;31.734324&lt;/D&gt;&lt;D xsi:type="xsd:double"&gt;25.647867&lt;/D&gt;&lt;D xsi:type="xsd:double"&gt;30.367125&lt;/D&gt;&lt;D xsi:type="xsd:double"&gt;36.30797&lt;/D&gt;&lt;D xsi:type="xsd:double"&gt;19.05427&lt;/D&gt;&lt;D xsi:type="xsd:double"&gt;14.116251&lt;/D&gt;&lt;D xsi:type="xsd:double"&gt;20.348692&lt;/D&gt;&lt;D xsi:type="xsd:double"&gt;7.940781&lt;/D&gt;&lt;D xsi:type="xsd:double"&gt;13.298714&lt;/D&gt;&lt;D xsi:type="xsd:double"&gt;16.743874&lt;/D&gt;&lt;D xsi:type="xsd:double"&gt;4.1237473&lt;/D&gt;&lt;D xsi:type="xsd:double"&gt;15.972781&lt;/D&gt;&lt;/FQL&gt;&lt;FQL&gt;&lt;Q&gt;EWI^FMA_COS_DOWN("EPS","1M",+1,0,,,"PORTAGG","MEANR")&lt;/Q&gt;&lt;R&gt;1&lt;/R&gt;&lt;C&gt;1&lt;/C&gt;&lt;D xsi:type="xsd:double"&gt;4&lt;/D&gt;&lt;/FQL&gt;&lt;FQL&gt;&lt;Q&gt;EWJ^JULIAN(FMA_DIV_YLD(NTMA,NOW,NOW,M,"PORTAGG","MEANR").DATES)&lt;/Q&gt;&lt;R&gt;1&lt;/R&gt;&lt;C&gt;1&lt;/C&gt;&lt;D xsi:type="xsd:long"&gt;45441&lt;/D&gt;&lt;/FQL&gt;&lt;FQL&gt;&lt;Q&gt;BRENT-FDS^FG_PRICE_CHANGE(0,-3AM)&lt;/Q&gt;&lt;R&gt;1&lt;/R&gt;&lt;C&gt;1&lt;/C&gt;&lt;D xsi:type="xsd:double"&gt;0&lt;/D&gt;&lt;/FQL&gt;&lt;FQL&gt;&lt;Q&gt;EWL^SIZE(FG_CONSTITUENTS)&lt;/Q&gt;&lt;R&gt;1&lt;/R&gt;&lt;C&gt;1&lt;/C&gt;&lt;D xsi:type="xsd:long"&gt;47&lt;/D&gt;&lt;/FQL&gt;&lt;FQL&gt;&lt;Q&gt;REFGBBANK-FDS^(SUBARRAY(NOT_NA(NO_REPEAT_F(FG_YIELD(NOW,-10AY,D))),0,1)-SUBARRAY(NOT_NA(NO_REPEAT_F(FG_YIELD(NOW,-10AY,D))),1,1))*100&lt;/Q&gt;&lt;R&gt;1&lt;/R&gt;&lt;C&gt;1&lt;/C&gt;&lt;D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xsi:type="xsd:double"&gt;25&lt;/D&gt;&lt;/FQL&gt;&lt;FQL&gt;&lt;Q&gt;EWL^P_PRICE_RETURNS_PR('52W',2,-10AY,0,AM)&lt;/Q&gt;&lt;R&gt;121&lt;/R&gt;&lt;C&gt;1&lt;/C&gt;&lt;D xsi:type="xsd:double"&gt;18.788624&lt;/D&gt;&lt;D xsi:type="xsd:double"&gt;22.543537&lt;/D&gt;&lt;D xsi:type="xsd:double"&gt;12.408018&lt;/D&gt;&lt;D xsi:type="xsd:double"&gt;16.857576&lt;/D&gt;&lt;D xsi:type="xsd:double"&gt;6.320739&lt;/D&gt;&lt;D xsi:type="xsd:double"&gt;2.822256&lt;/D&gt;&lt;D xsi:type="xsd:double"&gt;5.4105997&lt;/D&gt;&lt;D xsi:type="xsd:double"&gt;-1.7329991&lt;/D&gt;&lt;D xsi:type="xsd:double"&gt;0.525105&lt;/D&gt;&lt;D xsi:type="xsd:double"&gt;0.13437271&lt;/D&gt;&lt;D xsi:type="xsd:double"&gt;-1.0680974&lt;/D&gt;&lt;D xsi:type="xsd:double"&gt;0.8672118&lt;/D&gt;&lt;D xsi:type="xsd:double"&gt;2.6751995&lt;/D&gt;&lt;D xsi:type="xsd:double"&gt;-2.2954583&lt;/D&gt;&lt;D xsi:type="xsd:double"&gt;6.446469&lt;/D&gt;&lt;D xsi:type="xsd:double"&gt;-3.1222582&lt;/D&gt;&lt;D xsi:type="xsd:double"&gt;-3.658533&lt;/D&gt;&lt;D xsi:type="xsd:double"&gt;0.89576244&lt;/D&gt;&lt;D xsi:type="xsd:double"&gt;-4.7069254&lt;/D&gt;&lt;D xsi:type="xsd:double"&gt;0.28828382&lt;/D&gt;&lt;D xsi:type="xsd:double"&gt;-6.8441334&lt;/D&gt;&lt;D xsi:type="xsd:double"&gt;-12.945294&lt;/D&gt;&lt;D xsi:type="xsd:double"&gt;-8.340651&lt;/D&gt;&lt;D xsi:type="xsd:double"&gt;-9.418821&lt;/D&gt;&lt;D xsi:type="xsd:double"&gt;-11.668319&lt;/D&gt;&lt;D xsi:type="xsd:double"&gt;-7.055509&lt;/D&gt;&lt;D xsi:type="xsd:double"&gt;-8.512604&lt;/D&gt;&lt;D xsi:type="xsd:double"&gt;-2.6290655&lt;/D&gt;&lt;D xsi:type="xsd:double"&gt;2.5278926&lt;/D&gt;&lt;D xsi:type="xsd:double"&gt;-6.256586&lt;/D&gt;&lt;D xsi:type="xsd:double"&gt;-5.779499&lt;/D&gt;&lt;D xsi:type="xsd:double"&gt;-4.4724345&lt;/D&gt;&lt;D xsi:type="xsd:double"&gt;8.257044&lt;/D&gt;&lt;D xsi:type="xsd:double"&gt;11.724615&lt;/D&gt;&lt;D xsi:type="xsd:double"&gt;10.500622&lt;/D&gt;&lt;D xsi:type="xsd:double"&gt;11.479545&lt;/D&gt;&lt;D xsi:type="xsd:double"&gt;17.492653&lt;/D&gt;&lt;D xsi:type="xsd:double"&gt;18.264568&lt;/D&gt;&lt;D xsi:type="xsd:double"&gt;16.613615&lt;/D&gt;&lt;D xsi:type="xsd:double"&gt;16.18769&lt;/D&gt;&lt;D xsi:type="xsd:double"&gt;17.535448&lt;/D&gt;&lt;D xsi:type="xsd:double"&gt;21.648693&lt;/D&gt;&lt;D xsi:type="xsd:double"&gt;26.102983&lt;/D&gt;&lt;D xsi:type="xsd:double"&gt;23.987507&lt;/D&gt;&lt;D xsi:type="xsd:double"&gt;23.542881&lt;/D&gt;&lt;D xsi:type="xsd:double"&gt;14.905346&lt;/D&gt;&lt;D xsi:type="xsd:double"&gt;9.224844&lt;/D&gt;&lt;D xsi:type="xsd:double"&gt;4.596281&lt;/D&gt;&lt;D xsi:type="xsd:double"&gt;-2.7158797&lt;/D&gt;&lt;D xsi:type="xsd:double"&gt;-2.717781&lt;/D&gt;&lt;D xsi:type="xsd:double"&gt;3.1916022&lt;/D&gt;&lt;D xsi:type="xsd:double"&gt;3.881967&lt;/D&gt;&lt;D xsi:type="xsd:double"&gt;2.537191&lt;/D&gt;&lt;D xsi:type="xsd:double"&gt;-1.7375469&lt;/D&gt;&lt;D xsi:type="xsd:double"&gt;-2.6792884&lt;/D&gt;&lt;D xsi:type="xsd:double"&gt;-9.189421&lt;/D&gt;&lt;D xsi:type="xsd:double"&gt;-8.109915&lt;/D&gt;&lt;D xsi:type="xsd:double"&gt;1.4801979&lt;/D&gt;&lt;D xsi:type="xsd:double"&gt;5.4901004&lt;/D&gt;&lt;D xsi:type="xsd:double"&gt;9.012</t>
        </r>
      </text>
    </comment>
    <comment ref="A15" authorId="0" shapeId="0" xr:uid="{CD3BFE2E-5235-48CB-B9B7-1F2649C20862}">
      <text>
        <r>
          <rPr>
            <b/>
            <sz val="9"/>
            <color indexed="81"/>
            <rFont val="Tahoma"/>
            <charset val="1"/>
          </rPr>
          <t>222&lt;/D&gt;&lt;D xsi:type="xsd:double"&gt;10.795748&lt;/D&gt;&lt;D xsi:type="xsd:double"&gt;19.376682&lt;/D&gt;&lt;D xsi:type="xsd:double"&gt;9.319401&lt;/D&gt;&lt;D xsi:type="xsd:double"&gt;9.4134445&lt;/D&gt;&lt;D xsi:type="xsd:double"&gt;10.910141&lt;/D&gt;&lt;D xsi:type="xsd:double"&gt;18.951107&lt;/D&gt;&lt;D xsi:type="xsd:double"&gt;19.468521&lt;/D&gt;&lt;D xsi:type="xsd:double"&gt;31.583559&lt;/D&gt;&lt;D xsi:type="xsd:double"&gt;24.781502&lt;/D&gt;&lt;D xsi:type="xsd:double"&gt;11.826515&lt;/D&gt;&lt;D xsi:type="xsd:double"&gt;2.0261288&lt;/D&gt;&lt;D xsi:type="xsd:double"&gt;3.9720297&lt;/D&gt;&lt;D xsi:type="xsd:double"&gt;8.906019&lt;/D&gt;&lt;D xsi:type="xsd:double"&gt;5.414009&lt;/D&gt;&lt;D xsi:type="xsd:double"&gt;10.81258&lt;/D&gt;&lt;D xsi:type="xsd:double"&gt;13.180006&lt;/D&gt;&lt;D xsi:type="xsd:double"&gt;10.710382&lt;/D&gt;&lt;D xsi:type="xsd:double"&gt;2.5479913&lt;/D&gt;&lt;D xsi:type="xsd:double"&gt;11.1094&lt;/D&gt;&lt;D xsi:type="xsd:double"&gt;11.787022&lt;/D&gt;&lt;D xsi:type="xsd:double"&gt;8.610689&lt;/D&gt;&lt;D xsi:type="xsd:double"&gt;11.9610195&lt;/D&gt;&lt;D xsi:type="xsd:double"&gt;27.127695&lt;/D&gt;&lt;D xsi:type="xsd:double"&gt;27.622772&lt;/D&gt;&lt;D xsi:type="xsd:double"&gt;30.047905&lt;/D&gt;&lt;D xsi:type="xsd:double"&gt;27.189041&lt;/D&gt;&lt;D xsi:type="xsd:double"&gt;23.595858&lt;/D&gt;&lt;D xsi:type="xsd:double"&gt;24.14279&lt;/D&gt;&lt;D xsi:type="xsd:double"&gt;15.568423&lt;/D&gt;&lt;D xsi:type="xsd:double"&gt;29.993916&lt;/D&gt;&lt;D xsi:type="xsd:double"&gt;18.30963&lt;/D&gt;&lt;D xsi:type="xsd:double"&gt;20.193804&lt;/D&gt;&lt;D xsi:type="xsd:double"&gt;14.103758&lt;/D&gt;&lt;D xsi:type="xsd:double"&gt;12.940645&lt;/D&gt;&lt;D xsi:type="xsd:double"&gt;13.109339&lt;/D&gt;&lt;D xsi:type="xsd:double"&gt;0.95244646&lt;/D&gt;&lt;D xsi:type="xsd:double"&gt;-4.801643&lt;/D&gt;&lt;D xsi:type="xsd:double"&gt;-12.857652&lt;/D&gt;&lt;D xsi:type="xsd:double"&gt;-11.298579&lt;/D&gt;&lt;D xsi:type="xsd:double"&gt;-18.492216&lt;/D&gt;&lt;D xsi:type="xsd:double"&gt;-17.960316&lt;/D&gt;&lt;D xsi:type="xsd:double"&gt;-19.911797&lt;/D&gt;&lt;D xsi:type="xsd:double"&gt;-11.37085&lt;/D&gt;&lt;D xsi:type="xsd:double"&gt;-18.951529&lt;/D&gt;&lt;D xsi:type="xsd:double"&gt;-6.3993034&lt;/D&gt;&lt;D xsi:type="xsd:double"&gt;-7.686967&lt;/D&gt;&lt;D xsi:type="xsd:double"&gt;-5.8153687&lt;/D&gt;&lt;D xsi:type="xsd:double"&gt;4.4067383&lt;/D&gt;&lt;D xsi:type="xsd:double"&gt;3.6532044&lt;/D&gt;&lt;D xsi:type="xsd:double"&gt;13.766885&lt;/D&gt;&lt;D xsi:type="xsd:double"&gt;12.166155&lt;/D&gt;&lt;D xsi:type="xsd:double"&gt;16.142797&lt;/D&gt;&lt;D xsi:type="xsd:double"&gt;18.447542&lt;/D&gt;&lt;D xsi:type="xsd:double"&gt;9.591091&lt;/D&gt;&lt;D xsi:type="xsd:double"&gt;8.276176&lt;/D&gt;&lt;D xsi:type="xsd:double"&gt;15.9624815&lt;/D&gt;&lt;D xsi:type="xsd:double"&gt;7.3515415&lt;/D&gt;&lt;D xsi:type="xsd:double"&gt;10.378337&lt;/D&gt;&lt;D xsi:type="xsd:double"&gt;10.912919&lt;/D&gt;&lt;D xsi:type="xsd:double"&gt;-3.559351&lt;/D&gt;&lt;D xsi:type="xsd:double"&gt;8.63111&lt;/D&gt;&lt;/FQL&gt;&lt;FQL&gt;&lt;Q&gt;EWC^FMA_PE(LTM,0,,,"PORTAGG","MEANR")&lt;/Q&gt;&lt;R&gt;1&lt;/R&gt;&lt;C&gt;1&lt;/C&gt;&lt;D xsi:type="xsd:double"&gt;17.0824871756977&lt;/D&gt;&lt;/FQL&gt;&lt;FQL&gt;&lt;Q&gt;CC_GB^FG_COMPANY_NAME&lt;/Q&gt;&lt;R&gt;1&lt;/R&gt;&lt;C&gt;1&lt;/C&gt;&lt;D xsi:type="xsd:string"&gt;United Kingdom&lt;/D&gt;&lt;/FQL&gt;&lt;FQL&gt;&lt;Q&gt;EWU^FG_TOTAL_RETURNC(0,-6AM)&lt;/Q&gt;&lt;R&gt;1&lt;/R&gt;&lt;C&gt;1&lt;/C&gt;&lt;D xsi:type="xsd:double"&gt;14.714861&lt;/D&gt;&lt;/FQL&gt;&lt;FQL&gt;&lt;Q&gt;EWL^FMA_COS_UP("EPS","1M",+1,0,,,"PORTAGG","MEANR")&lt;/Q&gt;&lt;R&gt;1&lt;/R&gt;&lt;C&gt;1&lt;/C&gt;&lt;D xsi:type="xsd:double"&gt;22&lt;/D&gt;&lt;/FQL&gt;&lt;FQL&gt;&lt;Q&gt;REFGBBANK-FDS^PROPER_NAME(0,,,"SECURITY","NAME")&lt;/Q&gt;&lt;R&gt;1&lt;/R&gt;&lt;C&gt;1&lt;/C&gt;&lt;D xsi:type="xsd:string"&gt;UK Bank Rate&lt;/D&gt;&lt;/FQL&gt;&lt;FQL&gt;&lt;Q&gt;VGK^FMA_EVAL_EBIT(LTMA,NOW,NOW,M,"PORTAGG","MEANR")&lt;/Q&gt;&lt;R&gt;1&lt;/R&gt;&lt;C&gt;1&lt;/C&gt;&lt;D xsi:type="xsd:double"&gt;13.2013985378462&lt;/D&gt;&lt;/FQL&gt;&lt;FQL&gt;&lt;Q&gt;EWL^FMA_DIV_YLD(NTMA,-10AY,0,AM,"PORTAGG","MEANR")&lt;/Q&gt;&lt;R&gt;121&lt;/R&gt;&lt;C&gt;1&lt;/C&gt;&lt;D xsi:type="xsd:double"&gt;3.20701469639901&lt;/D&gt;&lt;D xsi:type="xsd:double"&gt;3.31990110691067&lt;/D&gt;&lt;D xsi:type="xsd:double"&gt;3.39498213702427&lt;/D&gt;&lt;D xsi:type="xsd:double"&gt;3.32530100104957&lt;/D&gt;&lt;D xsi:type="xsd:double"&gt;3.32842474523031&lt;/D&gt;&lt;D xsi:type="xsd:double"&gt;3.32346860354946&lt;/D&gt;&lt;D xsi:type="xsd:double"&gt;3.20128607857254&lt;/D&gt;&lt;D xsi:type="xsd:double"&gt;3.30343855307156&lt;/D&gt;&lt;D xsi:type="xsd:double"&gt;3.38086836776971&lt;/D&gt;&lt;D xsi:type="xsd:double"&gt;3.15848356988339&lt;/D&gt;&lt;D xsi:type="xsd:double"&gt;3.15108034814385&lt;/D&gt;&lt;D xsi:type="xsd:double"&gt;3.10461979595241&lt;/D&gt;&lt;D xsi:type="xsd:double"&gt;3.11968017597202&lt;/D&gt;&lt;D xsi:type="xsd:double"&gt;3.28749829518841&lt;/D&gt;&lt;D xsi:type="xsd:double"&gt;3.1022687086928&lt;/D&gt;&lt;D xsi:type="xsd:double"&gt;3.32387185698665&lt;/D&gt;&lt;D xsi:type="xsd:double"&gt;3.4499413137054&lt;/D&gt;&lt;D xsi:type="xsd:double"&gt;3.26121053829813&lt;/D&gt;&lt;D xsi:type="xsd:double"&gt;3.24308670880322&lt;/D&gt;&lt;D xsi:type="xsd:double"&gt;3.27040945041367&lt;/D&gt;&lt;D xsi:type="xsd:double"&gt;3.4571379634011&lt;/D&gt;&lt;D xsi:type="xsd:double"&gt;3.54828042321088&lt;/D&gt;&lt;D xsi:type="xsd:double"&gt;3.53253245225555&lt;/D&gt;&lt;D xsi:type="xsd:double"&gt;3.50550200625508&lt;/D&gt;&lt;D xsi:type="xsd:double"&gt;3.45980250169825&lt;/D&gt;&lt;D xsi:type="xsd:double"&gt;3.55112550520703&lt;/D&gt;&lt;D xsi:type="xsd:double"&gt;3.48615151384692&lt;/D&gt;&lt;D xsi:type="xsd:double"&gt;3.46489211150175&lt;/D&gt;&lt;D xsi:type="xsd:double"&gt;3.4921843468164&lt;/D&gt;&lt;D xsi:type="xsd:double"&gt;3.6346423150241&lt;/D&gt;&lt;D xsi:type="xsd:double"&gt;3.66232153798587&lt;/D&gt;&lt;D xsi:type="xsd:double"&gt;3.5533111966061&lt;/D&gt;&lt;D xsi:type="xsd:double"&gt;3.48607489713181&lt;/D&gt;&lt;D xsi:type="xsd:double"&gt;3.3772564752183&lt;/D&gt;&lt;D xsi:type="xsd:double"&gt;3.41799191065289&lt;/D&gt;&lt;D xsi:type="xsd:double"&gt;3.35116143554805&lt;/D&gt;&lt;D xsi:type="xsd:double"&gt;3.29593396628869&lt;/D&gt;&lt;D xsi:type="xsd:double"&gt;3.28848308107885&lt;/D&gt;&lt;D xsi:type="xsd:double"&gt;3.27334642005786&lt;/D&gt;&lt;D xsi:type="xsd:double"&gt;3.3307480492697&lt;/D&gt;&lt;D xsi:type="xsd:double"&gt;3.26883982541692&lt;/D&gt;&lt;D xsi:type="xsd:double"&gt;3.24386426572131&lt;/D&gt;&lt;D xsi:type="xsd:double"&gt;3.22974021985566&lt;/D&gt;&lt;D xsi:type="xsd:double"&gt;3.21930724944088&lt;/D&gt;&lt;D xsi:type="xsd:double"&gt;3.19597769120233&lt;/D&gt;&lt;D xsi:type="xsd:double"&gt;3.40401769292851&lt;/D&gt;&lt;D xsi:type="xsd:double"&gt;3.49854681834639&lt;/D&gt;&lt;D xsi:type="xsd:double"&gt;3.46484344495937&lt;/D&gt;&lt;D xsi:type="xsd:double"&gt;3.59797231405849&lt;/D&gt;&lt;D xsi:type="xsd:double"&gt;3.5660646339402&lt;/D&gt;&lt;D xsi:type="xsd:double"&gt;3.37123932074228&lt;/D&gt;&lt;D xsi:type="xsd:double"&gt;3.41830060980553&lt;/D&gt;&lt;D xsi:type="xsd:double"&gt;3.40547656696375&lt;/D&gt;&lt;D xsi:type="xsd:double"&gt;3.49684043378138&lt;/D&gt;&lt;D xsi:type="xsd:double"&gt;3.52407662738803&lt;/D&gt;&lt;D xsi:type="xsd:double"&gt;3.70550297641543&lt;/D&gt;&lt;D xsi:type="xsd:double"&gt;3.46407316651338&lt;/D&gt;&lt;D xsi:type="xsd:double"&gt;3.33618169851596&lt;/D&gt;&lt;D xsi:type="xsd:double"&gt;3.32452480499752&lt;/D&gt;&lt;D xsi:type="xsd:double"&gt;3.24673140905875&lt;/D&gt;&lt;D xsi:type="xsd:double"&gt;3.3445579813945&lt;/D&gt;&lt;D xsi:type="xsd:double"&gt;3.20945601946695&lt;/D&gt;&lt;D xsi:type="xsd:double"&gt;3.22491290114469&lt;/D&gt;&lt;D xsi:type="xsd:double"&gt;3.24884662076499&lt;/D&gt;&lt;D xsi:type="xsd:double"&gt;3.2024162259939&lt;/D&gt;&lt;D xsi:type="xsd:double"&gt;3.1546155415941&lt;/D&gt;&lt;D xsi:type="xsd:double"&gt;3.09756733932483&lt;/D&gt;&lt;D xsi:type="xsd:double"&gt;3.04328914915543&lt;/D&gt;&lt;D xsi:type="xsd:double"&gt;3.02734981477521&lt;/D&gt;&lt;D xsi:type="xsd:double"&gt;3.30262117982551&lt;/D&gt;&lt;D xsi:type="xsd:double"&gt;3.49911112959701&lt;/D&gt;&lt;D xsi:type="xsd:double"&gt;3.27643185033979&lt;/D&gt;&lt;D xsi:type="xsd:double"&gt;3.16019848697846&lt;/D&gt;&lt;D xsi:type="xsd:double"&gt;3.08545884201128&lt;/D&gt;&lt;D xsi:type="xsd:double"&gt;3.02019645615973&lt;/D&gt;&lt;D xsi:type="xsd:double"&gt;2.95140966274656&lt;/D&gt;&lt;D xsi:type="xsd:double"&gt;2.97280213963376&lt;/D&gt;&lt;D xsi:type="xsd:double"&gt;3.15198115057443&lt;/D&gt;&lt;D xsi:type="xsd:double"&gt;2.89275115542315&lt;/D&gt;&lt;D xsi:type="xsd:double"&gt;2.82077523850231&lt;/D&gt;&lt;D xsi:type="xsd:double"&gt;2.88706632338615&lt;/D&gt;&lt;D xsi:type="xsd:double"&gt;2.91272826287135&lt;/D&gt;&lt;D xsi:type="xsd:double"&gt;2.81214434619449&lt;/D&gt;&lt;D xsi:type="xsd:double"&gt;2.77483059944566&lt;/D&gt;&lt;D xsi:type="xsd:double"&gt;2.70348796377062&lt;/D&gt;&lt;D xsi:type="xsd:double"&gt;2.63865757289053&lt;/D&gt;&lt;D xsi:type="xsd:double"&gt;2.59129954385517&lt;/D&gt;&lt;D xsi:type="xsd:double"&gt;2.56655294869382&lt;/D&gt;&lt;D xsi:type="xsd:double"&gt;2.76529529432689&lt;/D&gt;&lt;D xsi:type="xsd:double"&gt;2.64988636229782&lt;/D&gt;&lt;D xsi:type="xsd:double"&gt;2.67994124439637&lt;/D&gt;&lt;D xsi:type="xsd:double"&gt;2.52766057359219&lt;/D&gt;&lt;D xsi:type="xsd:double"&gt;2.7224050983856&lt;/D&gt;&lt;D xsi:type="xsd:double"&gt;2.799736450005&lt;/D&gt;&lt;D xsi:type="xsd:double"&gt;2.78139881422491&lt;/D&gt;&lt;D xsi:type="xsd:double"&gt;2.84152955009802&lt;/D&gt;&lt;D xsi:type="xsd:double"&gt;2.95783181158912&lt;/D&gt;&lt;D xsi:type="xsd:double"&gt;3.20137542618259&lt;/D&gt;&lt;D xsi:type="xsd:double"&gt;3.05767462958791&lt;/D&gt;&lt;D xsi:type="xsd:double"&gt;3.20880777096009&lt;/D&gt;&lt;D xsi:type="xsd:double"&gt;3.4263138214808&lt;/D&gt;&lt;D xsi:type="xsd:double"&gt;3.28382959363118&lt;/D&gt;&lt;D xsi:type="xsd:double"&gt;3.12457913185738&lt;/D&gt;&lt;D xsi:type="xsd:double"&gt;3.22514247311463&lt;/D&gt;&lt;D xsi:type="xsd:double"&gt;3.06034342540388&lt;/D&gt;&lt;D xsi:type="xsd:double"&gt;3.13212059946089&lt;/D&gt;&lt;D xsi:type="xsd:double"&gt;3.15678083781982&lt;/D&gt;&lt;D xsi:type="xsd:double"&gt;3.06914292279135&lt;/D&gt;&lt;D xsi:type="xsd:double"&gt;3.19042653607759&lt;/D&gt;&lt;D xsi:type="xsd:double"&gt;3.16485288239112&lt;/D&gt;&lt;D xsi:type="xsd:double"&gt;3.13725596886208&lt;/D&gt;&lt;D xsi:type="xsd:double"&gt;3.22704656008907&lt;/D&gt;&lt;D xsi:type="xsd:double"&gt;3.35482479377066&lt;/D&gt;&lt;D xsi:type="xsd:double"&gt;3.55331919528117&lt;/D&gt;&lt;D xsi:type="xsd:double"&gt;3.3633936139957&lt;/D&gt;&lt;D xsi:type="xsd:double"&gt;3.27188692633068&lt;/D&gt;&lt;D xsi:type="xsd:double"&gt;3.27910625543675&lt;/D&gt;&lt;D xsi:type="xsd:double"&gt;3.30363572883904&lt;/D&gt;&lt;D xsi:type="xsd:double"&gt;3.26238627704191&lt;/D&gt;&lt;D xsi:type="xsd:double"&gt;3.41440942785273&lt;/D&gt;&lt;D xsi:type="xsd:double"&gt;3.26795935688626&lt;/D&gt;&lt;/FQL&gt;&lt;FQL&gt;&lt;Q&gt;FXI^FG_TOTAL_RETURNC(0,-3AM)&lt;/Q&gt;&lt;R&gt;1&lt;/R&gt;&lt;C&gt;1&lt;/C&gt;&lt;D xsi:type="xsd:double"&gt;13.706231&lt;/D&gt;&lt;/FQL&gt;&lt;FQL&gt;&lt;Q&gt;EWA^FMA_COS_DOWN("EPS","1M",+1,0,,,"PORTAGG","MEANR")&lt;/Q&gt;&lt;R&gt;1&lt;/R&gt;&lt;C&gt;1&lt;/C&gt;&lt;D xsi:type="xsd:double"&gt;27&lt;/D&gt;&lt;/FQL&gt;&lt;FQL&gt;&lt;Q&gt;REFCATARG-FDS^FG_YIELD(NOW,,,0)&lt;/Q&gt;&lt;R&gt;1&lt;/R&gt;&lt;C&gt;1&lt;/C&gt;&lt;D xsi:type="xsd:double"&gt;5&lt;/D&gt;&lt;/FQL&gt;&lt;FQL&gt;&lt;Q&gt;EWI^FMA_DIV_YLD(NTMA,NOW,NOW,M,"PORTAGG","MEANR")&lt;/Q&gt;&lt;R&gt;1&lt;/R&gt;&lt;C&gt;1&lt;/C&gt;&lt;D xsi:type="xsd:double"&gt;5.25523133527998&lt;/D&gt;&lt;/FQL&gt;&lt;FQL&gt;&lt;Q&gt;USDANG^FG_COMPANY_NAME&lt;/Q&gt;&lt;R&gt;1&lt;/R&gt;&lt;C&gt;1&lt;/C&gt;&lt;D xsi:type="xsd:string"&gt;Netherlands Antilles Guilder per U.S. Dollar&lt;/D&gt;&lt;/FQL&gt;&lt;FQL&gt;&lt;Q&gt;EWL^P_PRICE(0)/P_PRICE_LOW_PR(0,,,,,,"PRICE","INTRA","52W")-1&lt;/Q&gt;&lt;R&gt;1&lt;/R&gt;&lt;C&gt;1&lt;/C&gt;&lt;D xsi:type="xsd:double"&gt;0.1831528&lt;/D&gt;&lt;/FQL&gt;&lt;FQL&gt;&lt;Q&gt;ENZL^JULIAN(FMA_DIV_YLD(NTMA,NOW,NOW,M,"PORTAGG","MEANR").DATES)&lt;/Q&gt;&lt;R&gt;1&lt;/R&gt;&lt;C&gt;1&lt;/C&gt;&lt;D xsi:type="xsd:long"&gt;45441&lt;/D&gt;&lt;/FQL&gt;&lt;FQL&gt;&lt;Q&gt;EWL^FMA_PE(NTMA,-10AY,0,AM,"PORTAGG","MEANR")&lt;/Q&gt;&lt;R&gt;121&lt;/R&gt;&lt;C&gt;1&lt;/C&gt;&lt;D xsi:type="xsd:double"&gt;16.3919649167552&lt;/D&gt;&lt;D xsi:type="xsd:double"&gt;16.0664521056103&lt;/D&gt;&lt;D xsi:type="xsd:double"&gt;15.838830360299&lt;/D&gt;&lt;D xsi:type="xsd:double"&gt;16.1158865051966&lt;/D&gt;&lt;D xsi:type="xsd:double"&gt;15.9647385354935&lt;/D&gt;&lt;D xsi:type="xsd:double"&gt;15.9486062855683&lt;/D&gt;&lt;D xsi:type="xsd:double"&gt;16.3738988714137&lt;/D&gt;&lt;D xsi:type="xsd:double"&gt;15.6774388962394&lt;/D&gt;&lt;D xsi:type="xsd:double"&gt;16.3297532069083&lt;/D&gt;&lt;D xsi:type="xsd:double"&gt;17.6281338147808&lt;/D&gt;&lt;D xsi:type="xsd:double"&gt;17.6084505659721&lt;/D&gt;&lt;D xsi:type="xsd:double"&gt;17.7320953459968&lt;/D&gt;&lt;D xsi:type="xsd:double"&gt;17.6337153950386&lt;/D&gt;&lt;D xsi:type="xsd:double"&gt;16.7814457783277&lt;/D&gt;&lt;D xsi:type="xsd:double"&gt;17.7286593613652&lt;/D&gt;&lt;D xsi:type="xsd:double"&gt;16.5813186309309&lt;/D&gt;&lt;D xsi:type="xsd:double"&gt;15.9454089953965&lt;/D&gt;&lt;D xsi:type="xsd:double"&gt;16.9691527737845&lt;/D&gt;&lt;D xsi:type="xsd:double"&gt;17.0063770212467&lt;/D&gt;&lt;D xsi:type="xsd:double"&gt;16.8788893702635&lt;/D&gt;&lt;D xsi:type="xsd:double"&gt;16.2358473101891&lt;/D&gt;&lt;D xsi:type="xsd:double"&gt;16.2822068640712&lt;/D&gt;&lt;D xsi:type="xsd:double"&gt;16.456361079446&lt;/D&gt;&lt;D xsi:type="xsd:double"&gt;16.7255752354645&lt;/D&gt;&lt;D xsi:type="xsd:double"&gt;17.150174503772&lt;/D&gt;&lt;D xsi:type="xsd:double"&gt;16.7416989528956&lt;/D&gt;&lt;D xsi:type="xsd:double"&gt;17.1947093969876&lt;/D&gt;&lt;D xsi:type="xsd:double"&gt;17.2554179389628&lt;/D&gt;&lt;D xsi:type="xsd:double"&gt;17.1320757681278&lt;/D&gt;&lt;D xsi:type="xsd:double"&gt;16.47686899835&lt;/D&gt;&lt;D xsi:type="xsd:double"&gt;16.3176780680301&lt;/D&gt;&lt;D xsi:type="xsd:double"&gt;16.782175135433&lt;/D&gt;&lt;D xsi:type="xsd:double"&gt;17.0738894710053&lt;/D&gt;&lt;D xsi:type="xsd:double"&gt;17.5438016459009&lt;/D&gt;&lt;D xsi:type="xsd:double"&gt;17.4040404249103&lt;/D&gt;&lt;D xsi:type="xsd:double"&gt;17.8214731202023&lt;/D&gt;&lt;D xsi:type="xsd:double"&gt;18.04251048095&lt;/D&gt;&lt;D xsi:type="xsd:double"&gt;17.73516256302&lt;/D&gt;&lt;D xsi:type="xsd:double"&gt;17.8185793074865&lt;/D&gt;&lt;D xsi:type="xsd:double"&gt;17.4280190924736&lt;/D&gt;&lt;D xsi:type="xsd:double"&gt;17.7546068746608&lt;/D&gt;&lt;D xsi:type="xsd:double"&gt;17.8998145687174&lt;/D&gt;&lt;D xsi:type="xsd:double"&gt;17.7382809651166&lt;/D&gt;&lt;D xsi:type="xsd:double"&gt;17.6917910480203&lt;/D&gt;&lt;D xsi:type="xsd:double"&gt;17.6284053878007&lt;/D&gt;&lt;D xsi:type="xsd:double"&gt;16.5582122766861&lt;/D&gt;&lt;D xsi:type="xsd:double"&gt;16.0706668651794&lt;/D&gt;&lt;D xsi:type="xsd:double"&gt;16.1869435164607&lt;/D&gt;&lt;D xsi:type="xsd:double"&gt;15.5046920358956&lt;/D&gt;&lt;D xsi:type="xsd:double"&gt;15.5840372409696&lt;/D&gt;&lt;D xsi:type="xsd:double"&gt;16.3139489568828&lt;/D&gt;&lt;D xsi:type="xsd:double"&gt;16.0320587816632&lt;/D&gt;&lt;D xsi:type="xsd:double"&gt;16.0676655498757&lt;/D&gt;&lt;D xsi:type="xsd:double"&gt;15.7000156277464&lt;/D&gt;&lt;D xsi:type="xsd:double"&gt;15.646935610208&lt;/D&gt;&lt;D xsi:type="xsd:double"&gt;14.4906295812933&lt;/D&gt;&lt;D xsi:type="xsd:double"&gt;15.5577862084732&lt;/D&gt;&lt;D xsi:type="xsd:double"&gt;16.3380739480788&lt;/D&gt;&lt;D xsi:type="xsd:double"&gt;16.579177769501&lt;/D&gt;&lt;D xsi:type="xsd:double"&gt;16.9467012132734&lt;/D&gt;&lt;D xsi:type="xsd:double"&gt;16.4630232621215&lt;/D&gt;&lt;D xsi:type="xsd:double"&gt;17.1768867870763&lt;/D&gt;&lt;D xsi:type="xsd:double"&gt;17.0750310255773&lt;/D&gt;&lt;D xsi:type="xsd:double"&gt;16.8990330378957&lt;/D&gt;&lt;D xsi:type="xsd:double"&gt;17.1371584864898&lt;/D&gt;&lt;D xsi:type="xsd:double"&gt;17.3233941516385&lt;/D&gt;&lt;D xsi:type="xsd:double"&gt;17.5284411459798&lt;/D&gt;&lt;D xsi:type="xsd:double"&gt;17.8179771621407&lt;/D&gt;&lt;D xsi:type="xsd:double"&gt;17.8411205610265&lt;/D&gt;&lt;D xsi:type="xsd:double"&gt;16.481213972625&lt;/D&gt;&lt;D xsi:type="xsd:double"&gt;16.0714352739017&lt;/D&gt;&lt;D xsi:type="xsd:double"&gt;18.253518737636&lt;/D&gt;&lt;D xsi:type="xsd:double"&gt;19.0085351770023&lt;/D&gt;&lt;D xsi:type="xsd:double"&gt;19.2741663652738&lt;/D&gt;&lt;D xsi:type="xsd:double"&gt;19.2253827885576&lt;/D&gt;&lt;D xsi:type="xsd:double"&gt;19.4214714718674&lt;/D&gt;&lt;D xsi:type="xsd:double"&gt;18.9621809626773&lt;/D&gt;&lt;D xsi:type="xsd:double"&gt;17.5384728532529&lt;/D&gt;&lt;D xsi:type="xsd:double"&gt;18.7552366468106&lt;/D&gt;&lt;D xsi:type="xsd:double"&gt;18.8631388298919&lt;/D&gt;&lt;D xsi:type="xsd:double"&gt;18.4239060344743&lt;/D&gt;&lt;D xsi:type="xsd:double"&gt;18.2374865926649&lt;/D&gt;&lt;D xsi:type="xsd:double"&gt;18.6874790148565&lt;/D&gt;&lt;D xsi:type="xsd:double"&gt;18.2269849452322&lt;/D&gt;&lt;D xsi:type="xsd:double"&gt;19.3911816465349&lt;/D&gt;&lt;D xsi:type="xsd:double"&gt;19.7310036117143&lt;/D&gt;&lt;D xsi:type="xsd:double"&gt;19.7584499847848&lt;/D&gt;&lt;D xsi:type="xsd:double"&gt;19.845799242727&lt;/D&gt;&lt;D xsi:type="xsd:double"&gt;18.3179272296766&lt;/D&gt;&lt;D xsi:type="xsd:double"&gt;18.9759850900261&lt;/D&gt;&lt;D xsi:type="xsd:double"&gt;18.5960179744497&lt;/D&gt;&lt;D xsi:type="xsd:double"&gt;19.8058466704819&lt;/D&gt;&lt;D xsi:type="xsd:double"&gt;18.2054725535467&lt;/D&gt;&lt;D xsi:type="xsd:double"&gt;18.0709321099099&lt;/D&gt;&lt;D xsi:type="xsd:double"&gt;18.3367344356649&lt;/D&gt;&lt;D xsi:type="xsd:double"&gt;17.9257583177869&lt;/D&gt;&lt;D xsi:type="xsd:double"&gt;17.0489743789299&lt;/D&gt;&lt;D xsi:type="xsd:double"&gt;15.7363508516218&lt;/D&gt;&lt;D xsi:type="xsd:double"&gt;16.8854921880258&lt;/D&gt;&lt;D xsi:type="xsd:double"&gt;16.0505136583617&lt;/D&gt;&lt;D xsi:type="xsd:double"&gt;14.9673832905973&lt;/D&gt;&lt;D xsi:type="xsd:double"&gt;15.740169174045&lt;/D&gt;&lt;D xsi:type="xsd:double"&gt;16.7032855459262&lt;/D&gt;&lt;D xsi:type="xsd:double"&gt;16.2295004732045&lt;/D&gt;&lt;D xsi:type="xsd:double"&gt;17.241064071156&lt;/D&gt;&lt;D xsi:type="xsd:double"&gt;17.041634285392&lt;/D&gt;&lt;D xsi:type="xsd:double"&gt;17.1606533380692&lt;/D&gt;&lt;D xsi:type="xsd:double"&gt;17.540422422225&lt;/D&gt;&lt;D xsi:type="xsd:double"&gt;16.8107927031816&lt;/D&gt;&lt;D xsi:type="xsd:double"&gt;16.5053467701609&lt;/D&gt;&lt;D xsi:type="xsd:double"&gt;16.9653045302492&lt;/D&gt;&lt;D xsi:type="xsd:double"&gt;16.6780136003432&lt;/D&gt;&lt;D xsi:type="xsd:double"&gt;16.1711476608732&lt;/D&gt;&lt;D xsi:type="xsd:double"&gt;15.3601261918615&lt;/D&gt;&lt;D xsi:type="xsd:double"&gt;16.378555380487&lt;/D&gt;&lt;D xsi:type="xsd:double"&gt;16.8530354530591&lt;/D&gt;&lt;D xsi:type="xsd:double"&gt;17.2545385386944&lt;/D&gt;&lt;D xsi:type="xsd:double"&gt;17.444085372292&lt;/D&gt;&lt;D xsi:type="xsd:double"&gt;17.6957761743743&lt;/D&gt;&lt;D xsi:type="xsd:double"&gt;16.6114035175918&lt;/D&gt;&lt;D xsi:type="xsd:double"&gt;16.953925543285&lt;/D&gt;&lt;/FQL&gt;&lt;FQL&gt;&lt;Q&gt;REFCATARG-FDS^PROPER_NAME(0,,,"SECURITY","NAME")&lt;/Q&gt;&lt;R&gt;1&lt;/R&gt;&lt;C&gt;1&lt;/C&gt;&lt;D xsi:type="xsd:string"&gt;Canada Target Rate&lt;/D&gt;&lt;/FQL&gt;&lt;FQL&gt;&lt;Q&gt;GLD^FG_TOTAL_RETURNC(0,-6AM)&lt;/Q&gt;&lt;R&gt;1&lt;/R&gt;&lt;C&gt;1&lt;/C&gt;&lt;D xsi:type="xsd:double"&gt;14.066231&lt;/D&gt;&lt;/FQL&gt;&lt;FQL&gt;&lt;Q&gt;EWD^FMA_EVAL_EBIT(LTMA,NOW,NOW,M,"PORTAGG","MEANR")&lt;/Q&gt;&lt;R&gt;1&lt;/R&gt;&lt;C&gt;1&lt;/C&gt;&lt;D xsi:type="xsd:double"&gt;15.9529912187152&lt;/D&gt;&lt;/FQL&gt;&lt;FQL&gt;&lt;Q&gt;EWJ^FMA_PE(NTMA,-10AY,0,AM,"PORTAGG","MEANR")&lt;/Q&gt;&lt;R&gt;121&lt;/R&gt;&lt;C&gt;1&lt;/C&gt;&lt;D xsi:type="xsd:double"&gt;13.2186784272834&lt;/D&gt;&lt;D xsi:type="xsd:double"&gt;13.7662935246078&lt;/D&gt;&lt;D xsi:type="xsd:double"&gt;13.909143291908&lt;/D&gt;&lt;D xsi:type="xsd:double"&gt;13.5853551672164&lt;/D&gt;&lt;D xsi:type="xsd:double"&gt;14.1074103886624&lt;/D&gt;&lt;D xsi:type="xsd:double"&gt;13.9869905302651&lt;/D&gt;&lt;D xsi:type="xsd:double"&gt;14.4804093238916&lt;/D&gt;&lt;D xsi:type="xsd:double"&gt;14.2976940656876&lt;/D&gt;&lt;D xsi:type="xsd:double"&gt;14.0144152447374&lt;/D&gt;&lt;D xsi:type="xsd:double"&gt;15.1015622612669&lt;/D&gt;&lt;D xsi:type="xsd:double"&gt;15.2045809592468&lt;/D&gt;&lt;D xsi:type="xsd:double"&gt;15.7201430543941&lt;/D&gt;&lt;D xsi:type="xsd:double"&gt;16.4442959111096&lt;/D&gt;&lt;D xsi:type="xsd:double"&gt;15.4113344159719&lt;/D&gt;&lt;D xsi:type="xsd:double"&gt;15.5549826524311&lt;/D&gt;&lt;D xsi:type="xsd:double"&gt;14.1816123984354&lt;/D&gt;&lt;D xsi:type="xsd:double"&gt;12.9489920785456&lt;/D&gt;&lt;D xsi:type="xsd:double"&gt;14.3851291143222&lt;/D&gt;&lt;D xsi:type="xsd:double"&gt;14.5615933966001&lt;/D&gt;&lt;D xsi:type="xsd:double"&gt;14.0592028995939&lt;/D&gt;&lt;D xsi:type="xsd:double"&gt;13.0426919626841&lt;/D&gt;&lt;D xsi:type="xsd:double"&gt;12.2461647226099&lt;/D&gt;&lt;D xsi:type="xsd:double"&gt;12.8159054496988&lt;/D&gt;&lt;D xsi:type="xsd:double"&gt;12.8681650989449&lt;/D&gt;&lt;D xsi:type="xsd:double"&gt;13.6967057670383&lt;/D&gt;&lt;D xsi:type="xsd:double"&gt;12.5912265309426&lt;/D&gt;&lt;D xsi:type="xsd:double"&gt;13.3997319137909&lt;/D&gt;&lt;D xsi:type="xsd:double"&gt;13.5320528027376&lt;/D&gt;&lt;D xsi:type="xsd:double"&gt;13.3536745368456&lt;/D&gt;&lt;D xsi:type="xsd:double"&gt;13.8491674079158&lt;/D&gt;&lt;D xsi:type="xsd:double"&gt;14.473513839944&lt;/D&gt;&lt;D xsi:type="xsd:double"&gt;14.666066308777&lt;/D&gt;&lt;D xsi:type="xsd:double"&gt;14.3957254291616&lt;/D&gt;&lt;D xsi:type="xsd:double"&gt;14.1099273732975&lt;/D&gt;&lt;D xsi:type="xsd:double"&gt;13.7674669359031&lt;/D&gt;&lt;D xsi:type="xsd:double"&gt;13.8517339091738&lt;/D&gt;&lt;D xsi:type="xsd:double"&gt;14.2092865952887&lt;/D&gt;&lt;D xsi:type="xsd:double"&gt;14.3027048416095&lt;/D&gt;&lt;D xsi:type="xsd:double"&gt;14.1725273039718&lt;/D&gt;&lt;D xsi:type="xsd:double"&gt;13.7178737190061&lt;/D&gt;&lt;D xsi:type="xsd:double"&gt;14.0118512503269&lt;/D&gt;&lt;D xsi:type="xsd:double"&gt;14.5842277043917&lt;/D&gt;&lt;D xsi:type="xsd:double"&gt;14.6885134053455&lt;/D&gt;&lt;D xsi:type="xsd:double"&gt;14.7172858599221&lt;/D&gt;&lt;D xsi:type="xsd:double"&gt;14.6917518303686&lt;/D&gt;&lt;D xsi:type="xsd:double"&gt;13.2622462956589&lt;/D&gt;&lt;D xsi:type="xsd:double"&gt;12.6801796785625&lt;/D&gt;&lt;D xsi:type="xsd:double"&gt;13.2469539027739&lt;/D&gt;&lt;D xsi:type="xsd:double"&gt;12.9038133019152&lt;/D&gt;&lt;D xsi:type="xsd:double"&gt;12.7818554015054&lt;/D&gt;&lt;D xsi:type="xsd:double"&gt;12.8993275818564&lt;/D&gt;&lt;D xsi:type="xsd:double"&gt;12.6994134229768&lt;/D&gt;&lt;D xsi:type="xsd:double"&gt;13.3330644352468&lt;/D&gt;&lt;D xsi:type="xsd:double"&gt;12.01856958305&lt;/D&gt;&lt;D xsi:type="xsd:double"&gt;12.2456849881368&lt;/D&gt;&lt;D xsi:type="xsd:double"&gt;11.1043383882119&lt;/D&gt;&lt;D xsi:type="xsd:double"&gt;11.9101063196952&lt;/D&gt;&lt;D xsi:type="xsd:double"&gt;12.4615144830221&lt;/D&gt;&lt;D xsi:type="xsd:double"&gt;12.4698544979362&lt;/D&gt;&lt;D xsi:type="xsd:double"&gt;12.751371336849&lt;/D&gt;&lt;D xsi:type="xsd:double"&gt;12.1876913137614&lt;/D&gt;&lt;D xsi:type="xsd:double"&gt;12.7197215765898&lt;/D&gt;&lt;D xsi:type="xsd:double"&gt;12.8516514993815&lt;/D&gt;&lt;D xsi:type="xsd:double"&gt;12.3809220234027&lt;/D&gt;&lt;D xsi:type="xsd:double"&gt;13.1964611789398&lt;/D&gt;&lt;D xsi:type="xsd:double"&gt;13.8308901796635&lt;/D&gt;&lt;D xsi:type="xsd:double"&gt;14.2181336517598&lt;/D&gt;&lt;D xsi:type="xsd:double"&gt;14.5324936463438&lt;/D&gt;&lt;D xsi:type="xsd:double"&gt;14.2143773145466&lt;/D&gt;&lt;D xsi:type="xsd:double"&gt;12.9860799008398&lt;/D&gt;&lt;D xsi:type="xsd:double"&gt;12.2869191574333&lt;/D&gt;&lt;D xsi:type="xsd:double"&gt;14.0826152080703&lt;/D&gt;&lt;D xsi:type="xsd:double"&gt;16.236189601677&lt;/D&gt;&lt;D xsi:type="xsd:double"&gt;17.6242075904228&lt;/D&gt;&lt;D xsi:type="xsd:double"&gt;17.0912510092985&lt;/D&gt;&lt;D xsi:type="xsd:double"&gt;18.13508523149&lt;/D&gt;&lt;D xsi:type="xsd:double"&gt;18.0717796528903&lt;/D&gt;&lt;D xsi:type="xsd:double"&gt;17.1184854879912&lt;/D&gt;&lt;D xsi:type="xsd:double"&gt;18.4714464836053&lt;/D&gt;&lt;D xsi:type="xsd:double"&gt;18.3692009294026&lt;/D&gt;&lt;D xsi:type="xsd:double"&gt;18.064015554934&lt;/D&gt;&lt;D xsi:type="xsd:double"&gt;17.6430215356617&lt;/D&gt;&lt;D xsi:type="xsd:double"&gt;17.5359673647359&lt;/D&gt;&lt;D xsi:type="xsd:double"&gt;16.6871022605131&lt;/D&gt;&lt;D xsi:type="xsd:double"&gt;16.6482846856501&lt;/D&gt;&lt;D xsi:type="xsd:double"&gt;16.2286322012094&lt;/D&gt;&lt;D xsi:type="xsd:double"&gt;15.5393409642056&lt;/D&gt;&lt;D xsi:type="xsd:double"&gt;15.3218768813703&lt;/D&gt;&lt;D xsi:type="xsd:double"&gt;15.5025867945397&lt;/D&gt;&lt;D xsi:type="xsd:double"&gt;15.1726133599841&lt;/D&gt;&lt;D xsi:type="xsd:double"&gt;14.3853789088811&lt;/D&gt;&lt;D xsi:type="xsd:double"&gt;14.5056304133844&lt;/D&gt;&lt;D xsi:type="xsd:double"&gt;13.6207562568434&lt;/D&gt;&lt;D xsi:type="xsd:double"&gt;13.308614401752&lt;/D&gt;&lt;D xsi:type="xsd:double"&gt;13.2828218639236&lt;/D&gt;&lt;D xsi:type="xsd:double"&gt;12.8254076942102&lt;/D&gt;&lt;D xsi:type="xsd:double"&gt;12.8414184490587&lt;/D&gt;&lt;D xsi:type="xsd:double"&gt;12.3349315355098&lt;/D&gt;&lt;D xsi:type="xsd:double"&gt;12.7444681695237&lt;/D&gt;&lt;D xsi:type="xsd:double"&gt;12.8201759239952&lt;/D&gt;&lt;D xsi:type="xsd:double"&gt;11.8310229073371&lt;/D&gt;&lt;D xsi:type="xsd:double"&gt;12.4873628931645&lt;/D&gt;&lt;D xsi:type="xsd:double"&gt;12.9144665562746&lt;/D&gt;&lt;D xsi:type="xsd:double"&gt;12.203889572336&lt;/D&gt;&lt;D xsi:type="xsd:double"&gt;12.8677829605514&lt;/D&gt;&lt;D xsi:type="xsd:double"&gt;13.0807608953308&lt;/D&gt;&lt;D xsi:type="xsd:double"&gt;13.158625513456&lt;/D&gt;&lt;D xsi:type="xsd:double"&gt;13.4722163970074&lt;/D&gt;&lt;D xsi:type="xsd:double"&gt;13.9503925563709&lt;/D&gt;&lt;D xsi:type="xsd:double"&gt;14.8867175302062&lt;/D&gt;&lt;D xsi:type="xsd:double"&gt;14.8897502425281&lt;/D&gt;&lt;D xsi:type="xsd:double"&gt;14.5307050016855&lt;/D&gt;&lt;D xsi:type="xsd:double"&gt;14.353548830819&lt;/D&gt;&lt;D xsi:type="xsd:double"&gt;13.7746878401843&lt;/D&gt;&lt;D xsi:type="xsd:double"&gt;14.2815161192919&lt;/D&gt;&lt;D xsi:type="xsd:double"&gt;14.0462144783131&lt;/D&gt;&lt;D xsi:type="xsd:double"&gt;15.0728817345714&lt;/D&gt;&lt;D xsi:type="xsd:double"&gt;15.5364976770219&lt;/D&gt;&lt;D xsi:type="xsd:double"&gt;15.7895394181969&lt;/D&gt;&lt;D xsi:type="xsd:double"&gt;15.516303534408&lt;/D&gt;&lt;D xsi:type="xsd:double"&gt;15.4383438074015&lt;/D&gt;&lt;/FQL&gt;&lt;FQL&gt;&lt;Q&gt;DUMMY^ECON_DATE(45324,,, 'MM/YYYY')&lt;/Q&gt;&lt;R&gt;1&lt;/R&gt;&lt;C&gt;1&lt;/C&gt;&lt;D xsi:type="xsd:string"&gt;02/2024&lt;/D&gt;&lt;/FQL&gt;&lt;FQL&gt;&lt;Q&gt;DUMMY^ECON_DATE(45414,,, 'MM/YYYY')&lt;/Q&gt;&lt;R&gt;1&lt;/R&gt;&lt;C&gt;1&lt;/C&gt;&lt;D xsi:type="xsd:string"&gt;05/2024&lt;/D&gt;&lt;/FQL&gt;&lt;FQL&gt;&lt;Q&gt;DUMMY^ECON_EXPR_DATA('FDS_ECON[PMIDMMANHE]',05/2024,,Q)&lt;/Q&gt;&lt;R&gt;1&lt;/R&gt;&lt;C&gt;1&lt;/C&gt;&lt;D xsi:type="xsd:double"&gt;49.13533&lt;/D&gt;&lt;/FQL&gt;&lt;FQL&gt;&lt;Q&gt;DUMMY^ECON_EXPR_DATA('FDS_ECON[PMIDMMANHE]',02/2024,,Q)&lt;/Q&gt;&lt;R&gt;1&lt;/R&gt;&lt;C&gt;1&lt;/C&gt;&lt;D xsi:type="xsd:double"&gt;47.377975&lt;/D&gt;&lt;/FQL&gt;&lt;FQL&gt;&lt;Q&gt;DUMMY^ECON_EXPR_DATA('FDS_ECON[NTCPMIMFGSA@EME]',05/2024,,Q)&lt;/Q&gt;&lt;R&gt;1&lt;/R&gt;&lt;C&gt;1&lt;/C&gt;&lt;D xsi:type="xsd:double"&gt;51.51058&lt;/D&gt;&lt;/FQL&gt;&lt;FQL&gt;&lt;Q&gt;DUMMY^ECON_EXPR_DATA('FDS_ECON[NTCPMIMFGSA@EME]',02/2024,,Q)&lt;/Q&gt;&lt;R&gt;1&lt;/R&gt;&lt;C&gt;1&lt;/C&gt;&lt;D xsi:type="xsd:double"&gt;50.624123&lt;/D&gt;&lt;/FQL&gt;&lt;FQL&gt;&lt;Q&gt;DUMMY^ECON_EXPR_DATA('FDS_ECON[NTCPMIMFGSA@NZ]',05/2024,,Q)&lt;/Q&gt;&lt;R&gt;1&lt;/R&gt;&lt;C&gt;1&lt;/C&gt;&lt;D xsi:type="xsd:double"&gt;47.799873&lt;/D&gt;&lt;/FQL&gt;&lt;FQL&gt;&lt;Q&gt;DUMMY^ECON_EXPR_DATA('FDS_ECON[NTCPMIMFGSA@NZ]',02/2024,,Q)&lt;/Q&gt;&lt;R&gt;1&lt;/R&gt;&lt;C&gt;1&lt;/C&gt;&lt;D xsi:type="xsd:double"&gt;44.485504&lt;/D&gt;&lt;/FQL&gt;&lt;FQL&gt;&lt;Q&gt;DUMMY^ECON_EXPR_DATA('FDS_ECON[NTCPMIMFGSA@AU]',05/2024,,Q)&lt;/Q&gt;&lt;R&gt;1&lt;/R&gt;&lt;C&gt;1&lt;/C&gt;&lt;D xsi:type="xsd:double"&gt;48.39547&lt;/D&gt;&lt;/FQL&gt;&lt;FQL&gt;&lt;Q&gt;DUMMY^ECON_EXPR_DATA('FDS_ECON[NTCPMIMFGSA@AU]',02/2024,,Q)&lt;/Q&gt;&lt;R&gt;1&lt;/R&gt;&lt;C&gt;1&lt;/C&gt;&lt;D xsi:type="xsd:double"&gt;47.862293&lt;/D&gt;&lt;/FQL&gt;&lt;FQL&gt;&lt;Q&gt;DUMMY^ECON_EXPR_DATA('FDS_ECON[NTCPMIMFGSA@CA]',05/2024,,Q)&lt;/Q&gt;&lt;R&gt;1&lt;/R&gt;&lt;C&gt;1&lt;/C&gt;&lt;D xsi:type="xsd:double"&gt;49.30091&lt;/D&gt;&lt;/FQL&gt;&lt;FQL&gt;&lt;Q&gt;DUMMY^ECON_EXPR_DATA('FDS_ECON[NTCPMIMFGSA@CA]',02/2024,,Q)&lt;/Q&gt;&lt;R&gt;1&lt;/R&gt;&lt;C&gt;1&lt;/C&gt;&lt;D xsi:type="xsd:double"&gt;47.255585&lt;/D&gt;&lt;/FQL&gt;&lt;FQL&gt;&lt;Q&gt;DUMMY^ECON_EXPR_DATA('FDS_ECON[NTCPMIMFGSA@DE]',05/2024,,Q)&lt;/Q&gt;&lt;R&gt;1&lt;/R&gt;&lt;C&gt;1&lt;/C&gt;&lt;D xsi:type="xsd:double"&gt;43.319096&lt;/D&gt;&lt;/FQL&gt;&lt;FQL&gt;&lt;Q&gt;DUMMY^ECON_EXPR_DATA('FDS_ECON[NTCPMIMFGSA@DE]',02/2024,,Q)&lt;/Q&gt;&lt;R&gt;1&lt;/R&gt;&lt;C&gt;1&lt;/C&gt;&lt;D xsi:type="xsd:double"&gt;42.238945&lt;/D&gt;&lt;/FQL&gt;&lt;FQL&gt;&lt;Q&gt;DUMMY^ECON_EXPR_DATA('FDS_ECON[NTCPMIMFGSA@JP]',05/2024,,Q)&lt;/Q&gt;&lt;R&gt;1&lt;/R&gt;&lt;C&gt;1&lt;/C&gt;&lt;D xsi:type="xsd:double"&gt;47.808857&lt;/D&gt;&lt;/FQL&gt;&lt;FQL&gt;&lt;Q&gt;DUMMY^ECON_EXPR_DATA('FDS_ECON[NTCPMIMFGSA@JP]',02/2024,,Q)&lt;/Q&gt;&lt;R&gt;1&lt;/R&gt;&lt;C&gt;1&lt;/C&gt;&lt;D xsi:type="xsd:double"&gt;48.31877&lt;/D&gt;&lt;/FQL&gt;&lt;FQL&gt;&lt;Q&gt;DUMMY^ECON_EXPR_DATA('FDS_ECON[NTCPMIMFGSA@CH]',05/2024,,Q)&lt;/Q&gt;&lt;R&gt;1&lt;/R&gt;&lt;C&gt;1&lt;/C&gt;&lt;D xsi:type="xsd:double"&gt;44.08605&lt;/D&gt;&lt;/FQL&gt;&lt;FQL&gt;&lt;Q&gt;DUMMY^ECON_EXPR_DATA('FDS_ECON[NTCPMIMFGSA@CH]',02/2024,,Q)&lt;/Q&gt;&lt;R&gt;1&lt;/R&gt;&lt;C&gt;1&lt;/C&gt;&lt;D xsi:type="xsd:double"&gt;41.921543&lt;/D&gt;&lt;/FQL&gt;&lt;FQL&gt;&lt;Q&gt;DUMMY^ECON_EXPR_DATA('FDS_ECON[NTCPMIMFGSA@GB]',05/2024,,Q)&lt;/Q&gt;&lt;R&gt;1&lt;/R&gt;&lt;C&gt;1&lt;/C&gt;&lt;D xsi:type="xsd:double"&gt;48.24796&lt;/D&gt;&lt;/FQL&gt;&lt;FQL&gt;&lt;Q&gt;DUMMY^ECON_EXPR_DATA('FDS_ECON[NTCPMIMFGSA@GB]',02/2024,,Q)&lt;/Q&gt;&lt;R&gt;1&lt;/R&gt;&lt;C&gt;1&lt;/C&gt;&lt;D xsi:type="xsd:double"&gt;46.0587&lt;/D&gt;&lt;/FQL&gt;&lt;FQL&gt;&lt;Q&gt;DUMMY^ECON_EXPR_DATA('FDS_ECON[NTCPMIMFGMESA@US]',05/2024,,Q)&lt;/Q&gt;&lt;R&gt;1&lt;/R&gt;&lt;C&gt;1&lt;/C&gt;&lt;D xsi:type="xsd:double"&gt;51.582687&lt;/D&gt;&lt;/FQL&gt;&lt;FQL&gt;&lt;Q&gt;DUMMY^ECON_EXPR_DATA('FDS_ECON[NTCPMIMFGMESA@US]',02/2024,,Q)&lt;/Q&gt;&lt;R&gt;1&lt;/R&gt;&lt;C&gt;1&lt;/C&gt;&lt;D xsi:type="xsd:double"&gt;49.098827&lt;/D&gt;&lt;/FQL&gt;&lt;FQL&gt;&lt;Q&gt;DUMMY^ECON_EXPR_DATA('FDS_ECON[NTCPMIMFGSA@FR]',05/2024,,Q)&lt;/Q&gt;&lt;R&gt;1&lt;/R&gt;&lt;C&gt;1&lt;/C&gt;&lt;D xsi:type="xsd:double"&gt;45.498753&lt;/D&gt;&lt;/FQL&gt;&lt;FQL&gt;&lt;Q&gt;DUMMY^ECON_EXPR_DATA('FDS_ECON[NTCPMIMFGSA@FR]',02/2024,,Q)&lt;/Q&gt;&lt;R&gt;1&lt;/R&gt;&lt;C&gt;1&lt;/C&gt;&lt;D xsi:type="xsd:double"&gt;42.573967&lt;/D&gt;&lt;/FQL&gt;&lt;FQL&gt;&lt;Q&gt;DUMMY^ECON_EXPR_DATA('FDS_ECON[NTCPMIMFGSA@NL]',05/2024,,Q)&lt;/Q&gt;&lt;R&gt;1&lt;/R&gt;&lt;C&gt;1&lt;/C&gt;&lt;D xsi:type="xsd:double"&gt;49.325874&lt;/D&gt;&lt;/FQL&gt;&lt;FQL&gt;&lt;Q&gt;DUMMY^ECON_EXPR_DATA('FDS_ECON[NTCPMIMFGSA@NL]',02/2024,,Q)&lt;/Q&gt;&lt;R&gt;1&lt;/R&gt;&lt;C&gt;1&lt;/C&gt;&lt;D xsi:type="xsd:double"&gt;44.495136&lt;/D&gt;&lt;/FQL&gt;&lt;FQL&gt;&lt;Q&gt;DUMMY^ECON_EXPR_DATA('FDS_ECON[]',05/2024,,Q)&lt;/Q&gt;&lt;R&gt;0&lt;/R&gt;&lt;C&gt;0&lt;/C&gt;&lt;/FQL&gt;&lt;FQL&gt;&lt;Q&gt;DUMMY^ECON_EXPR_DATA('FDS_ECON[]',02/2024,,Q)&lt;/Q&gt;&lt;R&gt;0&lt;/R&gt;&lt;C&gt;0&lt;/C&gt;&lt;/FQL&gt;&lt;FQL&gt;&lt;Q&gt;DUMMY^ECON_EXPR_DATA('FDS_ECON[NTCPMIMFGSA@IT]',05/2024,,Q)&lt;/Q&gt;&lt;R&gt;1&lt;/R&gt;&lt;C&gt;1&lt;/C&gt;&lt;D xsi:type="xsd:double"&gt;49.208153&lt;/D&gt;&lt;/FQL&gt;&lt;FQL&gt;&lt;Q&gt;DUMMY^ECON_EXPR_DATA('FDS_ECON[NTCPMIMFGSA@IT]',02/2024,,Q)&lt;/Q&gt;&lt;R&gt;1&lt;/R&gt;&lt;C&gt;1&lt;/C&gt;&lt;D xsi:type="xsd:double"&gt;44.859455&lt;/D&gt;&lt;/FQL&gt;&lt;/Schema&gt;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<sst xmlns="http://schemas.openxmlformats.org/spreadsheetml/2006/main" count="2053" uniqueCount="915">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</sst>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4.9223038203294177E-2</v>
      </c>
      <c r="O13" s="55">
        <f>N13*(1+N9)</f>
        <v>5.2176420495491829E-2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3.9706581101631867E-2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4.4877E-2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-5.7769617967058234E-3</v>
      </c>
      <c r="O21" s="57">
        <f>O13-O16</f>
        <v>7.1764204954918309E-3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4.3460382032941766E-3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6</v>
      </c>
      <c r="E8" s="11">
        <f t="shared" ref="E8:E17" si="0">D8</f>
        <v>6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1</v>
      </c>
    </row>
    <row r="10" spans="3:9" x14ac:dyDescent="0.35">
      <c r="C10" s="56" t="s">
        <v>888</v>
      </c>
      <c r="D10">
        <f>'Asset class'!S5</f>
        <v>5</v>
      </c>
      <c r="E10" s="58">
        <f t="shared" si="0"/>
        <v>5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8</v>
      </c>
      <c r="E11" s="58">
        <f t="shared" si="0"/>
        <v>8</v>
      </c>
      <c r="H11" s="12" t="s">
        <v>905</v>
      </c>
      <c r="I11" s="59">
        <f>Timing!N22</f>
        <v>1</v>
      </c>
    </row>
    <row r="12" spans="3:9" x14ac:dyDescent="0.35">
      <c r="C12" s="56" t="s">
        <v>51</v>
      </c>
      <c r="D12">
        <f>'Asset class'!S7</f>
        <v>5</v>
      </c>
      <c r="E12" s="58">
        <f t="shared" si="0"/>
        <v>5</v>
      </c>
    </row>
    <row r="13" spans="3:9" x14ac:dyDescent="0.35">
      <c r="C13" s="56" t="s">
        <v>890</v>
      </c>
      <c r="D13">
        <f>'Asset class'!S8</f>
        <v>3</v>
      </c>
      <c r="E13" s="58">
        <f t="shared" si="0"/>
        <v>3</v>
      </c>
    </row>
    <row r="14" spans="3:9" ht="15" thickBot="1" x14ac:dyDescent="0.4">
      <c r="C14" s="12" t="s">
        <v>457</v>
      </c>
      <c r="D14">
        <f>'Asset class'!S9</f>
        <v>9</v>
      </c>
      <c r="E14" s="14">
        <f t="shared" si="0"/>
        <v>9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1</v>
      </c>
      <c r="E16" s="14">
        <f t="shared" si="0"/>
        <v>1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0.44246031746031744</v>
      </c>
      <c r="D23" s="170"/>
      <c r="E23" s="171">
        <f>'Momnetum ranking'!I22</f>
        <v>0.32539682539682541</v>
      </c>
    </row>
    <row r="24" spans="2:15" x14ac:dyDescent="0.35">
      <c r="B24" s="56" t="s">
        <v>51</v>
      </c>
      <c r="C24" s="9">
        <f>'Momnetum ranking'!H10</f>
        <v>0.43137254901960786</v>
      </c>
      <c r="D24" s="9"/>
      <c r="E24" s="57">
        <f>'Momnetum ranking'!I10</f>
        <v>0.3235294117647059</v>
      </c>
    </row>
    <row r="25" spans="2:15" x14ac:dyDescent="0.35">
      <c r="B25" s="56" t="s">
        <v>895</v>
      </c>
      <c r="C25" s="9">
        <f>'Momnetum ranking'!H23</f>
        <v>0.41509433962264153</v>
      </c>
      <c r="D25" s="9"/>
      <c r="E25" s="57">
        <f>'Momnetum ranking'!I23</f>
        <v>0.41509433962264153</v>
      </c>
    </row>
    <row r="26" spans="2:15" x14ac:dyDescent="0.35">
      <c r="B26" s="56" t="s">
        <v>46</v>
      </c>
      <c r="C26" s="9">
        <f>'Momnetum ranking'!H21</f>
        <v>0.58447488584474883</v>
      </c>
      <c r="D26" s="9"/>
      <c r="E26" s="57">
        <f>'Momnetum ranking'!I21</f>
        <v>0.36529680365296802</v>
      </c>
    </row>
    <row r="27" spans="2:15" ht="15" thickBot="1" x14ac:dyDescent="0.4">
      <c r="B27" s="12" t="s">
        <v>536</v>
      </c>
      <c r="C27" s="172">
        <f>'Momnetum ranking'!H18</f>
        <v>0.36299765807962531</v>
      </c>
      <c r="D27" s="172"/>
      <c r="E27" s="59">
        <f>'Momnetum ranking'!I18</f>
        <v>0.42232630757220924</v>
      </c>
    </row>
    <row r="28" spans="2:15" x14ac:dyDescent="0.35">
      <c r="B28" s="62" t="s">
        <v>6</v>
      </c>
      <c r="C28" s="170">
        <f>'Momnetum ranking'!H19</f>
        <v>0.17925120267726416</v>
      </c>
      <c r="D28" s="170"/>
      <c r="E28" s="171">
        <f>'Momnetum ranking'!I19</f>
        <v>0.33821376281112736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-5.9328649492583929E-2</v>
      </c>
      <c r="F35" s="5">
        <f>'Momnetum ranking'!K18</f>
        <v>0.67301587301587307</v>
      </c>
      <c r="G35" s="9">
        <f>'Momnetum ranking'!Q18</f>
        <v>0.99345755999999996</v>
      </c>
      <c r="H35" s="3">
        <f>'Momnetum ranking'!O18</f>
        <v>7.6938750000000002</v>
      </c>
      <c r="K35">
        <f>_xlfn.RANK.EQ(E35,$E$35:$E$39)</f>
        <v>4</v>
      </c>
      <c r="L35">
        <f>_xlfn.RANK.EQ(F35,$F$35:$F$39)</f>
        <v>1</v>
      </c>
      <c r="M35">
        <f>_xlfn.RANK.EQ(G35,$G$35:$G$39)</f>
        <v>1</v>
      </c>
      <c r="N35">
        <f>_xlfn.RANK.EQ(H35,$H$35:$H$39)</f>
        <v>1</v>
      </c>
      <c r="O35" s="58">
        <f>MEDIAN(K35:N35)</f>
        <v>1</v>
      </c>
    </row>
    <row r="36" spans="3:15" x14ac:dyDescent="0.35">
      <c r="C36" s="56" t="s">
        <v>749</v>
      </c>
      <c r="E36" s="9">
        <f>'Momnetum ranking'!J19</f>
        <v>-0.1589625601338632</v>
      </c>
      <c r="F36" s="5">
        <f>'Momnetum ranking'!K19</f>
        <v>0.46874328678839999</v>
      </c>
      <c r="G36" s="9">
        <f>'Momnetum ranking'!Q19</f>
        <v>0.95805940000000001</v>
      </c>
      <c r="H36" s="3">
        <f>'Momnetum ranking'!O19</f>
        <v>5.1191449999999996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2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0.13974096796182683</v>
      </c>
      <c r="F37" s="5">
        <f>'Momnetum ranking'!K20</f>
        <v>0.64863013698630101</v>
      </c>
      <c r="G37" s="9">
        <f>'Momnetum ranking'!Q20</f>
        <v>0.98853469999999999</v>
      </c>
      <c r="H37" s="3">
        <f>'Momnetum ranking'!O20</f>
        <v>3.8708330000000002</v>
      </c>
      <c r="K37">
        <f t="shared" si="1"/>
        <v>2</v>
      </c>
      <c r="L37">
        <f t="shared" si="2"/>
        <v>2</v>
      </c>
      <c r="M37">
        <f t="shared" si="3"/>
        <v>3</v>
      </c>
      <c r="N37">
        <f t="shared" si="4"/>
        <v>4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0.21917808219178081</v>
      </c>
      <c r="F38" s="5">
        <f>'Momnetum ranking'!K21</f>
        <v>0.62385321100917401</v>
      </c>
      <c r="G38" s="9">
        <f>'Momnetum ranking'!Q21</f>
        <v>0.95705264999999995</v>
      </c>
      <c r="H38" s="3">
        <f>'Momnetum ranking'!O21</f>
        <v>-0.21701455</v>
      </c>
      <c r="K38">
        <f t="shared" si="1"/>
        <v>1</v>
      </c>
      <c r="L38">
        <f t="shared" si="2"/>
        <v>4</v>
      </c>
      <c r="M38">
        <f t="shared" si="3"/>
        <v>5</v>
      </c>
      <c r="N38">
        <f t="shared" si="4"/>
        <v>5</v>
      </c>
      <c r="O38" s="58">
        <f t="shared" si="5"/>
        <v>4.5</v>
      </c>
    </row>
    <row r="39" spans="3:15" ht="15" thickBot="1" x14ac:dyDescent="0.4">
      <c r="C39" s="12" t="s">
        <v>119</v>
      </c>
      <c r="D39" s="13"/>
      <c r="E39" s="172">
        <f>'Momnetum ranking'!J22</f>
        <v>0.11706349206349204</v>
      </c>
      <c r="F39" s="17">
        <f>'Momnetum ranking'!K22</f>
        <v>0.64271457085828299</v>
      </c>
      <c r="G39" s="172">
        <f>'Momnetum ranking'!Q22</f>
        <v>0.98930720000000005</v>
      </c>
      <c r="H39" s="175">
        <f>'Momnetum ranking'!O22</f>
        <v>4.1213629999999997</v>
      </c>
      <c r="I39" s="13"/>
      <c r="J39" s="13"/>
      <c r="K39" s="13">
        <f t="shared" si="1"/>
        <v>3</v>
      </c>
      <c r="L39" s="13">
        <f t="shared" si="2"/>
        <v>3</v>
      </c>
      <c r="M39" s="13">
        <f t="shared" si="3"/>
        <v>2</v>
      </c>
      <c r="N39" s="13">
        <f t="shared" si="4"/>
        <v>3</v>
      </c>
      <c r="O39" s="14">
        <f t="shared" si="5"/>
        <v>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2.1579385000000002</v>
      </c>
      <c r="F3" s="3" cm="1">
        <f t="array" ref="F3">_xll.FDS(C3,"FG_TOTAL_RETURNC(0,-3AM)")</f>
        <v>5.1191449999999996</v>
      </c>
      <c r="G3" s="3" cm="1">
        <f t="array" ref="G3">_xll.FDS(C3,"FG_TOTAL_RETURNC(0,-6AM)")</f>
        <v>8.4115029999999997</v>
      </c>
      <c r="H3" s="9" cm="1">
        <f t="array" ref="H3">_xll.FDS(C3,"P_PRICE(0)/P_PRICE_HIGH_PR(0,,,USD,,,""PRICE"",""INTRA"",""52W"")")</f>
        <v>0.95805940000000001</v>
      </c>
      <c r="K3" s="4">
        <f>_xlfn.RANK.EQ(H3,H$3:H$12)</f>
        <v>4</v>
      </c>
      <c r="L3" s="4">
        <f>_xlfn.RANK.EQ(F3,F$3:F$12)</f>
        <v>4</v>
      </c>
      <c r="M3" s="4">
        <f>_xlfn.RANK.EQ(G3,G$3:G$12)</f>
        <v>7</v>
      </c>
      <c r="N3" s="4"/>
      <c r="P3" s="3">
        <f t="shared" ref="P3:P12" si="0">SUMPRODUCT($K$2:$M$2,K3:M3)</f>
        <v>4.95</v>
      </c>
      <c r="Q3">
        <f t="shared" ref="Q3:Q12" si="1">COUNTIF(K3:N3,"&gt;70")</f>
        <v>0</v>
      </c>
      <c r="S3" s="3">
        <f>11-_xlfn.RANK.EQ(P3,$P$3:$P$12)</f>
        <v>6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5.0579666999999997</v>
      </c>
      <c r="F4" s="3" cm="1">
        <f t="array" ref="F4">_xll.FDS(C4,"FG_TOTAL_RETURNC(0,-3AM)")</f>
        <v>4.1213629999999997</v>
      </c>
      <c r="G4" s="3" cm="1">
        <f t="array" ref="G4">_xll.FDS(C4,"FG_TOTAL_RETURNC(0,-6AM)")</f>
        <v>16.382194999999999</v>
      </c>
      <c r="H4" s="9" cm="1">
        <f t="array" ref="H4">_xll.FDS(C4,"P_PRICE(0)/P_PRICE_HIGH_PR(0,,,USD,,,""PRICE"",""INTRA"",""52W"")")</f>
        <v>0.98930720000000005</v>
      </c>
      <c r="I4" s="177"/>
      <c r="K4" s="4">
        <f t="shared" ref="K4:K12" si="3">_xlfn.RANK.EQ(H4,H$3:H$12)</f>
        <v>2</v>
      </c>
      <c r="L4" s="4">
        <f t="shared" ref="L4:M12" si="4">_xlfn.RANK.EQ(F4,F$3:F$12)</f>
        <v>5</v>
      </c>
      <c r="M4" s="4">
        <f t="shared" si="4"/>
        <v>2</v>
      </c>
      <c r="N4" s="4"/>
      <c r="P4" s="3">
        <f t="shared" si="0"/>
        <v>2.97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1.6189218000000001</v>
      </c>
      <c r="F5" s="3" cm="1">
        <f t="array" ref="F5">_xll.FDS(C5,"FG_TOTAL_RETURNC(0,-3AM)")</f>
        <v>13.728809</v>
      </c>
      <c r="G5" s="3" cm="1">
        <f t="array" ref="G5">_xll.FDS(C5,"FG_TOTAL_RETURNC(0,-6AM)")</f>
        <v>14.066231</v>
      </c>
      <c r="H5" s="9" cm="1">
        <f t="array" ref="H5">_xll.FDS(C5,"P_PRICE(0)/P_PRICE_HIGH_PR(0,,,USD,,,""PRICE"",""INTRA"",""52W"")")</f>
        <v>0.95409023999999998</v>
      </c>
      <c r="I5" s="177"/>
      <c r="K5" s="4">
        <f t="shared" si="3"/>
        <v>6</v>
      </c>
      <c r="L5" s="4">
        <f t="shared" si="4"/>
        <v>1</v>
      </c>
      <c r="M5" s="4">
        <f t="shared" si="4"/>
        <v>5</v>
      </c>
      <c r="N5" s="4"/>
      <c r="P5" s="3">
        <f t="shared" si="0"/>
        <v>3.96</v>
      </c>
      <c r="Q5">
        <f t="shared" si="1"/>
        <v>0</v>
      </c>
      <c r="S5" s="3">
        <f t="shared" si="5"/>
        <v>5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-1.0697007000000001</v>
      </c>
      <c r="F6" s="3" cm="1">
        <f t="array" ref="F6">_xll.FDS(C6,"FG_TOTAL_RETURNC(0,-3AM)")</f>
        <v>2.0647883</v>
      </c>
      <c r="G6" s="3" cm="1">
        <f t="array" ref="G6">_xll.FDS(C6,"FG_TOTAL_RETURNC(0,-6AM)")</f>
        <v>4.1326165000000001</v>
      </c>
      <c r="H6" s="9" cm="1">
        <f t="array" ref="H6">_xll.FDS(C6,"P_PRICE(0)/P_PRICE_HIGH_PR(0,,,USD,,,""PRICE"",""INTRA"",""52W"")")</f>
        <v>0.95043920000000004</v>
      </c>
      <c r="I6" s="177"/>
      <c r="K6" s="4">
        <f t="shared" si="3"/>
        <v>7</v>
      </c>
      <c r="L6" s="4">
        <f t="shared" si="4"/>
        <v>7</v>
      </c>
      <c r="M6" s="4">
        <f t="shared" si="4"/>
        <v>9</v>
      </c>
      <c r="N6" s="4"/>
      <c r="P6" s="3">
        <f t="shared" si="0"/>
        <v>7.59</v>
      </c>
      <c r="Q6">
        <f t="shared" si="1"/>
        <v>0</v>
      </c>
      <c r="S6" s="3">
        <f t="shared" si="5"/>
        <v>8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6.1518189999999997</v>
      </c>
      <c r="F7" s="3" cm="1">
        <f t="array" ref="F7">_xll.FDS(C7,"FG_TOTAL_RETURNC(0,-3AM)")</f>
        <v>2.8020024000000001</v>
      </c>
      <c r="G7" s="3" cm="1">
        <f t="array" ref="G7">_xll.FDS(C7,"FG_TOTAL_RETURNC(0,-6AM)")</f>
        <v>16.357803000000001</v>
      </c>
      <c r="H7" s="9" cm="1">
        <f t="array" ref="H7">_xll.FDS(C7,"P_PRICE(0)/P_PRICE_HIGH_PR(0,,,USD,,,""PRICE"",""INTRA"",""52W"")")</f>
        <v>0.97857050000000001</v>
      </c>
      <c r="I7" s="1"/>
      <c r="K7" s="4">
        <f t="shared" si="3"/>
        <v>3</v>
      </c>
      <c r="L7" s="4">
        <f t="shared" si="4"/>
        <v>6</v>
      </c>
      <c r="M7" s="4">
        <f t="shared" si="4"/>
        <v>3</v>
      </c>
      <c r="N7" s="4"/>
      <c r="P7" s="3">
        <f t="shared" si="0"/>
        <v>3.96</v>
      </c>
      <c r="Q7">
        <f t="shared" si="1"/>
        <v>0</v>
      </c>
      <c r="S7" s="3">
        <f t="shared" si="5"/>
        <v>5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1.9886374</v>
      </c>
      <c r="F8" s="3" cm="1">
        <f t="array" ref="F8">_xll.FDS(C8,"FG_TOTAL_RETURNC(0,-3AM)")</f>
        <v>13.300264</v>
      </c>
      <c r="G8" s="3" cm="1">
        <f t="array" ref="G8">_xll.FDS(C8,"FG_TOTAL_RETURNC(0,-6AM)")</f>
        <v>17.945443999999998</v>
      </c>
      <c r="H8" s="9" cm="1">
        <f t="array" ref="H8">_xll.FDS(C8,"P_PRICE(0)/P_PRICE_HIGH_PR(0,,,USD,,,""PRICE"",""INTRA"",""52W"")")</f>
        <v>0.94455929999999999</v>
      </c>
      <c r="I8" s="1"/>
      <c r="K8" s="4">
        <f t="shared" si="3"/>
        <v>8</v>
      </c>
      <c r="L8" s="4">
        <f t="shared" si="4"/>
        <v>2</v>
      </c>
      <c r="M8" s="4">
        <f t="shared" si="4"/>
        <v>1</v>
      </c>
      <c r="N8" s="4"/>
      <c r="P8" s="3">
        <f t="shared" si="0"/>
        <v>3.6300000000000003</v>
      </c>
      <c r="Q8">
        <f t="shared" si="1"/>
        <v>0</v>
      </c>
      <c r="S8" s="3">
        <f t="shared" si="5"/>
        <v>3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-4.5419692999999999</v>
      </c>
      <c r="F9" s="3" cm="1">
        <f t="array" ref="F9">_xll.FDS(C9,"FG_TOTAL_RETURNC(0,-3AM)")</f>
        <v>1.9901872</v>
      </c>
      <c r="G9" s="3" cm="1">
        <f t="array" ref="G9">_xll.FDS(C9,"FG_TOTAL_RETURNC(0,-6AM)")</f>
        <v>6.6723704000000001</v>
      </c>
      <c r="H9" s="9" cm="1">
        <f t="array" ref="H9">_xll.FDS(C9,"P_PRICE(0)/P_PRICE_HIGH_PR(0,,,USD,,,""PRICE"",""INTRA"",""52W"")")</f>
        <v>0.89701470000000005</v>
      </c>
      <c r="I9" s="1"/>
      <c r="K9" s="4">
        <f t="shared" si="3"/>
        <v>9</v>
      </c>
      <c r="L9" s="4">
        <f t="shared" si="4"/>
        <v>8</v>
      </c>
      <c r="M9" s="4">
        <f t="shared" si="4"/>
        <v>8</v>
      </c>
      <c r="N9" s="4"/>
      <c r="P9" s="3">
        <f t="shared" si="0"/>
        <v>8.25</v>
      </c>
      <c r="Q9">
        <f t="shared" si="1"/>
        <v>0</v>
      </c>
      <c r="S9" s="3">
        <f t="shared" si="5"/>
        <v>9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2.8840422999999999</v>
      </c>
      <c r="F10" s="3" cm="1">
        <f t="array" ref="F10">_xll.FDS(C10,"FG_TOTAL_RETURNC(0,-3AM)")</f>
        <v>-2.9992402</v>
      </c>
      <c r="G10" s="3" cm="1">
        <f t="array" ref="G10">_xll.FDS(C10,"FG_TOTAL_RETURNC(0,-6AM)")</f>
        <v>0.71721077</v>
      </c>
      <c r="H10" s="9" cm="1">
        <f t="array" ref="H10">_xll.FDS(C10,"P_PRICE(0)/P_PRICE_HIGH_PR(0,,,USD,,,""PRICE"",""INTRA"",""52W"")")</f>
        <v>0.87012990000000001</v>
      </c>
      <c r="K10" s="4">
        <f t="shared" si="3"/>
        <v>10</v>
      </c>
      <c r="L10" s="4">
        <f t="shared" si="4"/>
        <v>10</v>
      </c>
      <c r="M10" s="4">
        <f t="shared" si="4"/>
        <v>10</v>
      </c>
      <c r="N10" s="4"/>
      <c r="P10" s="3">
        <f t="shared" si="0"/>
        <v>9.9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6.4461946000000001</v>
      </c>
      <c r="F11" s="3" cm="1">
        <f t="array" ref="F11">_xll.FDS(C11,"FG_TOTAL_RETURNC(0,-3AM)")</f>
        <v>7.6938750000000002</v>
      </c>
      <c r="G11" s="3" cm="1">
        <f t="array" ref="G11">_xll.FDS(C11,"FG_TOTAL_RETURNC(0,-6AM)")</f>
        <v>14.809918</v>
      </c>
      <c r="H11" s="9" cm="1">
        <f t="array" ref="H11">_xll.FDS(C11,"P_PRICE(0)/P_PRICE_HIGH_PR(0,,,USD,,,""PRICE"",""INTRA"",""52W"")")</f>
        <v>0.99345755999999996</v>
      </c>
      <c r="K11" s="4">
        <f t="shared" si="3"/>
        <v>1</v>
      </c>
      <c r="L11" s="4">
        <f t="shared" si="4"/>
        <v>3</v>
      </c>
      <c r="M11" s="4">
        <f t="shared" si="4"/>
        <v>4</v>
      </c>
      <c r="P11" s="3">
        <f t="shared" si="0"/>
        <v>2.64</v>
      </c>
      <c r="Q11">
        <f t="shared" si="1"/>
        <v>0</v>
      </c>
      <c r="S11" s="3">
        <f t="shared" si="5"/>
        <v>1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2.5271416000000002</v>
      </c>
      <c r="F12" s="3" cm="1">
        <f t="array" ref="F12">_xll.FDS(C12,"FG_TOTAL_RETURNC(0,-3AM)")</f>
        <v>-0.21701455</v>
      </c>
      <c r="G12" s="3" cm="1">
        <f t="array" ref="G12">_xll.FDS(C12,"FG_TOTAL_RETURNC(0,-6AM)")</f>
        <v>11.710798</v>
      </c>
      <c r="H12" s="9" cm="1">
        <f t="array" ref="H12">_xll.FDS(C12,"P_PRICE(0)/P_PRICE_HIGH_PR(0,,,USD,,,""PRICE"",""INTRA"",""52W"")")</f>
        <v>0.95705264999999995</v>
      </c>
      <c r="K12" s="4">
        <f t="shared" si="3"/>
        <v>5</v>
      </c>
      <c r="L12" s="4">
        <f t="shared" si="4"/>
        <v>9</v>
      </c>
      <c r="M12" s="4">
        <f t="shared" si="4"/>
        <v>6</v>
      </c>
      <c r="P12" s="3">
        <f t="shared" si="0"/>
        <v>6.6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78.5</v>
      </c>
      <c r="E6" s="120">
        <f>VLOOKUP(B6,'Quality - 2'!$B$2:$S$14,18,FALSE)</f>
        <v>85.7</v>
      </c>
      <c r="F6" s="153">
        <f>VLOOKUP(B6,Safety!$B$4:$R$16,17,FALSE)</f>
        <v>92.800000000000011</v>
      </c>
      <c r="G6" s="179">
        <f t="shared" ref="G6:G18" si="0">(D6*$D$2 +E6*$E$2 +F6*$F$2)/($D$2+$E$2+$F$2)</f>
        <v>85.666666666666686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85.7</v>
      </c>
      <c r="J6" s="120">
        <f ca="1">VLOOKUP(B6,'Momnetum ranking'!$A$3:$AJ$15,36,FALSE)</f>
        <v>57.099999999999994</v>
      </c>
      <c r="K6" s="163">
        <f>VLOOKUP(B6,'Momnetum ranking'!$A$3:$H$15,8,FALSE)</f>
        <v>0.46808510638297873</v>
      </c>
      <c r="L6" s="120">
        <f>VLOOKUP(B6,'Currency- 2'!$A$3:$U$15,21,FALSE)</f>
        <v>28.499999999999996</v>
      </c>
      <c r="M6" s="162">
        <f t="shared" ref="M6:M18" ca="1" si="1">D6*$D$2 + E6*$E$2 + F6*$F$2 + I6*$I$2 + J6*$J$2 + L6*$L$2</f>
        <v>68.527429999999995</v>
      </c>
      <c r="N6" s="120" cm="1">
        <f t="array" aca="1" ref="N6" ca="1">_xlfn.PERCENTRANK.EXC(_xlfn._xlws.FILTER($M$6:M$18, ISNUMBER($M$6:M$18)),M6)*100</f>
        <v>85.7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57.099999999999994</v>
      </c>
      <c r="E7" s="121">
        <f>VLOOKUP(B7,'Quality - 2'!$B$2:$S$14,18,FALSE)</f>
        <v>42.8</v>
      </c>
      <c r="F7" s="159">
        <f>VLOOKUP(B7,Safety!$B$4:$R$16,17,FALSE)</f>
        <v>57.099999999999994</v>
      </c>
      <c r="G7" s="180">
        <f t="shared" si="0"/>
        <v>52.333333333333336</v>
      </c>
      <c r="H7" s="125" cm="1">
        <f t="array" ref="H7">_xlfn.PERCENTRANK.EXC(_xlfn._xlws.FILTER($G$6:G$18, ISNUMBER($G$6:G$18)),G7)*100</f>
        <v>57.099999999999994</v>
      </c>
      <c r="I7" s="159">
        <f>VLOOKUP(B7,'LIQIDITY 2'!$A$3:$X$15,24,FALSE)</f>
        <v>7.1</v>
      </c>
      <c r="J7" s="121">
        <f ca="1">VLOOKUP(B7,'Momnetum ranking'!$A$3:$AJ$15,36,FALSE)</f>
        <v>14.2</v>
      </c>
      <c r="K7" s="161">
        <f>VLOOKUP(B7,'Momnetum ranking'!$A$3:$H$15,8,FALSE)</f>
        <v>0.58447488584474883</v>
      </c>
      <c r="L7" s="121">
        <f>VLOOKUP(B7,'Currency- 2'!$A$3:$U$15,21,FALSE)</f>
        <v>7.1</v>
      </c>
      <c r="M7" s="160">
        <f t="shared" ca="1" si="1"/>
        <v>23.508429999999997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85.7</v>
      </c>
      <c r="G8" s="180">
        <f t="shared" si="0"/>
        <v>59.466666666666683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42.8</v>
      </c>
      <c r="J8" s="121">
        <f ca="1">VLOOKUP(B8,'Momnetum ranking'!$A$3:$AJ$15,36,FALSE)</f>
        <v>28.499999999999996</v>
      </c>
      <c r="K8" s="161">
        <f>VLOOKUP(B8,'Momnetum ranking'!$A$3:$H$15,8,FALSE)</f>
        <v>0.43137254901960786</v>
      </c>
      <c r="L8" s="121">
        <f>VLOOKUP(B8,'Currency- 2'!$A$3:$U$15,21,FALSE)</f>
        <v>64.2</v>
      </c>
      <c r="M8" s="160">
        <f t="shared" ca="1" si="1"/>
        <v>44.218216000000005</v>
      </c>
      <c r="N8" s="121" cm="1">
        <f t="array" aca="1" ref="N8" ca="1">_xlfn.PERCENTRANK.EXC(_xlfn._xlws.FILTER($M$6:M$18, ISNUMBER($M$6:M$18)),M8)*100</f>
        <v>50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35.699999999999996</v>
      </c>
      <c r="G9" s="180">
        <f t="shared" si="0"/>
        <v>52.333333333333343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42.8</v>
      </c>
      <c r="J9" s="121">
        <f ca="1">VLOOKUP(B9,'Momnetum ranking'!$A$3:$AJ$15,36,FALSE)</f>
        <v>64.2</v>
      </c>
      <c r="K9" s="161">
        <f>VLOOKUP(B9,'Momnetum ranking'!$A$3:$H$15,8,FALSE)</f>
        <v>0.44246031746031744</v>
      </c>
      <c r="L9" s="121">
        <f>VLOOKUP(B9,'Currency- 2'!$A$3:$U$15,21,FALSE)</f>
        <v>64.2</v>
      </c>
      <c r="M9" s="160">
        <f t="shared" ca="1" si="1"/>
        <v>56.358430000000006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28.499999999999996</v>
      </c>
      <c r="F10" s="159">
        <f>VLOOKUP(B10,Safety!$B$4:$R$16,17,FALSE)</f>
        <v>28.499999999999996</v>
      </c>
      <c r="G10" s="180">
        <f t="shared" si="0"/>
        <v>40.4</v>
      </c>
      <c r="H10" s="125" cm="1">
        <f t="array" ref="H10">_xlfn.PERCENTRANK.EXC(_xlfn._xlws.FILTER($G$6:G$18, ISNUMBER($G$6:G$18)),G10)*100</f>
        <v>28.499999999999996</v>
      </c>
      <c r="I10" s="159">
        <f>VLOOKUP(B10,'LIQIDITY 2'!$A$3:$X$15,24,FALSE)</f>
        <v>7.1</v>
      </c>
      <c r="J10" s="121">
        <f ca="1">VLOOKUP(B10,'Momnetum ranking'!$A$3:$AJ$15,36,FALSE)</f>
        <v>50</v>
      </c>
      <c r="K10" s="161">
        <f>VLOOKUP(B10,'Momnetum ranking'!$A$3:$H$15,8,FALSE)</f>
        <v>0.46551724137931033</v>
      </c>
      <c r="L10" s="121">
        <f>VLOOKUP(B10,'Currency- 2'!$A$3:$U$15,21,FALSE)</f>
        <v>85.7</v>
      </c>
      <c r="M10" s="160">
        <f t="shared" ca="1" si="1"/>
        <v>42.108787999999997</v>
      </c>
      <c r="N10" s="121" cm="1">
        <f t="array" aca="1" ref="N10" ca="1">_xlfn.PERCENTRANK.EXC(_xlfn._xlws.FILTER($M$6:M$18, ISNUMBER($M$6:M$18)),M10)*100</f>
        <v>35.699999999999996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64.2</v>
      </c>
      <c r="F11" s="159">
        <f>VLOOKUP(B11,Safety!$B$4:$R$16,17,FALSE)</f>
        <v>21.4</v>
      </c>
      <c r="G11" s="180">
        <f t="shared" si="0"/>
        <v>57.100000000000009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42.8</v>
      </c>
      <c r="J11" s="121">
        <f ca="1">VLOOKUP(B11,'Momnetum ranking'!$A$3:$AJ$15,36,FALSE)</f>
        <v>85.7</v>
      </c>
      <c r="K11" s="161">
        <f>VLOOKUP(B11,'Momnetum ranking'!$A$3:$H$15,8,FALSE)</f>
        <v>0.43023255813953487</v>
      </c>
      <c r="L11" s="121">
        <f>VLOOKUP(B11,'Currency- 2'!$A$3:$U$15,21,FALSE)</f>
        <v>78.5</v>
      </c>
      <c r="M11" s="160">
        <f t="shared" ca="1" si="1"/>
        <v>67.818286999999998</v>
      </c>
      <c r="N11" s="121" cm="1">
        <f t="array" aca="1" ref="N11" ca="1">_xlfn.PERCENTRANK.EXC(_xlfn._xlws.FILTER($M$6:M$18, ISNUMBER($M$6:M$18)),M11)*100</f>
        <v>78.5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57.099999999999994</v>
      </c>
      <c r="F12" s="159">
        <f>VLOOKUP(B12,Safety!$B$4:$R$16,17,FALSE)</f>
        <v>42.8</v>
      </c>
      <c r="G12" s="180">
        <f t="shared" si="0"/>
        <v>47.56666666666667</v>
      </c>
      <c r="H12" s="125" cm="1">
        <f t="array" ref="H12">_xlfn.PERCENTRANK.EXC(_xlfn._xlws.FILTER($G$6:G$18, ISNUMBER($G$6:G$18)),G12)*100</f>
        <v>50</v>
      </c>
      <c r="I12" s="159">
        <f>VLOOKUP(B12,'LIQIDITY 2'!$A$3:$X$15,24,FALSE)</f>
        <v>42.8</v>
      </c>
      <c r="J12" s="121">
        <f ca="1">VLOOKUP(B12,'Momnetum ranking'!$A$3:$AJ$15,36,FALSE)</f>
        <v>42.8</v>
      </c>
      <c r="K12" s="161">
        <f>VLOOKUP(B12,'Momnetum ranking'!$A$3:$H$15,8,FALSE)</f>
        <v>0.48863636363636365</v>
      </c>
      <c r="L12" s="121">
        <f>VLOOKUP(B12,'Currency- 2'!$A$3:$U$15,21,FALSE)</f>
        <v>35.699999999999996</v>
      </c>
      <c r="M12" s="160">
        <f t="shared" ca="1" si="1"/>
        <v>43.518572999999996</v>
      </c>
      <c r="N12" s="121" cm="1">
        <f t="array" aca="1" ref="N12" ca="1">_xlfn.PERCENTRANK.EXC(_xlfn._xlws.FILTER($M$6:M$18, ISNUMBER($M$6:M$18)),M12)*100</f>
        <v>42.8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42.8</v>
      </c>
      <c r="G13" s="180">
        <f t="shared" si="0"/>
        <v>28.533333333333339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42.8</v>
      </c>
      <c r="J13" s="121">
        <f ca="1">VLOOKUP(B13,'Momnetum ranking'!$A$3:$AJ$15,36,FALSE)</f>
        <v>21.4</v>
      </c>
      <c r="K13" s="161">
        <f>VLOOKUP(B13,'Momnetum ranking'!$A$3:$H$15,8,FALSE)</f>
        <v>0.43333333333333335</v>
      </c>
      <c r="L13" s="121">
        <f>VLOOKUP(B13,'Currency- 2'!$A$3:$U$15,21,FALSE)</f>
        <v>50</v>
      </c>
      <c r="M13" s="160">
        <f t="shared" ca="1" si="1"/>
        <v>30.679144000000001</v>
      </c>
      <c r="N13" s="121" cm="1">
        <f t="array" aca="1" ref="N13" ca="1">_xlfn.PERCENTRANK.EXC(_xlfn._xlws.FILTER($M$6:M$18, ISNUMBER($M$6:M$18)),M13)*100</f>
        <v>21.4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71.399999999999991</v>
      </c>
      <c r="G14" s="180">
        <f t="shared" si="0"/>
        <v>30.9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42.8</v>
      </c>
      <c r="J14" s="121">
        <f ca="1">VLOOKUP(B14,'Momnetum ranking'!$A$3:$AJ$15,36,FALSE)</f>
        <v>7.1</v>
      </c>
      <c r="K14" s="161">
        <f>VLOOKUP(B14,'Momnetum ranking'!$A$3:$H$15,8,FALSE)</f>
        <v>0.2857142857142857</v>
      </c>
      <c r="L14" s="121">
        <f>VLOOKUP(B14,'Currency- 2'!$A$3:$U$15,21,FALSE)</f>
        <v>21.4</v>
      </c>
      <c r="M14" s="160">
        <f t="shared" ca="1" si="1"/>
        <v>22.809073000000001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50</v>
      </c>
      <c r="E15" s="121">
        <f>VLOOKUP(B15,'Quality - 2'!$B$2:$S$14,18,FALSE)</f>
        <v>71.399999999999991</v>
      </c>
      <c r="F15" s="159">
        <f>VLOOKUP(B15,Safety!$B$4:$R$16,17,FALSE)</f>
        <v>78.5</v>
      </c>
      <c r="G15" s="180">
        <f t="shared" si="0"/>
        <v>66.633333333333326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7.1</v>
      </c>
      <c r="J15" s="121">
        <f ca="1">VLOOKUP(B15,'Momnetum ranking'!$A$3:$AJ$15,36,FALSE)</f>
        <v>35.699999999999996</v>
      </c>
      <c r="K15" s="161">
        <f>VLOOKUP(B15,'Momnetum ranking'!$A$3:$H$15,8,FALSE)</f>
        <v>0.421875</v>
      </c>
      <c r="L15" s="121">
        <f>VLOOKUP(B15,'Currency- 2'!$A$3:$U$15,21,FALSE)</f>
        <v>14.2</v>
      </c>
      <c r="M15" s="160">
        <f t="shared" ca="1" si="1"/>
        <v>37.108001000000002</v>
      </c>
      <c r="N15" s="121" cm="1">
        <f t="array" aca="1" ref="N15" ca="1">_xlfn.PERCENTRANK.EXC(_xlfn._xlws.FILTER($M$6:M$18, ISNUMBER($M$6:M$18)),M15)*100</f>
        <v>28.499999999999996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64.2</v>
      </c>
      <c r="G16" s="180">
        <f t="shared" si="0"/>
        <v>45.199999999999996</v>
      </c>
      <c r="H16" s="125" cm="1">
        <f t="array" ref="H16">_xlfn.PERCENTRANK.EXC(_xlfn._xlws.FILTER($G$6:G$18, ISNUMBER($G$6:G$18)),G16)*100</f>
        <v>35.699999999999996</v>
      </c>
      <c r="I16" s="159">
        <f>VLOOKUP(B16,'LIQIDITY 2'!$A$3:$X$15,24,FALSE)</f>
        <v>7.1</v>
      </c>
      <c r="J16" s="121">
        <f ca="1">VLOOKUP(B16,'Momnetum ranking'!$A$3:$AJ$15,36,FALSE)</f>
        <v>71.399999999999991</v>
      </c>
      <c r="K16" s="161">
        <f>VLOOKUP(B16,'Momnetum ranking'!$A$3:$H$15,8,FALSE)</f>
        <v>0.35185185185185186</v>
      </c>
      <c r="L16" s="121">
        <f>VLOOKUP(B16,'Currency- 2'!$A$3:$U$15,21,FALSE)</f>
        <v>92.800000000000011</v>
      </c>
      <c r="M16" s="160">
        <f t="shared" ca="1" si="1"/>
        <v>52.818643999999999</v>
      </c>
      <c r="N16" s="121" cm="1">
        <f t="array" aca="1" ref="N16" ca="1">_xlfn.PERCENTRANK.EXC(_xlfn._xlws.FILTER($M$6:M$18, ISNUMBER($M$6:M$18)),M16)*100</f>
        <v>64.2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50</v>
      </c>
      <c r="F17" s="159">
        <f>VLOOKUP(B17,Safety!$B$4:$R$16,17,FALSE)</f>
        <v>14.2</v>
      </c>
      <c r="G17" s="180">
        <f t="shared" si="0"/>
        <v>45.199999999999996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92.800000000000011</v>
      </c>
      <c r="J17" s="121">
        <f ca="1">VLOOKUP(B17,'Momnetum ranking'!$A$3:$AJ$15,36,FALSE)</f>
        <v>92.800000000000011</v>
      </c>
      <c r="K17" s="161">
        <f>VLOOKUP(B17,'Momnetum ranking'!$A$3:$H$15,8,FALSE)</f>
        <v>0.37777777777777777</v>
      </c>
      <c r="L17" s="121">
        <f>VLOOKUP(B17,'Currency- 2'!$A$3:$U$15,21,FALSE)</f>
        <v>42.8</v>
      </c>
      <c r="M17" s="160">
        <f t="shared" ca="1" si="1"/>
        <v>73.518644000000009</v>
      </c>
      <c r="N17" s="121" cm="1">
        <f t="array" aca="1" ref="N17" ca="1">_xlfn.PERCENTRANK.EXC(_xlfn._xlws.FILTER($M$6:M$18, ISNUMBER($M$6:M$18)),M17)*100</f>
        <v>92.800000000000011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7.1</v>
      </c>
      <c r="J18" s="122">
        <f ca="1">VLOOKUP(B18,'Momnetum ranking'!$A$3:$AJ$15,36,FALSE)</f>
        <v>78.5</v>
      </c>
      <c r="K18" s="165">
        <f>VLOOKUP(B18,'Momnetum ranking'!$A$3:$H$15,8,FALSE)</f>
        <v>0.57692307692307687</v>
      </c>
      <c r="L18" s="122">
        <f>VLOOKUP(B18,'Currency- 2'!$A$3:$U$15,21,FALSE)</f>
        <v>57.099999999999994</v>
      </c>
      <c r="M18" s="164">
        <f t="shared" ca="1" si="1"/>
        <v>49.228930000000005</v>
      </c>
      <c r="N18" s="122" cm="1">
        <f t="array" aca="1" ref="N18" ca="1">_xlfn.PERCENTRANK.EXC(_xlfn._xlws.FILTER($M$6:M$18, ISNUMBER($M$6:M$18)),M18)*100</f>
        <v>57.099999999999994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5</v>
      </c>
      <c r="S3" s="148">
        <f ca="1">COUNTIF(S9:S17,"&gt;0")</f>
        <v>5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0.19346978971055823</v>
      </c>
      <c r="F9">
        <f ca="1">VLOOKUP(B9,OUTPUT_COUNTRY!$B$6:$N$18, 9, FALSE)</f>
        <v>7.1</v>
      </c>
      <c r="G9" s="47">
        <f>IFERROR(VLOOKUP(B9,OUTPUT_COUNTRY!$B$6:$N$18, 7, FALSE),0)</f>
        <v>14.2</v>
      </c>
      <c r="H9">
        <f>VLOOKUP(B9,OUTPUT_COUNTRY!$B$6:$N$18, 8, FALSE)</f>
        <v>42.8</v>
      </c>
      <c r="I9">
        <f>VLOOKUP(B9,OUTPUT_COUNTRY!$B$6:$N$18, 11, FALSE)</f>
        <v>21.4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0.2072032715772113</v>
      </c>
      <c r="F10">
        <f ca="1">VLOOKUP(B10,OUTPUT_COUNTRY!$B$6:$N$18, 9, FALSE)</f>
        <v>21.4</v>
      </c>
      <c r="G10" s="47">
        <f>IFERROR(VLOOKUP(B10,OUTPUT_COUNTRY!$B$6:$N$18, 7, FALSE),0)</f>
        <v>7.1</v>
      </c>
      <c r="H10">
        <f>VLOOKUP(B10,OUTPUT_COUNTRY!$B$6:$N$18, 8, FALSE)</f>
        <v>42.8</v>
      </c>
      <c r="I10">
        <f>VLOOKUP(B10,OUTPUT_COUNTRY!$B$6:$N$18, 11, FALSE)</f>
        <v>50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0.19230518097959465</v>
      </c>
      <c r="F11">
        <f ca="1">VLOOKUP(B11,OUTPUT_COUNTRY!$B$6:$N$18, 9, FALSE)</f>
        <v>42.8</v>
      </c>
      <c r="G11" s="47">
        <f>IFERROR(VLOOKUP(B11,OUTPUT_COUNTRY!$B$6:$N$18, 7, FALSE),0)</f>
        <v>50</v>
      </c>
      <c r="H11">
        <f>VLOOKUP(B11,OUTPUT_COUNTRY!$B$6:$N$18, 8, FALSE)</f>
        <v>42.8</v>
      </c>
      <c r="I11">
        <f>VLOOKUP(B11,OUTPUT_COUNTRY!$B$6:$N$18, 11, FALSE)</f>
        <v>35.699999999999996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 t="str">
        <f t="shared" ca="1" si="4"/>
        <v/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0.21860360885219507</v>
      </c>
      <c r="F12">
        <f ca="1">VLOOKUP(B12,OUTPUT_COUNTRY!$B$6:$N$18, 9, FALSE)</f>
        <v>50</v>
      </c>
      <c r="G12" s="47">
        <f>IFERROR(VLOOKUP(B12,OUTPUT_COUNTRY!$B$6:$N$18, 7, FALSE),0)</f>
        <v>28.499999999999996</v>
      </c>
      <c r="H12">
        <f>VLOOKUP(B12,OUTPUT_COUNTRY!$B$6:$N$18, 8, FALSE)</f>
        <v>7.1</v>
      </c>
      <c r="I12">
        <f>VLOOKUP(B12,OUTPUT_COUNTRY!$B$6:$N$18, 11, FALSE)</f>
        <v>85.7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4.5744898963499372</v>
      </c>
      <c r="Q12" s="136">
        <f t="shared" si="9"/>
        <v>0.1774258902976899</v>
      </c>
      <c r="R12" s="156">
        <f t="shared" ca="1" si="4"/>
        <v>1.7742589029768992E-2</v>
      </c>
      <c r="S12" s="156">
        <f t="shared" ca="1" si="5"/>
        <v>3.3691585781241269E-2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0.14827209384684281</v>
      </c>
      <c r="F13">
        <f ca="1">VLOOKUP(B13,OUTPUT_COUNTRY!$B$6:$N$18, 9, FALSE)</f>
        <v>14.2</v>
      </c>
      <c r="G13" s="47">
        <f>IFERROR(VLOOKUP(B13,OUTPUT_COUNTRY!$B$6:$N$18, 7, FALSE),0)</f>
        <v>57.099999999999994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 t="str">
        <f t="shared" ca="1" si="4"/>
        <v/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0.15385229775006151</v>
      </c>
      <c r="F14">
        <f ca="1">VLOOKUP(B14,OUTPUT_COUNTRY!$B$6:$N$18, 9, FALSE)</f>
        <v>57.099999999999994</v>
      </c>
      <c r="G14" s="47">
        <f>IFERROR(VLOOKUP(B14,OUTPUT_COUNTRY!$B$6:$N$18, 7, FALSE),0)</f>
        <v>92.800000000000011</v>
      </c>
      <c r="H14">
        <f>VLOOKUP(B14,OUTPUT_COUNTRY!$B$6:$N$18, 8, FALSE)</f>
        <v>85.7</v>
      </c>
      <c r="I14">
        <f>VLOOKUP(B14,OUTPUT_COUNTRY!$B$6:$N$18, 11, FALSE)</f>
        <v>28.499999999999996</v>
      </c>
      <c r="J14" s="47">
        <f t="shared" ca="1" si="0"/>
        <v>0</v>
      </c>
      <c r="K14" s="136">
        <f t="shared" ca="1" si="6"/>
        <v>0</v>
      </c>
      <c r="L14">
        <f t="shared" si="1"/>
        <v>6.4997404304259092</v>
      </c>
      <c r="M14" s="136">
        <f t="shared" si="7"/>
        <v>0.29515244212966296</v>
      </c>
      <c r="N14">
        <f t="shared" si="2"/>
        <v>6.4997404304259092</v>
      </c>
      <c r="O14" s="136">
        <f t="shared" si="8"/>
        <v>0.59616560081998415</v>
      </c>
      <c r="P14">
        <f t="shared" si="3"/>
        <v>0</v>
      </c>
      <c r="Q14" s="136">
        <f t="shared" si="9"/>
        <v>0</v>
      </c>
      <c r="R14" s="156">
        <f t="shared" ca="1" si="4"/>
        <v>0.14816229272089732</v>
      </c>
      <c r="S14" s="156">
        <f t="shared" ca="1" si="5"/>
        <v>0.28134690976475174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0.1737669140253251</v>
      </c>
      <c r="F15">
        <f ca="1">VLOOKUP(B15,OUTPUT_COUNTRY!$B$6:$N$18, 9, FALSE)</f>
        <v>85.7</v>
      </c>
      <c r="G15" s="47">
        <f>IFERROR(VLOOKUP(B15,OUTPUT_COUNTRY!$B$6:$N$18, 7, FALSE),0)</f>
        <v>71.399999999999991</v>
      </c>
      <c r="H15">
        <f>VLOOKUP(B15,OUTPUT_COUNTRY!$B$6:$N$18, 8, FALSE)</f>
        <v>42.8</v>
      </c>
      <c r="I15">
        <f>VLOOKUP(B15,OUTPUT_COUNTRY!$B$6:$N$18, 11, FALSE)</f>
        <v>78.5</v>
      </c>
      <c r="J15" s="47">
        <f t="shared" ca="1" si="0"/>
        <v>5.754835468012387</v>
      </c>
      <c r="K15" s="136">
        <f t="shared" ca="1" si="6"/>
        <v>0.30253943684941137</v>
      </c>
      <c r="L15">
        <f t="shared" si="1"/>
        <v>5.754835468012387</v>
      </c>
      <c r="M15" s="136">
        <f t="shared" si="7"/>
        <v>0.26132639612609215</v>
      </c>
      <c r="N15">
        <f t="shared" si="2"/>
        <v>0</v>
      </c>
      <c r="O15" s="136">
        <f t="shared" si="8"/>
        <v>0</v>
      </c>
      <c r="P15">
        <f t="shared" si="3"/>
        <v>5.754835468012387</v>
      </c>
      <c r="Q15" s="136">
        <f t="shared" si="9"/>
        <v>0.22320670272843737</v>
      </c>
      <c r="R15" s="156">
        <f t="shared" ca="1" si="4"/>
        <v>0.25198830753537704</v>
      </c>
      <c r="S15" s="156">
        <f t="shared" ca="1" si="5"/>
        <v>0.47850320294030385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0.2035017927988316</v>
      </c>
      <c r="F16">
        <f ca="1">VLOOKUP(B16,OUTPUT_COUNTRY!$B$6:$N$18, 9, FALSE)</f>
        <v>28.499999999999996</v>
      </c>
      <c r="G16" s="47">
        <f>IFERROR(VLOOKUP(B16,OUTPUT_COUNTRY!$B$6:$N$18, 7, FALSE),0)</f>
        <v>78.5</v>
      </c>
      <c r="H16">
        <f>VLOOKUP(B16,OUTPUT_COUNTRY!$B$6:$N$18, 8, FALSE)</f>
        <v>42.8</v>
      </c>
      <c r="I16">
        <f>VLOOKUP(B16,OUTPUT_COUNTRY!$B$6:$N$18, 11, FALSE)</f>
        <v>64.2</v>
      </c>
      <c r="J16" s="47">
        <f t="shared" ca="1" si="0"/>
        <v>0</v>
      </c>
      <c r="K16" s="136">
        <f t="shared" ca="1" si="6"/>
        <v>0</v>
      </c>
      <c r="L16">
        <f t="shared" si="1"/>
        <v>4.9139616228763829</v>
      </c>
      <c r="M16" s="136">
        <f t="shared" si="7"/>
        <v>0.2231424145392169</v>
      </c>
      <c r="N16">
        <f t="shared" si="2"/>
        <v>0</v>
      </c>
      <c r="O16" s="136">
        <f t="shared" si="8"/>
        <v>0</v>
      </c>
      <c r="P16">
        <f t="shared" si="3"/>
        <v>4.9139616228763829</v>
      </c>
      <c r="Q16" s="136">
        <f t="shared" si="9"/>
        <v>0.19059262028826393</v>
      </c>
      <c r="R16" s="156">
        <f t="shared" ca="1" si="4"/>
        <v>8.6001986390591464E-2</v>
      </c>
      <c r="S16" s="156">
        <f t="shared" ca="1" si="5"/>
        <v>0.16331006128666906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0.17069299236723257</v>
      </c>
      <c r="F17">
        <f ca="1">VLOOKUP(B17,OUTPUT_COUNTRY!$B$6:$N$18, 9, FALSE)</f>
        <v>64.2</v>
      </c>
      <c r="G17" s="47">
        <f>IFERROR(VLOOKUP(B17,OUTPUT_COUNTRY!$B$6:$N$18, 7, FALSE),0)</f>
        <v>64.2</v>
      </c>
      <c r="H17">
        <f>VLOOKUP(B17,OUTPUT_COUNTRY!$B$6:$N$18, 8, FALSE)</f>
        <v>42.8</v>
      </c>
      <c r="I17">
        <f>VLOOKUP(B17,OUTPUT_COUNTRY!$B$6:$N$18, 11, FALSE)</f>
        <v>64.2</v>
      </c>
      <c r="J17" s="47">
        <f t="shared" ca="1" si="0"/>
        <v>0</v>
      </c>
      <c r="K17" s="136">
        <f t="shared" ca="1" si="6"/>
        <v>0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5.8584713181931836</v>
      </c>
      <c r="Q17" s="136">
        <f t="shared" si="9"/>
        <v>0.22722631658740725</v>
      </c>
      <c r="R17" s="156">
        <f t="shared" ca="1" si="4"/>
        <v>2.2722631658740725E-2</v>
      </c>
      <c r="S17" s="156">
        <f t="shared" ca="1" si="5"/>
        <v>4.3148240227034063E-2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0.20605381410006793</v>
      </c>
      <c r="F18">
        <f ca="1">VLOOKUP(B18,OUTPUT_COUNTRY!$B$6:$N$18, 9, FALSE)</f>
        <v>35.699999999999996</v>
      </c>
      <c r="G18" s="47">
        <f>IFERROR(VLOOKUP(B18,OUTPUT_COUNTRY!$B$6:$N$18, 7, FALSE),0)</f>
        <v>85.7</v>
      </c>
      <c r="H18">
        <f>VLOOKUP(B18,OUTPUT_COUNTRY!$B$6:$N$18, 8, FALSE)</f>
        <v>7.1</v>
      </c>
      <c r="I18">
        <f>VLOOKUP(B18,OUTPUT_COUNTRY!$B$6:$N$18, 11, FALSE)</f>
        <v>14.2</v>
      </c>
      <c r="J18" s="47">
        <f t="shared" ca="1" si="0"/>
        <v>0</v>
      </c>
      <c r="K18" s="136">
        <f t="shared" ca="1" si="6"/>
        <v>0</v>
      </c>
      <c r="L18">
        <f t="shared" si="1"/>
        <v>4.8531011394642771</v>
      </c>
      <c r="M18" s="136">
        <f t="shared" si="7"/>
        <v>0.22037874720502804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6.6113624161508414E-2</v>
      </c>
      <c r="S18" s="156">
        <f t="shared" ca="1" si="5"/>
        <v>0.12554384458823301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0.21363958562641125</v>
      </c>
      <c r="F19">
        <f ca="1">VLOOKUP(B19,OUTPUT_COUNTRY!$B$6:$N$18, 9, FALSE)</f>
        <v>71.399999999999991</v>
      </c>
      <c r="G19" s="47">
        <f>IFERROR(VLOOKUP(B19,OUTPUT_COUNTRY!$B$6:$N$18, 7, FALSE),0)</f>
        <v>35.699999999999996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4.6807804699110722</v>
      </c>
      <c r="K19" s="136">
        <f t="shared" ca="1" si="6"/>
        <v>0.24607492173389983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4.6807804699110722</v>
      </c>
      <c r="Q19" s="136">
        <f t="shared" si="9"/>
        <v>0.18154847009820146</v>
      </c>
      <c r="R19" s="156">
        <f t="shared" ca="1" si="4"/>
        <v>0.14119230787677006</v>
      </c>
      <c r="S19" s="156">
        <f t="shared" ca="1" si="5"/>
        <v>0.26811153346900024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0.2271263857460894</v>
      </c>
      <c r="F20">
        <f ca="1">VLOOKUP(B20,OUTPUT_COUNTRY!$B$6:$N$18, 9, FALSE)</f>
        <v>92.800000000000011</v>
      </c>
      <c r="G20" s="47">
        <f>IFERROR(VLOOKUP(B20,OUTPUT_COUNTRY!$B$6:$N$18, 7, FALSE),0)</f>
        <v>35.699999999999996</v>
      </c>
      <c r="H20">
        <f>VLOOKUP(B20,OUTPUT_COUNTRY!$B$6:$N$18, 8, FALSE)</f>
        <v>92.800000000000011</v>
      </c>
      <c r="I20">
        <f>VLOOKUP(B20,OUTPUT_COUNTRY!$B$6:$N$18, 11, FALSE)</f>
        <v>42.8</v>
      </c>
      <c r="J20" s="47">
        <f t="shared" ca="1" si="0"/>
        <v>4.4028349974182497</v>
      </c>
      <c r="K20" s="136">
        <f t="shared" ca="1" si="6"/>
        <v>0.23146295459943977</v>
      </c>
      <c r="L20">
        <f t="shared" si="1"/>
        <v>0</v>
      </c>
      <c r="M20" s="136">
        <f t="shared" si="7"/>
        <v>0</v>
      </c>
      <c r="N20">
        <f t="shared" si="2"/>
        <v>4.4028349974182497</v>
      </c>
      <c r="O20" s="136">
        <f t="shared" si="8"/>
        <v>0.40383439918001579</v>
      </c>
      <c r="P20">
        <f t="shared" si="3"/>
        <v>0</v>
      </c>
      <c r="Q20" s="136">
        <f t="shared" si="9"/>
        <v>0</v>
      </c>
      <c r="R20" s="156">
        <f t="shared" ca="1" si="4"/>
        <v>0.15611491721772147</v>
      </c>
      <c r="S20" s="156">
        <f t="shared" ca="1" si="5"/>
        <v>0.29644823065829218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0.23904466189051043</v>
      </c>
      <c r="F21" s="13">
        <f ca="1">VLOOKUP(B21,OUTPUT_COUNTRY!$B$6:$N$18, 9, FALSE)</f>
        <v>78.5</v>
      </c>
      <c r="G21" s="138">
        <f>IFERROR(VLOOKUP(B21,OUTPUT_COUNTRY!$B$6:$N$18, 7, FALSE),0)</f>
        <v>21.4</v>
      </c>
      <c r="H21" s="13">
        <f>VLOOKUP(B21,OUTPUT_COUNTRY!$B$6:$N$18, 8, FALSE)</f>
        <v>7.1</v>
      </c>
      <c r="I21" s="13">
        <f>VLOOKUP(B21,OUTPUT_COUNTRY!$B$6:$N$18, 11, FALSE)</f>
        <v>57.099999999999994</v>
      </c>
      <c r="J21" s="138">
        <f t="shared" ca="1" si="0"/>
        <v>4.1833186823390758</v>
      </c>
      <c r="K21" s="137">
        <f t="shared" ca="1" si="6"/>
        <v>0.21992268681724916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0</v>
      </c>
      <c r="Q21" s="137">
        <f t="shared" si="9"/>
        <v>0</v>
      </c>
      <c r="R21" s="157">
        <f t="shared" ca="1" si="4"/>
        <v>0.10996134340862458</v>
      </c>
      <c r="S21" s="157">
        <f t="shared" ca="1" si="5"/>
        <v>0.20880673208719641</v>
      </c>
    </row>
    <row r="22" spans="2:21" x14ac:dyDescent="0.35">
      <c r="J22" s="47">
        <f ca="1">SUM(J9:J21)</f>
        <v>19.021769617680782</v>
      </c>
      <c r="K22" s="169"/>
      <c r="L22">
        <f>SUM(L9:L21)</f>
        <v>22.021638660778954</v>
      </c>
      <c r="N22">
        <f>SUM(N9:N21)</f>
        <v>10.902575427844159</v>
      </c>
      <c r="P22">
        <f>SUM(P9:P21)</f>
        <v>25.782538775342964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+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+</v>
      </c>
      <c r="L6" s="121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+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++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</v>
      </c>
      <c r="J11" s="121" t="str">
        <f ca="1">IF(VLOOKUP(C11,OUTPUT_COUNTRY!$B$6:$N$18,9,FALSE)&gt;75,"++",(IF(VLOOKUP(C11,OUTPUT_COUNTRY!$B$6:$N$18,9,FALSE)&gt;50,"+",(IF(VLOOKUP(C11,OUTPUT_COUNTRY!$B$6:$N$18,9,FALSE)&gt;25,"-","--")))))</f>
        <v>--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-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++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--</v>
      </c>
      <c r="J16" s="122" t="str">
        <f ca="1">IF(VLOOKUP(C16,OUTPUT_COUNTRY!$B$6:$N$18,9,FALSE)&gt;75,"++",(IF(VLOOKUP(C16,OUTPUT_COUNTRY!$B$6:$N$18,9,FALSE)&gt;50,"+",(IF(VLOOKUP(C16,OUTPUT_COUNTRY!$B$6:$N$18,9,FALSE)&gt;25,"-","--")))))</f>
        <v>++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45441</v>
      </c>
      <c r="G3" s="4" cm="1">
        <f t="array" ref="G3">_xll.FDS(D3,"FMA_PE(LTM,0,,,""PORTAGG"",""MEANR"")")</f>
        <v>34.367278527393502</v>
      </c>
      <c r="H3" s="4" cm="1">
        <f t="array" ref="H3">_xll.FDS(D3,"FMA_PE(NTMA,0,,,""PORTAGG"",""MEANR"")")</f>
        <v>24.976784988570198</v>
      </c>
      <c r="I3" cm="1">
        <f t="array" ref="I3">_xll.FDS(D3,"FMA_DIV_YLD(NTMA,NOW,NOW,M,""PORTAGG"",""MEANR"")")</f>
        <v>2.7593830697207999</v>
      </c>
      <c r="J3" s="52" cm="1">
        <f t="array" ref="J3">IFERROR(_xll.FDS(D3,"FG_FCF_YIELD_NTM(0)"),(1/G3*100))</f>
        <v>0.488897780712506</v>
      </c>
      <c r="K3" s="3" cm="1">
        <f t="array" ref="K3">_xll.FDS(D3,"FMA_EVAL_EBITDA(NTMA,0,,,""PORTAGG"",""MEANR"")")</f>
        <v>12.215330893444399</v>
      </c>
      <c r="L3" cm="1">
        <f t="array" ref="L3">_xll.FDS(D3,"FMA_EVAL_EBIT(LTMA,NOW,NOW,M,""PORTAGG"",""MEANR"")")</f>
        <v>20.646756538507301</v>
      </c>
      <c r="M3">
        <f>HLOOKUP(D3,'Index ROE'!$A$1:$N$25,25,FALSE)</f>
        <v>6.5791075391831502</v>
      </c>
      <c r="N3">
        <f>VLOOKUP(A3,'LIQIDITY 2'!$A$3:$E$16,5,FALSE)</f>
        <v>4.8109000000000002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-2.0515169302792002</v>
      </c>
      <c r="R3" s="52">
        <f t="shared" ref="R3:R11" si="1">J3-N3</f>
        <v>-4.3220022192874943</v>
      </c>
      <c r="S3">
        <f t="shared" ref="S3:S11" si="2">M3-N3</f>
        <v>1.76820753918315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9.64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45442</v>
      </c>
      <c r="G4" s="4" cm="1">
        <f t="array" ref="G4">_xll.FDS(D4,"FMA_PE(LTM,0,,,""PORTAGG"",""MEANR"")")</f>
        <v>18.610526915208698</v>
      </c>
      <c r="H4" s="4" cm="1">
        <f t="array" ref="H4">_xll.FDS(D4,"FMA_PE(NTMA,0,,,""PORTAGG"",""MEANR"")")</f>
        <v>16.4006782644244</v>
      </c>
      <c r="I4" cm="1">
        <f t="array" ref="I4">_xll.FDS(D4,"FMA_DIV_YLD(NTMA,NOW,NOW,M,""PORTAGG"",""MEANR"")")</f>
        <v>4.0307131775937304</v>
      </c>
      <c r="J4" s="52" cm="1">
        <f t="array" ref="J4">IFERROR(_xll.FDS(D4,"FG_FCF_YIELD_NTM(0)"),(1/G4*100))</f>
        <v>5.1515427991111604</v>
      </c>
      <c r="K4" s="3" cm="1">
        <f t="array" ref="K4">_xll.FDS(D4,"FMA_EVAL_EBITDA(NTMA,0,,,""PORTAGG"",""MEANR"")")</f>
        <v>8.5581903562374002</v>
      </c>
      <c r="L4" cm="1">
        <f t="array" ref="L4">_xll.FDS(D4,"FMA_EVAL_EBIT(LTMA,NOW,NOW,M,""PORTAGG"",""MEANR"")")</f>
        <v>12.403120147217299</v>
      </c>
      <c r="M4">
        <f>HLOOKUP(D4,'Index ROE'!$A$1:$N$25,25,FALSE)</f>
        <v>13.226137995013501</v>
      </c>
      <c r="N4">
        <f>VLOOKUP(A4,'LIQIDITY 2'!$A$3:$E$16,5,FALSE)</f>
        <v>4.41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-0.37928682240626976</v>
      </c>
      <c r="R4" s="52">
        <f t="shared" si="1"/>
        <v>0.74154279911116028</v>
      </c>
      <c r="S4">
        <f t="shared" si="2"/>
        <v>8.8161379950135004</v>
      </c>
      <c r="T4">
        <f t="shared" si="3"/>
        <v>9.6062279950135014</v>
      </c>
      <c r="U4" cm="1">
        <f t="array" ref="U4">_xlfn.PERCENTRANK.EXC(_xlfn._xlws.FILTER(Q$3:Q$15, ISNUMBER(Q$3:Q$15)),Q4)*100</f>
        <v>42.8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32.154999999999994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45442</v>
      </c>
      <c r="G5" s="4" cm="1">
        <f t="array" ref="G5">_xll.FDS(D5,"FMA_PE(LTM,0,,,""PORTAGG"",""MEANR"")")</f>
        <v>17.0824871756977</v>
      </c>
      <c r="H5" s="4" cm="1">
        <f t="array" ref="H5">_xll.FDS(D5,"FMA_PE(NTMA,0,,,""PORTAGG"",""MEANR"")")</f>
        <v>14.1644589400734</v>
      </c>
      <c r="I5" cm="1">
        <f t="array" ref="I5">_xll.FDS(D5,"FMA_DIV_YLD(NTMA,NOW,NOW,M,""PORTAGG"",""MEANR"")")</f>
        <v>3.2912449917061699</v>
      </c>
      <c r="J5" s="52" cm="1">
        <f t="array" ref="J5">IFERROR(_xll.FDS(D5,"FG_FCF_YIELD_NTM(0)"),(1/G5*100))</f>
        <v>5.0333816881780304</v>
      </c>
      <c r="K5" s="3" cm="1">
        <f t="array" ref="K5">_xll.FDS(D5,"FMA_EVAL_EBITDA(NTMA,0,,,""PORTAGG"",""MEANR"")")</f>
        <v>9.7491657057872505</v>
      </c>
      <c r="L5" cm="1">
        <f t="array" ref="L5">_xll.FDS(D5,"FMA_EVAL_EBIT(LTMA,NOW,NOW,M,""PORTAGG"",""MEANR"")")</f>
        <v>16.211823483211699</v>
      </c>
      <c r="M5">
        <f>HLOOKUP(D5,'Index ROE'!$A$1:$N$25,25,FALSE)</f>
        <v>13.147116166704</v>
      </c>
      <c r="N5">
        <f>VLOOKUP(A5,'LIQIDITY 2'!$A$3:$E$16,5,FALSE)</f>
        <v>3.6301000000000001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-0.3388550082938302</v>
      </c>
      <c r="R5" s="52">
        <f t="shared" si="1"/>
        <v>1.4032816881780303</v>
      </c>
      <c r="S5">
        <f t="shared" si="2"/>
        <v>9.5170161667039999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50.360000000000007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45441</v>
      </c>
      <c r="G6" s="4" cm="1">
        <f t="array" ref="G6">_xll.FDS(D6,"FMA_PE(LTM,0,,,""PORTAGG"",""MEANR"")")</f>
        <v>16.120817801966702</v>
      </c>
      <c r="H6" s="4" cm="1">
        <f t="array" ref="H6">_xll.FDS(D6,"FMA_PE(NTMA,0,,,""PORTAGG"",""MEANR"")")</f>
        <v>11.849856131853601</v>
      </c>
      <c r="I6" cm="1">
        <f t="array" ref="I6">_xll.FDS(D6,"FMA_DIV_YLD(NTMA,NOW,NOW,M,""PORTAGG"",""MEANR"")")</f>
        <v>3.38226238077507</v>
      </c>
      <c r="J6" s="52" cm="1">
        <f t="array" ref="J6">IFERROR(_xll.FDS(D6,"FG_FCF_YIELD_NTM(0)"),(1/G6*100))</f>
        <v>5.8972466878046799</v>
      </c>
      <c r="K6" s="3" cm="1">
        <f t="array" ref="K6">_xll.FDS(D6,"FMA_EVAL_EBITDA(NTMA,0,,,""PORTAGG"",""MEANR"")")</f>
        <v>8.4105694719639601</v>
      </c>
      <c r="L6" cm="1">
        <f t="array" ref="L6">_xll.FDS(D6,"FMA_EVAL_EBIT(LTMA,NOW,NOW,M,""PORTAGG"",""MEANR"")")</f>
        <v>13.4001088828955</v>
      </c>
      <c r="M6">
        <f>HLOOKUP(D6,'Index ROE'!$A$1:$N$25,25,FALSE)</f>
        <v>11.9489916743573</v>
      </c>
      <c r="N6">
        <f>VLOOKUP(A6,'LIQIDITY 2'!$A$3:$E$16,5,FALSE)</f>
        <v>2.65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0.73226238077507011</v>
      </c>
      <c r="R6" s="52">
        <f t="shared" si="1"/>
        <v>3.24724668780468</v>
      </c>
      <c r="S6">
        <f t="shared" si="2"/>
        <v>9.2989916743572998</v>
      </c>
      <c r="T6">
        <f t="shared" si="3"/>
        <v>9.4316352743572995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57.2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63.57500000000001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45441</v>
      </c>
      <c r="G7" s="4" cm="1">
        <f t="array" ref="G7">_xll.FDS(D7,"FMA_PE(LTM,0,,,""PORTAGG"",""MEANR"")")</f>
        <v>15.7775814880069</v>
      </c>
      <c r="H7" s="4" cm="1">
        <f t="array" ref="H7">_xll.FDS(D7,"FMA_PE(NTMA,0,,,""PORTAGG"",""MEANR"")")</f>
        <v>15.4383438074015</v>
      </c>
      <c r="I7" cm="1">
        <f t="array" ref="I7">_xll.FDS(D7,"FMA_DIV_YLD(NTMA,NOW,NOW,M,""PORTAGG"",""MEANR"")")</f>
        <v>2.2363085243691101</v>
      </c>
      <c r="J7" s="52" cm="1">
        <f t="array" ref="J7">IFERROR(_xll.FDS(D7,"FG_FCF_YIELD_NTM(0)"),(1/G7*100))</f>
        <v>4.11745685271078</v>
      </c>
      <c r="K7" s="3" cm="1">
        <f t="array" ref="K7">_xll.FDS(D7,"FMA_EVAL_EBITDA(NTMA,0,,,""PORTAGG"",""MEANR"")")</f>
        <v>10.461293556489901</v>
      </c>
      <c r="L7" cm="1">
        <f t="array" ref="L7">_xll.FDS(D7,"FMA_EVAL_EBIT(LTMA,NOW,NOW,M,""PORTAGG"",""MEANR"")")</f>
        <v>17.740269822371399</v>
      </c>
      <c r="M7">
        <f>HLOOKUP(D7,'Index ROE'!$A$1:$N$25,25,FALSE)</f>
        <v>9.2993760884677705</v>
      </c>
      <c r="N7">
        <f>VLOOKUP(A7,'LIQIDITY 2'!$A$3:$E$16,5,FALSE)</f>
        <v>1.0663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1.1700085243691101</v>
      </c>
      <c r="R7" s="52">
        <f t="shared" si="1"/>
        <v>3.05115685271078</v>
      </c>
      <c r="S7">
        <f t="shared" si="2"/>
        <v>8.2330760884677705</v>
      </c>
      <c r="T7">
        <f t="shared" si="3"/>
        <v>6.7762198884677707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71.500000000000014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58.565000000000012</v>
      </c>
      <c r="AC7" cm="1">
        <f t="array" ref="AC7">_xlfn.PERCENTRANK.EXC(_xlfn._xlws.FILTER(AB$3:AB$15, ISNUMBER(AB$3:AB$15)),AB7)*100</f>
        <v>57.099999999999994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45441</v>
      </c>
      <c r="G8" s="4" cm="1">
        <f t="array" ref="G8">_xll.FDS(D8,"FMA_PE(LTM,0,,,""PORTAGG"",""MEANR"")")</f>
        <v>15.822212362635</v>
      </c>
      <c r="H8" s="4" cm="1">
        <f t="array" ref="H8">_xll.FDS(D8,"FMA_PE(NTMA,0,,,""PORTAGG"",""MEANR"")")</f>
        <v>16.953925543284999</v>
      </c>
      <c r="I8" cm="1">
        <f t="array" ref="I8">_xll.FDS(D8,"FMA_DIV_YLD(NTMA,NOW,NOW,M,""PORTAGG"",""MEANR"")")</f>
        <v>3.2679593568862599</v>
      </c>
      <c r="J8" s="52" cm="1">
        <f t="array" ref="J8">IFERROR(_xll.FDS(D8,"FG_FCF_YIELD_NTM(0)"),(1/G8*100))</f>
        <v>4.9915619642837497</v>
      </c>
      <c r="K8" s="3" cm="1">
        <f t="array" ref="K8">_xll.FDS(D8,"FMA_EVAL_EBITDA(NTMA,0,,,""PORTAGG"",""MEANR"")")</f>
        <v>12.678233585639299</v>
      </c>
      <c r="L8" cm="1">
        <f t="array" ref="L8">_xll.FDS(D8,"FMA_EVAL_EBIT(LTMA,NOW,NOW,M,""PORTAGG"",""MEANR"")")</f>
        <v>16.477199292219598</v>
      </c>
      <c r="M8">
        <f>HLOOKUP(D8,'Index ROE'!$A$1:$N$25,25,FALSE)</f>
        <v>19.299686812780902</v>
      </c>
      <c r="N8">
        <f>VLOOKUP(A8,'LIQIDITY 2'!$A$3:$E$16,5,FALSE)</f>
        <v>0.89700000000000002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2.3709593568862601</v>
      </c>
      <c r="R8" s="52">
        <f t="shared" si="1"/>
        <v>4.0945619642837494</v>
      </c>
      <c r="S8">
        <f t="shared" si="2"/>
        <v>18.402686812780903</v>
      </c>
      <c r="T8">
        <f t="shared" si="3"/>
        <v>18.136054412780901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68.205000000000013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45441</v>
      </c>
      <c r="G9" s="4" cm="1">
        <f t="array" ref="G9">_xll.FDS(D9,"FMA_PE(LTM,0,,,""PORTAGG"",""MEANR"")")</f>
        <v>12.820765526128801</v>
      </c>
      <c r="H9" s="4" cm="1">
        <f t="array" ref="H9">_xll.FDS(D9,"FMA_PE(NTMA,0,,,""PORTAGG"",""MEANR"")")</f>
        <v>11.5530330507331</v>
      </c>
      <c r="I9" cm="1">
        <f t="array" ref="I9">_xll.FDS(D9,"FMA_DIV_YLD(NTMA,NOW,NOW,M,""PORTAGG"",""MEANR"")")</f>
        <v>3.9107747950974598</v>
      </c>
      <c r="J9" s="52" cm="1">
        <f t="array" ref="J9">IFERROR(_xll.FDS(D9,"FG_FCF_YIELD_NTM(0)"),(1/G9*100))</f>
        <v>6.1714451253034603</v>
      </c>
      <c r="K9" s="3" cm="1">
        <f t="array" ref="K9">_xll.FDS(D9,"FMA_EVAL_EBITDA(NTMA,0,,,""PORTAGG"",""MEANR"")")</f>
        <v>7.50357356181292</v>
      </c>
      <c r="L9" cm="1">
        <f t="array" ref="L9">_xll.FDS(D9,"FMA_EVAL_EBIT(LTMA,NOW,NOW,M,""PORTAGG"",""MEANR"")")</f>
        <v>10.545861003608101</v>
      </c>
      <c r="M9">
        <f>HLOOKUP(D9,'Index ROE'!$A$1:$N$25,25,FALSE)</f>
        <v>14.7207288829901</v>
      </c>
      <c r="N9">
        <f>VLOOKUP(A9,'LIQIDITY 2'!$A$3:$E$16,5,FALSE)</f>
        <v>4.3129999999999997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-0.40222520490253988</v>
      </c>
      <c r="R9" s="52">
        <f t="shared" si="1"/>
        <v>1.8584451253034606</v>
      </c>
      <c r="S9">
        <f t="shared" si="2"/>
        <v>10.407728882990099</v>
      </c>
      <c r="T9">
        <f t="shared" si="3"/>
        <v>10.801229482990101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70.025000000000006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45443</v>
      </c>
      <c r="G10" s="4" cm="1">
        <f t="array" ref="G10">_xll.FDS(D10,"FMA_PE(LTM,0,,,""PORTAGG"",""MEANR"")")</f>
        <v>33.2415958436168</v>
      </c>
      <c r="H10" s="4" cm="1">
        <f t="array" ref="H10">_xll.FDS(D10,"FMA_PE(NTMA,0,,,""PORTAGG"",""MEANR"")")</f>
        <v>25.7464296072419</v>
      </c>
      <c r="I10" cm="1">
        <f t="array" ref="I10">_xll.FDS(D10,"FMA_DIV_YLD(NTMA,NOW,NOW,M,""PORTAGG"",""MEANR"")")</f>
        <v>0.89639296821571501</v>
      </c>
      <c r="J10" s="52" cm="1">
        <f t="array" ref="J10">IFERROR(_xll.FDS(D10,"FG_FCF_YIELD_NTM(0)"),(1/G10*100))</f>
        <v>3.6898640722063498</v>
      </c>
      <c r="K10" s="3" cm="1">
        <f t="array" ref="K10">_xll.FDS(D10,"FMA_EVAL_EBITDA(NTMA,0,,,""PORTAGG"",""MEANR"")")</f>
        <v>16.1181985831699</v>
      </c>
      <c r="L10" cm="1">
        <f t="array" ref="L10">_xll.FDS(D10,"FMA_EVAL_EBIT(LTMA,NOW,NOW,M,""PORTAGG"",""MEANR"")")</f>
        <v>24.336574188881801</v>
      </c>
      <c r="M10">
        <f>HLOOKUP(D10,'Index ROE'!$A$1:$N$25,25,FALSE)</f>
        <v>25.319915596617101</v>
      </c>
      <c r="N10">
        <f>VLOOKUP(A10,'LIQIDITY 2'!$A$3:$E$16,5,FALSE)</f>
        <v>4.4877000000000002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2.0868572594445189</v>
      </c>
      <c r="Q10">
        <f t="shared" si="0"/>
        <v>-3.591307031784285</v>
      </c>
      <c r="R10" s="52">
        <f t="shared" si="1"/>
        <v>-0.79783592779365042</v>
      </c>
      <c r="S10">
        <f t="shared" si="2"/>
        <v>20.8322155966171</v>
      </c>
      <c r="T10">
        <f t="shared" si="3"/>
        <v>22.1103995966171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27.840000000000003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45442</v>
      </c>
      <c r="G11" s="4" cm="1">
        <f t="array" ref="G11">_xll.FDS(D11,"FMA_PE(LTM,0,,,""PORTAGG"",""MEANR"")")</f>
        <v>25.184741981195199</v>
      </c>
      <c r="H11" s="4" cm="1">
        <f t="array" ref="H11">_xll.FDS(D11,"FMA_PE(NTMA,0,,,""PORTAGG"",""MEANR"")")</f>
        <v>20.3156903048109</v>
      </c>
      <c r="I11" cm="1">
        <f t="array" ref="I11">_xll.FDS(D11,"FMA_DIV_YLD(NTMA,NOW,NOW,M,""PORTAGG"",""MEANR"")")</f>
        <v>1.4636113624261</v>
      </c>
      <c r="J11" s="52" cm="1">
        <f t="array" ref="J11">IFERROR(_xll.FDS(D11,"FG_FCF_YIELD_NTM(0)"),(1/G11*100))</f>
        <v>4.1958017077233398</v>
      </c>
      <c r="K11" s="3" cm="1">
        <f t="array" ref="K11">_xll.FDS(D11,"FMA_EVAL_EBITDA(NTMA,0,,,""PORTAGG"",""MEANR"")")</f>
        <v>14.0174321079134</v>
      </c>
      <c r="L11" cm="1">
        <f t="array" ref="L11">_xll.FDS(D11,"FMA_EVAL_EBIT(LTMA,NOW,NOW,M,""PORTAGG"",""MEANR"")")</f>
        <v>20.442290832480602</v>
      </c>
      <c r="M11">
        <f>HLOOKUP(D11,'Index ROE'!$A$1:$N$25,25,FALSE)</f>
        <v>20.350503776156899</v>
      </c>
      <c r="N11">
        <f>VLOOKUP(A11,'LIQIDITY 2'!$A$3:$E$16,5,FALSE)</f>
        <v>4.4877000000000002</v>
      </c>
      <c r="O11" cm="1">
        <f t="array" ref="O11">IFERROR(IFERROR(IFERROR(IFERROR(_xll.FDS(B11,"IMF_IFS_RCPI_Q(0)"),_xll.FDS(B11,"IMF_IFS_RCPI_Q(-1AM)")),_xll.FDS(B11,"IMF_IFS_RCPI_Q(-2AM)")),_xll.FDS(B11,"IMF_IFS_RCPI_Q(-3AM)")),$D$31)</f>
        <v>3.2095159999999998</v>
      </c>
      <c r="P11">
        <f>VLOOKUP(E11,GDP_GROWTH!$B$10:$W$165,22,FALSE)</f>
        <v>2.0868572594445189</v>
      </c>
      <c r="Q11">
        <f t="shared" si="0"/>
        <v>-3.0240886375739002</v>
      </c>
      <c r="R11" s="52">
        <f t="shared" si="1"/>
        <v>-0.29189829227666042</v>
      </c>
      <c r="S11">
        <f t="shared" si="2"/>
        <v>15.862803776156898</v>
      </c>
      <c r="T11">
        <f t="shared" si="3"/>
        <v>17.140987776156898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45441</v>
      </c>
      <c r="G12" s="4" cm="1">
        <f t="array" ref="G12">_xll.FDS(D12,"FMA_PE(LTM,0,,,""PORTAGG"",""MEANR"")")</f>
        <v>16.329573195159199</v>
      </c>
      <c r="H12" s="4" cm="1">
        <f t="array" ref="H12">_xll.FDS(D12,"FMA_PE(NTMA,0,,,""PORTAGG"",""MEANR"")")</f>
        <v>14.1656197209554</v>
      </c>
      <c r="I12" cm="1">
        <f t="array" ref="I12">_xll.FDS(D12,"FMA_DIV_YLD(NTMA,NOW,NOW,M,""PORTAGG"",""MEANR"")")</f>
        <v>3.1887245822555998</v>
      </c>
      <c r="J12" s="52" cm="1">
        <f t="array" ref="J12">IFERROR(_xll.FDS(D12,"FG_FCF_YIELD_NTM(0)"),(1/G12*100))</f>
        <v>5.7164203128812501</v>
      </c>
      <c r="K12" s="3" cm="1">
        <f t="array" ref="K12">_xll.FDS(D12,"FMA_EVAL_EBITDA(NTMA,0,,,""PORTAGG"",""MEANR"")")</f>
        <v>9.2609990647428706</v>
      </c>
      <c r="L12" cm="1">
        <f t="array" ref="L12">_xll.FDS(D12,"FMA_EVAL_EBIT(LTMA,NOW,NOW,M,""PORTAGG"",""MEANR"")")</f>
        <v>13.235935102449901</v>
      </c>
      <c r="M12">
        <f>HLOOKUP(D12,'Index ROE'!$A$1:$N$25,25,FALSE)</f>
        <v>13.220962408242601</v>
      </c>
      <c r="N12">
        <f>VLOOKUP(A12,'LIQIDITY 2'!$A$3:$E$16,5,FALSE)</f>
        <v>3.1309999999999998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5.7724582255600065E-2</v>
      </c>
      <c r="R12" s="52">
        <f t="shared" ref="R12:R15" si="5">J12-N12</f>
        <v>2.5854203128812503</v>
      </c>
      <c r="S12">
        <f t="shared" ref="S12:S15" si="6">M12-N12</f>
        <v>10.0899624082426</v>
      </c>
      <c r="T12">
        <f t="shared" ref="T12:T15" si="7">M12-O12</f>
        <v>10.426942408242601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58.190000000000005</v>
      </c>
      <c r="AC12" cm="1">
        <f t="array" ref="AC12">_xlfn.PERCENTRANK.EXC(_xlfn._xlws.FILTER(AB$3:AB$15, ISNUMBER(AB$3:AB$15)),AB12)*100</f>
        <v>50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45442</v>
      </c>
      <c r="G13" s="4" cm="1">
        <f t="array" ref="G13">_xll.FDS(D13,"FMA_PE(LTM,0,,,""PORTAGG"",""MEANR"")")</f>
        <v>20.2933942346028</v>
      </c>
      <c r="H13" s="4" cm="1">
        <f t="array" ref="H13">_xll.FDS(D13,"FMA_PE(NTMA,0,,,""PORTAGG"",""MEANR"")")</f>
        <v>16.130205584492799</v>
      </c>
      <c r="I13" cm="1">
        <f t="array" ref="I13">_xll.FDS(D13,"FMA_DIV_YLD(NTMA,NOW,NOW,M,""PORTAGG"",""MEANR"")")</f>
        <v>2.5013695048134501</v>
      </c>
      <c r="J13" s="52" cm="1">
        <f t="array" ref="J13">IFERROR(_xll.FDS(D13,"FG_FCF_YIELD_NTM(0)"),(1/G13*100))</f>
        <v>3.7166655951670502</v>
      </c>
      <c r="K13" s="3" cm="1">
        <f t="array" ref="K13">_xll.FDS(D13,"FMA_EVAL_EBITDA(NTMA,0,,,""PORTAGG"",""MEANR"")")</f>
        <v>12.4467109355692</v>
      </c>
      <c r="L13" cm="1">
        <f t="array" ref="L13">_xll.FDS(D13,"FMA_EVAL_EBIT(LTMA,NOW,NOW,M,""PORTAGG"",""MEANR"")")</f>
        <v>21.8631122331591</v>
      </c>
      <c r="M13">
        <f>HLOOKUP(D13,'Index ROE'!$A$1:$N$25,25,FALSE)</f>
        <v>12.745985665341101</v>
      </c>
      <c r="N13">
        <f>VLOOKUP(A13,'LIQIDITY 2'!$A$3:$E$16,5,FALSE)</f>
        <v>2.9329999999999998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-0.43163049518654972</v>
      </c>
      <c r="R13" s="52">
        <f t="shared" si="5"/>
        <v>0.78366559516705037</v>
      </c>
      <c r="S13">
        <f t="shared" si="6"/>
        <v>9.8129856653411007</v>
      </c>
      <c r="T13">
        <f t="shared" si="7"/>
        <v>9.7221950653411007</v>
      </c>
      <c r="U13" cm="1">
        <f t="array" ref="U13">_xlfn.PERCENTRANK.EXC(_xlfn._xlws.FILTER(Q$3:Q$15, ISNUMBER(Q$3:Q$15)),Q13)*100</f>
        <v>28.499999999999996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36.795000000000002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45441</v>
      </c>
      <c r="G14" s="4" cm="1">
        <f t="array" ref="G14">_xll.FDS(D14,"FMA_PE(LTM,0,,,""PORTAGG"",""MEANR"")")</f>
        <v>14.1030810222529</v>
      </c>
      <c r="H14" s="4" cm="1">
        <f t="array" ref="H14">_xll.FDS(D14,"FMA_PE(NTMA,0,,,""PORTAGG"",""MEANR"")")</f>
        <v>16.047035132452301</v>
      </c>
      <c r="I14" cm="1">
        <f t="array" ref="I14">_xll.FDS(D14,"FMA_DIV_YLD(NTMA,NOW,NOW,M,""PORTAGG"",""MEANR"")")</f>
        <v>3.2195705815790299</v>
      </c>
      <c r="J14" s="52" cm="1">
        <f t="array" ref="J14">IFERROR(_xll.FDS(D14,"FG_FCF_YIELD_NTM(0)"),(1/G14*100))</f>
        <v>5.0442468850521403</v>
      </c>
      <c r="K14" s="3" cm="1">
        <f t="array" ref="K14">_xll.FDS(D14,"FMA_EVAL_EBITDA(NTMA,0,,,""PORTAGG"",""MEANR"")")</f>
        <v>11.0815096813129</v>
      </c>
      <c r="L14" cm="1">
        <f t="array" ref="L14">_xll.FDS(D14,"FMA_EVAL_EBIT(LTMA,NOW,NOW,M,""PORTAGG"",""MEANR"")")</f>
        <v>15.9529912187152</v>
      </c>
      <c r="M14">
        <f>HLOOKUP(D14,'Index ROE'!$A$1:$N$25,25,FALSE)</f>
        <v>15.368050598586001</v>
      </c>
      <c r="N14">
        <f>VLOOKUP(A14,'LIQIDITY 2'!$A$3:$E$16,5,FALSE)</f>
        <v>2.4359999999999999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0.78357058157902992</v>
      </c>
      <c r="R14" s="52">
        <f t="shared" si="5"/>
        <v>2.6082468850521403</v>
      </c>
      <c r="S14">
        <f t="shared" si="6"/>
        <v>12.932050598586001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50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66.42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45442</v>
      </c>
      <c r="G15" s="4" cm="1">
        <f t="array" ref="G15">_xll.FDS(D15,"FMA_PE(LTM,0,,,""PORTAGG"",""MEANR"")")</f>
        <v>10.160680302085201</v>
      </c>
      <c r="H15" s="4" cm="1">
        <f t="array" ref="H15">_xll.FDS(D15,"FMA_PE(NTMA,0,,,""PORTAGG"",""MEANR"")")</f>
        <v>9.6894292839742704</v>
      </c>
      <c r="I15" cm="1">
        <f t="array" ref="I15">_xll.FDS(D15,"FMA_DIV_YLD(NTMA,NOW,NOW,M,""PORTAGG"",""MEANR"")")</f>
        <v>5.25523133527998</v>
      </c>
      <c r="J15" s="52" cm="1">
        <f t="array" ref="J15">IFERROR(_xll.FDS(D15,"FG_FCF_YIELD_NTM(0)"),(1/G15*100))</f>
        <v>6.1330206642749898</v>
      </c>
      <c r="K15" s="3" cm="1">
        <f t="array" ref="K15">_xll.FDS(D15,"FMA_EVAL_EBITDA(NTMA,0,,,""PORTAGG"",""MEANR"")")</f>
        <v>6.8441067708362597</v>
      </c>
      <c r="L15" cm="1">
        <f t="array" ref="L15">_xll.FDS(D15,"FMA_EVAL_EBIT(LTMA,NOW,NOW,M,""PORTAGG"",""MEANR"")")</f>
        <v>10.848505786763299</v>
      </c>
      <c r="M15">
        <f>HLOOKUP(D15,'Index ROE'!$A$1:$N$25,25,FALSE)</f>
        <v>13.3572149047324</v>
      </c>
      <c r="N15">
        <f>VLOOKUP(A15,'LIQIDITY 2'!$A$3:$E$16,5,FALSE)</f>
        <v>3.9550000000000001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1.3002313352799799</v>
      </c>
      <c r="R15" s="52">
        <f t="shared" si="5"/>
        <v>2.1780206642749897</v>
      </c>
      <c r="S15">
        <f t="shared" si="6"/>
        <v>9.4022149047324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75.719999999999985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45412</v>
      </c>
      <c r="G19" s="4" cm="1">
        <f t="array" ref="G19">_xll.FDS(D19,"FG_PE(0)")</f>
        <v>12.934265514218801</v>
      </c>
      <c r="H19" s="4" cm="1">
        <f t="array" ref="H19">_xll.FDS(D19,"FG_PE_NTM(0,,,90,0)")</f>
        <v>13.298663687272199</v>
      </c>
      <c r="I19" cm="1">
        <f t="array" ref="I19">_xll.FDS(D19,"FMA_DIV_YLD(NTMA,NOW,NOW,M,""PORTAGG"",""MEANR"")")</f>
        <v>3.52344423095699</v>
      </c>
      <c r="J19" s="52" cm="1">
        <f t="array" ref="J19">_xll.FDS(D19,"FG_FCF_YIELD_NTM(0)")</f>
        <v>5.3489339282567698</v>
      </c>
      <c r="K19" s="3" cm="1">
        <f t="array" ref="K19">_xll.FDS(D19,"FMA_EVAL_EBITDA(NTMA,0,,,""PORTAGG"",""MEANR"")")</f>
        <v>8.8420284278132808</v>
      </c>
      <c r="L19" cm="1">
        <f t="array" ref="L19">_xll.FDS(D19,"FMA_EVAL_EBIT(LTMA,NOW,NOW,M,""PORTAGG"",""MEANR"")")</f>
        <v>13.201398537846201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45412</v>
      </c>
      <c r="G20" s="4" cm="1">
        <f t="array" ref="G20">_xll.FDS(D20,"FG_PE(0)")</f>
        <v>14.3826098477444</v>
      </c>
      <c r="H20" s="4" cm="1">
        <f t="array" ref="H20">_xll.FDS(D20,"FG_PE_NTM(0,,,90,0)")</f>
        <v>12.7459399706105</v>
      </c>
      <c r="I20" cm="1">
        <f t="array" ref="I20">_xll.FDS(D20,"FMA_DIV_YLD(NTMA,NOW,NOW,M,""PORTAGG"",""MEANR"")")</f>
        <v>3.0650267654051002</v>
      </c>
      <c r="J20" s="52" cm="1">
        <f t="array" ref="J20">_xll.FDS(D20,"FG_FCF_YIELD_NTM(0)")</f>
        <v>5.38071052006143</v>
      </c>
      <c r="K20" s="3" cm="1">
        <f t="array" ref="K20">_xll.FDS(D20,"FMA_EVAL_EBITDA(NTMA,0,,,""PORTAGG"",""MEANR"")")</f>
        <v>8.9061756334558009</v>
      </c>
      <c r="L20" cm="1">
        <f t="array" ref="L20">_xll.FDS(D20,"FMA_EVAL_EBIT(LTMA,NOW,NOW,M,""PORTAGG"",""MEANR"")")</f>
        <v>14.3789902738816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3.2095159999999998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4.8109000000000002</v>
      </c>
      <c r="G3" s="26" cm="1">
        <f t="array" ref="G3">_xll.FDSB(C3,"PCTCHG(FG_YIELD(0,,,,""YTM""),FG_YIELD(-1AM,,,,""YTM""))")</f>
        <v>-1.7722526999999999</v>
      </c>
      <c r="H3" s="26" cm="1">
        <f t="array" ref="H3">_xll.FDSB(C3,"PCTCHG(FG_YIELD(0,,,,""YTM""),FG_YIELD(-3AM,,,,""YTM""))")</f>
        <v>1.3567933000000001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0.68909999999999982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0</v>
      </c>
      <c r="V3" s="47">
        <f t="shared" ref="V3:V15" si="4">SUMPRODUCT($S$1:$U$1,S3:U3)</f>
        <v>0.25</v>
      </c>
      <c r="X3">
        <f>_xlfn.PERCENTRANK.EXC($V$3:$V$15,V3)*100</f>
        <v>42.8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4.41</v>
      </c>
      <c r="G4" s="26" cm="1">
        <f t="array" ref="G4">_xll.FDSB(C4,"PCTCHG(FG_YIELD(0,,,,""YTM""),FG_YIELD(-1AM,,,,""YTM""))")</f>
        <v>-0.27137232</v>
      </c>
      <c r="H4" s="26" cm="1">
        <f t="array" ref="H4">_xll.FDSB(C4,"PCTCHG(FG_YIELD(0,,,,""YTM""),FG_YIELD(-3AM,,,,""YTM""))")</f>
        <v>6.6247509999999998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-6.0000000000000497E-2</v>
      </c>
      <c r="S4">
        <f t="shared" si="1"/>
        <v>0</v>
      </c>
      <c r="T4">
        <f t="shared" si="2"/>
        <v>1</v>
      </c>
      <c r="U4">
        <f t="shared" si="3"/>
        <v>0</v>
      </c>
      <c r="V4" s="47">
        <f t="shared" si="4"/>
        <v>0.25</v>
      </c>
      <c r="X4">
        <f t="shared" ref="X4:X15" si="6">_xlfn.PERCENTRANK.EXC($V$3:$V$15,V4)*100</f>
        <v>42.8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3.6301000000000001</v>
      </c>
      <c r="G5" s="26" cm="1">
        <f t="array" ref="G5">_xll.FDSB(C5,"PCTCHG(FG_YIELD(0,,,,""YTM""),FG_YIELD(-1AM,,,,""YTM""))")</f>
        <v>-4.8541392999999999</v>
      </c>
      <c r="H5" s="26" cm="1">
        <f t="array" ref="H5">_xll.FDSB(C5,"PCTCHG(FG_YIELD(0,,,,""YTM""),FG_YIELD(-3AM,,,,""YTM""))")</f>
        <v>3.6875200000000001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1.3698999999999999</v>
      </c>
      <c r="S5">
        <f t="shared" si="1"/>
        <v>0</v>
      </c>
      <c r="T5">
        <f t="shared" si="2"/>
        <v>1</v>
      </c>
      <c r="U5">
        <f t="shared" si="3"/>
        <v>0</v>
      </c>
      <c r="V5" s="47">
        <f t="shared" si="4"/>
        <v>0.25</v>
      </c>
      <c r="X5">
        <f t="shared" si="6"/>
        <v>42.8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2.65</v>
      </c>
      <c r="G6" s="26" cm="1">
        <f t="array" ref="G6">_xll.FDSB(C6,"PCTCHG(FG_YIELD(0,,,,""YTM""),FG_YIELD(-1AM,,,,""YTM""))")</f>
        <v>2.554179</v>
      </c>
      <c r="H6" s="26" cm="1">
        <f t="array" ref="H6">_xll.FDSB(C6,"PCTCHG(FG_YIELD(0,,,,""YTM""),FG_YIELD(-3AM,,,,""YTM""))")</f>
        <v>9.5494079999999997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1.85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1.0663</v>
      </c>
      <c r="G7" s="26" cm="1">
        <f t="array" ref="G7">_xll.FDSB(C7,"PCTCHG(FG_YIELD(0,,,,""YTM""),FG_YIELD(-1AM,,,,""YTM""))")</f>
        <v>23.271678999999999</v>
      </c>
      <c r="H7" s="26" cm="1">
        <f t="array" ref="H7">_xll.FDSB(C7,"PCTCHG(FG_YIELD(0,,,,""YTM""),FG_YIELD(-3AM,,,,""YTM""))")</f>
        <v>49.656146999999997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-0.96630000000000005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0.89700000000000002</v>
      </c>
      <c r="G8" s="26" cm="1">
        <f t="array" ref="G8">_xll.FDSB(C8,"PCTCHG(FG_YIELD(0,,,,""YTM""),FG_YIELD(-1AM,,,,""YTM""))")</f>
        <v>19.759679999999999</v>
      </c>
      <c r="H8" s="26" cm="1">
        <f t="array" ref="H8">_xll.FDSB(C8,"PCTCHG(FG_YIELD(0,,,,""YTM""),FG_YIELD(-3AM,,,,""YTM""))")</f>
        <v>10.061351999999999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0.60299999999999998</v>
      </c>
      <c r="S8">
        <f t="shared" si="1"/>
        <v>1</v>
      </c>
      <c r="T8">
        <f t="shared" si="2"/>
        <v>0</v>
      </c>
      <c r="U8">
        <f t="shared" si="3"/>
        <v>0</v>
      </c>
      <c r="V8" s="47">
        <f t="shared" si="4"/>
        <v>0.5</v>
      </c>
      <c r="X8">
        <f t="shared" si="6"/>
        <v>85.7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4.3129999999999997</v>
      </c>
      <c r="G9" s="26" cm="1">
        <f t="array" ref="G9">_xll.FDSB(C9,"PCTCHG(FG_YIELD(0,,,,""YTM""),FG_YIELD(-1AM,,,,""YTM""))")</f>
        <v>-0.53043735000000003</v>
      </c>
      <c r="H9" s="26" cm="1">
        <f t="array" ref="H9">_xll.FDSB(C9,"PCTCHG(FG_YIELD(0,,,,""YTM""),FG_YIELD(-3AM,,,,""YTM""))")</f>
        <v>1.8899220000000001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0.93700000000000028</v>
      </c>
      <c r="S9">
        <f t="shared" si="1"/>
        <v>0</v>
      </c>
      <c r="T9">
        <f t="shared" si="2"/>
        <v>1</v>
      </c>
      <c r="U9">
        <f t="shared" si="3"/>
        <v>0</v>
      </c>
      <c r="V9" s="47">
        <f t="shared" si="4"/>
        <v>0.25</v>
      </c>
      <c r="X9">
        <f t="shared" si="6"/>
        <v>42.8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4.4877000000000002</v>
      </c>
      <c r="G10" s="26" cm="1">
        <f t="array" ref="G10">_xll.FDSB(C10,"PCTCHG(FG_YIELD(0,,,,""YTM""),FG_YIELD(-1AM,,,,""YTM""))")</f>
        <v>-4.1048774999999997</v>
      </c>
      <c r="H10" s="26" cm="1">
        <f t="array" ref="H10">_xll.FDSB(C10,"PCTCHG(FG_YIELD(0,,,,""YTM""),FG_YIELD(-3AM,,,,""YTM""))")</f>
        <v>5.7472034000000001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1.0122999999999998</v>
      </c>
      <c r="S10">
        <f t="shared" si="1"/>
        <v>0</v>
      </c>
      <c r="T10">
        <f t="shared" si="2"/>
        <v>1</v>
      </c>
      <c r="U10">
        <f t="shared" si="3"/>
        <v>0</v>
      </c>
      <c r="V10" s="47">
        <f t="shared" si="4"/>
        <v>0.25</v>
      </c>
      <c r="X10">
        <f t="shared" si="6"/>
        <v>42.8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4.4877000000000002</v>
      </c>
      <c r="G11" s="26" cm="1">
        <f t="array" ref="G11">_xll.FDSB(C11,"PCTCHG(FG_YIELD(0,,,,""YTM""),FG_YIELD(-1AM,,,,""YTM""))")</f>
        <v>-4.1048774999999997</v>
      </c>
      <c r="H11" s="26" cm="1">
        <f t="array" ref="H11">_xll.FDSB(C11,"PCTCHG(FG_YIELD(0,,,,""YTM""),FG_YIELD(-3AM,,,,""YTM""))")</f>
        <v>5.7472034000000001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1.0122999999999998</v>
      </c>
      <c r="S11">
        <f t="shared" si="1"/>
        <v>0</v>
      </c>
      <c r="T11">
        <f t="shared" si="2"/>
        <v>1</v>
      </c>
      <c r="U11">
        <f t="shared" si="3"/>
        <v>0</v>
      </c>
      <c r="V11" s="47">
        <f t="shared" si="4"/>
        <v>0.25</v>
      </c>
      <c r="X11">
        <f t="shared" si="6"/>
        <v>42.8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3.1309999999999998</v>
      </c>
      <c r="G12" s="26" cm="1">
        <f t="array" ref="G12">_xll.FDSB(C12,"PCTCHG(FG_YIELD(0,,,,""YTM""),FG_YIELD(-1AM,,,,""YTM""))")</f>
        <v>2.4206780000000001</v>
      </c>
      <c r="H12" s="26" cm="1">
        <f t="array" ref="H12">_xll.FDSB(C12,"PCTCHG(FG_YIELD(0,,,,""YTM""),FG_YIELD(-3AM,,,,""YTM""))")</f>
        <v>8.3016260000000006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1.3690000000000002</v>
      </c>
      <c r="S12">
        <f t="shared" si="1"/>
        <v>0</v>
      </c>
      <c r="T12">
        <f t="shared" si="2"/>
        <v>0</v>
      </c>
      <c r="U12">
        <f t="shared" si="3"/>
        <v>0</v>
      </c>
      <c r="V12" s="47">
        <f t="shared" si="4"/>
        <v>0</v>
      </c>
      <c r="X12">
        <f t="shared" si="6"/>
        <v>7.1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2.9329999999999998</v>
      </c>
      <c r="G13" s="26" cm="1">
        <f t="array" ref="G13">_xll.FDSB(C13,"PCTCHG(FG_YIELD(0,,,,""YTM""),FG_YIELD(-1AM,,,,""YTM""))")</f>
        <v>2.1595274999999998</v>
      </c>
      <c r="H13" s="26" cm="1">
        <f t="array" ref="H13">_xll.FDSB(C13,"PCTCHG(FG_YIELD(0,,,,""YTM""),FG_YIELD(-3AM,,,,""YTM""))")</f>
        <v>7.1611289999999999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1.5670000000000002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2.4359999999999999</v>
      </c>
      <c r="G14" s="26" cm="1">
        <f t="array" ref="G14">_xll.FDSB(C14,"PCTCHG(FG_YIELD(0,,,,""YTM""),FG_YIELD(-1AM,,,,""YTM""))")</f>
        <v>-2.4038439</v>
      </c>
      <c r="H14" s="26" cm="1">
        <f t="array" ref="H14">_xll.FDSB(C14,"PCTCHG(FG_YIELD(0,,,,""YTM""),FG_YIELD(-3AM,,,,""YTM""))")</f>
        <v>-2.3255754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1.3140000000000001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92.800000000000011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3.9550000000000001</v>
      </c>
      <c r="G15" s="26" cm="1">
        <f t="array" ref="G15">_xll.FDSB(C15,"PCTCHG(FG_YIELD(0,,,,""YTM""),FG_YIELD(-1AM,,,,""YTM""))")</f>
        <v>2.2492215999999998</v>
      </c>
      <c r="H15" s="26" cm="1">
        <f t="array" ref="H15">_xll.FDSB(C15,"PCTCHG(FG_YIELD(0,,,,""YTM""),FG_YIELD(-3AM,,,,""YTM""))")</f>
        <v>2.9679730000000002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0.54499999999999993</v>
      </c>
      <c r="S15">
        <f t="shared" si="1"/>
        <v>0</v>
      </c>
      <c r="T15">
        <f t="shared" si="2"/>
        <v>0</v>
      </c>
      <c r="U15">
        <f t="shared" si="3"/>
        <v>0</v>
      </c>
      <c r="V15" s="47">
        <f t="shared" si="4"/>
        <v>0</v>
      </c>
      <c r="X15">
        <f t="shared" si="6"/>
        <v>7.1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4.4877000000000002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4.8109000000000002</v>
      </c>
      <c r="H2" cm="1">
        <f t="array" ref="H2">_xll.FDS(B2,"FG_ROE(0)")</f>
        <v>5.0132215277529797</v>
      </c>
      <c r="I2">
        <f>HLOOKUP(B2,'Index ROE'!$B$1:$N$25,24,FALSE)</f>
        <v>9.8238973987983247</v>
      </c>
      <c r="J2" cm="1">
        <f t="array" ref="J2">_xll.FDS(B2, "FMA_RBICS_REV_CURRENT(30, LOC, ""PORTAGG"")")</f>
        <v>14.5670087916152</v>
      </c>
      <c r="K2" s="74">
        <f>HLOOKUP(B2,'Index earnings'!$B$1:$N$25,25,FALSE)</f>
        <v>-9.3828148339384354E-3</v>
      </c>
      <c r="L2">
        <f>HLOOKUP(A2,'Yearly returns'!$B$1:$N$128,126,FALSE)</f>
        <v>-31.495863</v>
      </c>
      <c r="M2">
        <f t="shared" ref="M2:M10" si="0">I2-G2</f>
        <v>5.0129973987983245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4.41</v>
      </c>
      <c r="H3" cm="1">
        <f t="array" ref="H3">_xll.FDS(B3,"FG_ROE(0)")</f>
        <v>12.625655114617601</v>
      </c>
      <c r="I3">
        <f>HLOOKUP(B3,'Index ROE'!$B$1:$N$25,24,FALSE)</f>
        <v>13.020733299173699</v>
      </c>
      <c r="J3" cm="1">
        <f t="array" ref="J3">_xll.FDS(B3, "FMA_RBICS_REV_CURRENT(30, LOC, ""PORTAGG"")")</f>
        <v>40.999425073796999</v>
      </c>
      <c r="K3" s="74">
        <f>HLOOKUP(B3,'Index earnings'!$B$1:$N$25,25,FALSE)</f>
        <v>1.1173841089814562E-2</v>
      </c>
      <c r="L3">
        <f>HLOOKUP(A3,'Yearly returns'!$B$1:$N$128,126,FALSE)</f>
        <v>-27.383386999999999</v>
      </c>
      <c r="M3">
        <f t="shared" si="0"/>
        <v>8.6107332991736989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57.099999999999994</v>
      </c>
      <c r="R3">
        <f>N3*Assumption!$F$64 + O3*Assumption!$F$61 + P3*Assumption!$F$62 + Q3*Assumption!$F$63</f>
        <v>32.125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3.6301000000000001</v>
      </c>
      <c r="H4" cm="1">
        <f t="array" ref="H4">_xll.FDS(B4,"FG_ROE(0)")</f>
        <v>11.0198518047594</v>
      </c>
      <c r="I4">
        <f>HLOOKUP(B4,'Index ROE'!$B$1:$N$25,24,FALSE)</f>
        <v>12.7516875895064</v>
      </c>
      <c r="J4" cm="1">
        <f t="array" ref="J4">_xll.FDS(B4, "FMA_RBICS_REV_CURRENT(30, LOC, ""PORTAGG"")")</f>
        <v>40.0308181746705</v>
      </c>
      <c r="K4" s="74">
        <f>HLOOKUP(B4,'Index earnings'!$B$1:$N$25,25,FALSE)</f>
        <v>4.0909866878857226E-2</v>
      </c>
      <c r="L4">
        <f>HLOOKUP(A4,'Yearly returns'!$B$1:$N$128,126,FALSE)</f>
        <v>-24.544841999999999</v>
      </c>
      <c r="M4">
        <f t="shared" si="0"/>
        <v>9.1215875895063991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64.2</v>
      </c>
      <c r="R4">
        <f>N4*Assumption!$F$64 + O4*Assumption!$F$61 + P4*Assumption!$F$62 + Q4*Assumption!$F$63</f>
        <v>48.174999999999997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2.65</v>
      </c>
      <c r="H5" cm="1">
        <f t="array" ref="H5">_xll.FDS(B5,"FG_ROE(0)")</f>
        <v>9.5724240170433603</v>
      </c>
      <c r="I5">
        <f>HLOOKUP(B5,'Index ROE'!$B$1:$N$25,24,FALSE)</f>
        <v>11.988728308067351</v>
      </c>
      <c r="J5" cm="1">
        <f t="array" ref="J5">_xll.FDS(B5, "FMA_RBICS_REV_CURRENT(30, LOC, ""PORTAGG"")")</f>
        <v>23.085749566206001</v>
      </c>
      <c r="K5" s="74">
        <f>HLOOKUP(B5,'Index earnings'!$B$1:$N$25,25,FALSE)</f>
        <v>2.8327007241510938E-2</v>
      </c>
      <c r="L5">
        <f>HLOOKUP(A5,'Yearly returns'!$B$1:$N$128,126,FALSE)</f>
        <v>-37.647525999999999</v>
      </c>
      <c r="M5">
        <f t="shared" si="0"/>
        <v>9.3387283080673509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7.1</v>
      </c>
      <c r="R5">
        <f>N5*Assumption!$F$64 + O5*Assumption!$F$61 + P5*Assumption!$F$62 + Q5*Assumption!$F$63</f>
        <v>39.274999999999999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1.0663</v>
      </c>
      <c r="H6" cm="1">
        <f t="array" ref="H6">_xll.FDS(B6,"FG_ROE(0)")</f>
        <v>9.4803056333683493</v>
      </c>
      <c r="I6">
        <f>HLOOKUP(B6,'Index ROE'!$B$1:$N$25,24,FALSE)</f>
        <v>8.994618118763011</v>
      </c>
      <c r="J6" cm="1">
        <f t="array" ref="J6">_xll.FDS(B6, "FMA_RBICS_REV_CURRENT(30, LOC, ""PORTAGG"")")</f>
        <v>18.3501830656637</v>
      </c>
      <c r="K6" s="74">
        <f>HLOOKUP(B6,'Index earnings'!$B$1:$N$25,25,FALSE)</f>
        <v>2.4109021785172935E-2</v>
      </c>
      <c r="L6">
        <f>HLOOKUP(A6,'Yearly returns'!$B$1:$N$128,126,FALSE)</f>
        <v>-28.85003</v>
      </c>
      <c r="M6">
        <f t="shared" si="0"/>
        <v>7.928318118763011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50</v>
      </c>
      <c r="R6">
        <f>N6*Assumption!$F$64 + O6*Assumption!$F$61 + P6*Assumption!$F$62 + Q6*Assumption!$F$63</f>
        <v>42.849999999999994</v>
      </c>
      <c r="S6" cm="1">
        <f t="array" ref="S6">_xlfn.PERCENTRANK.EXC(_xlfn._xlws.FILTER(R$2:R$14, ISNUMBER(R$2:R$14)),R6)*100</f>
        <v>42.8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0.89700000000000002</v>
      </c>
      <c r="H7" cm="1">
        <f t="array" ref="H7">_xll.FDS(B7,"FG_ROE(0)")</f>
        <v>24.122424841171501</v>
      </c>
      <c r="I7">
        <f>HLOOKUP(B7,'Index ROE'!$B$1:$N$25,24,FALSE)</f>
        <v>15.55096443559315</v>
      </c>
      <c r="J7" cm="1">
        <f t="array" ref="J7">_xll.FDS(B7, "FMA_RBICS_REV_CURRENT(30, LOC, ""PORTAGG"")")</f>
        <v>17.864911264843101</v>
      </c>
      <c r="K7" s="74">
        <f>HLOOKUP(B7,'Index earnings'!$B$1:$N$25,25,FALSE)</f>
        <v>4.6608631192781802E-2</v>
      </c>
      <c r="L7">
        <f>HLOOKUP(A7,'Yearly returns'!$B$1:$N$128,126,FALSE)</f>
        <v>-19.911797</v>
      </c>
      <c r="M7">
        <f t="shared" si="0"/>
        <v>14.653964435593149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4.3129999999999997</v>
      </c>
      <c r="H8" cm="1">
        <f t="array" ref="H8">_xll.FDS(B8,"FG_ROE(0)")</f>
        <v>14.535293901362801</v>
      </c>
      <c r="I8">
        <f>HLOOKUP(B8,'Index ROE'!$B$1:$N$25,24,FALSE)</f>
        <v>14.561964916400001</v>
      </c>
      <c r="J8" cm="1">
        <f t="array" ref="J8">_xll.FDS(B8, "FMA_RBICS_REV_CURRENT(30, LOC, ""PORTAGG"")")</f>
        <v>18.8933168361865</v>
      </c>
      <c r="K8" s="74">
        <f>HLOOKUP(B8,'Index earnings'!$B$1:$N$25,25,FALSE)</f>
        <v>3.7127108177381629E-3</v>
      </c>
      <c r="L8">
        <f>HLOOKUP(A8,'Yearly returns'!$B$1:$N$128,126,FALSE)</f>
        <v>-24.502748</v>
      </c>
      <c r="M8">
        <f t="shared" si="0"/>
        <v>10.248964916400002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71.399999999999991</v>
      </c>
      <c r="R8">
        <f>N8*Assumption!$F$64 + O8*Assumption!$F$61 + P8*Assumption!$F$62 + Q8*Assumption!$F$63</f>
        <v>49.95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4.4877000000000002</v>
      </c>
      <c r="H9" cm="1">
        <f t="array" ref="H9">_xll.FDS(B9,"FG_ROE(0)")</f>
        <v>22.7175020821369</v>
      </c>
      <c r="I9">
        <f>HLOOKUP(B9,'Index ROE'!$B$1:$N$25,24,FALSE)</f>
        <v>21.036882269896502</v>
      </c>
      <c r="J9" cm="1">
        <f t="array" ref="J9">_xll.FDS(B9, "FMA_RBICS_REV_CURRENT(30, LOC, ""PORTAGG"")")</f>
        <v>0.90761789180680796</v>
      </c>
      <c r="K9" s="74">
        <f>HLOOKUP(B9,'Index earnings'!$B$1:$N$25,25,FALSE)</f>
        <v>0.12988959959643998</v>
      </c>
      <c r="L9">
        <f>HLOOKUP(A9,'Yearly returns'!$B$1:$N$128,126,FALSE)</f>
        <v>-32.999577000000002</v>
      </c>
      <c r="M9">
        <f t="shared" si="0"/>
        <v>16.549182269896502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4.4877000000000002</v>
      </c>
      <c r="H10" cm="1">
        <f t="array" ref="H10">_xll.FDS(B10,"FG_ROE(0)")</f>
        <v>18.425257935964801</v>
      </c>
      <c r="I10">
        <f>HLOOKUP(B10,'Index ROE'!$B$1:$N$25,24,FALSE)</f>
        <v>16.391058174766847</v>
      </c>
      <c r="J10" cm="1">
        <f t="array" ref="J10">_xll.FDS(B10, "FMA_RBICS_REV_CURRENT(30, LOC, ""PORTAGG"")")</f>
        <v>12.6373564575531</v>
      </c>
      <c r="K10" s="74">
        <f>HLOOKUP(B10,'Index earnings'!$B$1:$N$25,25,FALSE)</f>
        <v>5.9884631689594459E-2</v>
      </c>
      <c r="L10">
        <f>HLOOKUP(A10,'Yearly returns'!$B$1:$N$128,126,FALSE)</f>
        <v>-18.377907</v>
      </c>
      <c r="M10">
        <f t="shared" si="0"/>
        <v>11.903358174766847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3.1309999999999998</v>
      </c>
      <c r="H11" cm="1">
        <f t="array" ref="H11">_xll.FDS(B11,"FG_ROE(0)")</f>
        <v>12.741486152792501</v>
      </c>
      <c r="I11">
        <f>HLOOKUP(B11,'Index ROE'!$B$1:$N$25,24,FALSE)</f>
        <v>11.16089938202855</v>
      </c>
      <c r="J11" cm="1">
        <f t="array" ref="J11">_xll.FDS(B11, "FMA_RBICS_REV_CURRENT(30, LOC, ""PORTAGG"")")</f>
        <v>11.627429260637699</v>
      </c>
      <c r="K11" s="74">
        <f>HLOOKUP(B11,'Index earnings'!$B$1:$N$25,25,FALSE)</f>
        <v>1.8533351270464848E-2</v>
      </c>
      <c r="L11">
        <f>HLOOKUP(A11,'Yearly returns'!$B$1:$N$128,126,FALSE)</f>
        <v>-23.862099000000001</v>
      </c>
      <c r="M11">
        <f t="shared" ref="M11:M14" si="1">I11-G11</f>
        <v>8.0298993820285496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2.9329999999999998</v>
      </c>
      <c r="H12" cm="1">
        <f t="array" ref="H12">_xll.FDS(B12,"FG_ROE(0)")</f>
        <v>11.5963179754304</v>
      </c>
      <c r="I12">
        <f>HLOOKUP(B12,'Index ROE'!$B$1:$N$25,24,FALSE)</f>
        <v>13.04966082823935</v>
      </c>
      <c r="J12" cm="1">
        <f t="array" ref="J12">_xll.FDS(B12, "FMA_RBICS_REV_CURRENT(30, LOC, ""PORTAGG"")")</f>
        <v>25.182223725343398</v>
      </c>
      <c r="K12" s="74">
        <f>HLOOKUP(B12,'Index earnings'!$B$1:$N$25,25,FALSE)</f>
        <v>3.4801405293916954E-2</v>
      </c>
      <c r="L12">
        <f>HLOOKUP(A12,'Yearly returns'!$B$1:$N$128,126,FALSE)</f>
        <v>-36.88223</v>
      </c>
      <c r="M12">
        <f t="shared" si="1"/>
        <v>10.11666082823935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14.2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2.4359999999999999</v>
      </c>
      <c r="H13" cm="1">
        <f t="array" ref="H13">_xll.FDS(B13,"FG_ROE(0)")</f>
        <v>16.854178314367299</v>
      </c>
      <c r="I13">
        <f>HLOOKUP(B13,'Index ROE'!$B$1:$N$25,24,FALSE)</f>
        <v>14.442959459592949</v>
      </c>
      <c r="J13" cm="1">
        <f t="array" ref="J13">_xll.FDS(B13, "FMA_RBICS_REV_CURRENT(30, LOC, ""PORTAGG"")")</f>
        <v>25.9129717795788</v>
      </c>
      <c r="K13" s="74">
        <f>HLOOKUP(B13,'Index earnings'!$B$1:$N$25,25,FALSE)</f>
        <v>2.4305006375947347E-2</v>
      </c>
      <c r="L13">
        <f>HLOOKUP(A13,'Yearly returns'!$B$1:$N$128,126,FALSE)</f>
        <v>-35.51764</v>
      </c>
      <c r="M13">
        <f t="shared" si="1"/>
        <v>12.006959459592949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50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3.9550000000000001</v>
      </c>
      <c r="H14" cm="1">
        <f t="array" ref="H14">_xll.FDS(B14,"FG_ROE(0)")</f>
        <v>14.1170326726547</v>
      </c>
      <c r="I14">
        <f>HLOOKUP(B14,'Index ROE'!$B$1:$N$25,24,FALSE)</f>
        <v>9.6445775045501065</v>
      </c>
      <c r="J14" cm="1">
        <f t="array" ref="J14">_xll.FDS(B14, "FMA_RBICS_REV_CURRENT(30, LOC, ""PORTAGG"")")</f>
        <v>36.608914375767398</v>
      </c>
      <c r="K14" s="74">
        <f>HLOOKUP(B14,'Index earnings'!$B$1:$N$25,25,FALSE)</f>
        <v>9.2743946932130061E-3</v>
      </c>
      <c r="L14">
        <f>HLOOKUP(A14,'Yearly returns'!$B$1:$N$128,126,FALSE)</f>
        <v>-28.987461</v>
      </c>
      <c r="M14">
        <f t="shared" si="1"/>
        <v>5.6895775045501065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42.8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92717.804999999993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9">
        <f t="shared" ref="H3:H11" si="0">E3/$G3</f>
        <v>0.2857142857142857</v>
      </c>
      <c r="I3" s="9">
        <f t="shared" ref="I3:I11" si="1">F3/$G3</f>
        <v>0.42857142857142855</v>
      </c>
      <c r="J3" s="9">
        <f t="shared" ref="J3:J11" si="2">H3-I3</f>
        <v>-0.14285714285714285</v>
      </c>
      <c r="K3" s="5" cm="1">
        <f t="array" ref="K3">_xll.FDS(A3,"FMA_PCT_ABOVE_MAVG(200,0,,,,""PORTAGG"")")/100</f>
        <v>0.35714285714285698</v>
      </c>
      <c r="L3" s="41" cm="1">
        <f t="array" ref="L3">_xll.FDSB(A3,"PERCENT_CHANGE(FMA_EPS(+1,0,,,,""PORTAGG"",""MEAN""),FMA_EPS(+1,-1AM,,,,""PORTAGG"",""MEAN""))")</f>
        <v>2.89911863006194</v>
      </c>
      <c r="M3" s="41" cm="1">
        <f t="array" ref="M3">_xll.FDSB(A3,"PERCENT_CHANGE(FMA_EPS(+1,0,,,,""PORTAGG"",""MEAN""),FMA_EPS(+1,-3AM,,,,""PORTAGG"",""MEAN""))")</f>
        <v>-12.1126259741242</v>
      </c>
      <c r="N3" s="3" cm="1">
        <f t="array" ref="N3">_xll.FDS(C3,"FG_TOTAL_RETURNC(0,-1AM)")</f>
        <v>5.3047420000000001</v>
      </c>
      <c r="O3" s="3" cm="1">
        <f t="array" ref="O3">_xll.FDS(C3,"FG_TOTAL_RETURNC(0,-3AM)")</f>
        <v>3.5745977999999998</v>
      </c>
      <c r="P3" s="3" cm="1">
        <f t="array" ref="P3">_xll.FDS(C3,"FG_TOTAL_RETURNC(0,-6AM)")</f>
        <v>2.4433493999999998</v>
      </c>
      <c r="Q3" s="9" cm="1">
        <f t="array" ref="Q3">_xll.FDS(C3,"P_PRICE(0)/P_PRICE_HIGH_PR(0,,,,,,""PRICE"",""INTRA"",""52W"")")</f>
        <v>0.90953404000000004</v>
      </c>
      <c r="R3" s="9" cm="1">
        <f t="array" ref="R3">_xll.FDS(C3,"P_PRICE(0)/P_PRICE_low_PR(0,,,,,,""PRICE"",""INTRA"",""52W"")-1")</f>
        <v>0.13697016000000001</v>
      </c>
      <c r="S3" s="3" cm="1">
        <f t="array" ref="S3">_xll.FDS(C3,"FG_TOTAL_RETURNC(0,-12AM)")</f>
        <v>0.87560415000000003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7.1</v>
      </c>
      <c r="AC3" s="4">
        <f t="shared" ref="AC3:AC15" si="4">_xlfn.PERCENTRANK.EXC($L$3:$L$15,L3)*100</f>
        <v>57.099999999999994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 ca="1">'Economic Momentum'!Q4</f>
        <v>21.4</v>
      </c>
      <c r="AG3" s="4">
        <f ca="1">'Economic Momentum'!R4</f>
        <v>78.5</v>
      </c>
      <c r="AH3" s="4">
        <f t="shared" ref="AH3:AH15" ca="1" si="7">SUMPRODUCT($U$2:$AG$2,U3:AG3)</f>
        <v>13.52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1687037.8</v>
      </c>
      <c r="E4" cm="1">
        <f t="array" ref="E4">_xll.FDS(C4,"FMA_COS_UP(""EPS"",""1M"",+1,0,,,""PORTAGG"",""MEANR"")")</f>
        <v>26</v>
      </c>
      <c r="F4" cm="1">
        <f t="array" ref="F4">_xll.FDS(C4,"FMA_COS_DOWN(""EPS"",""1M"",+1,0,,,""PORTAGG"",""MEANR"")")</f>
        <v>27</v>
      </c>
      <c r="G4" cm="1">
        <f t="array" ref="G4">_xll.FDS(A4,"SIZE(FG_CONSTITUENTS)")</f>
        <v>60</v>
      </c>
      <c r="H4" s="9">
        <f t="shared" si="0"/>
        <v>0.43333333333333335</v>
      </c>
      <c r="I4" s="9">
        <f t="shared" si="1"/>
        <v>0.45</v>
      </c>
      <c r="J4" s="9">
        <f t="shared" si="2"/>
        <v>-1.6666666666666663E-2</v>
      </c>
      <c r="K4" s="5" cm="1">
        <f t="array" ref="K4">_xll.FDS(A4,"FMA_PCT_ABOVE_MAVG(200,0,,,,""PORTAGG"")")/100</f>
        <v>0.54237288135593198</v>
      </c>
      <c r="L4" s="41" cm="1">
        <f t="array" ref="L4">_xll.FDSB(A4,"PERCENT_CHANGE(FMA_EPS(+1,0,,,,""PORTAGG"",""MEAN""),FMA_EPS(+1,-1AM,,,,""PORTAGG"",""MEAN""))")</f>
        <v>4.23962398449786</v>
      </c>
      <c r="M4" s="41" cm="1">
        <f t="array" ref="M4">_xll.FDSB(A4,"PERCENT_CHANGE(FMA_EPS(+1,0,,,,""PORTAGG"",""MEAN""),FMA_EPS(+1,-3AM,,,,""PORTAGG"",""MEAN""))")</f>
        <v>2.1032275262437499</v>
      </c>
      <c r="N4" s="3" cm="1">
        <f t="array" ref="N4">_xll.FDS(C4,"FG_TOTAL_RETURNC(0,-1AM)")</f>
        <v>5.6126832999999996</v>
      </c>
      <c r="O4" s="3" cm="1">
        <f t="array" ref="O4">_xll.FDS(C4,"FG_TOTAL_RETURNC(0,-3AM)")</f>
        <v>3.0518413</v>
      </c>
      <c r="P4" s="3" cm="1">
        <f t="array" ref="P4">_xll.FDS(C4,"FG_TOTAL_RETURNC(0,-6AM)")</f>
        <v>12.061798</v>
      </c>
      <c r="Q4" s="9" cm="1">
        <f t="array" ref="Q4">_xll.FDS(C4,"P_PRICE(0)/P_PRICE_HIGH_PR(0,,,,,,""PRICE"",""INTRA"",""52W"")")</f>
        <v>0.97662439999999995</v>
      </c>
      <c r="R4" s="9" cm="1">
        <f t="array" ref="R4">_xll.FDS(C4,"P_PRICE(0)/P_PRICE_low_PR(0,,,,,,""PRICE"",""INTRA"",""52W"")-1")</f>
        <v>0.20478988000000001</v>
      </c>
      <c r="S4" s="3" cm="1">
        <f t="array" ref="S4">_xll.FDS(C4,"FG_TOTAL_RETURNC(0,-12AM)")</f>
        <v>17.20804</v>
      </c>
      <c r="T4" s="4" cm="1">
        <f t="array" ref="T4">_xlfn.PERCENTRANK.EXC(_xlfn._xlws.FILTER($R$3:$R$15, ISNUMBER($R$3:$R$15)),R4)*100</f>
        <v>21.4</v>
      </c>
      <c r="U4" s="4">
        <f t="shared" si="3"/>
        <v>78.599999999999994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28.499999999999996</v>
      </c>
      <c r="Z4" s="4" cm="1">
        <f t="array" ref="Z4">_xlfn.PERCENTRANK.EXC(_xlfn._xlws.FILTER($K$3:$K$15, ISNUMBER($K$3:$K$15)),K4)*100</f>
        <v>14.2</v>
      </c>
      <c r="AA4" s="4" cm="1">
        <f t="array" ref="AA4">_xlfn.PERCENTRANK.EXC(_xlfn._xlws.FILTER($H$3:$H$15, ISNUMBER($H$3:$H$15)),H4)*100</f>
        <v>50</v>
      </c>
      <c r="AB4" s="4" cm="1">
        <f t="array" ref="AB4">_xlfn.PERCENTRANK.EXC(_xlfn._xlws.FILTER($J$3:$J$15, ISNUMBER($J$3:$J$15)),J4)*100</f>
        <v>21.4</v>
      </c>
      <c r="AC4" s="4">
        <f t="shared" si="4"/>
        <v>85.7</v>
      </c>
      <c r="AD4" s="4">
        <f t="shared" si="5"/>
        <v>50</v>
      </c>
      <c r="AE4" s="4">
        <f t="shared" si="6"/>
        <v>35.699999999999996</v>
      </c>
      <c r="AF4" s="4">
        <f ca="1">'Economic Momentum'!Q5</f>
        <v>64.2</v>
      </c>
      <c r="AG4" s="4">
        <f ca="1">'Economic Momentum'!R5</f>
        <v>14.2</v>
      </c>
      <c r="AH4" s="4">
        <f t="shared" ca="1" si="7"/>
        <v>27.82</v>
      </c>
      <c r="AJ4" s="3" cm="1">
        <f t="array" aca="1" ref="AJ4" ca="1">_xlfn.PERCENTRANK.EXC(_xlfn._xlws.FILTER($AH$3:$AH$15, ISNUMBER($AH$3:$AH$15)),AH4)*100</f>
        <v>21.4</v>
      </c>
      <c r="AK4">
        <f t="shared" si="8"/>
        <v>0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2758675.8</v>
      </c>
      <c r="E5" cm="1">
        <f t="array" ref="E5">_xll.FDS(C5,"FMA_COS_UP(""EPS"",""1M"",+1,0,,,""PORTAGG"",""MEANR"")")</f>
        <v>43</v>
      </c>
      <c r="F5" cm="1">
        <f t="array" ref="F5">_xll.FDS(C5,"FMA_COS_DOWN(""EPS"",""1M"",+1,0,,,""PORTAGG"",""MEANR"")")</f>
        <v>36</v>
      </c>
      <c r="G5" cm="1">
        <f t="array" ref="G5">_xll.FDS(A5,"SIZE(FG_CONSTITUENTS)")</f>
        <v>88</v>
      </c>
      <c r="H5" s="9">
        <f t="shared" si="0"/>
        <v>0.48863636363636365</v>
      </c>
      <c r="I5" s="9">
        <f t="shared" si="1"/>
        <v>0.40909090909090912</v>
      </c>
      <c r="J5" s="9">
        <f t="shared" si="2"/>
        <v>7.954545454545453E-2</v>
      </c>
      <c r="K5" s="5" cm="1">
        <f t="array" ref="K5">_xll.FDS(A5,"FMA_PCT_ABOVE_MAVG(200,0,,,,""PORTAGG"")")/100</f>
        <v>0.65909090909090906</v>
      </c>
      <c r="L5" s="41" cm="1">
        <f t="array" ref="L5">_xll.FDSB(A5,"PERCENT_CHANGE(FMA_EPS(+1,0,,,,""PORTAGG"",""MEAN""),FMA_EPS(+1,-1AM,,,,""PORTAGG"",""MEAN""))")</f>
        <v>0.64655006157345296</v>
      </c>
      <c r="M5" s="41" cm="1">
        <f t="array" ref="M5">_xll.FDSB(A5,"PERCENT_CHANGE(FMA_EPS(+1,0,,,,""PORTAGG"",""MEAN""),FMA_EPS(+1,-3AM,,,,""PORTAGG"",""MEAN""))")</f>
        <v>-0.16675037235461601</v>
      </c>
      <c r="N5" s="3" cm="1">
        <f t="array" ref="N5">_xll.FDS(C5,"FG_TOTAL_RETURNC(0,-1AM)")</f>
        <v>3.6294699000000001</v>
      </c>
      <c r="O5" s="3" cm="1">
        <f t="array" ref="O5">_xll.FDS(C5,"FG_TOTAL_RETURNC(0,-3AM)")</f>
        <v>4.0522099999999996</v>
      </c>
      <c r="P5" s="3" cm="1">
        <f t="array" ref="P5">_xll.FDS(C5,"FG_TOTAL_RETURNC(0,-6AM)")</f>
        <v>10.86706</v>
      </c>
      <c r="Q5" s="9" cm="1">
        <f t="array" ref="Q5">_xll.FDS(C5,"P_PRICE(0)/P_PRICE_HIGH_PR(0,,,,,,""PRICE"",""INTRA"",""52W"")")</f>
        <v>0.98710010000000004</v>
      </c>
      <c r="R5" s="9" cm="1">
        <f t="array" ref="R5">_xll.FDS(C5,"P_PRICE(0)/P_PRICE_low_PR(0,,,,,,""PRICE"",""INTRA"",""52W"")-1")</f>
        <v>0.21808337999999999</v>
      </c>
      <c r="S5" s="3" cm="1">
        <f t="array" ref="S5">_xll.FDS(C5,"FG_TOTAL_RETURNC(0,-12AM)")</f>
        <v>17.781807000000001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21.4</v>
      </c>
      <c r="Y5" s="201" cm="1">
        <f t="array" ref="Y5">_xlfn.PERCENTRANK.EXC(_xlfn._xlws.FILTER($S$3:$S$15, ISNUMBER($S$3:$S$15)),S5)*100</f>
        <v>42.8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78.5</v>
      </c>
      <c r="AB5" s="4" cm="1">
        <f t="array" ref="AB5">_xlfn.PERCENTRANK.EXC(_xlfn._xlws.FILTER($J$3:$J$15, ISNUMBER($J$3:$J$15)),J5)*100</f>
        <v>50</v>
      </c>
      <c r="AC5" s="4">
        <f t="shared" si="4"/>
        <v>21.4</v>
      </c>
      <c r="AD5" s="4">
        <f t="shared" si="5"/>
        <v>21.4</v>
      </c>
      <c r="AE5" s="4">
        <f t="shared" si="6"/>
        <v>57.099999999999994</v>
      </c>
      <c r="AF5" s="4">
        <f ca="1">'Economic Momentum'!Q6</f>
        <v>21.4</v>
      </c>
      <c r="AG5" s="4">
        <f ca="1">'Economic Momentum'!R6</f>
        <v>35.699999999999996</v>
      </c>
      <c r="AH5" s="4">
        <f t="shared" ca="1" si="7"/>
        <v>44.940000000000005</v>
      </c>
      <c r="AJ5" s="3" cm="1">
        <f t="array" aca="1" ref="AJ5" ca="1">_xlfn.PERCENTRANK.EXC(_xlfn._xlws.FILTER($AH$3:$AH$15, ISNUMBER($AH$3:$AH$15)),AH5)*100</f>
        <v>42.8</v>
      </c>
      <c r="AK5">
        <f t="shared" si="8"/>
        <v>1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2292656.7999999998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25</v>
      </c>
      <c r="G6" cm="1">
        <f t="array" ref="G6">_xll.FDS(A6,"SIZE(FG_CONSTITUENTS)")</f>
        <v>58</v>
      </c>
      <c r="H6" s="9">
        <f t="shared" si="0"/>
        <v>0.46551724137931033</v>
      </c>
      <c r="I6" s="9">
        <f t="shared" si="1"/>
        <v>0.43103448275862066</v>
      </c>
      <c r="J6" s="9">
        <f t="shared" si="2"/>
        <v>3.4482758620689669E-2</v>
      </c>
      <c r="K6" s="5" cm="1">
        <f t="array" ref="K6">_xll.FDS(A6,"FMA_PCT_ABOVE_MAVG(200,0,,,,""PORTAGG"")")/100</f>
        <v>0.70175438596491202</v>
      </c>
      <c r="L6" s="41" cm="1">
        <f t="array" ref="L6">_xll.FDSB(A6,"PERCENT_CHANGE(FMA_EPS(+1,0,,,,""PORTAGG"",""MEAN""),FMA_EPS(+1,-1AM,,,,""PORTAGG"",""MEAN""))")</f>
        <v>3.8397143201870101</v>
      </c>
      <c r="M6" s="41" cm="1">
        <f t="array" ref="M6">_xll.FDSB(A6,"PERCENT_CHANGE(FMA_EPS(+1,0,,,,""PORTAGG"",""MEAN""),FMA_EPS(+1,-3AM,,,,""PORTAGG"",""MEAN""))")</f>
        <v>2.2386140150289502</v>
      </c>
      <c r="N6" s="3" cm="1">
        <f t="array" ref="N6">_xll.FDS(C6,"FG_TOTAL_RETURNC(0,-1AM)")</f>
        <v>5.2528024000000002</v>
      </c>
      <c r="O6" s="3" cm="1">
        <f t="array" ref="O6">_xll.FDS(C6,"FG_TOTAL_RETURNC(0,-3AM)")</f>
        <v>4.6344757000000003</v>
      </c>
      <c r="P6" s="3" cm="1">
        <f t="array" ref="P6">_xll.FDS(C6,"FG_TOTAL_RETURNC(0,-6AM)")</f>
        <v>12.853503</v>
      </c>
      <c r="Q6" s="9" cm="1">
        <f t="array" ref="Q6">_xll.FDS(C6,"P_PRICE(0)/P_PRICE_HIGH_PR(0,,,,,,""PRICE"",""INTRA"",""52W"")")</f>
        <v>0.97900604999999996</v>
      </c>
      <c r="R6" s="9" cm="1">
        <f t="array" ref="R6">_xll.FDS(C6,"P_PRICE(0)/P_PRICE_low_PR(0,,,,,,""PRICE"",""INTRA"",""52W"")-1")</f>
        <v>0.29771303999999998</v>
      </c>
      <c r="S6" s="3" cm="1">
        <f t="array" ref="S6">_xll.FDS(C6,"FG_TOTAL_RETURNC(0,-12AM)")</f>
        <v>17.734300000000001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50</v>
      </c>
      <c r="Y6" s="201" cm="1">
        <f t="array" ref="Y6">_xlfn.PERCENTRANK.EXC(_xlfn._xlws.FILTER($S$3:$S$15, ISNUMBER($S$3:$S$15)),S6)*100</f>
        <v>35.699999999999996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35.699999999999996</v>
      </c>
      <c r="AC6" s="4">
        <f t="shared" si="4"/>
        <v>78.5</v>
      </c>
      <c r="AD6" s="4">
        <f t="shared" si="5"/>
        <v>64.2</v>
      </c>
      <c r="AE6" s="4">
        <f t="shared" si="6"/>
        <v>50</v>
      </c>
      <c r="AF6" s="4">
        <f ca="1">'Economic Momentum'!Q7</f>
        <v>7.1</v>
      </c>
      <c r="AG6" s="4">
        <f ca="1">'Economic Momentum'!R7</f>
        <v>28.499999999999996</v>
      </c>
      <c r="AH6" s="4">
        <f t="shared" ca="1" si="7"/>
        <v>49.25</v>
      </c>
      <c r="AJ6" s="3" cm="1">
        <f t="array" aca="1" ref="AJ6" ca="1">_xlfn.PERCENTRANK.EXC(_xlfn._xlws.FILTER($AH$3:$AH$15, ISNUMBER($AH$3:$AH$15)),AH6)*100</f>
        <v>50</v>
      </c>
      <c r="AK6">
        <f t="shared" si="8"/>
        <v>1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6394057.5</v>
      </c>
      <c r="E7" cm="1">
        <f t="array" ref="E7">_xll.FDS(C7,"FMA_COS_UP(""EPS"",""1M"",+1,0,,,""PORTAGG"",""MEANR"")")</f>
        <v>128</v>
      </c>
      <c r="F7" cm="1">
        <f t="array" ref="F7">_xll.FDS(C7,"FMA_COS_DOWN(""EPS"",""1M"",+1,0,,,""PORTAGG"",""MEANR"")")</f>
        <v>80</v>
      </c>
      <c r="G7" cm="1">
        <f t="array" ref="G7">_xll.FDS(A7,"SIZE(FG_CONSTITUENTS)")</f>
        <v>219</v>
      </c>
      <c r="H7" s="9">
        <f t="shared" si="0"/>
        <v>0.58447488584474883</v>
      </c>
      <c r="I7" s="9">
        <f t="shared" si="1"/>
        <v>0.36529680365296802</v>
      </c>
      <c r="J7" s="9">
        <f t="shared" si="2"/>
        <v>0.21917808219178081</v>
      </c>
      <c r="K7" s="5" cm="1">
        <f t="array" ref="K7">_xll.FDS(A7,"FMA_PCT_ABOVE_MAVG(200,0,,,,""PORTAGG"")")/100</f>
        <v>0.62385321100917401</v>
      </c>
      <c r="L7" s="41" cm="1">
        <f t="array" ref="L7">_xll.FDSB(A7,"PERCENT_CHANGE(FMA_EPS(+1,0,,,,""PORTAGG"",""MEAN""),FMA_EPS(+1,-1AM,,,,""PORTAGG"",""MEAN""))")</f>
        <v>0.111296983303716</v>
      </c>
      <c r="M7" s="41" cm="1">
        <f t="array" ref="M7">_xll.FDSB(A7,"PERCENT_CHANGE(FMA_EPS(+1,0,,,,""PORTAGG"",""MEAN""),FMA_EPS(+1,-3AM,,,,""PORTAGG"",""MEAN""))")</f>
        <v>-3.6664809002803298</v>
      </c>
      <c r="N7" s="3" cm="1">
        <f t="array" ref="N7">_xll.FDS(C7,"FG_TOTAL_RETURNC(0,-1AM)")</f>
        <v>2.5271416000000002</v>
      </c>
      <c r="O7" s="3" cm="1">
        <f t="array" ref="O7">_xll.FDS(C7,"FG_TOTAL_RETURNC(0,-3AM)")</f>
        <v>-0.21701455</v>
      </c>
      <c r="P7" s="3" cm="1">
        <f t="array" ref="P7">_xll.FDS(C7,"FG_TOTAL_RETURNC(0,-6AM)")</f>
        <v>11.710798</v>
      </c>
      <c r="Q7" s="9" cm="1">
        <f t="array" ref="Q7">_xll.FDS(C7,"P_PRICE(0)/P_PRICE_HIGH_PR(0,,,,,,""PRICE"",""INTRA"",""52W"")")</f>
        <v>0.95705264999999995</v>
      </c>
      <c r="R7" s="9" cm="1">
        <f t="array" ref="R7">_xll.FDS(C7,"P_PRICE(0)/P_PRICE_low_PR(0,,,,,,""PRICE"",""INTRA"",""52W"")-1")</f>
        <v>0.20576918</v>
      </c>
      <c r="S7" s="3" cm="1">
        <f t="array" ref="S7">_xll.FDS(C7,"FG_TOTAL_RETURNC(0,-12AM)")</f>
        <v>18.69886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28.499999999999996</v>
      </c>
      <c r="Y7" s="201" cm="1">
        <f t="array" ref="Y7">_xlfn.PERCENTRANK.EXC(_xlfn._xlws.FILTER($S$3:$S$15, ISNUMBER($S$3:$S$15)),S7)*100</f>
        <v>50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4"/>
        <v>7.1</v>
      </c>
      <c r="AD7" s="4">
        <f t="shared" si="5"/>
        <v>14.2</v>
      </c>
      <c r="AE7" s="4">
        <f t="shared" si="6"/>
        <v>78.5</v>
      </c>
      <c r="AF7" s="4">
        <f ca="1">'Economic Momentum'!Q8</f>
        <v>71.399999999999991</v>
      </c>
      <c r="AG7" s="4">
        <f ca="1">'Economic Momentum'!R8</f>
        <v>7.1</v>
      </c>
      <c r="AH7" s="4">
        <f t="shared" ca="1" si="7"/>
        <v>16.36</v>
      </c>
      <c r="AJ7" s="3" cm="1">
        <f t="array" aca="1" ref="AJ7" ca="1">_xlfn.PERCENTRANK.EXC(_xlfn._xlws.FILTER($AH$3:$AH$15, ISNUMBER($AH$3:$AH$15)),AH7)*100</f>
        <v>14.2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2174773.5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13</v>
      </c>
      <c r="G8" cm="1">
        <f t="array" ref="G8">_xll.FDS(A8,"SIZE(FG_CONSTITUENTS)")</f>
        <v>47</v>
      </c>
      <c r="H8" s="9">
        <f t="shared" si="0"/>
        <v>0.46808510638297873</v>
      </c>
      <c r="I8" s="9">
        <f t="shared" si="1"/>
        <v>0.27659574468085107</v>
      </c>
      <c r="J8" s="9">
        <f t="shared" si="2"/>
        <v>0.19148936170212766</v>
      </c>
      <c r="K8" s="5" cm="1">
        <f t="array" ref="K8">_xll.FDS(A8,"FMA_PCT_ABOVE_MAVG(200,0,,,,""PORTAGG"")")/100</f>
        <v>0.62222222222222201</v>
      </c>
      <c r="L8" s="41" cm="1">
        <f t="array" ref="L8">_xll.FDSB(A8,"PERCENT_CHANGE(FMA_EPS(+1,0,,,,""PORTAGG"",""MEAN""),FMA_EPS(+1,-1AM,,,,""PORTAGG"",""MEAN""))")</f>
        <v>2.4240572192434402</v>
      </c>
      <c r="M8" s="41" cm="1">
        <f t="array" ref="M8">_xll.FDSB(A8,"PERCENT_CHANGE(FMA_EPS(+1,0,,,,""PORTAGG"",""MEAN""),FMA_EPS(+1,-3AM,,,,""PORTAGG"",""MEAN""))")</f>
        <v>2.1825029931506998</v>
      </c>
      <c r="N8" s="3" cm="1">
        <f t="array" ref="N8">_xll.FDS(C8,"FG_TOTAL_RETURNC(0,-1AM)")</f>
        <v>8.3774200000000008</v>
      </c>
      <c r="O8" s="3" cm="1">
        <f t="array" ref="O8">_xll.FDS(C8,"FG_TOTAL_RETURNC(0,-3AM)")</f>
        <v>4.9978613999999997</v>
      </c>
      <c r="P8" s="3" cm="1">
        <f t="array" ref="P8">_xll.FDS(C8,"FG_TOTAL_RETURNC(0,-6AM)")</f>
        <v>8.2342619999999993</v>
      </c>
      <c r="Q8" s="9" cm="1">
        <f t="array" ref="Q8">_xll.FDS(C8,"P_PRICE(0)/P_PRICE_HIGH_PR(0,,,,,,""PRICE"",""INTRA"",""52W"")")</f>
        <v>0.99959330000000002</v>
      </c>
      <c r="R8" s="9" cm="1">
        <f t="array" ref="R8">_xll.FDS(C8,"P_PRICE(0)/P_PRICE_low_PR(0,,,,,,""PRICE"",""INTRA"",""52W"")-1")</f>
        <v>0.1831528</v>
      </c>
      <c r="S8" s="3" cm="1">
        <f t="array" ref="S8">_xll.FDS(C8,"FG_TOTAL_RETURNC(0,-12AM)")</f>
        <v>8.6311099999999996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71.399999999999991</v>
      </c>
      <c r="AB8" s="4" cm="1">
        <f t="array" ref="AB8">_xlfn.PERCENTRANK.EXC(_xlfn._xlws.FILTER($J$3:$J$15, ISNUMBER($J$3:$J$15)),J8)*100</f>
        <v>78.5</v>
      </c>
      <c r="AC8" s="4">
        <f t="shared" si="4"/>
        <v>35.699999999999996</v>
      </c>
      <c r="AD8" s="4">
        <f t="shared" si="5"/>
        <v>57.099999999999994</v>
      </c>
      <c r="AE8" s="4">
        <f t="shared" si="6"/>
        <v>42.8</v>
      </c>
      <c r="AF8" s="4">
        <f ca="1">'Economic Momentum'!Q9</f>
        <v>21.4</v>
      </c>
      <c r="AG8" s="4">
        <f ca="1">'Economic Momentum'!R9</f>
        <v>42.8</v>
      </c>
      <c r="AH8" s="4">
        <f t="shared" ca="1" si="7"/>
        <v>60.640000000000008</v>
      </c>
      <c r="AJ8" s="3" cm="1">
        <f t="array" aca="1" ref="AJ8" ca="1">_xlfn.PERCENTRANK.EXC(_xlfn._xlws.FILTER($AH$3:$AH$15, ISNUMBER($AH$3:$AH$15)),AH8)*100</f>
        <v>57.099999999999994</v>
      </c>
      <c r="AK8">
        <f t="shared" si="8"/>
        <v>3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3295792.3</v>
      </c>
      <c r="E9" cm="1">
        <f t="array" ref="E9">_xll.FDS(C9,"FMA_COS_UP(""EPS"",""1M"",+1,0,,,""PORTAGG"",""MEANR"")")</f>
        <v>37</v>
      </c>
      <c r="F9" cm="1">
        <f t="array" ref="F9">_xll.FDS(C9,"FMA_COS_DOWN(""EPS"",""1M"",+1,0,,,""PORTAGG"",""MEANR"")")</f>
        <v>37</v>
      </c>
      <c r="G9" cm="1">
        <f t="array" ref="G9">_xll.FDS(A9,"SIZE(FG_CONSTITUENTS)")</f>
        <v>86</v>
      </c>
      <c r="H9" s="9">
        <f t="shared" si="0"/>
        <v>0.43023255813953487</v>
      </c>
      <c r="I9" s="9">
        <f t="shared" si="1"/>
        <v>0.43023255813953487</v>
      </c>
      <c r="J9" s="9">
        <f t="shared" si="2"/>
        <v>0</v>
      </c>
      <c r="K9" s="5" cm="1">
        <f t="array" ref="K9">_xll.FDS(A9,"FMA_PCT_ABOVE_MAVG(200,0,,,,""PORTAGG"")")/100</f>
        <v>0.63095238095238104</v>
      </c>
      <c r="L9" s="41" cm="1">
        <f t="array" ref="L9">_xll.FDSB(A9,"PERCENT_CHANGE(FMA_EPS(+1,0,,,,""PORTAGG"",""MEAN""),FMA_EPS(+1,-1AM,,,,""PORTAGG"",""MEAN""))")</f>
        <v>2.5959415435148099</v>
      </c>
      <c r="M9" s="41" cm="1">
        <f t="array" ref="M9">_xll.FDSB(A9,"PERCENT_CHANGE(FMA_EPS(+1,0,,,,""PORTAGG"",""MEAN""),FMA_EPS(+1,-3AM,,,,""PORTAGG"",""MEAN""))")</f>
        <v>2.8109748369911798</v>
      </c>
      <c r="N9" s="3" cm="1">
        <f t="array" ref="N9">_xll.FDS(C9,"FG_TOTAL_RETURNC(0,-1AM)")</f>
        <v>4.6685815000000002</v>
      </c>
      <c r="O9" s="3" cm="1">
        <f t="array" ref="O9">_xll.FDS(C9,"FG_TOTAL_RETURNC(0,-3AM)")</f>
        <v>10.90076</v>
      </c>
      <c r="P9" s="3" cm="1">
        <f t="array" ref="P9">_xll.FDS(C9,"FG_TOTAL_RETURNC(0,-6AM)")</f>
        <v>14.714861000000001</v>
      </c>
      <c r="Q9" s="9" cm="1">
        <f t="array" ref="Q9">_xll.FDS(C9,"P_PRICE(0)/P_PRICE_HIGH_PR(0,,,,,,""PRICE"",""INTRA"",""52W"")")</f>
        <v>0.98789610000000005</v>
      </c>
      <c r="R9" s="9" cm="1">
        <f t="array" ref="R9">_xll.FDS(C9,"P_PRICE(0)/P_PRICE_low_PR(0,,,,,,""PRICE"",""INTRA"",""52W"")-1")</f>
        <v>0.20504320000000001</v>
      </c>
      <c r="S9" s="3" cm="1">
        <f t="array" ref="S9">_xll.FDS(C9,"FG_TOTAL_RETURNC(0,-12AM)")</f>
        <v>18.739557000000001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57.099999999999994</v>
      </c>
      <c r="Y9" s="201" cm="1">
        <f t="array" ref="Y9">_xlfn.PERCENTRANK.EXC(_xlfn._xlws.FILTER($S$3:$S$15, ISNUMBER($S$3:$S$15)),S9)*100</f>
        <v>57.099999999999994</v>
      </c>
      <c r="Z9" s="4" cm="1">
        <f t="array" ref="Z9">_xlfn.PERCENTRANK.EXC(_xlfn._xlws.FILTER($K$3:$K$15, ISNUMBER($K$3:$K$15)),K9)*100</f>
        <v>50</v>
      </c>
      <c r="AA9" s="4" cm="1">
        <f t="array" ref="AA9">_xlfn.PERCENTRANK.EXC(_xlfn._xlws.FILTER($H$3:$H$15, ISNUMBER($H$3:$H$15)),H9)*100</f>
        <v>35.699999999999996</v>
      </c>
      <c r="AB9" s="4" cm="1">
        <f t="array" ref="AB9">_xlfn.PERCENTRANK.EXC(_xlfn._xlws.FILTER($J$3:$J$15, ISNUMBER($J$3:$J$15)),J9)*100</f>
        <v>28.499999999999996</v>
      </c>
      <c r="AC9" s="4">
        <f t="shared" si="4"/>
        <v>50</v>
      </c>
      <c r="AD9" s="4">
        <f t="shared" si="5"/>
        <v>78.5</v>
      </c>
      <c r="AE9" s="4">
        <f t="shared" si="6"/>
        <v>64.2</v>
      </c>
      <c r="AF9" s="4">
        <f ca="1">'Economic Momentum'!Q10</f>
        <v>92.800000000000011</v>
      </c>
      <c r="AG9" s="4">
        <f ca="1">'Economic Momentum'!R10</f>
        <v>50</v>
      </c>
      <c r="AH9" s="4">
        <f t="shared" ca="1" si="7"/>
        <v>73.53</v>
      </c>
      <c r="AJ9" s="3" cm="1">
        <f t="array" aca="1" ref="AJ9" ca="1">_xlfn.PERCENTRANK.EXC(_xlfn._xlws.FILTER($AH$3:$AH$15, ISNUMBER($AH$3:$AH$15)),AH9)*100</f>
        <v>85.7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54863860</v>
      </c>
      <c r="E10" cm="1">
        <f t="array" ref="E10">_xll.FDS(C10,"FMA_COS_UP(""EPS"",""1M"",+1,0,,,""PORTAGG"",""MEANR"")")</f>
        <v>44</v>
      </c>
      <c r="F10" cm="1">
        <f t="array" ref="F10">_xll.FDS(C10,"FMA_COS_DOWN(""EPS"",""1M"",+1,0,,,""PORTAGG"",""MEANR"")")</f>
        <v>33</v>
      </c>
      <c r="G10" cm="1">
        <f t="array" ref="G10">_xll.FDS(A10,"SIZE(FG_CONSTITUENTS)")</f>
        <v>102</v>
      </c>
      <c r="H10" s="9">
        <f t="shared" si="0"/>
        <v>0.43137254901960786</v>
      </c>
      <c r="I10" s="9">
        <f t="shared" si="1"/>
        <v>0.3235294117647059</v>
      </c>
      <c r="J10" s="9">
        <f t="shared" si="2"/>
        <v>0.10784313725490197</v>
      </c>
      <c r="K10" s="5" cm="1">
        <f t="array" ref="K10">_xll.FDS(A10,"FMA_PCT_ABOVE_MAVG(200,0,,,,""PORTAGG"")")/100</f>
        <v>0.61764705882352899</v>
      </c>
      <c r="L10" s="41" cm="1">
        <f t="array" ref="L10">_xll.FDSB(A10,"PERCENT_CHANGE(FMA_EPS(+1,0,,,,""PORTAGG"",""MEAN""),FMA_EPS(+1,-1AM,,,,""PORTAGG"",""MEAN""))")</f>
        <v>0.70369705700011198</v>
      </c>
      <c r="M10" s="41" cm="1">
        <f t="array" ref="M10">_xll.FDSB(A10,"PERCENT_CHANGE(FMA_EPS(+1,0,,,,""PORTAGG"",""MEAN""),FMA_EPS(+1,-3AM,,,,""PORTAGG"",""MEAN""))")</f>
        <v>0.26026115591455501</v>
      </c>
      <c r="N10" s="3" cm="1">
        <f t="array" ref="N10">_xll.FDS(C10,"FG_TOTAL_RETURNC(0,-1AM)")</f>
        <v>6.1518189999999997</v>
      </c>
      <c r="O10" s="3" cm="1">
        <f t="array" ref="O10">_xll.FDS(C10,"FG_TOTAL_RETURNC(0,-3AM)")</f>
        <v>2.8020024000000001</v>
      </c>
      <c r="P10" s="3" cm="1">
        <f t="array" ref="P10">_xll.FDS(C10,"FG_TOTAL_RETURNC(0,-6AM)")</f>
        <v>16.357803000000001</v>
      </c>
      <c r="Q10" s="9" cm="1">
        <f t="array" ref="Q10">_xll.FDS(C10,"P_PRICE(0)/P_PRICE_HIGH_PR(0,,,,,,""PRICE"",""INTRA"",""52W"")")</f>
        <v>0.97857050000000001</v>
      </c>
      <c r="R10" s="9" cm="1">
        <f t="array" ref="R10">_xll.FDS(C10,"P_PRICE(0)/P_PRICE_low_PR(0,,,,,,""PRICE"",""INTRA"",""52W"")-1")</f>
        <v>0.31651820000000003</v>
      </c>
      <c r="S10" s="3" cm="1">
        <f t="array" ref="S10">_xll.FDS(C10,"FG_TOTAL_RETURNC(0,-12AM)")</f>
        <v>30.380201</v>
      </c>
      <c r="T10" s="4" cm="1">
        <f t="array" ref="T10">_xlfn.PERCENTRANK.EXC(_xlfn._xlws.FILTER($R$3:$R$15, ISNUMBER($R$3:$R$15)),R10)*100</f>
        <v>71.399999999999991</v>
      </c>
      <c r="U10" s="4">
        <f t="shared" si="3"/>
        <v>28.600000000000009</v>
      </c>
      <c r="V10" s="4" cm="1">
        <f t="array" ref="V10">_xlfn.PERCENTRANK.EXC(_xlfn._xlws.FILTER($Q$3:$Q$15, ISNUMBER($Q$3:$Q$15)),Q10)*100</f>
        <v>28.499999999999996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64.2</v>
      </c>
      <c r="Y10" s="201" cm="1">
        <f t="array" ref="Y10">_xlfn.PERCENTRANK.EXC(_xlfn._xlws.FILTER($S$3:$S$15, ISNUMBER($S$3:$S$15)),S10)*100</f>
        <v>85.7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57.099999999999994</v>
      </c>
      <c r="AC10" s="4">
        <f t="shared" si="4"/>
        <v>28.499999999999996</v>
      </c>
      <c r="AD10" s="4">
        <f t="shared" si="5"/>
        <v>28.499999999999996</v>
      </c>
      <c r="AE10" s="4">
        <f t="shared" si="6"/>
        <v>85.7</v>
      </c>
      <c r="AF10" s="4">
        <f ca="1">'Economic Momentum'!Q11</f>
        <v>78.5</v>
      </c>
      <c r="AG10" s="4">
        <f ca="1">'Economic Momentum'!R11</f>
        <v>57.099999999999994</v>
      </c>
      <c r="AH10" s="4">
        <f t="shared" ca="1" si="7"/>
        <v>34.92</v>
      </c>
      <c r="AJ10" s="3" cm="1">
        <f t="array" aca="1" ref="AJ10" ca="1">_xlfn.PERCENTRANK.EXC(_xlfn._xlws.FILTER($AH$3:$AH$15, ISNUMBER($AH$3:$AH$15)),AH10)*100</f>
        <v>28.499999999999996</v>
      </c>
      <c r="AK10">
        <f t="shared" si="8"/>
        <v>1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54863860</v>
      </c>
      <c r="E11" cm="1">
        <f t="array" ref="E11">_xll.FDS(C11,"FMA_COS_UP(""EPS"",""1M"",+1,0,,,""PORTAGG"",""MEANR"")")</f>
        <v>223</v>
      </c>
      <c r="F11" cm="1">
        <f t="array" ref="F11">_xll.FDS(C11,"FMA_COS_DOWN(""EPS"",""1M"",+1,0,,,""PORTAGG"",""MEANR"")")</f>
        <v>164</v>
      </c>
      <c r="G11" cm="1">
        <f t="array" ref="G11">_xll.FDS(A11,"SIZE(FG_CONSTITUENTS)")</f>
        <v>504</v>
      </c>
      <c r="H11" s="9">
        <f t="shared" si="0"/>
        <v>0.44246031746031744</v>
      </c>
      <c r="I11" s="9">
        <f t="shared" si="1"/>
        <v>0.32539682539682541</v>
      </c>
      <c r="J11" s="9">
        <f t="shared" si="2"/>
        <v>0.11706349206349204</v>
      </c>
      <c r="K11" s="5" cm="1">
        <f t="array" ref="K11">_xll.FDS(A11,"FMA_PCT_ABOVE_MAVG(200,0,,,,""PORTAGG"")")/100</f>
        <v>0.64271457085828299</v>
      </c>
      <c r="L11" s="41" cm="1">
        <f t="array" ref="L11">_xll.FDSB(A11,"PERCENT_CHANGE(FMA_EPS(+1,0,,,,""PORTAGG"",""MEAN""),FMA_EPS(+1,-1AM,,,,""PORTAGG"",""MEAN""))")</f>
        <v>0.51850075719436695</v>
      </c>
      <c r="M11" s="41" cm="1">
        <f t="array" ref="M11">_xll.FDSB(A11,"PERCENT_CHANGE(FMA_EPS(+1,0,,,,""PORTAGG"",""MEAN""),FMA_EPS(+1,-3AM,,,,""PORTAGG"",""MEAN""))")</f>
        <v>0.42007212960351398</v>
      </c>
      <c r="N11" s="3" cm="1">
        <f t="array" ref="N11">_xll.FDS(C11,"FG_TOTAL_RETURNC(0,-1AM)")</f>
        <v>5.0579666999999997</v>
      </c>
      <c r="O11" s="3" cm="1">
        <f t="array" ref="O11">_xll.FDS(C11,"FG_TOTAL_RETURNC(0,-3AM)")</f>
        <v>4.1213629999999997</v>
      </c>
      <c r="P11" s="3" cm="1">
        <f t="array" ref="P11">_xll.FDS(C11,"FG_TOTAL_RETURNC(0,-6AM)")</f>
        <v>16.382194999999999</v>
      </c>
      <c r="Q11" s="9" cm="1">
        <f t="array" ref="Q11">_xll.FDS(C11,"P_PRICE(0)/P_PRICE_HIGH_PR(0,,,,,,""PRICE"",""INTRA"",""52W"")")</f>
        <v>0.98930720000000005</v>
      </c>
      <c r="R11" s="9" cm="1">
        <f t="array" ref="R11">_xll.FDS(C11,"P_PRICE(0)/P_PRICE_low_PR(0,,,,,,""PRICE"",""INTRA"",""52W"")-1")</f>
        <v>0.28875148</v>
      </c>
      <c r="S11" s="3" cm="1">
        <f t="array" ref="S11">_xll.FDS(C11,"FG_TOTAL_RETURNC(0,-12AM)")</f>
        <v>28.048897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71.399999999999991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64.2</v>
      </c>
      <c r="AC11" s="4">
        <f t="shared" si="4"/>
        <v>14.2</v>
      </c>
      <c r="AD11" s="4">
        <f t="shared" si="5"/>
        <v>35.699999999999996</v>
      </c>
      <c r="AE11" s="4">
        <f t="shared" si="6"/>
        <v>85.7</v>
      </c>
      <c r="AF11" s="4">
        <f ca="1">'Economic Momentum'!Q12</f>
        <v>78.5</v>
      </c>
      <c r="AG11" s="4">
        <f ca="1">'Economic Momentum'!R12</f>
        <v>57.099999999999994</v>
      </c>
      <c r="AH11" s="4">
        <f t="shared" ca="1" si="7"/>
        <v>67.820000000000007</v>
      </c>
      <c r="AJ11" s="3" cm="1">
        <f t="array" aca="1" ref="AJ11" ca="1">_xlfn.PERCENTRANK.EXC(_xlfn._xlws.FILTER($AH$3:$AH$15, ISNUMBER($AH$3:$AH$15)),AH11)*100</f>
        <v>64.2</v>
      </c>
      <c r="AK11">
        <f t="shared" si="8"/>
        <v>3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3363082.8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64</v>
      </c>
      <c r="H12" s="9">
        <f t="shared" ref="H12:H15" si="9">E12/$G12</f>
        <v>0.421875</v>
      </c>
      <c r="I12" s="9">
        <f t="shared" ref="I12:I15" si="10">F12/$G12</f>
        <v>0.375</v>
      </c>
      <c r="J12" s="9">
        <f t="shared" ref="J12:J15" si="11">H12-I12</f>
        <v>4.6875E-2</v>
      </c>
      <c r="K12" s="5" cm="1">
        <f t="array" ref="K12">_xll.FDS(A12,"FMA_PCT_ABOVE_MAVG(200,0,,,,""PORTAGG"")")/100</f>
        <v>0.682539682539683</v>
      </c>
      <c r="L12" s="41" cm="1">
        <f t="array" ref="L12">_xll.FDSB(A12,"PERCENT_CHANGE(FMA_EPS(+1,0,,,,""PORTAGG"",""MEAN""),FMA_EPS(+1,-1AM,,,,""PORTAGG"",""MEAN""))")</f>
        <v>3.3337194589488401</v>
      </c>
      <c r="M12" s="41" cm="1">
        <f t="array" ref="M12">_xll.FDSB(A12,"PERCENT_CHANGE(FMA_EPS(+1,0,,,,""PORTAGG"",""MEAN""),FMA_EPS(+1,-3AM,,,,""PORTAGG"",""MEAN""))")</f>
        <v>0.43911601218372198</v>
      </c>
      <c r="N12" s="3" cm="1">
        <f t="array" ref="N12">_xll.FDS(C12,"FG_TOTAL_RETURNC(0,-1AM)")</f>
        <v>4.1458487999999996</v>
      </c>
      <c r="O12" s="3" cm="1">
        <f t="array" ref="O12">_xll.FDS(C12,"FG_TOTAL_RETURNC(0,-3AM)")</f>
        <v>3.7055492000000001</v>
      </c>
      <c r="P12" s="3" cm="1">
        <f t="array" ref="P12">_xll.FDS(C12,"FG_TOTAL_RETURNC(0,-6AM)")</f>
        <v>11.71571</v>
      </c>
      <c r="Q12" s="9" cm="1">
        <f t="array" ref="Q12">_xll.FDS(C12,"P_PRICE(0)/P_PRICE_HIGH_PR(0,,,,,,""PRICE"",""INTRA"",""52W"")")</f>
        <v>0.97887329999999995</v>
      </c>
      <c r="R12" s="9" cm="1">
        <f t="array" ref="R12">_xll.FDS(C12,"P_PRICE(0)/P_PRICE_low_PR(0,,,,,,""PRICE"",""INTRA"",""52W"")-1")</f>
        <v>0.23885918</v>
      </c>
      <c r="S12" s="3" cm="1">
        <f t="array" ref="S12">_xll.FDS(C12,"FG_TOTAL_RETURNC(0,-12AM)")</f>
        <v>15.972780999999999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35.699999999999996</v>
      </c>
      <c r="Y12" s="201" cm="1">
        <f t="array" ref="Y12">_xlfn.PERCENTRANK.EXC(_xlfn._xlws.FILTER($S$3:$S$15, ISNUMBER($S$3:$S$15)),S12)*100</f>
        <v>21.4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42.8</v>
      </c>
      <c r="AC12" s="4">
        <f t="shared" si="4"/>
        <v>71.399999999999991</v>
      </c>
      <c r="AD12" s="4">
        <f t="shared" si="5"/>
        <v>42.8</v>
      </c>
      <c r="AE12" s="4">
        <f t="shared" si="6"/>
        <v>71.399999999999991</v>
      </c>
      <c r="AF12" s="4">
        <f ca="1">'Economic Momentum'!Q13</f>
        <v>14.2</v>
      </c>
      <c r="AG12" s="4">
        <f ca="1">'Economic Momentum'!R13</f>
        <v>71.399999999999991</v>
      </c>
      <c r="AH12" s="4">
        <f t="shared" ca="1" si="7"/>
        <v>35.699999999999996</v>
      </c>
      <c r="AJ12" s="3" cm="1">
        <f t="array" aca="1" ref="AJ12" ca="1">_xlfn.PERCENTRANK.EXC(_xlfn._xlws.FILTER($AH$3:$AH$15, ISNUMBER($AH$3:$AH$15)),AH12)*100</f>
        <v>35.699999999999996</v>
      </c>
      <c r="AK12">
        <f t="shared" si="8"/>
        <v>1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1135350.6000000001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21</v>
      </c>
      <c r="G13" cm="1">
        <f t="array" ref="G13">_xll.FDS(A13,"SIZE(FG_CONSTITUENTS)")</f>
        <v>54</v>
      </c>
      <c r="H13" s="9">
        <f t="shared" si="9"/>
        <v>0.35185185185185186</v>
      </c>
      <c r="I13" s="9">
        <f t="shared" si="10"/>
        <v>0.3888888888888889</v>
      </c>
      <c r="J13" s="9">
        <f t="shared" si="11"/>
        <v>-3.7037037037037035E-2</v>
      </c>
      <c r="K13" s="5" cm="1">
        <f t="array" ref="K13">_xll.FDS(A13,"FMA_PCT_ABOVE_MAVG(200,0,,,,""PORTAGG"")")/100</f>
        <v>0.68518518518518501</v>
      </c>
      <c r="L13" s="41" cm="1">
        <f t="array" ref="L13">_xll.FDSB(A13,"PERCENT_CHANGE(FMA_EPS(+1,0,,,,""PORTAGG"",""MEAN""),FMA_EPS(+1,-1AM,,,,""PORTAGG"",""MEAN""))")</f>
        <v>2.4762942027570101</v>
      </c>
      <c r="M13" s="41" cm="1">
        <f t="array" ref="M13">_xll.FDSB(A13,"PERCENT_CHANGE(FMA_EPS(+1,0,,,,""PORTAGG"",""MEAN""),FMA_EPS(+1,-3AM,,,,""PORTAGG"",""MEAN""))")</f>
        <v>3.9884068948175502</v>
      </c>
      <c r="N13" s="3" cm="1">
        <f t="array" ref="N13">_xll.FDS(C13,"FG_TOTAL_RETURNC(0,-1AM)")</f>
        <v>7.1593045999999996</v>
      </c>
      <c r="O13" s="3" cm="1">
        <f t="array" ref="O13">_xll.FDS(C13,"FG_TOTAL_RETURNC(0,-3AM)")</f>
        <v>7.2266339999999998</v>
      </c>
      <c r="P13" s="3" cm="1">
        <f t="array" ref="P13">_xll.FDS(C13,"FG_TOTAL_RETURNC(0,-6AM)")</f>
        <v>22.276450000000001</v>
      </c>
      <c r="Q13" s="9" cm="1">
        <f t="array" ref="Q13">_xll.FDS(C13,"P_PRICE(0)/P_PRICE_HIGH_PR(0,,,,,,""PRICE"",""INTRA"",""52W"")")</f>
        <v>0.98366635999999996</v>
      </c>
      <c r="R13" s="9" cm="1">
        <f t="array" ref="R13">_xll.FDS(C13,"P_PRICE(0)/P_PRICE_low_PR(0,,,,,,""PRICE"",""INTRA"",""52W"")-1")</f>
        <v>0.41058135000000001</v>
      </c>
      <c r="S13" s="3" cm="1">
        <f t="array" ref="S13">_xll.FDS(C13,"FG_TOTAL_RETURNC(0,-12AM)")</f>
        <v>24.561859999999999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50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78.5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14.2</v>
      </c>
      <c r="AC13" s="4">
        <f t="shared" si="4"/>
        <v>42.8</v>
      </c>
      <c r="AD13" s="4">
        <f t="shared" si="5"/>
        <v>92.800000000000011</v>
      </c>
      <c r="AE13" s="4">
        <f t="shared" si="6"/>
        <v>28.499999999999996</v>
      </c>
      <c r="AF13" s="4">
        <f ca="1">'Economic Momentum'!Q14</f>
        <v>21.4</v>
      </c>
      <c r="AG13" s="4">
        <f ca="1">'Economic Momentum'!R14</f>
        <v>92.800000000000011</v>
      </c>
      <c r="AH13" s="4">
        <f t="shared" ca="1" si="7"/>
        <v>71.39</v>
      </c>
      <c r="AJ13" s="3" cm="1">
        <f t="array" aca="1" ref="AJ13" ca="1">_xlfn.PERCENTRANK.EXC(_xlfn._xlws.FILTER($AH$3:$AH$15, ISNUMBER($AH$3:$AH$15)),AH13)*100</f>
        <v>71.399999999999991</v>
      </c>
      <c r="AK13">
        <f t="shared" si="8"/>
        <v>3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1035232.1</v>
      </c>
      <c r="E14" cm="1">
        <f t="array" ref="E14">_xll.FDS(C14,"FMA_COS_UP(""EPS"",""1M"",+1,0,,,""PORTAGG"",""MEANR"")")</f>
        <v>17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45</v>
      </c>
      <c r="H14" s="9">
        <f t="shared" si="9"/>
        <v>0.37777777777777777</v>
      </c>
      <c r="I14" s="9">
        <f t="shared" si="10"/>
        <v>0.24444444444444444</v>
      </c>
      <c r="J14" s="9">
        <f t="shared" si="11"/>
        <v>0.13333333333333333</v>
      </c>
      <c r="K14" s="5" cm="1">
        <f t="array" ref="K14">_xll.FDS(A14,"FMA_PCT_ABOVE_MAVG(200,0,,,,""PORTAGG"")")/100</f>
        <v>0.86046511627906996</v>
      </c>
      <c r="L14" s="41" cm="1">
        <f t="array" ref="L14">_xll.FDSB(A14,"PERCENT_CHANGE(FMA_EPS(+1,0,,,,""PORTAGG"",""MEAN""),FMA_EPS(+1,-1AM,,,,""PORTAGG"",""MEAN""))")</f>
        <v>6.1313563888933196</v>
      </c>
      <c r="M14" s="41" cm="1">
        <f t="array" ref="M14">_xll.FDSB(A14,"PERCENT_CHANGE(FMA_EPS(+1,0,,,,""PORTAGG"",""MEAN""),FMA_EPS(+1,-3AM,,,,""PORTAGG"",""MEAN""))")</f>
        <v>3.4584044431196501</v>
      </c>
      <c r="N14" s="3" cm="1">
        <f t="array" ref="N14">_xll.FDS(C14,"FG_TOTAL_RETURNC(0,-1AM)")</f>
        <v>9.2211485</v>
      </c>
      <c r="O14" s="3" cm="1">
        <f t="array" ref="O14">_xll.FDS(C14,"FG_TOTAL_RETURNC(0,-3AM)")</f>
        <v>6.0445070000000003</v>
      </c>
      <c r="P14" s="3" cm="1">
        <f t="array" ref="P14">_xll.FDS(C14,"FG_TOTAL_RETURNC(0,-6AM)")</f>
        <v>19.315290000000001</v>
      </c>
      <c r="Q14" s="9" cm="1">
        <f t="array" ref="Q14">_xll.FDS(C14,"P_PRICE(0)/P_PRICE_HIGH_PR(0,,,,,,""PRICE"",""INTRA"",""52W"")")</f>
        <v>0.99833333000000002</v>
      </c>
      <c r="R14" s="9" cm="1">
        <f t="array" ref="R14">_xll.FDS(C14,"P_PRICE(0)/P_PRICE_low_PR(0,,,,,,""PRICE"",""INTRA"",""52W"")-1")</f>
        <v>0.36646570000000001</v>
      </c>
      <c r="S14" s="3" cm="1">
        <f t="array" ref="S14">_xll.FDS(C14,"FG_TOTAL_RETURNC(0,-12AM)")</f>
        <v>25.117730999999999</v>
      </c>
      <c r="T14" s="4" cm="1">
        <f t="array" ref="T14">_xlfn.PERCENTRANK.EXC(_xlfn._xlws.FILTER($R$3:$R$15, ISNUMBER($R$3:$R$15)),R14)*100</f>
        <v>85.7</v>
      </c>
      <c r="U14" s="4">
        <f t="shared" si="12"/>
        <v>14.299999999999997</v>
      </c>
      <c r="V14" s="4" cm="1">
        <f t="array" ref="V14">_xlfn.PERCENTRANK.EXC(_xlfn._xlws.FILTER($Q$3:$Q$15, ISNUMBER($Q$3:$Q$15)),Q14)*100</f>
        <v>85.7</v>
      </c>
      <c r="W14" s="4" cm="1">
        <f t="array" ref="W14">_xlfn.PERCENTRANK.EXC(_xlfn._xlws.FILTER($O$3:$O$15, ISNUMBER($O$3:$O$15)),O14)*100</f>
        <v>71.399999999999991</v>
      </c>
      <c r="X14" s="4" cm="1">
        <f t="array" ref="X14">_xlfn.PERCENTRANK.EXC(_xlfn._xlws.FILTER($P$3:$P$15, ISNUMBER($P$3:$P$15)),P14)*100</f>
        <v>85.7</v>
      </c>
      <c r="Y14" s="201" cm="1">
        <f t="array" ref="Y14">_xlfn.PERCENTRANK.EXC(_xlfn._xlws.FILTER($S$3:$S$15, ISNUMBER($S$3:$S$15)),S14)*100</f>
        <v>71.399999999999991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71.399999999999991</v>
      </c>
      <c r="AC14" s="4">
        <f t="shared" si="4"/>
        <v>92.800000000000011</v>
      </c>
      <c r="AD14" s="4">
        <f t="shared" si="5"/>
        <v>85.7</v>
      </c>
      <c r="AE14" s="4">
        <f t="shared" si="6"/>
        <v>21.4</v>
      </c>
      <c r="AF14" s="4">
        <f ca="1">'Economic Momentum'!Q15</f>
        <v>21.4</v>
      </c>
      <c r="AG14" s="4">
        <f ca="1">'Economic Momentum'!R15</f>
        <v>21.4</v>
      </c>
      <c r="AH14" s="4">
        <f t="shared" ca="1" si="7"/>
        <v>81.41</v>
      </c>
      <c r="AJ14" s="3" cm="1">
        <f t="array" aca="1" ref="AJ14" ca="1">_xlfn.PERCENTRANK.EXC(_xlfn._xlws.FILTER($AH$3:$AH$15, ISNUMBER($AH$3:$AH$15)),AH14)*100</f>
        <v>92.800000000000011</v>
      </c>
      <c r="AK14">
        <f t="shared" si="8"/>
        <v>6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892289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4</v>
      </c>
      <c r="G15" cm="1">
        <f t="array" ref="G15">_xll.FDS(A15,"SIZE(FG_CONSTITUENTS)")</f>
        <v>26</v>
      </c>
      <c r="H15" s="9">
        <f t="shared" si="9"/>
        <v>0.57692307692307687</v>
      </c>
      <c r="I15" s="9">
        <f t="shared" si="10"/>
        <v>0.15384615384615385</v>
      </c>
      <c r="J15" s="9">
        <f t="shared" si="11"/>
        <v>0.42307692307692302</v>
      </c>
      <c r="K15" s="5" cm="1">
        <f t="array" ref="K15">_xll.FDS(A15,"FMA_PCT_ABOVE_MAVG(200,0,,,,""PORTAGG"")")/100</f>
        <v>0.6</v>
      </c>
      <c r="L15" s="41" cm="1">
        <f t="array" ref="L15">_xll.FDSB(A15,"PERCENT_CHANGE(FMA_EPS(+1,0,,,,""PORTAGG"",""MEAN""),FMA_EPS(+1,-1AM,,,,""PORTAGG"",""MEAN""))")</f>
        <v>2.9313864338956099</v>
      </c>
      <c r="M15" s="41" cm="1">
        <f t="array" ref="M15">_xll.FDSB(A15,"PERCENT_CHANGE(FMA_EPS(+1,0,,,,""PORTAGG"",""MEAN""),FMA_EPS(+1,-3AM,,,,""PORTAGG"",""MEAN""))")</f>
        <v>2.27534023451777</v>
      </c>
      <c r="N15" s="3" cm="1">
        <f t="array" ref="N15">_xll.FDS(C15,"FG_TOTAL_RETURNC(0,-1AM)")</f>
        <v>6.2380313999999997</v>
      </c>
      <c r="O15" s="3" cm="1">
        <f t="array" ref="O15">_xll.FDS(C15,"FG_TOTAL_RETURNC(0,-3AM)")</f>
        <v>8.9811920000000001</v>
      </c>
      <c r="P15" s="3" cm="1">
        <f t="array" ref="P15">_xll.FDS(C15,"FG_TOTAL_RETURNC(0,-6AM)")</f>
        <v>19.223414999999999</v>
      </c>
      <c r="Q15" s="9" cm="1">
        <f t="array" ref="Q15">_xll.FDS(C15,"P_PRICE(0)/P_PRICE_HIGH_PR(0,,,,,,""PRICE"",""INTRA"",""52W"")")</f>
        <v>0.98628400000000005</v>
      </c>
      <c r="R15" s="9" cm="1">
        <f t="array" ref="R15">_xll.FDS(C15,"P_PRICE(0)/P_PRICE_low_PR(0,,,,,,""PRICE"",""INTRA"",""52W"")-1")</f>
        <v>0.3382734</v>
      </c>
      <c r="S15" s="3" cm="1">
        <f t="array" ref="S15">_xll.FDS(C15,"FG_TOTAL_RETURNC(0,-12AM)")</f>
        <v>35.730063999999999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57.099999999999994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78.5</v>
      </c>
      <c r="Y15" s="201" cm="1">
        <f t="array" ref="Y15">_xlfn.PERCENTRANK.EXC(_xlfn._xlws.FILTER($S$3:$S$15, ISNUMBER($S$3:$S$15)),S15)*100</f>
        <v>92.800000000000011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64.2</v>
      </c>
      <c r="AD15" s="4">
        <f t="shared" si="5"/>
        <v>71.399999999999991</v>
      </c>
      <c r="AE15" s="4">
        <f t="shared" si="6"/>
        <v>14.2</v>
      </c>
      <c r="AF15" s="4">
        <f ca="1">'Economic Momentum'!Q16</f>
        <v>21.4</v>
      </c>
      <c r="AG15" s="4">
        <f ca="1">'Economic Momentum'!R16</f>
        <v>85.7</v>
      </c>
      <c r="AH15" s="4">
        <f t="shared" ca="1" si="7"/>
        <v>72.099999999999994</v>
      </c>
      <c r="AJ15" s="3" cm="1">
        <f t="array" aca="1" ref="AJ15" ca="1">_xlfn.PERCENTRANK.EXC(_xlfn._xlws.FILTER($AH$3:$AH$15, ISNUMBER($AH$3:$AH$15)),AH15)*100</f>
        <v>78.5</v>
      </c>
      <c r="AK15">
        <f t="shared" si="8"/>
        <v>5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465</v>
      </c>
      <c r="F18" cm="1">
        <f t="array" ref="F18">_xll.FDS(C18,"FMA_COS_DOWN(""EPS"",""1M"",+1,0,,,""PORTAGG"",""MEANR"")")</f>
        <v>541</v>
      </c>
      <c r="G18" cm="1">
        <f t="array" ref="G18">_xll.FDS(A18,"SIZE(FG_CONSTITUENTS)")</f>
        <v>1281</v>
      </c>
      <c r="H18" s="9">
        <f>E18/$G18</f>
        <v>0.36299765807962531</v>
      </c>
      <c r="I18" s="9">
        <f>F18/$G18</f>
        <v>0.42232630757220924</v>
      </c>
      <c r="J18" s="9">
        <f t="shared" ref="J18" si="13">H18-I18</f>
        <v>-5.9328649492583929E-2</v>
      </c>
      <c r="K18" s="5" cm="1">
        <f t="array" ref="K18">_xll.FDS(A18,"FMA_PCT_ABOVE_MAVG(200,0,,,,""PORTAGG"")")/100</f>
        <v>0.67301587301587307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-1.87391517084022</v>
      </c>
      <c r="N18" s="3" cm="1">
        <f t="array" ref="N18">_xll.FDS(C18,"FG_TOTAL_RETURNC(0,-1AM)")</f>
        <v>6.4461946000000001</v>
      </c>
      <c r="O18" s="3" cm="1">
        <f t="array" ref="O18">_xll.FDS(C18,"FG_TOTAL_RETURNC(0,-3AM)")</f>
        <v>7.6938750000000002</v>
      </c>
      <c r="P18" s="3" cm="1">
        <f t="array" ref="P18">_xll.FDS(C18,"FG_TOTAL_RETURNC(0,-6AM)")</f>
        <v>14.809918</v>
      </c>
      <c r="Q18" s="9" cm="1">
        <f t="array" ref="Q18">_xll.FDS(C18,"P_PRICE(0)/P_PRICE_HIGH_PR(0,,,,,,""PRICE"",""INTRA"",""52W"")")</f>
        <v>0.99345755999999996</v>
      </c>
      <c r="R18" s="9" cm="1">
        <f t="array" ref="R18">_xll.FDS(C18,"P_PRICE(0)/P_PRICE_low_PR(0,,,,,,""PRICE"",""INTRA"",""52W"")-1")</f>
        <v>0.26861595999999999</v>
      </c>
      <c r="S18" s="3" cm="1">
        <f t="array" ref="S18">_xll.FDS(C18,"FG_TOTAL_RETURNC(0,-12AM)")</f>
        <v>20.108889999999999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1617</v>
      </c>
      <c r="G19" cm="1">
        <f t="array" ref="G19">_xll.FDS(A19,"SIZE(FG_CONSTITUENTS)")</f>
        <v>4781</v>
      </c>
      <c r="H19" s="9">
        <f>E19/$G19</f>
        <v>0.17925120267726416</v>
      </c>
      <c r="I19" s="9">
        <f>F19/$G19</f>
        <v>0.33821376281112736</v>
      </c>
      <c r="J19" s="9">
        <f t="shared" ref="J19" si="14">H19-I19</f>
        <v>-0.1589625601338632</v>
      </c>
      <c r="K19" s="5" cm="1">
        <f t="array" ref="K19">_xll.FDS(A19,"FMA_PCT_ABOVE_MAVG(200,0,,,,""PORTAGG"")")/100</f>
        <v>0.46874328678839999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-2.6175477947778099</v>
      </c>
      <c r="N19" s="3" cm="1">
        <f t="array" ref="N19">_xll.FDS(C19,"FG_TOTAL_RETURNC(0,-1AM)")</f>
        <v>2.1579385000000002</v>
      </c>
      <c r="O19" s="3" cm="1">
        <f t="array" ref="O19">_xll.FDS(C19,"FG_TOTAL_RETURNC(0,-3AM)")</f>
        <v>5.1191449999999996</v>
      </c>
      <c r="P19" s="3" cm="1">
        <f t="array" ref="P19">_xll.FDS(C19,"FG_TOTAL_RETURNC(0,-6AM)")</f>
        <v>8.4115029999999997</v>
      </c>
      <c r="Q19" s="9" cm="1">
        <f t="array" ref="Q19">_xll.FDS(C19,"P_PRICE(0)/P_PRICE_HIGH_PR(0,,,,,,""PRICE"",""INTRA"",""52W"")")</f>
        <v>0.95805940000000001</v>
      </c>
      <c r="R19" s="9" cm="1">
        <f t="array" ref="R19">_xll.FDS(C19,"P_PRICE(0)/P_PRICE_low_PR(0,,,,,,""PRICE"",""INTRA"",""52W"")-1")</f>
        <v>0.15018022</v>
      </c>
      <c r="S19" s="3" cm="1">
        <f t="array" ref="S19">_xll.FDS(C19,"FG_TOTAL_RETURNC(0,-12AM)")</f>
        <v>14.347243000000001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711</v>
      </c>
      <c r="F20" cm="1">
        <f t="array" ref="F20">_xll.FDS(C20,"FMA_COS_DOWN(""EPS"",""1M"",+1,0,,,""PORTAGG"",""MEANR"")")</f>
        <v>506</v>
      </c>
      <c r="G20" cm="1">
        <f t="array" ref="G20">_xll.FDS(A20,"SIZE(FG_CONSTITUENTS)")</f>
        <v>1467</v>
      </c>
      <c r="H20" s="9">
        <f t="shared" ref="H20" si="16">E20/$G20</f>
        <v>0.48466257668711654</v>
      </c>
      <c r="I20" s="9">
        <f t="shared" ref="I20" si="17">F20/$G20</f>
        <v>0.34492160872528971</v>
      </c>
      <c r="J20" s="9">
        <f t="shared" ref="J20" si="18">H20-I20</f>
        <v>0.13974096796182683</v>
      </c>
      <c r="K20" s="5" cm="1">
        <f t="array" ref="K20">_xll.FDS(A20,"FMA_PCT_ABOVE_MAVG(200,0,,,,""PORTAGG"")")/100</f>
        <v>0.64863013698630101</v>
      </c>
      <c r="L20" s="41" cm="1">
        <f t="array" ref="L20">_xll.FDSB(A20,"PERCENT_CHANGE(FMA_EPS(+1,0,,,,""PORTAGG"",""MEAN""),FMA_EPS(+1,-1AM,,,,""PORTAGG"",""MEAN""))")</f>
        <v>0.98760029549612405</v>
      </c>
      <c r="M20" s="41" cm="1">
        <f t="array" ref="M20">_xll.FDSB(A20,"PERCENT_CHANGE(FMA_EPS(+1,0,,,,""PORTAGG"",""MEAN""),FMA_EPS(+1,-3AM,,,,""PORTAGG"",""MEAN""))")</f>
        <v>0.55020907064120195</v>
      </c>
      <c r="N20" s="3" cm="1">
        <f t="array" ref="N20">_xll.FDS(C20,"FG_TOTAL_RETURNC(0,-1AM)")</f>
        <v>4.6992900000000004</v>
      </c>
      <c r="O20" s="3" cm="1">
        <f t="array" ref="O20">_xll.FDS(C20,"FG_TOTAL_RETURNC(0,-3AM)")</f>
        <v>3.8708330000000002</v>
      </c>
      <c r="P20" s="3" cm="1">
        <f t="array" ref="P20">_xll.FDS(C20,"FG_TOTAL_RETURNC(0,-6AM)")</f>
        <v>14.982891</v>
      </c>
      <c r="Q20" s="9" cm="1">
        <f t="array" ref="Q20">_xll.FDS(C20,"P_PRICE(0)/P_PRICE_HIGH_PR(0,,,,,,""PRICE"",""INTRA"",""52W"")")</f>
        <v>0.98853469999999999</v>
      </c>
      <c r="R20" s="9" cm="1">
        <f t="array" ref="R20">_xll.FDS(C20,"P_PRICE(0)/P_PRICE_low_PR(0,,,,,,""PRICE"",""INTRA"",""52W"")-1")</f>
        <v>0.27035749999999997</v>
      </c>
      <c r="S20" s="3" cm="1">
        <f t="array" ref="S20">_xll.FDS(C20,"FG_TOTAL_RETURNC(0,-12AM)")</f>
        <v>25.088871000000001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128</v>
      </c>
      <c r="F21" cm="1">
        <f t="array" ref="F21">_xll.FDS(C21,"FMA_COS_DOWN(""EPS"",""1M"",+1,0,,,""PORTAGG"",""MEANR"")")</f>
        <v>80</v>
      </c>
      <c r="G21" cm="1">
        <f t="array" ref="G21">_xll.FDS(A21,"SIZE(FG_CONSTITUENTS)")</f>
        <v>219</v>
      </c>
      <c r="H21" s="9">
        <f t="shared" ref="H21:H22" si="20">E21/$G21</f>
        <v>0.58447488584474883</v>
      </c>
      <c r="I21" s="9">
        <f t="shared" ref="I21:I22" si="21">F21/$G21</f>
        <v>0.36529680365296802</v>
      </c>
      <c r="J21" s="9">
        <f t="shared" ref="J21:J22" si="22">H21-I21</f>
        <v>0.21917808219178081</v>
      </c>
      <c r="K21" s="5" cm="1">
        <f t="array" ref="K21">_xll.FDS(A21,"FMA_PCT_ABOVE_MAVG(200,0,,,,""PORTAGG"")")/100</f>
        <v>0.62385321100917401</v>
      </c>
      <c r="L21" s="41" cm="1">
        <f t="array" ref="L21">_xll.FDSB(A21,"PERCENT_CHANGE(FMA_EPS(+1,0,,,,""PORTAGG"",""MEAN""),FMA_EPS(+1,-1AM,,,,""PORTAGG"",""MEAN""))")</f>
        <v>0.111296983303716</v>
      </c>
      <c r="M21" s="41" cm="1">
        <f t="array" ref="M21">_xll.FDSB(A21,"PERCENT_CHANGE(FMA_EPS(+1,0,,,,""PORTAGG"",""MEAN""),FMA_EPS(+1,-3AM,,,,""PORTAGG"",""MEAN""))")</f>
        <v>-3.6664809002803298</v>
      </c>
      <c r="N21" s="3" cm="1">
        <f t="array" ref="N21">_xll.FDS(C21,"FG_TOTAL_RETURNC(0,-1AM)")</f>
        <v>2.5271416000000002</v>
      </c>
      <c r="O21" s="3" cm="1">
        <f t="array" ref="O21">_xll.FDS(C21,"FG_TOTAL_RETURNC(0,-3AM)")</f>
        <v>-0.21701455</v>
      </c>
      <c r="P21" s="3" cm="1">
        <f t="array" ref="P21">_xll.FDS(C21,"FG_TOTAL_RETURNC(0,-6AM)")</f>
        <v>11.710798</v>
      </c>
      <c r="Q21" s="9" cm="1">
        <f t="array" ref="Q21">_xll.FDS(C21,"P_PRICE(0)/P_PRICE_HIGH_PR(0,,,,,,""PRICE"",""INTRA"",""52W"")")</f>
        <v>0.95705264999999995</v>
      </c>
      <c r="R21" s="9" cm="1">
        <f t="array" ref="R21">_xll.FDS(C21,"P_PRICE(0)/P_PRICE_low_PR(0,,,,,,""PRICE"",""INTRA"",""52W"")-1")</f>
        <v>0.20576918</v>
      </c>
      <c r="S21" s="3" cm="1">
        <f t="array" ref="S21">_xll.FDS(C21,"FG_TOTAL_RETURNC(0,-12AM)")</f>
        <v>18.69886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223</v>
      </c>
      <c r="F22" cm="1">
        <f t="array" ref="F22">_xll.FDS(C22,"FMA_COS_DOWN(""EPS"",""1M"",+1,0,,,""PORTAGG"",""MEANR"")")</f>
        <v>164</v>
      </c>
      <c r="G22" cm="1">
        <f t="array" ref="G22">_xll.FDS(A22,"SIZE(FG_CONSTITUENTS)")</f>
        <v>504</v>
      </c>
      <c r="H22" s="9">
        <f t="shared" si="20"/>
        <v>0.44246031746031744</v>
      </c>
      <c r="I22" s="9">
        <f t="shared" si="21"/>
        <v>0.32539682539682541</v>
      </c>
      <c r="J22" s="9">
        <f t="shared" si="22"/>
        <v>0.11706349206349204</v>
      </c>
      <c r="K22" s="5" cm="1">
        <f t="array" ref="K22">_xll.FDS(A22,"FMA_PCT_ABOVE_MAVG(200,0,,,,""PORTAGG"")")/100</f>
        <v>0.64271457085828299</v>
      </c>
      <c r="L22" s="41" cm="1">
        <f t="array" ref="L22">_xll.FDSB(A22,"PERCENT_CHANGE(FMA_EPS(+1,0,,,,""PORTAGG"",""MEAN""),FMA_EPS(+1,-1AM,,,,""PORTAGG"",""MEAN""))")</f>
        <v>0.51850075719436695</v>
      </c>
      <c r="M22" s="41" cm="1">
        <f t="array" ref="M22">_xll.FDSB(A22,"PERCENT_CHANGE(FMA_EPS(+1,0,,,,""PORTAGG"",""MEAN""),FMA_EPS(+1,-3AM,,,,""PORTAGG"",""MEAN""))")</f>
        <v>0.42007212960351398</v>
      </c>
      <c r="N22" s="3" cm="1">
        <f t="array" ref="N22">_xll.FDS(C22,"FG_TOTAL_RETURNC(0,-1AM)")</f>
        <v>5.0579666999999997</v>
      </c>
      <c r="O22" s="3" cm="1">
        <f t="array" ref="O22">_xll.FDS(C22,"FG_TOTAL_RETURNC(0,-3AM)")</f>
        <v>4.1213629999999997</v>
      </c>
      <c r="P22" s="3" cm="1">
        <f t="array" ref="P22">_xll.FDS(C22,"FG_TOTAL_RETURNC(0,-6AM)")</f>
        <v>16.382194999999999</v>
      </c>
      <c r="Q22" s="9" cm="1">
        <f t="array" ref="Q22">_xll.FDS(C22,"P_PRICE(0)/P_PRICE_HIGH_PR(0,,,,,,""PRICE"",""INTRA"",""52W"")")</f>
        <v>0.98930720000000005</v>
      </c>
      <c r="R22" s="9" cm="1">
        <f t="array" ref="R22">_xll.FDS(C22,"P_PRICE(0)/P_PRICE_low_PR(0,,,,,,""PRICE"",""INTRA"",""52W"")-1")</f>
        <v>0.28875148</v>
      </c>
      <c r="S22" s="3" cm="1">
        <f t="array" ref="S22">_xll.FDS(C22,"FG_TOTAL_RETURNC(0,-12AM)")</f>
        <v>28.048897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22</v>
      </c>
      <c r="F23" cm="1">
        <f t="array" ref="F23">_xll.FDS(C23,"FMA_COS_DOWN(""EPS"",""1M"",+1,0,,,""PORTAGG"",""MEANR"")")</f>
        <v>22</v>
      </c>
      <c r="G23" cm="1">
        <f t="array" ref="G23">_xll.FDS(A23,"SIZE(FG_CONSTITUENTS)")</f>
        <v>53</v>
      </c>
      <c r="H23" s="9">
        <f t="shared" ref="H23" si="24">E23/$G23</f>
        <v>0.41509433962264153</v>
      </c>
      <c r="I23" s="9">
        <f t="shared" ref="I23" si="25">F23/$G23</f>
        <v>0.41509433962264153</v>
      </c>
      <c r="J23" s="9">
        <f t="shared" ref="J23" si="26">H23-I23</f>
        <v>0</v>
      </c>
      <c r="K23" s="5" cm="1">
        <f t="array" ref="K23">_xll.FDS(A23,"FMA_PCT_ABOVE_MAVG(200,0,,,,""PORTAGG"")")/100</f>
        <v>0.76470588235294101</v>
      </c>
      <c r="L23" s="41" cm="1">
        <f t="array" ref="L23">_xll.FDSB(A23,"PERCENT_CHANGE(FMA_EPS(+1,0,,,,""PORTAGG"",""MEAN""),FMA_EPS(+1,-1AM,,,,""PORTAGG"",""MEAN""))")</f>
        <v>2.3635987339182698</v>
      </c>
      <c r="M23" s="41" cm="1">
        <f t="array" ref="M23">_xll.FDSB(A23,"PERCENT_CHANGE(FMA_EPS(+1,0,,,,""PORTAGG"",""MEAN""),FMA_EPS(+1,-3AM,,,,""PORTAGG"",""MEAN""))")</f>
        <v>1.1848294655268099</v>
      </c>
      <c r="N23" s="3" cm="1">
        <f t="array" ref="N23">_xll.FDS(C23,"FG_TOTAL_RETURNC(0,-1AM)")</f>
        <v>4.4723389999999998</v>
      </c>
      <c r="O23" s="3" cm="1">
        <f t="array" ref="O23">_xll.FDS(C23,"FG_TOTAL_RETURNC(0,-3AM)")</f>
        <v>13.706231000000001</v>
      </c>
      <c r="P23" s="3" cm="1">
        <f t="array" ref="P23">_xll.FDS(C23,"FG_TOTAL_RETURNC(0,-6AM)")</f>
        <v>8.6489440000000002</v>
      </c>
      <c r="Q23" s="9" cm="1">
        <f t="array" ref="Q23">_xll.FDS(C23,"P_PRICE(0)/P_PRICE_HIGH_PR(0,,,,,,""PRICE"",""INTRA"",""52W"")")</f>
        <v>0.87197113000000004</v>
      </c>
      <c r="R23" s="9" cm="1">
        <f t="array" ref="R23">_xll.FDS(C23,"P_PRICE(0)/P_PRICE_low_PR(0,,,,,,""PRICE"",""INTRA"",""52W"")-1")</f>
        <v>0.27660583999999999</v>
      </c>
      <c r="S23" s="3" cm="1">
        <f t="array" ref="S23">_xll.FDS(C23,"FG_TOTAL_RETURNC(0,-12AM)")</f>
        <v>5.8510900000000001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-0.15698880000000001</v>
      </c>
      <c r="E4" s="9">
        <f>HLOOKUP(B4,'Monthly Returns'!$A$1:$Q$134, 132, FALSE)</f>
        <v>0.17355371900826447</v>
      </c>
      <c r="H4" s="9">
        <f>HLOOKUP(B4,'Yearly returns'!$B$1:$N$140, 133, FALSE)</f>
        <v>0.13223140495867769</v>
      </c>
      <c r="I4" s="9">
        <f>HLOOKUP(B4,'Yearly returns'!$B$1:$N$140, 138, FALSE)</f>
        <v>0.33600000000000002</v>
      </c>
      <c r="J4" s="183">
        <f>1/E4</f>
        <v>5.7619047619047619</v>
      </c>
      <c r="K4" s="185">
        <f>PERCENTRANK($J$4:$J$16,J4)*100</f>
        <v>8.3000000000000007</v>
      </c>
      <c r="L4" s="47">
        <f>(1-PERCENTRANK($E$4:$E$16,E4))*100</f>
        <v>8.3999999999999968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64.599999999999994</v>
      </c>
      <c r="R4" cm="1">
        <f t="array" ref="R4">_xlfn.PERCENTRANK.EXC(_xlfn._xlws.FILTER(P$4:P$16, ISNUMBER(P$4:P$16)),P4)*100</f>
        <v>71.399999999999991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-0.22763425999999998</v>
      </c>
      <c r="E5" s="9">
        <f>HLOOKUP(B5,'Monthly Returns'!$A$1:$Q$134, 132, FALSE)</f>
        <v>0.13223140495867769</v>
      </c>
      <c r="H5" s="9">
        <f>HLOOKUP(B5,'Yearly returns'!$B$1:$N$140, 133, FALSE)</f>
        <v>0.15702479338842976</v>
      </c>
      <c r="I5" s="9">
        <f>HLOOKUP(B5,'Yearly returns'!$B$1:$N$140, 138, FALSE)</f>
        <v>0.81899999999999995</v>
      </c>
      <c r="J5" s="183">
        <f t="shared" ref="J5:J16" si="0">1/E5</f>
        <v>7.5625</v>
      </c>
      <c r="K5" s="185">
        <f t="shared" ref="K5:K16" si="1">PERCENTRANK($J$4:$J$16,J5)*100</f>
        <v>50</v>
      </c>
      <c r="L5" s="47">
        <f t="shared" ref="L5:L16" si="2">(1-PERCENTRANK($E$4:$E$16,E5))*100</f>
        <v>75</v>
      </c>
      <c r="M5" s="47">
        <f t="shared" ref="M5:M16" si="3">(1-PERCENTRANK($H$4:$H$16,H5))*100</f>
        <v>41.7</v>
      </c>
      <c r="N5" s="47">
        <f t="shared" ref="N5:N16" si="4">(1-PERCENTRANK($I$4:$I$16,I5))*100</f>
        <v>50</v>
      </c>
      <c r="P5">
        <f>L5*Assumption!$E$53 + M5*Assumption!$F$53 + N5*Assumption!$G$53</f>
        <v>54.174999999999997</v>
      </c>
      <c r="R5" cm="1">
        <f t="array" ref="R5">_xlfn.PERCENTRANK.EXC(_xlfn._xlws.FILTER(P$4:P$16, ISNUMBER(P$4:P$16)),P5)*100</f>
        <v>42.8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-0.20804638</v>
      </c>
      <c r="E6" s="9">
        <f>HLOOKUP(B6,'Monthly Returns'!$A$1:$Q$134, 132, FALSE)</f>
        <v>0.13223140495867769</v>
      </c>
      <c r="H6" s="9">
        <f>HLOOKUP(B6,'Yearly returns'!$B$1:$N$140, 133, FALSE)</f>
        <v>0.15702479338842976</v>
      </c>
      <c r="I6" s="9">
        <f>HLOOKUP(B6,'Yearly returns'!$B$1:$N$140, 138, FALSE)</f>
        <v>0.81899999999999995</v>
      </c>
      <c r="J6" s="183">
        <f t="shared" si="0"/>
        <v>7.5625</v>
      </c>
      <c r="K6" s="185">
        <f t="shared" si="1"/>
        <v>50</v>
      </c>
      <c r="L6" s="47">
        <f t="shared" si="2"/>
        <v>75</v>
      </c>
      <c r="M6" s="47">
        <f t="shared" si="3"/>
        <v>41.7</v>
      </c>
      <c r="N6" s="47">
        <f t="shared" si="4"/>
        <v>50</v>
      </c>
      <c r="P6">
        <f>L6*Assumption!$E$53 + M6*Assumption!$F$53 + N6*Assumption!$G$53</f>
        <v>54.174999999999997</v>
      </c>
      <c r="R6" cm="1">
        <f t="array" ref="R6">_xlfn.PERCENTRANK.EXC(_xlfn._xlws.FILTER(P$4:P$16, ISNUMBER(P$4:P$16)),P6)*100</f>
        <v>42.8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-0.18077803000000001</v>
      </c>
      <c r="E7" s="9">
        <f>HLOOKUP(B7,'Monthly Returns'!$A$1:$Q$134, 132, FALSE)</f>
        <v>0.15702479338842976</v>
      </c>
      <c r="H7" s="9">
        <f>HLOOKUP(B7,'Yearly returns'!$B$1:$N$140, 133, FALSE)</f>
        <v>0.21487603305785125</v>
      </c>
      <c r="I7" s="9">
        <f>HLOOKUP(B7,'Yearly returns'!$B$1:$N$140, 138, FALSE)</f>
        <v>0.754</v>
      </c>
      <c r="J7" s="183">
        <f t="shared" si="0"/>
        <v>6.3684210526315788</v>
      </c>
      <c r="K7" s="185">
        <f t="shared" si="1"/>
        <v>25</v>
      </c>
      <c r="L7" s="47">
        <f t="shared" si="2"/>
        <v>33.4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43.8</v>
      </c>
      <c r="R7" cm="1">
        <f t="array" ref="R7">_xlfn.PERCENTRANK.EXC(_xlfn._xlws.FILTER(P$4:P$16, ISNUMBER(P$4:P$16)),P7)*100</f>
        <v>28.499999999999996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-8.9490300000000009E-2</v>
      </c>
      <c r="E8" s="9">
        <f>HLOOKUP(B8,'Monthly Returns'!$A$1:$Q$134, 132, FALSE)</f>
        <v>9.9173553719008267E-2</v>
      </c>
      <c r="H8" s="9">
        <f>HLOOKUP(B8,'Yearly returns'!$B$1:$N$140, 133, FALSE)</f>
        <v>0.12396694214876033</v>
      </c>
      <c r="I8" s="9">
        <f>HLOOKUP(B8,'Yearly returns'!$B$1:$N$140, 138, FALSE)</f>
        <v>0.83599999999999997</v>
      </c>
      <c r="J8" s="183">
        <f t="shared" si="0"/>
        <v>10.083333333333334</v>
      </c>
      <c r="K8" s="185">
        <f t="shared" si="1"/>
        <v>91.600000000000009</v>
      </c>
      <c r="L8" s="47">
        <f t="shared" si="2"/>
        <v>91.7</v>
      </c>
      <c r="M8" s="47">
        <f t="shared" si="3"/>
        <v>58.400000000000006</v>
      </c>
      <c r="N8" s="47">
        <f t="shared" si="4"/>
        <v>33.4</v>
      </c>
      <c r="P8">
        <f>L8*Assumption!$E$53 + M8*Assumption!$F$53 + N8*Assumption!$G$53</f>
        <v>54.225000000000009</v>
      </c>
      <c r="R8" cm="1">
        <f t="array" ref="R8">_xlfn.PERCENTRANK.EXC(_xlfn._xlws.FILTER(P$4:P$16, ISNUMBER(P$4:P$16)),P8)*100</f>
        <v>57.099999999999994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-8.3792270000000002E-2</v>
      </c>
      <c r="E9" s="9">
        <f>HLOOKUP(B9,'Monthly Returns'!$A$1:$Q$134, 132, FALSE)</f>
        <v>0.13223140495867769</v>
      </c>
      <c r="H9" s="9">
        <f>HLOOKUP(B9,'Yearly returns'!$B$1:$N$140, 133, FALSE)</f>
        <v>7.43801652892562E-2</v>
      </c>
      <c r="I9" s="9">
        <f>HLOOKUP(B9,'Yearly returns'!$B$1:$N$140, 138, FALSE)</f>
        <v>0.52400000000000002</v>
      </c>
      <c r="J9" s="183">
        <f t="shared" si="0"/>
        <v>7.5625</v>
      </c>
      <c r="K9" s="185">
        <f t="shared" si="1"/>
        <v>50</v>
      </c>
      <c r="L9" s="47">
        <f t="shared" si="2"/>
        <v>75</v>
      </c>
      <c r="M9" s="47">
        <f t="shared" si="3"/>
        <v>91.7</v>
      </c>
      <c r="N9" s="47">
        <f t="shared" si="4"/>
        <v>91.7</v>
      </c>
      <c r="P9">
        <f>L9*Assumption!$E$53 + M9*Assumption!$F$53 + N9*Assumption!$G$53</f>
        <v>87.525000000000006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-0.18498294999999998</v>
      </c>
      <c r="E10" s="9">
        <f>HLOOKUP(B10,'Monthly Returns'!$A$1:$Q$134, 132, FALSE)</f>
        <v>0.10743801652892562</v>
      </c>
      <c r="H10" s="9">
        <f>HLOOKUP(B10,'Yearly returns'!$B$1:$N$140, 133, FALSE)</f>
        <v>0.18181818181818182</v>
      </c>
      <c r="I10" s="9">
        <f>HLOOKUP(B10,'Yearly returns'!$B$1:$N$140, 138, FALSE)</f>
        <v>0.86</v>
      </c>
      <c r="J10" s="183">
        <f t="shared" si="0"/>
        <v>9.3076923076923066</v>
      </c>
      <c r="K10" s="185">
        <f t="shared" si="1"/>
        <v>83.3</v>
      </c>
      <c r="L10" s="47">
        <f t="shared" si="2"/>
        <v>83.399999999999991</v>
      </c>
      <c r="M10" s="47">
        <f t="shared" si="3"/>
        <v>16.700000000000003</v>
      </c>
      <c r="N10" s="47">
        <f t="shared" si="4"/>
        <v>16.700000000000003</v>
      </c>
      <c r="P10">
        <f>L10*Assumption!$E$53 + M10*Assumption!$F$53 + N10*Assumption!$G$53</f>
        <v>33.375</v>
      </c>
      <c r="R10" cm="1">
        <f t="array" ref="R10">_xlfn.PERCENTRANK.EXC(_xlfn._xlws.FILTER(P$4:P$16, ISNUMBER(P$4:P$16)),P10)*100</f>
        <v>21.4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-0.13595742</v>
      </c>
      <c r="E11" s="9">
        <f>HLOOKUP(B11,'Monthly Returns'!$A$1:$Q$134, 132, FALSE)</f>
        <v>0.13223140495867769</v>
      </c>
      <c r="H11" s="9">
        <f>HLOOKUP(B11,'Yearly returns'!$B$1:$N$140, 133, FALSE)</f>
        <v>8.2644628099173556E-2</v>
      </c>
      <c r="I11" s="9">
        <f>HLOOKUP(B11,'Yearly returns'!$B$1:$N$140, 138, FALSE)</f>
        <v>0.72099999999999997</v>
      </c>
      <c r="J11" s="183">
        <f t="shared" si="0"/>
        <v>7.5625</v>
      </c>
      <c r="K11" s="185">
        <f t="shared" si="1"/>
        <v>50</v>
      </c>
      <c r="L11" s="47">
        <f t="shared" si="2"/>
        <v>75</v>
      </c>
      <c r="M11" s="47">
        <f t="shared" si="3"/>
        <v>83.399999999999991</v>
      </c>
      <c r="N11" s="47">
        <f t="shared" si="4"/>
        <v>75</v>
      </c>
      <c r="P11">
        <f>L11*Assumption!$E$53 + M11*Assumption!$F$53 + N11*Assumption!$G$53</f>
        <v>77.099999999999994</v>
      </c>
      <c r="R11" cm="1">
        <f t="array" ref="R11">_xlfn.PERCENTRANK.EXC(_xlfn._xlws.FILTER(P$4:P$16, ISNUMBER(P$4:P$16)),P11)*100</f>
        <v>85.7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-0.12464254999999999</v>
      </c>
      <c r="E12" s="9">
        <f>HLOOKUP(B12,'Monthly Returns'!$A$1:$Q$134, 132, FALSE)</f>
        <v>9.0909090909090912E-2</v>
      </c>
      <c r="H12" s="9">
        <f>HLOOKUP(B12,'Yearly returns'!$B$1:$N$140, 133, FALSE)</f>
        <v>4.1322314049586778E-2</v>
      </c>
      <c r="I12" s="9">
        <f>HLOOKUP(B12,'Yearly returns'!$B$1:$N$140, 138, FALSE)</f>
        <v>0.89300000000000002</v>
      </c>
      <c r="J12" s="183">
        <f t="shared" si="0"/>
        <v>11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35.699999999999996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-0.18976836999999999</v>
      </c>
      <c r="E13" s="9">
        <f>HLOOKUP(B13,'Monthly Returns'!$A$1:$Q$134, 132, FALSE)</f>
        <v>0.14049586776859505</v>
      </c>
      <c r="H13" s="9">
        <f>HLOOKUP(B13,'Yearly returns'!$B$1:$N$140, 133, FALSE)</f>
        <v>0.10743801652892562</v>
      </c>
      <c r="I13" s="9">
        <f>HLOOKUP(B13,'Yearly returns'!$B$1:$N$140, 138, FALSE)</f>
        <v>0.70399999999999996</v>
      </c>
      <c r="J13" s="183">
        <f t="shared" si="0"/>
        <v>7.117647058823529</v>
      </c>
      <c r="K13" s="185">
        <f t="shared" si="1"/>
        <v>41.6</v>
      </c>
      <c r="L13" s="47">
        <f t="shared" si="2"/>
        <v>41.7</v>
      </c>
      <c r="M13" s="47">
        <f t="shared" si="3"/>
        <v>75</v>
      </c>
      <c r="N13" s="47">
        <f t="shared" si="4"/>
        <v>83.399999999999991</v>
      </c>
      <c r="P13">
        <f>L13*Assumption!$E$53 + M13*Assumption!$F$53 + N13*Assumption!$G$53</f>
        <v>70.875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-0.14618926999999998</v>
      </c>
      <c r="E14" s="9">
        <f>HLOOKUP(B14,'Monthly Returns'!$A$1:$Q$134, 132, FALSE)</f>
        <v>0.15702479338842976</v>
      </c>
      <c r="H14" s="9">
        <f>HLOOKUP(B14,'Yearly returns'!$B$1:$N$140, 133, FALSE)</f>
        <v>0.10743801652892562</v>
      </c>
      <c r="I14" s="9">
        <f>HLOOKUP(B14,'Yearly returns'!$B$1:$N$140, 138, FALSE)</f>
        <v>0.78600000000000003</v>
      </c>
      <c r="J14" s="183">
        <f t="shared" si="0"/>
        <v>6.3684210526315788</v>
      </c>
      <c r="K14" s="185">
        <f t="shared" si="1"/>
        <v>25</v>
      </c>
      <c r="L14" s="47">
        <f t="shared" si="2"/>
        <v>33.4</v>
      </c>
      <c r="M14" s="47">
        <f t="shared" si="3"/>
        <v>75</v>
      </c>
      <c r="N14" s="47">
        <f t="shared" si="4"/>
        <v>58.400000000000006</v>
      </c>
      <c r="P14">
        <f>L14*Assumption!$E$53 + M14*Assumption!$F$53 + N14*Assumption!$G$53</f>
        <v>56.300000000000004</v>
      </c>
      <c r="R14" cm="1">
        <f t="array" ref="R14">_xlfn.PERCENTRANK.EXC(_xlfn._xlws.FILTER(P$4:P$16, ISNUMBER(P$4:P$16)),P14)*100</f>
        <v>64.2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-0.15766949</v>
      </c>
      <c r="E15" s="9">
        <f>HLOOKUP(B15,'Monthly Returns'!$A$1:$Q$134, 132, FALSE)</f>
        <v>0.16528925619834711</v>
      </c>
      <c r="H15" s="9">
        <f>HLOOKUP(B15,'Yearly returns'!$B$1:$N$140, 133, FALSE)</f>
        <v>0.15702479338842976</v>
      </c>
      <c r="I15" s="9">
        <f>HLOOKUP(B15,'Yearly returns'!$B$1:$N$140, 138, FALSE)</f>
        <v>0.86799999999999999</v>
      </c>
      <c r="J15" s="183">
        <f t="shared" si="0"/>
        <v>6.05</v>
      </c>
      <c r="K15" s="185">
        <f t="shared" si="1"/>
        <v>16.600000000000001</v>
      </c>
      <c r="L15" s="47">
        <f t="shared" si="2"/>
        <v>16.700000000000003</v>
      </c>
      <c r="M15" s="47">
        <f t="shared" si="3"/>
        <v>41.7</v>
      </c>
      <c r="N15" s="47">
        <f t="shared" si="4"/>
        <v>8.3999999999999968</v>
      </c>
      <c r="P15">
        <f>L15*Assumption!$E$53 + M15*Assumption!$F$53 + N15*Assumption!$G$53</f>
        <v>18.8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-0.23751830999999998</v>
      </c>
      <c r="E16" s="9">
        <f>HLOOKUP(B16,'Monthly Returns'!$A$1:$Q$134, 132, FALSE)</f>
        <v>0.19008264462809918</v>
      </c>
      <c r="H16" s="9">
        <f>HLOOKUP(B16,'Yearly returns'!$B$1:$N$140, 133, FALSE)</f>
        <v>0.31404958677685951</v>
      </c>
      <c r="I16" s="9">
        <f>HLOOKUP(B16,'Yearly returns'!$B$1:$N$140, 138, FALSE)</f>
        <v>0.85199999999999998</v>
      </c>
      <c r="J16" s="183">
        <f t="shared" si="0"/>
        <v>5.2608695652173916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25</v>
      </c>
      <c r="P16">
        <f>L16*Assumption!$E$53 + M16*Assumption!$F$53 + N16*Assumption!$G$53</f>
        <v>12.5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0.79500000000000004</v>
      </c>
      <c r="G5" s="141" cm="1">
        <f t="array" ref="G5">_xll.FDSZ(C5,"FG_PRICE(0)")</f>
        <v>46.65</v>
      </c>
      <c r="H5" s="141" cm="1">
        <f t="array" ref="H5">_xll.FDSZ(C5,"FG_PRICE_MAVG(0,,,,30)")</f>
        <v>45.009</v>
      </c>
      <c r="I5" s="141" cm="1">
        <f t="array" ref="I5">_xll.FDSZ(C5,"FG_PRICE_MAVG(0,,,,60)")</f>
        <v>45.146796999999999</v>
      </c>
      <c r="J5" s="141" cm="1">
        <f t="array" ref="J5">_xll.FDSZ(C5,"FG_PRICE_MAVG(0,,,,200)")</f>
        <v>45.299137000000002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394.24200000000002</v>
      </c>
      <c r="T5" s="7" cm="1">
        <f t="array" ref="T5">_xll.FDSZ($R5,"FG_PRICE(0)")</f>
        <v>394.24200000000002</v>
      </c>
      <c r="U5" s="7" cm="1">
        <f t="array" ref="U5">_xll.FDSZ($R5,"FG_PRICE(0)")</f>
        <v>394.24200000000002</v>
      </c>
      <c r="V5" s="7" cm="1">
        <f t="array" ref="V5">_xll.FDSZ($R5,"FG_PRICE(0)")</f>
        <v>394.24200000000002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0.85199999999999998</v>
      </c>
      <c r="G6" s="141" cm="1">
        <f t="array" ref="G6">_xll.FDSZ(C6,"FG_PRICE(0)")</f>
        <v>24.65</v>
      </c>
      <c r="H6" s="141" cm="1">
        <f t="array" ref="H6">_xll.FDSZ(C6,"FG_PRICE_MAVG(0,,,,30)")</f>
        <v>24.319334000000001</v>
      </c>
      <c r="I6" s="141" cm="1">
        <f t="array" ref="I6">_xll.FDSZ(C6,"FG_PRICE_MAVG(0,,,,60)")</f>
        <v>24.307500000000001</v>
      </c>
      <c r="J6" s="141" cm="1">
        <f t="array" ref="J6">_xll.FDSZ(C6,"FG_PRICE_MAVG(0,,,,200)")</f>
        <v>23.084250000000001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359.00585999999998</v>
      </c>
      <c r="T6" s="7" cm="1">
        <f t="array" ref="T6">_xll.FDSZ($R6,"FG_PRICE(0)")</f>
        <v>359.00585999999998</v>
      </c>
      <c r="U6" s="7" cm="1">
        <f t="array" ref="U6">_xll.FDSZ($R6,"FG_PRICE(0)")</f>
        <v>359.00585999999998</v>
      </c>
      <c r="V6" s="7" cm="1">
        <f t="array" ref="V6">_xll.FDSZ($R6,"FG_PRICE(0)")</f>
        <v>359.00585999999998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0.73699999999999999</v>
      </c>
      <c r="G7" s="141" cm="1">
        <f t="array" ref="G7">_xll.FDSZ(C7,"FG_PRICE(0)")</f>
        <v>38.26</v>
      </c>
      <c r="H7" s="141" cm="1">
        <f t="array" ref="H7">_xll.FDSZ(C7,"FG_PRICE_MAVG(0,,,,30)")</f>
        <v>37.861331999999997</v>
      </c>
      <c r="I7" s="141" cm="1">
        <f t="array" ref="I7">_xll.FDSZ(C7,"FG_PRICE_MAVG(0,,,,60)")</f>
        <v>37.827330000000003</v>
      </c>
      <c r="J7" s="141" cm="1">
        <f t="array" ref="J7">_xll.FDSZ(C7,"FG_PRICE_MAVG(0,,,,200)")</f>
        <v>35.748150000000003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293.96242999999998</v>
      </c>
      <c r="T7" s="7" cm="1">
        <f t="array" ref="T7">_xll.FDSZ($R7,"FG_PRICE(0)")</f>
        <v>293.96242999999998</v>
      </c>
      <c r="U7" s="7" cm="1">
        <f t="array" ref="U7">_xll.FDSZ($R7,"FG_PRICE(0)")</f>
        <v>293.96242999999998</v>
      </c>
      <c r="V7" s="7" cm="1">
        <f t="array" ref="V7">_xll.FDSZ($R7,"FG_PRICE(0)")</f>
        <v>293.96242999999998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0.80300000000000005</v>
      </c>
      <c r="G8" s="141" cm="1">
        <f t="array" ref="G8">_xll.FDSZ(C8,"FG_PRICE(0)")</f>
        <v>32.06</v>
      </c>
      <c r="H8" s="141" cm="1">
        <f t="array" ref="H8">_xll.FDSZ(C8,"FG_PRICE_MAVG(0,,,,30)")</f>
        <v>31.562999999999999</v>
      </c>
      <c r="I8" s="141" cm="1">
        <f t="array" ref="I8">_xll.FDSZ(C8,"FG_PRICE_MAVG(0,,,,60)")</f>
        <v>31.349833</v>
      </c>
      <c r="J8" s="141" cm="1">
        <f t="array" ref="J8">_xll.FDSZ(C8,"FG_PRICE_MAVG(0,,,,200)")</f>
        <v>28.979900000000001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9.6415369999999996</v>
      </c>
      <c r="T8" s="7" cm="1">
        <f t="array" ref="T8">_xll.FDSZ($R8,"FG_PRICE(0)")</f>
        <v>9.6415369999999996</v>
      </c>
      <c r="U8" s="7" cm="1">
        <f t="array" ref="U8">_xll.FDSZ($R8,"FG_PRICE(0)")</f>
        <v>9.6415369999999996</v>
      </c>
      <c r="V8" s="7" cm="1">
        <f t="array" ref="V8">_xll.FDSZ($R8,"FG_PRICE(0)")</f>
        <v>9.6415369999999996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0.72099999999999997</v>
      </c>
      <c r="G9" s="141" cm="1">
        <f t="array" ref="G9">_xll.FDSZ(C9,"FG_PRICE(0)")</f>
        <v>68.97</v>
      </c>
      <c r="H9" s="141" cm="1">
        <f t="array" ref="H9">_xll.FDSZ(C9,"FG_PRICE_MAVG(0,,,,30)")</f>
        <v>68.082999999999998</v>
      </c>
      <c r="I9" s="141" cm="1">
        <f t="array" ref="I9">_xll.FDSZ(C9,"FG_PRICE_MAVG(0,,,,60)")</f>
        <v>69.072670000000002</v>
      </c>
      <c r="J9" s="141" cm="1">
        <f t="array" ref="J9">_xll.FDSZ(C9,"FG_PRICE_MAVG(0,,,,200)")</f>
        <v>64.810950000000005</v>
      </c>
      <c r="L9">
        <f t="shared" si="0"/>
        <v>1</v>
      </c>
      <c r="M9">
        <f t="shared" si="1"/>
        <v>0</v>
      </c>
      <c r="N9">
        <f t="shared" si="2"/>
        <v>1</v>
      </c>
      <c r="P9">
        <f t="shared" si="3"/>
        <v>2</v>
      </c>
      <c r="R9" t="s">
        <v>842</v>
      </c>
      <c r="S9" s="7" cm="1">
        <f t="array" ref="S9">_xll.FDSZ($R9,"FG_PRICE(0)")</f>
        <v>172.84568999999999</v>
      </c>
      <c r="T9" s="7" cm="1">
        <f t="array" ref="T9">_xll.FDSZ($R9,"FG_PRICE(0)")</f>
        <v>172.84568999999999</v>
      </c>
      <c r="U9" s="7" cm="1">
        <f t="array" ref="U9">_xll.FDSZ($R9,"FG_PRICE(0)")</f>
        <v>172.84568999999999</v>
      </c>
      <c r="V9" s="7" cm="1">
        <f t="array" ref="V9">_xll.FDSZ($R9,"FG_PRICE(0)")</f>
        <v>172.84568999999999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0.97499999999999998</v>
      </c>
      <c r="G10" s="141" cm="1">
        <f t="array" ref="G10">_xll.FDSZ(C10,"FG_PRICE(0)")</f>
        <v>49.16</v>
      </c>
      <c r="H10" s="141" cm="1">
        <f t="array" ref="H10">_xll.FDSZ(C10,"FG_PRICE_MAVG(0,,,,30)")</f>
        <v>47.300334999999997</v>
      </c>
      <c r="I10" s="141" cm="1">
        <f t="array" ref="I10">_xll.FDSZ(C10,"FG_PRICE_MAVG(0,,,,60)")</f>
        <v>47.207165000000003</v>
      </c>
      <c r="J10" s="141" cm="1">
        <f t="array" ref="J10">_xll.FDSZ(C10,"FG_PRICE_MAVG(0,,,,200)")</f>
        <v>46.034750000000003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328.89319999999998</v>
      </c>
      <c r="T10" s="7" cm="1">
        <f t="array" ref="T10">_xll.FDSZ($R10,"FG_PRICE(0)")</f>
        <v>328.89319999999998</v>
      </c>
      <c r="U10" s="7" cm="1">
        <f t="array" ref="U10">_xll.FDSZ($R10,"FG_PRICE(0)")</f>
        <v>328.89319999999998</v>
      </c>
      <c r="V10" s="7" cm="1">
        <f t="array" ref="V10">_xll.FDSZ($R10,"FG_PRICE(0)")</f>
        <v>328.89319999999998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0.86799999999999999</v>
      </c>
      <c r="G11" s="141" cm="1">
        <f t="array" ref="G11">_xll.FDSZ(C11,"FG_PRICE(0)")</f>
        <v>36.32</v>
      </c>
      <c r="H11" s="141" cm="1">
        <f t="array" ref="H11">_xll.FDSZ(C11,"FG_PRICE_MAVG(0,,,,30)")</f>
        <v>35.604331999999999</v>
      </c>
      <c r="I11" s="141" cm="1">
        <f t="array" ref="I11">_xll.FDSZ(C11,"FG_PRICE_MAVG(0,,,,60)")</f>
        <v>34.691166000000003</v>
      </c>
      <c r="J11" s="141" cm="1">
        <f t="array" ref="J11">_xll.FDSZ(C11,"FG_PRICE_MAVG(0,,,,200)")</f>
        <v>32.872450000000001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129.11266000000001</v>
      </c>
      <c r="T11" s="7" cm="1">
        <f t="array" ref="T11">_xll.FDSZ($R11,"FG_PRICE(0)")</f>
        <v>129.11266000000001</v>
      </c>
      <c r="U11" s="7" cm="1">
        <f t="array" ref="U11">_xll.FDSZ($R11,"FG_PRICE(0)")</f>
        <v>129.11266000000001</v>
      </c>
      <c r="V11" s="7" cm="1">
        <f t="array" ref="V11">_xll.FDSZ($R11,"FG_PRICE(0)")</f>
        <v>129.11266000000001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0.81899999999999995</v>
      </c>
      <c r="G12" s="141" cm="1">
        <f t="array" ref="G12">_xll.FDSZ(C12,"FG_PRICE(0)")</f>
        <v>450.71</v>
      </c>
      <c r="H12" s="141" cm="1">
        <f t="array" ref="H12">_xll.FDSZ(C12,"FG_PRICE_MAVG(0,,,,30)")</f>
        <v>440.91699999999997</v>
      </c>
      <c r="I12" s="141" cm="1">
        <f t="array" ref="I12">_xll.FDSZ(C12,"FG_PRICE_MAVG(0,,,,60)")</f>
        <v>440.25916000000001</v>
      </c>
      <c r="J12" s="141" cm="1">
        <f t="array" ref="J12">_xll.FDSZ(C12,"FG_PRICE_MAVG(0,,,,200)")</f>
        <v>405.83794999999998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395.78519999999997</v>
      </c>
      <c r="T12" s="7" cm="1">
        <f t="array" ref="T12">_xll.FDSZ($R12,"FG_PRICE(0)")</f>
        <v>395.78519999999997</v>
      </c>
      <c r="U12" s="7" cm="1">
        <f t="array" ref="U12">_xll.FDSZ($R12,"FG_PRICE(0)")</f>
        <v>395.78519999999997</v>
      </c>
      <c r="V12" s="7" cm="1">
        <f t="array" ref="V12">_xll.FDSZ($R12,"FG_PRICE(0)")</f>
        <v>395.78519999999997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0.83599999999999997</v>
      </c>
      <c r="G13" s="141" cm="1">
        <f t="array" ref="G13">_xll.FDSZ(C13,"FG_PRICE(0)")</f>
        <v>527.37</v>
      </c>
      <c r="H13" s="141" cm="1">
        <f t="array" ref="H13">_xll.FDSZ(C13,"FG_PRICE_MAVG(0,,,,30)")</f>
        <v>517.43269999999995</v>
      </c>
      <c r="I13" s="141" cm="1">
        <f t="array" ref="I13">_xll.FDSZ(C13,"FG_PRICE_MAVG(0,,,,60)")</f>
        <v>516.27620000000002</v>
      </c>
      <c r="J13" s="141" cm="1">
        <f t="array" ref="J13">_xll.FDSZ(C13,"FG_PRICE_MAVG(0,,,,200)")</f>
        <v>476.1936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395.78519999999997</v>
      </c>
      <c r="T13" s="7" cm="1">
        <f t="array" ref="T13">_xll.FDSZ($R13,"FG_PRICE(0)")</f>
        <v>395.78519999999997</v>
      </c>
      <c r="U13" s="7" cm="1">
        <f t="array" ref="U13">_xll.FDSZ($R13,"FG_PRICE(0)")</f>
        <v>395.78519999999997</v>
      </c>
      <c r="V13" s="7" cm="1">
        <f t="array" ref="V13">_xll.FDSZ($R13,"FG_PRICE(0)")</f>
        <v>395.78519999999997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0.72899999999999998</v>
      </c>
      <c r="G14" s="141" cm="1">
        <f t="array" ref="G14">_xll.FDSZ(C14,"FG_PRICE(0)")</f>
        <v>41.7</v>
      </c>
      <c r="H14" s="141" cm="1">
        <f t="array" ref="H14">_xll.FDSZ(C14,"FG_PRICE_MAVG(0,,,,30)")</f>
        <v>41.292000000000002</v>
      </c>
      <c r="I14" s="141" cm="1">
        <f t="array" ref="I14">_xll.FDSZ(C14,"FG_PRICE_MAVG(0,,,,60)")</f>
        <v>41.100499999999997</v>
      </c>
      <c r="J14" s="141" cm="1">
        <f t="array" ref="J14">_xll.FDSZ(C14,"FG_PRICE_MAVG(0,,,,200)")</f>
        <v>38.497326000000001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395.78519999999997</v>
      </c>
      <c r="T14" s="7" cm="1">
        <f t="array" ref="T14">_xll.FDSZ($R14,"FG_PRICE(0)")</f>
        <v>395.78519999999997</v>
      </c>
      <c r="U14" s="7" cm="1">
        <f t="array" ref="U14">_xll.FDSZ($R14,"FG_PRICE(0)")</f>
        <v>395.78519999999997</v>
      </c>
      <c r="V14" s="7" cm="1">
        <f t="array" ref="V14">_xll.FDSZ($R14,"FG_PRICE(0)")</f>
        <v>395.78519999999997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0.91800000000000004</v>
      </c>
      <c r="G15" s="141" cm="1">
        <f t="array" ref="G15">_xll.FDSZ(C15,"FG_PRICE(0)")</f>
        <v>51.19</v>
      </c>
      <c r="H15" s="141" cm="1">
        <f t="array" ref="H15">_xll.FDSZ(C15,"FG_PRICE_MAVG(0,,,,30)")</f>
        <v>49.965331999999997</v>
      </c>
      <c r="I15" s="141" cm="1">
        <f t="array" ref="I15">_xll.FDSZ(C15,"FG_PRICE_MAVG(0,,,,60)")</f>
        <v>49.468165999999997</v>
      </c>
      <c r="J15" s="141" cm="1">
        <f t="array" ref="J15">_xll.FDSZ(C15,"FG_PRICE_MAVG(0,,,,200)")</f>
        <v>44.295203999999998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395.78519999999997</v>
      </c>
      <c r="T15" s="7" cm="1">
        <f t="array" ref="T15">_xll.FDSZ($R15,"FG_PRICE(0)")</f>
        <v>395.78519999999997</v>
      </c>
      <c r="U15" s="7" cm="1">
        <f t="array" ref="U15">_xll.FDSZ($R15,"FG_PRICE(0)")</f>
        <v>395.78519999999997</v>
      </c>
      <c r="V15" s="7" cm="1">
        <f t="array" ref="V15">_xll.FDSZ($R15,"FG_PRICE(0)")</f>
        <v>395.78519999999997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0.94199999999999995</v>
      </c>
      <c r="G16" s="141" cm="1">
        <f t="array" ref="G16">_xll.FDSZ(C16,"FG_PRICE(0)")</f>
        <v>41.93</v>
      </c>
      <c r="H16" s="141" cm="1">
        <f t="array" ref="H16">_xll.FDSZ(C16,"FG_PRICE_MAVG(0,,,,30)")</f>
        <v>40.291831999999999</v>
      </c>
      <c r="I16" s="141" cm="1">
        <f t="array" ref="I16">_xll.FDSZ(C16,"FG_PRICE_MAVG(0,,,,60)")</f>
        <v>40.205916999999999</v>
      </c>
      <c r="J16" s="141" cm="1">
        <f t="array" ref="J16">_xll.FDSZ(C16,"FG_PRICE_MAVG(0,,,,200)")</f>
        <v>36.883499999999998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395.78519999999997</v>
      </c>
      <c r="T16" s="7" cm="1">
        <f t="array" ref="T16">_xll.FDSZ($R16,"FG_PRICE(0)")</f>
        <v>395.78519999999997</v>
      </c>
      <c r="U16" s="7" cm="1">
        <f t="array" ref="U16">_xll.FDSZ($R16,"FG_PRICE(0)")</f>
        <v>395.78519999999997</v>
      </c>
      <c r="V16" s="7" cm="1">
        <f t="array" ref="V16">_xll.FDSZ($R16,"FG_PRICE(0)")</f>
        <v>395.78519999999997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0.86</v>
      </c>
      <c r="G17" s="141" cm="1">
        <f t="array" ref="G17">_xll.FDSZ(C17,"FG_PRICE(0)")</f>
        <v>38.83</v>
      </c>
      <c r="H17" s="141" cm="1">
        <f t="array" ref="H17">_xll.FDSZ(C17,"FG_PRICE_MAVG(0,,,,30)")</f>
        <v>37.920665999999997</v>
      </c>
      <c r="I17" s="141" cm="1">
        <f t="array" ref="I17">_xll.FDSZ(C17,"FG_PRICE_MAVG(0,,,,60)")</f>
        <v>37.478000000000002</v>
      </c>
      <c r="J17" s="141" cm="1">
        <f t="array" ref="J17">_xll.FDSZ(C17,"FG_PRICE_MAVG(0,,,,200)")</f>
        <v>33.943249999999999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395.78519999999997</v>
      </c>
      <c r="T17" s="7" cm="1">
        <f t="array" ref="T17">_xll.FDSZ($R17,"FG_PRICE(0)")</f>
        <v>395.78519999999997</v>
      </c>
      <c r="U17" s="7" cm="1">
        <f t="array" ref="U17">_xll.FDSZ($R17,"FG_PRICE(0)")</f>
        <v>395.78519999999997</v>
      </c>
      <c r="V17" s="7" cm="1">
        <f t="array" ref="V17">_xll.FDSZ($R17,"FG_PRICE(0)")</f>
        <v>395.78519999999997</v>
      </c>
    </row>
    <row r="19" spans="1:22" x14ac:dyDescent="0.35">
      <c r="K19" s="1" t="s">
        <v>906</v>
      </c>
      <c r="L19" s="1">
        <f>SUM(L5:L17)</f>
        <v>13</v>
      </c>
      <c r="M19" s="1">
        <f t="shared" ref="M19:N19" si="4">SUM(M5:M17)</f>
        <v>12</v>
      </c>
      <c r="N19" s="1">
        <f t="shared" si="4"/>
        <v>13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1</v>
      </c>
      <c r="M22" s="182">
        <f t="shared" ref="M22:N22" si="6">M19/M20</f>
        <v>0.92307692307692313</v>
      </c>
      <c r="N22" s="182">
        <f t="shared" si="6"/>
        <v>1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117.62</v>
      </c>
      <c r="D3" cm="1">
        <f t="array" ref="D3">_xll.FDS($A3,"FG_PRICE_MAVG(0,,,,30)")</f>
        <v>115.35433</v>
      </c>
      <c r="E3" s="47" cm="1">
        <f t="array" ref="E3">_xll.FDS($A3,"FG_PRICE_CHANGE(0,-1AM)")</f>
        <v>6.0499504102425403</v>
      </c>
      <c r="F3" s="47" cm="1">
        <f t="array" ref="F3">_xll.FDS($A3,"FG_PRICE_CHANGE(0,-3AM)")</f>
        <v>-5.7984943136312603</v>
      </c>
      <c r="G3" s="47" cm="1">
        <f t="array" ref="G3">_xll.FDS($A3,"FG_PRICE_CHANGE(0,-6AM)")</f>
        <v>-9.8420971945423901</v>
      </c>
      <c r="H3" s="47" cm="1">
        <f t="array" ref="H3">_xll.FDS($A3,"FG_PRICE_CHANGE(0,-1AY)")</f>
        <v>11.9444180070429</v>
      </c>
      <c r="I3" s="47" cm="1">
        <f t="array" ref="I3">_xll.FDS($A3,"FG_PRICE(0)/MAX(FG_PRICE(0,-1AY))")</f>
        <v>0.81589900110987801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4.6100000000000003</v>
      </c>
      <c r="D4" cm="1">
        <f t="array" ref="D4">_xll.FDS($A4,"FG_PRICE_MAVG(0,,,,30)")</f>
        <v>4.7124834</v>
      </c>
      <c r="E4" s="47" cm="1">
        <f t="array" ref="E4">_xll.FDS($A4,"FG_PRICE_CHANGE(0,-1AM)")</f>
        <v>0.99682331032973104</v>
      </c>
      <c r="F4" s="47" cm="1">
        <f t="array" ref="F4">_xll.FDS($A4,"FG_PRICE_CHANGE(0,-3AM)")</f>
        <v>20.224279567088299</v>
      </c>
      <c r="G4" s="47" cm="1">
        <f t="array" ref="G4">_xll.FDS($A4,"FG_PRICE_CHANGE(0,-6AM)")</f>
        <v>20.396970488378201</v>
      </c>
      <c r="H4" s="47" cm="1">
        <f t="array" ref="H4">_xll.FDS($A4,"FG_PRICE_CHANGE(0,-1AY)")</f>
        <v>26.9622693472873</v>
      </c>
      <c r="I4" s="47" cm="1">
        <f t="array" ref="I4">_xll.FDS($A4,"FG_PRICE(0)/MAX(FG_PRICE(0,-1AY))")</f>
        <v>0.90056651689783196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17.713188922402001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6.7850000000000001</v>
      </c>
      <c r="D6" cm="1">
        <f t="array" ref="D6">_xll.FDS($A6,"FG_PRICE_MAVG(0,,,,30)")</f>
        <v>6.3759164999999998</v>
      </c>
      <c r="E6" s="47" cm="1">
        <f t="array" ref="E6">_xll.FDS($A6,"FG_PRICE_CHANGE(0,-1AM)")</f>
        <v>15.982905982906001</v>
      </c>
      <c r="F6" s="47" cm="1">
        <f t="array" ref="F6">_xll.FDS($A6,"FG_PRICE_CHANGE(0,-3AM)")</f>
        <v>17.4891774891775</v>
      </c>
      <c r="G6" s="47" cm="1">
        <f t="array" ref="G6">_xll.FDS($A6,"FG_PRICE_CHANGE(0,-6AM)")</f>
        <v>18.982902235861498</v>
      </c>
      <c r="H6" s="47" cm="1">
        <f t="array" ref="H6">_xll.FDS($A6,"FG_PRICE_CHANGE(0,-1AY)")</f>
        <v>14.177534707614599</v>
      </c>
      <c r="I6" s="47" cm="1">
        <f t="array" ref="I6">_xll.FDS($A6,"FG_PRICE(0)/MAX(FG_PRICE(0,-1AY))")</f>
        <v>0.89246958237421903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4069</v>
      </c>
      <c r="D7" cm="1">
        <f t="array" ref="D7">_xll.FDS($A7,"FG_PRICE_MAVG(0,,,,30)")</f>
        <v>3925.3332999999998</v>
      </c>
      <c r="E7" s="47" cm="1">
        <f t="array" ref="E7">_xll.FDS($A7,"FG_PRICE_CHANGE(0,-1AM)")</f>
        <v>5.3599171413775304</v>
      </c>
      <c r="F7" s="47" cm="1">
        <f t="array" ref="F7">_xll.FDS($A7,"FG_PRICE_CHANGE(0,-3AM)")</f>
        <v>1.0931677018633601</v>
      </c>
      <c r="G7" s="47" cm="1">
        <f t="array" ref="G7">_xll.FDS($A7,"FG_PRICE_CHANGE(0,-6AM)")</f>
        <v>8.3910495471497093</v>
      </c>
      <c r="H7" s="47" cm="1">
        <f t="array" ref="H7">_xll.FDS($A7,"FG_PRICE_CHANGE(0,-1AY)")</f>
        <v>25.007680491551501</v>
      </c>
      <c r="I7" s="47" cm="1">
        <f t="array" ref="I7">_xll.FDS($A7,"FG_PRICE(0)/MAX(FG_PRICE(0,-1AY))")</f>
        <v>0.88862196986241504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1035</v>
      </c>
      <c r="D8" cm="1">
        <f t="array" ref="D8">_xll.FDS($A8,"FG_PRICE_MAVG(0,,,,30)")</f>
        <v>994.03330000000005</v>
      </c>
      <c r="E8" s="47" cm="1">
        <f t="array" ref="E8">_xll.FDS($A8,"FG_PRICE_CHANGE(0,-1AM)")</f>
        <v>9.6398305084745708</v>
      </c>
      <c r="F8" s="47" cm="1">
        <f t="array" ref="F8">_xll.FDS($A8,"FG_PRICE_CHANGE(0,-3AM)")</f>
        <v>15.6424581005587</v>
      </c>
      <c r="G8" s="47" cm="1">
        <f t="array" ref="G8">_xll.FDS($A8,"FG_PRICE_CHANGE(0,-6AM)")</f>
        <v>9.7560975609756202</v>
      </c>
      <c r="H8" s="47" cm="1">
        <f t="array" ref="H8">_xll.FDS($A8,"FG_PRICE_CHANGE(0,-1AY)")</f>
        <v>2.4752475247524801</v>
      </c>
      <c r="I8" s="47" cm="1">
        <f t="array" ref="I8">_xll.FDS($A8,"FG_PRICE(0)/MAX(FG_PRICE(0,-1AY))")</f>
        <v>0.96819457436856904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19830</v>
      </c>
      <c r="D9" cm="1">
        <f t="array" ref="D9">_xll.FDS($A9,"FG_PRICE_MAVG(0,,,,30)")</f>
        <v>19354.5</v>
      </c>
      <c r="E9" s="47" cm="1">
        <f t="array" ref="E9">_xll.FDS($A9,"FG_PRICE_CHANGE(0,-1AM)")</f>
        <v>4.5059288537549396</v>
      </c>
      <c r="F9" s="47" cm="1">
        <f t="array" ref="F9">_xll.FDS($A9,"FG_PRICE_CHANGE(0,-3AM)")</f>
        <v>13.7367364496702</v>
      </c>
      <c r="G9" s="47" cm="1">
        <f t="array" ref="G9">_xll.FDS($A9,"FG_PRICE_CHANGE(0,-6AM)")</f>
        <v>21.3957759412305</v>
      </c>
      <c r="H9" s="47" cm="1">
        <f t="array" ref="H9">_xll.FDS($A9,"FG_PRICE_CHANGE(0,-1AY)")</f>
        <v>-3.0317848410757899</v>
      </c>
      <c r="I9" s="47" cm="1">
        <f t="array" ref="I9">_xll.FDS($A9,"FG_PRICE(0)/MAX(FG_PRICE(0,-1AY))")</f>
        <v>0.85695764909248096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960</v>
      </c>
      <c r="D10" cm="1">
        <f t="array" ref="D10">_xll.FDS($A10,"FG_PRICE_MAVG(0,,,,30)")</f>
        <v>989.56664999999998</v>
      </c>
      <c r="E10" s="47" cm="1">
        <f t="array" ref="E10">_xll.FDS($A10,"FG_PRICE_CHANGE(0,-1AM)")</f>
        <v>0.52356020942407899</v>
      </c>
      <c r="F10" s="47" cm="1">
        <f t="array" ref="F10">_xll.FDS($A10,"FG_PRICE_CHANGE(0,-3AM)")</f>
        <v>-0.51813471502590902</v>
      </c>
      <c r="G10" s="47" cm="1">
        <f t="array" ref="G10">_xll.FDS($A10,"FG_PRICE_CHANGE(0,-6AM)")</f>
        <v>-7.6923076923076898</v>
      </c>
      <c r="H10" s="47" cm="1">
        <f t="array" ref="H10">_xll.FDS($A10,"FG_PRICE_CHANGE(0,-1AY)")</f>
        <v>-31.428571428571399</v>
      </c>
      <c r="I10" s="47" cm="1">
        <f t="array" ref="I10">_xll.FDS($A10,"FG_PRICE(0)/MAX(FG_PRICE(0,-1AY))")</f>
        <v>0.67132867132867102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541.70000000000005</v>
      </c>
      <c r="D11" cm="1">
        <f t="array" ref="D11">_xll.FDS($A11,"FG_PRICE_MAVG(0,,,,30)")</f>
        <v>558.58669999999995</v>
      </c>
      <c r="E11" s="47" cm="1">
        <f t="array" ref="E11">_xll.FDS($A11,"FG_PRICE_CHANGE(0,-1AM)")</f>
        <v>-4.8480590198489297</v>
      </c>
      <c r="F11" s="47" cm="1">
        <f t="array" ref="F11">_xll.FDS($A11,"FG_PRICE_CHANGE(0,-3AM)")</f>
        <v>-11.9330190212973</v>
      </c>
      <c r="G11" s="47" cm="1">
        <f t="array" ref="G11">_xll.FDS($A11,"FG_PRICE_CHANGE(0,-6AM)")</f>
        <v>-24.459629061497701</v>
      </c>
      <c r="H11" s="47" cm="1">
        <f t="array" ref="H11">_xll.FDS($A11,"FG_PRICE_CHANGE(0,-1AY)")</f>
        <v>-22.1807211607528</v>
      </c>
      <c r="I11" s="47" cm="1">
        <f t="array" ref="I11">_xll.FDS($A11,"FG_PRICE(0)/MAX(FG_PRICE(0,-1AY))")</f>
        <v>0.709588682211161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0.96178805999999994</v>
      </c>
      <c r="D12" cm="1">
        <f t="array" ref="D12">_xll.FDS($A12,"FG_PRICE_MAVG(0,,,,30)")</f>
        <v>0.96639573999999995</v>
      </c>
      <c r="E12" s="47" cm="1">
        <f t="array" ref="E12">_xll.FDS($A12,"FG_PRICE_CHANGE(0,-1AM)")</f>
        <v>-0.846591752577319</v>
      </c>
      <c r="F12" s="47" cm="1">
        <f t="array" ref="F12">_xll.FDS($A12,"FG_PRICE_CHANGE(0,-3AM)")</f>
        <v>-0.75850623043727206</v>
      </c>
      <c r="G12" s="47" cm="1">
        <f t="array" ref="G12">_xll.FDS($A12,"FG_PRICE_CHANGE(0,-6AM)")</f>
        <v>-4.7734594059406099</v>
      </c>
      <c r="H12" s="47" cm="1">
        <f t="array" ref="H12">_xll.FDS($A12,"FG_PRICE_CHANGE(0,-1AY)")</f>
        <v>-5.7711655011198397</v>
      </c>
      <c r="I12" s="47" cm="1">
        <f t="array" ref="I12">_xll.FDS($A12,"FG_PRICE(0)/MAX(FG_PRICE(0,-1AY))")</f>
        <v>0.92479621153846103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41789</v>
      </c>
      <c r="B2" s="3" cm="1">
        <f t="array" ref="B2:B122">_xll.FDS(B1,"FMA_PE(LTMA,-10AY,0,AM,""PORTAGG"",""MEANR"")")</f>
        <v>17.975301084712498</v>
      </c>
      <c r="C2" s="3" cm="1">
        <f t="array" ref="C2:C122">_xll.FDS(C1,"FMA_PE(LTMA,-10AY,0,AM,""PORTAGG"",""MEANR"")")</f>
        <v>15.1855028620529</v>
      </c>
      <c r="D2" s="3" cm="1">
        <f t="array" ref="D2:D122">_xll.FDS(D1,"FMA_PE(LTMA,-10AY,0,AM,""PORTAGG"",""MEANR"")")</f>
        <v>16.139098492641299</v>
      </c>
      <c r="E2" s="3" cm="1">
        <f t="array" ref="E2:E122">_xll.FDS(E1,"FMA_PE(LTMA,-10AY,0,AM,""PORTAGG"",""MEANR"")")</f>
        <v>14.713906216584499</v>
      </c>
      <c r="F2" s="3" cm="1">
        <f t="array" ref="F2:F122">_xll.FDS(F1,"FMA_PE(LTMA,-10AY,0,AM,""PORTAGG"",""MEANR"")")</f>
        <v>15.1829141745011</v>
      </c>
      <c r="G2" s="3" cm="1">
        <f t="array" ref="G2:G122">_xll.FDS(G1,"FMA_PE(LTMA,-10AY,0,AM,""PORTAGG"",""MEANR"")")</f>
        <v>17.229140763611898</v>
      </c>
      <c r="H2" s="3" cm="1">
        <f t="array" ref="H2:H122">_xll.FDS(H1,"FMA_PE(LTMA,-10AY,0,AM,""PORTAGG"",""MEANR"")")</f>
        <v>14.392616560629399</v>
      </c>
      <c r="I2" s="3" cm="1">
        <f t="array" ref="I2:I122">_xll.FDS(I1,"FMA_PE(LTMA,-10AY,0,AM,""PORTAGG"",""MEANR"")")</f>
        <v>18.9088944573408</v>
      </c>
      <c r="J2" s="3" cm="1">
        <f t="array" ref="J2:J122">_xll.FDS(J1,"FMA_PE(LTMA,-10AY,0,AM,""PORTAGG"",""MEANR"")")</f>
        <v>16.2953238156548</v>
      </c>
      <c r="K2" s="3" cm="1">
        <f t="array" ref="K2:K122">_xll.FDS(K1,"FMA_PE(LTMA,-10AY,0,AM,""PORTAGG"",""MEANR"")")</f>
        <v>15.818202824564301</v>
      </c>
      <c r="L2" s="3" cm="1">
        <f t="array" ref="L2:L122">_xll.FDS(L1,"FMA_PE(LTMA,-10AY,0,AM,""PORTAGG"",""MEANR"")")</f>
        <v>16.834929920877901</v>
      </c>
      <c r="M2" s="3" cm="1">
        <f t="array" ref="M2:M122">_xll.FDS(M1,"FMA_PE(LTMA,-10AY,0,AM,""PORTAGG"",""MEANR"")")</f>
        <v>15.745140248013399</v>
      </c>
      <c r="N2" s="3" cm="1">
        <f t="array" ref="N2:N122">_xll.FDS(N1,"FMA_PE(LTMA,-10AY,0,AM,""PORTAGG"",""MEANR"")")</f>
        <v>17.1325885819188</v>
      </c>
    </row>
    <row r="3" spans="1:14" x14ac:dyDescent="0.35">
      <c r="A3" s="2">
        <v>41820</v>
      </c>
      <c r="B3" s="3">
        <v>17.978690081935198</v>
      </c>
      <c r="C3" s="3">
        <v>15.118042363989501</v>
      </c>
      <c r="D3" s="3">
        <v>16.299045706651899</v>
      </c>
      <c r="E3" s="3">
        <v>14.585285127996499</v>
      </c>
      <c r="F3" s="3">
        <v>15.3012397249482</v>
      </c>
      <c r="G3" s="3">
        <v>17.1405487147752</v>
      </c>
      <c r="H3" s="3">
        <v>14.327837730412</v>
      </c>
      <c r="I3" s="3">
        <v>19.049329795597501</v>
      </c>
      <c r="J3" s="3">
        <v>16.397338155099799</v>
      </c>
      <c r="K3" s="3">
        <v>15.6568004392555</v>
      </c>
      <c r="L3" s="3">
        <v>16.791030058048499</v>
      </c>
      <c r="M3" s="3">
        <v>15.7580758413011</v>
      </c>
      <c r="N3" s="3">
        <v>17.400432404164</v>
      </c>
    </row>
    <row r="4" spans="1:14" x14ac:dyDescent="0.35">
      <c r="A4" s="2">
        <v>41851</v>
      </c>
      <c r="B4" s="3">
        <v>18.0461288139876</v>
      </c>
      <c r="C4" s="3">
        <v>15.533709820237</v>
      </c>
      <c r="D4" s="3">
        <v>16.3879560600367</v>
      </c>
      <c r="E4" s="3">
        <v>14.210222499075099</v>
      </c>
      <c r="F4" s="3">
        <v>15.288882519825499</v>
      </c>
      <c r="G4" s="3">
        <v>17.092938690240501</v>
      </c>
      <c r="H4" s="3">
        <v>14.302333037143301</v>
      </c>
      <c r="I4" s="3">
        <v>18.940140328578799</v>
      </c>
      <c r="J4" s="3">
        <v>16.169867164483101</v>
      </c>
      <c r="K4" s="3">
        <v>15.2715268137531</v>
      </c>
      <c r="L4" s="3">
        <v>16.401189996330199</v>
      </c>
      <c r="M4" s="3">
        <v>15.938065663902499</v>
      </c>
      <c r="N4" s="3">
        <v>17.082966944876699</v>
      </c>
    </row>
    <row r="5" spans="1:14" x14ac:dyDescent="0.35">
      <c r="A5" s="2">
        <v>41880</v>
      </c>
      <c r="B5" s="3">
        <v>18.0499421595283</v>
      </c>
      <c r="C5" s="3">
        <v>15.4733873600374</v>
      </c>
      <c r="D5" s="3">
        <v>16.489660025273199</v>
      </c>
      <c r="E5" s="3">
        <v>14.1541128765517</v>
      </c>
      <c r="F5" s="3">
        <v>15.014920188009199</v>
      </c>
      <c r="G5" s="3">
        <v>17.353992857281298</v>
      </c>
      <c r="H5" s="3">
        <v>14.292592514971901</v>
      </c>
      <c r="I5" s="3">
        <v>19.4608535100563</v>
      </c>
      <c r="J5" s="3">
        <v>16.5165946550167</v>
      </c>
      <c r="K5" s="3">
        <v>15.425521995630101</v>
      </c>
      <c r="L5" s="3">
        <v>16.624717302080001</v>
      </c>
      <c r="M5" s="3">
        <v>15.8372840366843</v>
      </c>
      <c r="N5" s="3">
        <v>17.567520702868599</v>
      </c>
    </row>
    <row r="6" spans="1:14" x14ac:dyDescent="0.35">
      <c r="A6" s="2">
        <v>41912</v>
      </c>
      <c r="B6" s="3">
        <v>17.944489831482802</v>
      </c>
      <c r="C6" s="3">
        <v>14.6663718040085</v>
      </c>
      <c r="D6" s="3">
        <v>15.938585211384501</v>
      </c>
      <c r="E6" s="3">
        <v>14.0523575010898</v>
      </c>
      <c r="F6" s="3">
        <v>15.4764093680241</v>
      </c>
      <c r="G6" s="3">
        <v>17.299970749350699</v>
      </c>
      <c r="H6" s="3">
        <v>13.906672358320201</v>
      </c>
      <c r="I6" s="3">
        <v>19.339312554623501</v>
      </c>
      <c r="J6" s="3">
        <v>16.3909101440955</v>
      </c>
      <c r="K6" s="3">
        <v>15.4128068747396</v>
      </c>
      <c r="L6" s="3">
        <v>16.785209746119801</v>
      </c>
      <c r="M6" s="3">
        <v>16.097189181004001</v>
      </c>
      <c r="N6" s="3">
        <v>17.606663432307101</v>
      </c>
    </row>
    <row r="7" spans="1:14" x14ac:dyDescent="0.35">
      <c r="A7" s="2">
        <v>41943</v>
      </c>
      <c r="B7" s="3">
        <v>18.392277620366201</v>
      </c>
      <c r="C7" s="3">
        <v>15.364104482655501</v>
      </c>
      <c r="D7" s="3">
        <v>15.696874634514399</v>
      </c>
      <c r="E7" s="3">
        <v>13.767551041923101</v>
      </c>
      <c r="F7" s="3">
        <v>15.3501722772435</v>
      </c>
      <c r="G7" s="3">
        <v>17.308016603520802</v>
      </c>
      <c r="H7" s="3">
        <v>13.793979569051199</v>
      </c>
      <c r="I7" s="3">
        <v>19.710921824452299</v>
      </c>
      <c r="J7" s="3">
        <v>16.734122955994199</v>
      </c>
      <c r="K7" s="3">
        <v>14.9429776821522</v>
      </c>
      <c r="L7" s="3">
        <v>16.955936255440299</v>
      </c>
      <c r="M7" s="3">
        <v>16.336045081890401</v>
      </c>
      <c r="N7" s="3">
        <v>17.220136655284598</v>
      </c>
    </row>
    <row r="8" spans="1:14" x14ac:dyDescent="0.35">
      <c r="A8" s="2">
        <v>41971</v>
      </c>
      <c r="B8" s="3">
        <v>18.477094103880201</v>
      </c>
      <c r="C8" s="3">
        <v>14.615939965479599</v>
      </c>
      <c r="D8" s="3">
        <v>15.7189486163917</v>
      </c>
      <c r="E8" s="3">
        <v>14.504061143369499</v>
      </c>
      <c r="F8" s="3">
        <v>15.858901001157699</v>
      </c>
      <c r="G8" s="3">
        <v>17.862116831129999</v>
      </c>
      <c r="H8" s="3">
        <v>14.0070217222602</v>
      </c>
      <c r="I8" s="3">
        <v>20.533290580680401</v>
      </c>
      <c r="J8" s="3">
        <v>17.1148636188273</v>
      </c>
      <c r="K8" s="3">
        <v>15.4478417961018</v>
      </c>
      <c r="L8" s="3">
        <v>18.026546406532599</v>
      </c>
      <c r="M8" s="3">
        <v>17.320846920387702</v>
      </c>
      <c r="N8" s="3">
        <v>18.1616559059125</v>
      </c>
    </row>
    <row r="9" spans="1:14" x14ac:dyDescent="0.35">
      <c r="A9" s="2">
        <v>42004</v>
      </c>
      <c r="B9" s="3">
        <v>19.197819573856801</v>
      </c>
      <c r="C9" s="3">
        <v>14.8069956260328</v>
      </c>
      <c r="D9" s="3">
        <v>15.596938985253599</v>
      </c>
      <c r="E9" s="3">
        <v>14.3005596447529</v>
      </c>
      <c r="F9" s="3">
        <v>15.974343522102901</v>
      </c>
      <c r="G9" s="3">
        <v>17.239133288204201</v>
      </c>
      <c r="H9" s="3">
        <v>13.792820499869901</v>
      </c>
      <c r="I9" s="3">
        <v>20.109627539486201</v>
      </c>
      <c r="J9" s="3">
        <v>17.301035886125799</v>
      </c>
      <c r="K9" s="3">
        <v>15.070338448628499</v>
      </c>
      <c r="L9" s="3">
        <v>17.675008371862599</v>
      </c>
      <c r="M9" s="3">
        <v>17.584393694781699</v>
      </c>
      <c r="N9" s="3">
        <v>18.239102372713202</v>
      </c>
    </row>
    <row r="10" spans="1:14" x14ac:dyDescent="0.35">
      <c r="A10" s="2">
        <v>42034</v>
      </c>
      <c r="B10" s="3">
        <v>19.835371917287201</v>
      </c>
      <c r="C10" s="3">
        <v>15.190381405750101</v>
      </c>
      <c r="D10" s="3">
        <v>15.7778455702872</v>
      </c>
      <c r="E10" s="3">
        <v>15.450111118834601</v>
      </c>
      <c r="F10" s="3">
        <v>15.523350036288999</v>
      </c>
      <c r="G10" s="3">
        <v>16.692999306828501</v>
      </c>
      <c r="H10" s="3">
        <v>14.176771088098899</v>
      </c>
      <c r="I10" s="3">
        <v>19.451379123540299</v>
      </c>
      <c r="J10" s="3">
        <v>16.718596377064099</v>
      </c>
      <c r="K10" s="3">
        <v>16.165609370768301</v>
      </c>
      <c r="L10" s="3">
        <v>18.8216496666534</v>
      </c>
      <c r="M10" s="3">
        <v>18.7007555337374</v>
      </c>
      <c r="N10" s="3">
        <v>23.6420497500349</v>
      </c>
    </row>
    <row r="11" spans="1:14" x14ac:dyDescent="0.35">
      <c r="A11" s="2">
        <v>42062</v>
      </c>
      <c r="B11" s="3">
        <v>20.533732203332399</v>
      </c>
      <c r="C11" s="3">
        <v>16.215341310102101</v>
      </c>
      <c r="D11" s="3">
        <v>17.032916962246901</v>
      </c>
      <c r="E11" s="3">
        <v>16.487684505982099</v>
      </c>
      <c r="F11" s="3">
        <v>16.932120306701499</v>
      </c>
      <c r="G11" s="3">
        <v>17.992704968647601</v>
      </c>
      <c r="H11" s="3">
        <v>15.183116674161599</v>
      </c>
      <c r="I11" s="3">
        <v>20.792752309655299</v>
      </c>
      <c r="J11" s="3">
        <v>17.591037300020002</v>
      </c>
      <c r="K11" s="3">
        <v>17.559098843139299</v>
      </c>
      <c r="L11" s="3">
        <v>20.1223054586507</v>
      </c>
      <c r="M11" s="3">
        <v>20.302825439712102</v>
      </c>
      <c r="N11" s="3">
        <v>45.366068148585697</v>
      </c>
    </row>
    <row r="12" spans="1:14" x14ac:dyDescent="0.35">
      <c r="A12" s="2">
        <v>42094</v>
      </c>
      <c r="B12" s="3">
        <v>20.163763943277701</v>
      </c>
      <c r="C12" s="3">
        <v>16.2630540157583</v>
      </c>
      <c r="D12" s="3">
        <v>17.053738408985801</v>
      </c>
      <c r="E12" s="3">
        <v>16.5250129616904</v>
      </c>
      <c r="F12" s="3">
        <v>16.8257214064251</v>
      </c>
      <c r="G12" s="3">
        <v>18.004165432448598</v>
      </c>
      <c r="H12" s="3">
        <v>15.2252688636764</v>
      </c>
      <c r="I12" s="3">
        <v>20.491790615384399</v>
      </c>
      <c r="J12" s="3">
        <v>17.488242089701199</v>
      </c>
      <c r="K12" s="3">
        <v>17.537641625751</v>
      </c>
      <c r="L12" s="3">
        <v>19.911822609704199</v>
      </c>
      <c r="M12" s="3">
        <v>19.967239871451699</v>
      </c>
      <c r="N12" s="3">
        <v>42.444495443557003</v>
      </c>
    </row>
    <row r="13" spans="1:14" x14ac:dyDescent="0.35">
      <c r="A13" s="2">
        <v>42124</v>
      </c>
      <c r="B13" s="3">
        <v>20.092898518697201</v>
      </c>
      <c r="C13" s="3">
        <v>16.311855470084399</v>
      </c>
      <c r="D13" s="3">
        <v>17.291583403836</v>
      </c>
      <c r="E13" s="3">
        <v>16.2086574864787</v>
      </c>
      <c r="F13" s="3">
        <v>16.9059381305768</v>
      </c>
      <c r="G13" s="3">
        <v>18.079732046479702</v>
      </c>
      <c r="H13" s="3">
        <v>15.580795471491101</v>
      </c>
      <c r="I13" s="3">
        <v>20.3477062160439</v>
      </c>
      <c r="J13" s="3">
        <v>17.502721736342401</v>
      </c>
      <c r="K13" s="3">
        <v>17.4642604036489</v>
      </c>
      <c r="L13" s="3">
        <v>19.639748071088601</v>
      </c>
      <c r="M13" s="3">
        <v>19.265364806601902</v>
      </c>
      <c r="N13" s="3">
        <v>39.651086459243402</v>
      </c>
    </row>
    <row r="14" spans="1:14" x14ac:dyDescent="0.35">
      <c r="A14" s="2">
        <v>42153</v>
      </c>
      <c r="B14" s="3">
        <v>20.057647776440302</v>
      </c>
      <c r="C14" s="3">
        <v>16.2684044607572</v>
      </c>
      <c r="D14" s="3">
        <v>17.1912616787092</v>
      </c>
      <c r="E14" s="3">
        <v>15.9189706267038</v>
      </c>
      <c r="F14" s="3">
        <v>17.2168527003656</v>
      </c>
      <c r="G14" s="3">
        <v>18.0693604212683</v>
      </c>
      <c r="H14" s="3">
        <v>15.731722719819</v>
      </c>
      <c r="I14" s="3">
        <v>20.2708026242024</v>
      </c>
      <c r="J14" s="3">
        <v>17.514741998297499</v>
      </c>
      <c r="K14" s="3">
        <v>17.392551771849298</v>
      </c>
      <c r="L14" s="3">
        <v>19.479738369481701</v>
      </c>
      <c r="M14" s="3">
        <v>19.314344601660601</v>
      </c>
      <c r="N14" s="3">
        <v>37.035601665255903</v>
      </c>
    </row>
    <row r="15" spans="1:14" x14ac:dyDescent="0.35">
      <c r="A15" s="2">
        <v>42185</v>
      </c>
      <c r="B15" s="3">
        <v>19.668102042094901</v>
      </c>
      <c r="C15" s="3">
        <v>15.8766669411465</v>
      </c>
      <c r="D15" s="3">
        <v>17.0368960563084</v>
      </c>
      <c r="E15" s="3">
        <v>15.406673163434499</v>
      </c>
      <c r="F15" s="3">
        <v>16.761810557576101</v>
      </c>
      <c r="G15" s="3">
        <v>17.681441264669701</v>
      </c>
      <c r="H15" s="3">
        <v>15.4190639558293</v>
      </c>
      <c r="I15" s="3">
        <v>19.8861388300821</v>
      </c>
      <c r="J15" s="3">
        <v>17.328503683745801</v>
      </c>
      <c r="K15" s="3">
        <v>16.940260378231802</v>
      </c>
      <c r="L15" s="3">
        <v>18.866208866724101</v>
      </c>
      <c r="M15" s="3">
        <v>18.473508328414098</v>
      </c>
      <c r="N15" s="3">
        <v>33.6205905524019</v>
      </c>
    </row>
    <row r="16" spans="1:14" x14ac:dyDescent="0.35">
      <c r="A16" s="2">
        <v>42216</v>
      </c>
      <c r="B16" s="3">
        <v>19.847708531534799</v>
      </c>
      <c r="C16" s="3">
        <v>16.191762694742501</v>
      </c>
      <c r="D16" s="3">
        <v>17.022938383267199</v>
      </c>
      <c r="E16" s="3">
        <v>15.4623519316004</v>
      </c>
      <c r="F16" s="3">
        <v>16.859083023359101</v>
      </c>
      <c r="G16" s="3">
        <v>18.215554285285901</v>
      </c>
      <c r="H16" s="3">
        <v>15.7515100816941</v>
      </c>
      <c r="I16" s="3">
        <v>20.426985610299699</v>
      </c>
      <c r="J16" s="3">
        <v>17.528289292212399</v>
      </c>
      <c r="K16" s="3">
        <v>17.1919416855132</v>
      </c>
      <c r="L16" s="3">
        <v>19.009612755602401</v>
      </c>
      <c r="M16" s="3">
        <v>18.4990183364309</v>
      </c>
      <c r="N16" s="3">
        <v>31.332838227190699</v>
      </c>
    </row>
    <row r="17" spans="1:14" x14ac:dyDescent="0.35">
      <c r="A17" s="2">
        <v>42247</v>
      </c>
      <c r="B17" s="3">
        <v>19.269942095279799</v>
      </c>
      <c r="C17" s="3">
        <v>15.460386089974399</v>
      </c>
      <c r="D17" s="3">
        <v>16.650195678291499</v>
      </c>
      <c r="E17" s="3">
        <v>14.414499714972701</v>
      </c>
      <c r="F17" s="3">
        <v>15.9004354693776</v>
      </c>
      <c r="G17" s="3">
        <v>17.423641586943099</v>
      </c>
      <c r="H17" s="3">
        <v>15.146798414756301</v>
      </c>
      <c r="I17" s="3">
        <v>19.449072585520199</v>
      </c>
      <c r="J17" s="3">
        <v>16.819573737310598</v>
      </c>
      <c r="K17" s="3">
        <v>16.141248181763</v>
      </c>
      <c r="L17" s="3">
        <v>17.560437459941699</v>
      </c>
      <c r="M17" s="3">
        <v>17.482142235890201</v>
      </c>
      <c r="N17" s="3">
        <v>27.851463704235002</v>
      </c>
    </row>
    <row r="18" spans="1:14" x14ac:dyDescent="0.35">
      <c r="A18" s="2">
        <v>42277</v>
      </c>
      <c r="B18" s="3">
        <v>18.637167950851701</v>
      </c>
      <c r="C18" s="3">
        <v>15.0566237043515</v>
      </c>
      <c r="D18" s="3">
        <v>16.355779711686701</v>
      </c>
      <c r="E18" s="3">
        <v>13.8057172669835</v>
      </c>
      <c r="F18" s="3">
        <v>14.7978713104301</v>
      </c>
      <c r="G18" s="3">
        <v>16.960886639175101</v>
      </c>
      <c r="H18" s="3">
        <v>14.938491487809999</v>
      </c>
      <c r="I18" s="3">
        <v>18.987427664181201</v>
      </c>
      <c r="J18" s="3">
        <v>16.450748636406701</v>
      </c>
      <c r="K18" s="3">
        <v>15.484054957483799</v>
      </c>
      <c r="L18" s="3">
        <v>16.638502706718601</v>
      </c>
      <c r="M18" s="3">
        <v>16.474867702628</v>
      </c>
      <c r="N18" s="3">
        <v>24.973825876460499</v>
      </c>
    </row>
    <row r="19" spans="1:14" x14ac:dyDescent="0.35">
      <c r="A19" s="2">
        <v>42307</v>
      </c>
      <c r="B19" s="3">
        <v>19.473139354349801</v>
      </c>
      <c r="C19" s="3">
        <v>15.6354822088134</v>
      </c>
      <c r="D19" s="3">
        <v>16.6370606081625</v>
      </c>
      <c r="E19" s="3">
        <v>14.5204785615287</v>
      </c>
      <c r="F19" s="3">
        <v>15.889733662160699</v>
      </c>
      <c r="G19" s="3">
        <v>17.763535919517299</v>
      </c>
      <c r="H19" s="3">
        <v>15.815212471193799</v>
      </c>
      <c r="I19" s="3">
        <v>20.274913349370799</v>
      </c>
      <c r="J19" s="3">
        <v>17.398049176062599</v>
      </c>
      <c r="K19" s="3">
        <v>16.4233636129775</v>
      </c>
      <c r="L19" s="3">
        <v>17.601013897814699</v>
      </c>
      <c r="M19" s="3">
        <v>17.193332412250999</v>
      </c>
      <c r="N19" s="3">
        <v>23.3228676094371</v>
      </c>
    </row>
    <row r="20" spans="1:14" x14ac:dyDescent="0.35">
      <c r="A20" s="2">
        <v>42338</v>
      </c>
      <c r="B20" s="3">
        <v>19.571164310375501</v>
      </c>
      <c r="C20" s="3">
        <v>15.4413218693883</v>
      </c>
      <c r="D20" s="3">
        <v>16.729841143959799</v>
      </c>
      <c r="E20" s="3">
        <v>15.022186645784499</v>
      </c>
      <c r="F20" s="3">
        <v>16.111887243787201</v>
      </c>
      <c r="G20" s="3">
        <v>17.6451575845375</v>
      </c>
      <c r="H20" s="3">
        <v>15.970511393745101</v>
      </c>
      <c r="I20" s="3">
        <v>20.409234334328001</v>
      </c>
      <c r="J20" s="3">
        <v>17.4091988165783</v>
      </c>
      <c r="K20" s="3">
        <v>16.448832317799599</v>
      </c>
      <c r="L20" s="3">
        <v>18.1469341838826</v>
      </c>
      <c r="M20" s="3">
        <v>17.0076008159945</v>
      </c>
      <c r="N20" s="3">
        <v>21.5479458580417</v>
      </c>
    </row>
    <row r="21" spans="1:14" x14ac:dyDescent="0.35">
      <c r="A21" s="2">
        <v>42369</v>
      </c>
      <c r="B21" s="3">
        <v>19.861775829977301</v>
      </c>
      <c r="C21" s="3">
        <v>16.060762601513002</v>
      </c>
      <c r="D21" s="3">
        <v>15.7794491987031</v>
      </c>
      <c r="E21" s="3">
        <v>14.0285507216998</v>
      </c>
      <c r="F21" s="3">
        <v>15.7241220272528</v>
      </c>
      <c r="G21" s="3">
        <v>17.378177511790401</v>
      </c>
      <c r="H21" s="3">
        <v>15.672884588555499</v>
      </c>
      <c r="I21" s="3">
        <v>20.348969660295399</v>
      </c>
      <c r="J21" s="3">
        <v>17.142314327194399</v>
      </c>
      <c r="K21" s="3">
        <v>15.4220750370538</v>
      </c>
      <c r="L21" s="3">
        <v>16.870638649553101</v>
      </c>
      <c r="M21" s="3">
        <v>16.016258065652501</v>
      </c>
      <c r="N21" s="3">
        <v>17.961443208994901</v>
      </c>
    </row>
    <row r="22" spans="1:14" x14ac:dyDescent="0.35">
      <c r="A22" s="2">
        <v>42398</v>
      </c>
      <c r="B22" s="3">
        <v>19.150583889928502</v>
      </c>
      <c r="C22" s="3">
        <v>15.211011243152599</v>
      </c>
      <c r="D22" s="3">
        <v>15.5883753476423</v>
      </c>
      <c r="E22" s="3">
        <v>12.920312179746301</v>
      </c>
      <c r="F22" s="3">
        <v>14.633936165990701</v>
      </c>
      <c r="G22" s="3">
        <v>16.8363858727615</v>
      </c>
      <c r="H22" s="3">
        <v>15.2564397368487</v>
      </c>
      <c r="I22" s="3">
        <v>18.8271811631151</v>
      </c>
      <c r="J22" s="3">
        <v>16.2966838906097</v>
      </c>
      <c r="K22" s="3">
        <v>14.709053300554899</v>
      </c>
      <c r="L22" s="3">
        <v>16.430188052086699</v>
      </c>
      <c r="M22" s="3">
        <v>14.8347806892059</v>
      </c>
      <c r="N22" s="3">
        <v>15.2240940767902</v>
      </c>
    </row>
    <row r="23" spans="1:14" x14ac:dyDescent="0.35">
      <c r="A23" s="2">
        <v>42429</v>
      </c>
      <c r="B23" s="3">
        <v>19.260845871222301</v>
      </c>
      <c r="C23" s="3">
        <v>14.9240656400827</v>
      </c>
      <c r="D23" s="3">
        <v>15.7408114629064</v>
      </c>
      <c r="E23" s="3">
        <v>12.645594063662299</v>
      </c>
      <c r="F23" s="3">
        <v>13.805158220348799</v>
      </c>
      <c r="G23" s="3">
        <v>16.5783891912488</v>
      </c>
      <c r="H23" s="3">
        <v>15.513498568526201</v>
      </c>
      <c r="I23" s="3">
        <v>18.171940910564</v>
      </c>
      <c r="J23" s="3">
        <v>16.188193427520002</v>
      </c>
      <c r="K23" s="3">
        <v>15.141625647381501</v>
      </c>
      <c r="L23" s="3">
        <v>16.3733958088173</v>
      </c>
      <c r="M23" s="3">
        <v>15.5788877722231</v>
      </c>
      <c r="N23" s="3">
        <v>15.3964541226054</v>
      </c>
    </row>
    <row r="24" spans="1:14" x14ac:dyDescent="0.35">
      <c r="A24" s="2">
        <v>42460</v>
      </c>
      <c r="B24" s="3">
        <v>19.365361493646802</v>
      </c>
      <c r="C24" s="3">
        <v>15.1708600017846</v>
      </c>
      <c r="D24" s="3">
        <v>16.0234717543097</v>
      </c>
      <c r="E24" s="3">
        <v>12.7823942358322</v>
      </c>
      <c r="F24" s="3">
        <v>13.8284470903504</v>
      </c>
      <c r="G24" s="3">
        <v>16.654982261015999</v>
      </c>
      <c r="H24" s="3">
        <v>15.758867852177399</v>
      </c>
      <c r="I24" s="3">
        <v>18.394304909341699</v>
      </c>
      <c r="J24" s="3">
        <v>16.445215307047398</v>
      </c>
      <c r="K24" s="3">
        <v>15.1517292017638</v>
      </c>
      <c r="L24" s="3">
        <v>16.3907388421331</v>
      </c>
      <c r="M24" s="3">
        <v>15.568848988530799</v>
      </c>
      <c r="N24" s="3">
        <v>15.307624121675699</v>
      </c>
    </row>
    <row r="25" spans="1:14" x14ac:dyDescent="0.35">
      <c r="A25" s="2">
        <v>42489</v>
      </c>
      <c r="B25" s="3">
        <v>19.424535406082899</v>
      </c>
      <c r="C25" s="3">
        <v>15.438568717403101</v>
      </c>
      <c r="D25" s="3">
        <v>16.4169682941824</v>
      </c>
      <c r="E25" s="3">
        <v>12.877495689962601</v>
      </c>
      <c r="F25" s="3">
        <v>13.7931562937423</v>
      </c>
      <c r="G25" s="3">
        <v>16.824160045368998</v>
      </c>
      <c r="H25" s="3">
        <v>15.950677924985699</v>
      </c>
      <c r="I25" s="3">
        <v>18.315723427199501</v>
      </c>
      <c r="J25" s="3">
        <v>16.565182572190999</v>
      </c>
      <c r="K25" s="3">
        <v>15.176512719832299</v>
      </c>
      <c r="L25" s="3">
        <v>16.2415206382368</v>
      </c>
      <c r="M25" s="3">
        <v>15.654626448610999</v>
      </c>
      <c r="N25" s="3">
        <v>15.2931220355081</v>
      </c>
    </row>
    <row r="26" spans="1:14" x14ac:dyDescent="0.35">
      <c r="A26" s="2">
        <v>42521</v>
      </c>
      <c r="B26" s="3">
        <v>19.815095581722002</v>
      </c>
      <c r="C26" s="3">
        <v>15.783483102661499</v>
      </c>
      <c r="D26" s="3">
        <v>16.645168999914802</v>
      </c>
      <c r="E26" s="3">
        <v>12.9478407823057</v>
      </c>
      <c r="F26" s="3">
        <v>14.155687026455601</v>
      </c>
      <c r="G26" s="3">
        <v>17.135778287939001</v>
      </c>
      <c r="H26" s="3">
        <v>16.019441992397599</v>
      </c>
      <c r="I26" s="3">
        <v>18.638600025115299</v>
      </c>
      <c r="J26" s="3">
        <v>16.757536635226799</v>
      </c>
      <c r="K26" s="3">
        <v>15.255605394241</v>
      </c>
      <c r="L26" s="3">
        <v>16.362900784195599</v>
      </c>
      <c r="M26" s="3">
        <v>15.5810379588542</v>
      </c>
      <c r="N26" s="3">
        <v>15.469185663063699</v>
      </c>
    </row>
    <row r="27" spans="1:14" x14ac:dyDescent="0.35">
      <c r="A27" s="2">
        <v>42551</v>
      </c>
      <c r="B27" s="3">
        <v>19.669052851066901</v>
      </c>
      <c r="C27" s="3">
        <v>15.7509688194097</v>
      </c>
      <c r="D27" s="3">
        <v>16.790520841998699</v>
      </c>
      <c r="E27" s="3">
        <v>12.6531602583139</v>
      </c>
      <c r="F27" s="3">
        <v>13.6592487560129</v>
      </c>
      <c r="G27" s="3">
        <v>17.116645154229801</v>
      </c>
      <c r="H27" s="3">
        <v>16.290410297023801</v>
      </c>
      <c r="I27" s="3">
        <v>18.589090621883098</v>
      </c>
      <c r="J27" s="3">
        <v>16.893062009869901</v>
      </c>
      <c r="K27" s="3">
        <v>14.800025722075199</v>
      </c>
      <c r="L27" s="3">
        <v>15.7818368660161</v>
      </c>
      <c r="M27" s="3">
        <v>15.362078637207601</v>
      </c>
      <c r="N27" s="3">
        <v>14.4062851700679</v>
      </c>
    </row>
    <row r="28" spans="1:14" x14ac:dyDescent="0.35">
      <c r="A28" s="2">
        <v>42580</v>
      </c>
      <c r="B28" s="3">
        <v>20.568026652181299</v>
      </c>
      <c r="C28" s="3">
        <v>16.4563314824928</v>
      </c>
      <c r="D28" s="3">
        <v>17.207450880551701</v>
      </c>
      <c r="E28" s="3">
        <v>13.1261045937001</v>
      </c>
      <c r="F28" s="3">
        <v>14.0810064402976</v>
      </c>
      <c r="G28" s="3">
        <v>17.509514301805901</v>
      </c>
      <c r="H28" s="3">
        <v>16.692697383547902</v>
      </c>
      <c r="I28" s="3">
        <v>19.347184827802899</v>
      </c>
      <c r="J28" s="3">
        <v>17.3852036643489</v>
      </c>
      <c r="K28" s="3">
        <v>15.093070600551</v>
      </c>
      <c r="L28" s="3">
        <v>16.122764350219999</v>
      </c>
      <c r="M28" s="3">
        <v>15.842507443152201</v>
      </c>
      <c r="N28" s="3">
        <v>14.7343350315856</v>
      </c>
    </row>
    <row r="29" spans="1:14" x14ac:dyDescent="0.35">
      <c r="A29" s="2">
        <v>42613</v>
      </c>
      <c r="B29" s="3">
        <v>20.931798081310902</v>
      </c>
      <c r="C29" s="3">
        <v>16.511979461804199</v>
      </c>
      <c r="D29" s="3">
        <v>17.484928913621001</v>
      </c>
      <c r="E29" s="3">
        <v>13.4016988098601</v>
      </c>
      <c r="F29" s="3">
        <v>14.2856614659265</v>
      </c>
      <c r="G29" s="3">
        <v>17.847782447670301</v>
      </c>
      <c r="H29" s="3">
        <v>16.864257324575799</v>
      </c>
      <c r="I29" s="3">
        <v>19.522245493444402</v>
      </c>
      <c r="J29" s="3">
        <v>17.553922187925</v>
      </c>
      <c r="K29" s="3">
        <v>14.909825753322099</v>
      </c>
      <c r="L29" s="3">
        <v>16.162835415244</v>
      </c>
      <c r="M29" s="3">
        <v>16.072622042297301</v>
      </c>
      <c r="N29" s="3">
        <v>15.086565624965299</v>
      </c>
    </row>
    <row r="30" spans="1:14" x14ac:dyDescent="0.35">
      <c r="A30" s="2">
        <v>42643</v>
      </c>
      <c r="B30" s="3">
        <v>20.957196712321199</v>
      </c>
      <c r="C30" s="3">
        <v>16.7199617585058</v>
      </c>
      <c r="D30" s="3">
        <v>17.8787659375175</v>
      </c>
      <c r="E30" s="3">
        <v>13.577312567197</v>
      </c>
      <c r="F30" s="3">
        <v>14.1918651950187</v>
      </c>
      <c r="G30" s="3">
        <v>18.027024872288099</v>
      </c>
      <c r="H30" s="3">
        <v>17.073490822109001</v>
      </c>
      <c r="I30" s="3">
        <v>19.971558870214999</v>
      </c>
      <c r="J30" s="3">
        <v>17.747222765192799</v>
      </c>
      <c r="K30" s="3">
        <v>14.8789840518654</v>
      </c>
      <c r="L30" s="3">
        <v>16.156385409687001</v>
      </c>
      <c r="M30" s="3">
        <v>16.4554693449696</v>
      </c>
      <c r="N30" s="3">
        <v>14.6807457855707</v>
      </c>
    </row>
    <row r="31" spans="1:14" x14ac:dyDescent="0.35">
      <c r="A31" s="2">
        <v>42674</v>
      </c>
      <c r="B31" s="3">
        <v>20.098524699275401</v>
      </c>
      <c r="C31" s="3">
        <v>16.768860269703399</v>
      </c>
      <c r="D31" s="3">
        <v>18.204605862720001</v>
      </c>
      <c r="E31" s="3">
        <v>13.790715224994401</v>
      </c>
      <c r="F31" s="3">
        <v>14.810902230083199</v>
      </c>
      <c r="G31" s="3">
        <v>17.6156546769258</v>
      </c>
      <c r="H31" s="3">
        <v>16.769873026786801</v>
      </c>
      <c r="I31" s="3">
        <v>19.758769227047502</v>
      </c>
      <c r="J31" s="3">
        <v>17.542925167604601</v>
      </c>
      <c r="K31" s="3">
        <v>14.9599392601041</v>
      </c>
      <c r="L31" s="3">
        <v>15.8446517878855</v>
      </c>
      <c r="M31" s="3">
        <v>17.2817936170811</v>
      </c>
      <c r="N31" s="3">
        <v>14.895854914928799</v>
      </c>
    </row>
    <row r="32" spans="1:14" x14ac:dyDescent="0.35">
      <c r="A32" s="2">
        <v>42704</v>
      </c>
      <c r="B32" s="3">
        <v>19.9903882445882</v>
      </c>
      <c r="C32" s="3">
        <v>17.105765971076899</v>
      </c>
      <c r="D32" s="3">
        <v>18.821256323220201</v>
      </c>
      <c r="E32" s="3">
        <v>13.7223912085183</v>
      </c>
      <c r="F32" s="3">
        <v>15.6703506606805</v>
      </c>
      <c r="G32" s="3">
        <v>17.4991138636389</v>
      </c>
      <c r="H32" s="3">
        <v>16.4087768814925</v>
      </c>
      <c r="I32" s="3">
        <v>19.892505822370801</v>
      </c>
      <c r="J32" s="3">
        <v>18.2587961005746</v>
      </c>
      <c r="K32" s="3">
        <v>14.9803869170503</v>
      </c>
      <c r="L32" s="3">
        <v>15.616465118323701</v>
      </c>
      <c r="M32" s="3">
        <v>17.391700039255799</v>
      </c>
      <c r="N32" s="3">
        <v>14.943093044866201</v>
      </c>
    </row>
    <row r="33" spans="1:14" x14ac:dyDescent="0.35">
      <c r="A33" s="2">
        <v>42734</v>
      </c>
      <c r="B33" s="3">
        <v>19.970582364952801</v>
      </c>
      <c r="C33" s="3">
        <v>17.7086539390355</v>
      </c>
      <c r="D33" s="3">
        <v>19.369708934889001</v>
      </c>
      <c r="E33" s="3">
        <v>14.7976712735815</v>
      </c>
      <c r="F33" s="3">
        <v>16.336549755412999</v>
      </c>
      <c r="G33" s="3">
        <v>18.2312249975706</v>
      </c>
      <c r="H33" s="3">
        <v>17.205071876992399</v>
      </c>
      <c r="I33" s="3">
        <v>20.294120577380198</v>
      </c>
      <c r="J33" s="3">
        <v>18.788878288081499</v>
      </c>
      <c r="K33" s="3">
        <v>15.7881796008571</v>
      </c>
      <c r="L33" s="3">
        <v>16.299934821553101</v>
      </c>
      <c r="M33" s="3">
        <v>18.185910729348599</v>
      </c>
      <c r="N33" s="3">
        <v>27.659464864347701</v>
      </c>
    </row>
    <row r="34" spans="1:14" x14ac:dyDescent="0.35">
      <c r="A34" s="2">
        <v>42766</v>
      </c>
      <c r="B34" s="3">
        <v>20.416366486985499</v>
      </c>
      <c r="C34" s="3">
        <v>17.4572350451697</v>
      </c>
      <c r="D34" s="3">
        <v>19.594340065569199</v>
      </c>
      <c r="E34" s="3">
        <v>14.8035204396724</v>
      </c>
      <c r="F34" s="3">
        <v>16.282988323184401</v>
      </c>
      <c r="G34" s="3">
        <v>18.475934345828001</v>
      </c>
      <c r="H34" s="3">
        <v>16.917061213703199</v>
      </c>
      <c r="I34" s="3">
        <v>21.1025312162113</v>
      </c>
      <c r="J34" s="3">
        <v>18.925841919614001</v>
      </c>
      <c r="K34" s="3">
        <v>15.399267143342801</v>
      </c>
      <c r="L34" s="3">
        <v>15.997689832385401</v>
      </c>
      <c r="M34" s="3">
        <v>18.073272009361698</v>
      </c>
      <c r="N34" s="3">
        <v>19.303979668309498</v>
      </c>
    </row>
    <row r="35" spans="1:14" x14ac:dyDescent="0.35">
      <c r="A35" s="2">
        <v>42794</v>
      </c>
      <c r="B35" s="3">
        <v>19.702135868045701</v>
      </c>
      <c r="C35" s="3">
        <v>17.525706890154002</v>
      </c>
      <c r="D35" s="3">
        <v>19.393517621704099</v>
      </c>
      <c r="E35" s="3">
        <v>14.9651402877224</v>
      </c>
      <c r="F35" s="3">
        <v>15.947556963740899</v>
      </c>
      <c r="G35" s="3">
        <v>19.6747100975888</v>
      </c>
      <c r="H35" s="3">
        <v>17.373121319835398</v>
      </c>
      <c r="I35" s="3">
        <v>21.714130688017899</v>
      </c>
      <c r="J35" s="3">
        <v>19.4949236055791</v>
      </c>
      <c r="K35" s="3">
        <v>15.5832062176459</v>
      </c>
      <c r="L35" s="3">
        <v>16.402686545474001</v>
      </c>
      <c r="M35" s="3">
        <v>17.441194835249402</v>
      </c>
      <c r="N35" s="3">
        <v>85.968927292375596</v>
      </c>
    </row>
    <row r="36" spans="1:14" x14ac:dyDescent="0.35">
      <c r="A36" s="2">
        <v>42825</v>
      </c>
      <c r="B36" s="3">
        <v>19.7808677360449</v>
      </c>
      <c r="C36" s="3">
        <v>17.388445541750801</v>
      </c>
      <c r="D36" s="3">
        <v>19.1093046046532</v>
      </c>
      <c r="E36" s="3">
        <v>14.970578196584301</v>
      </c>
      <c r="F36" s="3">
        <v>15.7187584660595</v>
      </c>
      <c r="G36" s="3">
        <v>19.483665613401101</v>
      </c>
      <c r="H36" s="3">
        <v>17.120569438288801</v>
      </c>
      <c r="I36" s="3">
        <v>21.662846506715901</v>
      </c>
      <c r="J36" s="3">
        <v>19.3434696885449</v>
      </c>
      <c r="K36" s="3">
        <v>15.6742006521623</v>
      </c>
      <c r="L36" s="3">
        <v>16.5201736815972</v>
      </c>
      <c r="M36" s="3">
        <v>17.604933401968399</v>
      </c>
      <c r="N36" s="3">
        <v>78.854228642247094</v>
      </c>
    </row>
    <row r="37" spans="1:14" x14ac:dyDescent="0.35">
      <c r="A37" s="2">
        <v>42853</v>
      </c>
      <c r="B37" s="3">
        <v>19.949183352916499</v>
      </c>
      <c r="C37" s="3">
        <v>17.303101606005601</v>
      </c>
      <c r="D37" s="3">
        <v>18.806202010281599</v>
      </c>
      <c r="E37" s="3">
        <v>14.9052500055754</v>
      </c>
      <c r="F37" s="3">
        <v>15.5963855462278</v>
      </c>
      <c r="G37" s="3">
        <v>19.497331714533399</v>
      </c>
      <c r="H37" s="3">
        <v>16.867587027069899</v>
      </c>
      <c r="I37" s="3">
        <v>21.7013956552269</v>
      </c>
      <c r="J37" s="3">
        <v>19.2294920728576</v>
      </c>
      <c r="K37" s="3">
        <v>15.7677768365969</v>
      </c>
      <c r="L37" s="3">
        <v>16.653630195624402</v>
      </c>
      <c r="M37" s="3">
        <v>17.6333708179951</v>
      </c>
      <c r="N37" s="3">
        <v>72.232071774623407</v>
      </c>
    </row>
    <row r="38" spans="1:14" x14ac:dyDescent="0.35">
      <c r="A38" s="2">
        <v>42886</v>
      </c>
      <c r="B38" s="3">
        <v>19.990793423588901</v>
      </c>
      <c r="C38" s="3">
        <v>16.8855941366179</v>
      </c>
      <c r="D38" s="3">
        <v>18.357653609761002</v>
      </c>
      <c r="E38" s="3">
        <v>14.7632235527817</v>
      </c>
      <c r="F38" s="3">
        <v>15.6046159728585</v>
      </c>
      <c r="G38" s="3">
        <v>19.519142762937001</v>
      </c>
      <c r="H38" s="3">
        <v>16.797276473101199</v>
      </c>
      <c r="I38" s="3">
        <v>21.9663666256006</v>
      </c>
      <c r="J38" s="3">
        <v>19.161091709712601</v>
      </c>
      <c r="K38" s="3">
        <v>15.7492235296421</v>
      </c>
      <c r="L38" s="3">
        <v>16.7047169102669</v>
      </c>
      <c r="M38" s="3">
        <v>18.100098450887</v>
      </c>
      <c r="N38" s="3">
        <v>64.457447761239607</v>
      </c>
    </row>
    <row r="39" spans="1:14" x14ac:dyDescent="0.35">
      <c r="A39" s="2">
        <v>42916</v>
      </c>
      <c r="B39" s="3">
        <v>20.101254626645499</v>
      </c>
      <c r="C39" s="3">
        <v>16.791029596471201</v>
      </c>
      <c r="D39" s="3">
        <v>18.057522337090699</v>
      </c>
      <c r="E39" s="3">
        <v>14.4898674106417</v>
      </c>
      <c r="F39" s="3">
        <v>15.561407587874699</v>
      </c>
      <c r="G39" s="3">
        <v>19.342347661175499</v>
      </c>
      <c r="H39" s="3">
        <v>16.421619961282801</v>
      </c>
      <c r="I39" s="3">
        <v>21.637729586664602</v>
      </c>
      <c r="J39" s="3">
        <v>19.082911078838698</v>
      </c>
      <c r="K39" s="3">
        <v>15.5101231229392</v>
      </c>
      <c r="L39" s="3">
        <v>16.4737540777456</v>
      </c>
      <c r="M39" s="3">
        <v>17.499000383484798</v>
      </c>
      <c r="N39" s="3">
        <v>57.3506552325927</v>
      </c>
    </row>
    <row r="40" spans="1:14" x14ac:dyDescent="0.35">
      <c r="A40" s="2">
        <v>42947</v>
      </c>
      <c r="B40" s="3">
        <v>20.382083076553101</v>
      </c>
      <c r="C40" s="3">
        <v>16.803945699531798</v>
      </c>
      <c r="D40" s="3">
        <v>17.968109099123701</v>
      </c>
      <c r="E40" s="3">
        <v>14.2839267154719</v>
      </c>
      <c r="F40" s="3">
        <v>15.4017922239161</v>
      </c>
      <c r="G40" s="3">
        <v>19.349852202517599</v>
      </c>
      <c r="H40" s="3">
        <v>16.3641592995377</v>
      </c>
      <c r="I40" s="3">
        <v>22.091233456091999</v>
      </c>
      <c r="J40" s="3">
        <v>19.169187774589499</v>
      </c>
      <c r="K40" s="3">
        <v>15.473394385210501</v>
      </c>
      <c r="L40" s="3">
        <v>16.706400557471699</v>
      </c>
      <c r="M40" s="3">
        <v>17.0615360152742</v>
      </c>
      <c r="N40" s="3">
        <v>50.474237523065803</v>
      </c>
    </row>
    <row r="41" spans="1:14" x14ac:dyDescent="0.35">
      <c r="A41" s="2">
        <v>42978</v>
      </c>
      <c r="B41" s="3">
        <v>20.6769771942106</v>
      </c>
      <c r="C41" s="3">
        <v>16.5972795600273</v>
      </c>
      <c r="D41" s="3">
        <v>17.619083092987399</v>
      </c>
      <c r="E41" s="3">
        <v>14.065110798586501</v>
      </c>
      <c r="F41" s="3">
        <v>14.966594782805901</v>
      </c>
      <c r="G41" s="3">
        <v>19.096394219931302</v>
      </c>
      <c r="H41" s="3">
        <v>16.066157180904298</v>
      </c>
      <c r="I41" s="3">
        <v>22.308295591724502</v>
      </c>
      <c r="J41" s="3">
        <v>19.075416558519098</v>
      </c>
      <c r="K41" s="3">
        <v>15.4734176980909</v>
      </c>
      <c r="L41" s="3">
        <v>16.552757869029001</v>
      </c>
      <c r="M41" s="3">
        <v>16.853049821473899</v>
      </c>
      <c r="N41" s="3">
        <v>43.088260238978002</v>
      </c>
    </row>
    <row r="42" spans="1:14" x14ac:dyDescent="0.35">
      <c r="A42" s="2">
        <v>43007</v>
      </c>
      <c r="B42" s="3">
        <v>20.6402295727802</v>
      </c>
      <c r="C42" s="3">
        <v>16.318319198928499</v>
      </c>
      <c r="D42" s="3">
        <v>17.654069951605699</v>
      </c>
      <c r="E42" s="3">
        <v>14.620290824259</v>
      </c>
      <c r="F42" s="3">
        <v>15.0466824256912</v>
      </c>
      <c r="G42" s="3">
        <v>19.459998833742201</v>
      </c>
      <c r="H42" s="3">
        <v>15.8458154642555</v>
      </c>
      <c r="I42" s="3">
        <v>22.304278594671199</v>
      </c>
      <c r="J42" s="3">
        <v>19.3338918115731</v>
      </c>
      <c r="K42" s="3">
        <v>15.944684967910201</v>
      </c>
      <c r="L42" s="3">
        <v>17.014056491360499</v>
      </c>
      <c r="M42" s="3">
        <v>17.714698700122099</v>
      </c>
      <c r="N42" s="3">
        <v>36.646634701999297</v>
      </c>
    </row>
    <row r="43" spans="1:14" x14ac:dyDescent="0.35">
      <c r="A43" s="2">
        <v>43039</v>
      </c>
      <c r="B43" s="3">
        <v>21.408262237753501</v>
      </c>
      <c r="C43" s="3">
        <v>16.625769416224902</v>
      </c>
      <c r="D43" s="3">
        <v>17.6157545620182</v>
      </c>
      <c r="E43" s="3">
        <v>15.1936640058717</v>
      </c>
      <c r="F43" s="3">
        <v>15.449079910775</v>
      </c>
      <c r="G43" s="3">
        <v>20.2673218313071</v>
      </c>
      <c r="H43" s="3">
        <v>15.622717985333001</v>
      </c>
      <c r="I43" s="3">
        <v>22.889842520851701</v>
      </c>
      <c r="J43" s="3">
        <v>19.600932475075901</v>
      </c>
      <c r="K43" s="3">
        <v>16.3219379829014</v>
      </c>
      <c r="L43" s="3">
        <v>17.3603717172514</v>
      </c>
      <c r="M43" s="3">
        <v>18.631176188588</v>
      </c>
      <c r="N43" s="3">
        <v>29.394611010514801</v>
      </c>
    </row>
    <row r="44" spans="1:14" x14ac:dyDescent="0.35">
      <c r="A44" s="2">
        <v>43069</v>
      </c>
      <c r="B44" s="3">
        <v>21.503132159391999</v>
      </c>
      <c r="C44" s="3">
        <v>16.593151651489201</v>
      </c>
      <c r="D44" s="3">
        <v>17.2597403951379</v>
      </c>
      <c r="E44" s="3">
        <v>15.266849211148299</v>
      </c>
      <c r="F44" s="3">
        <v>16.0286680729306</v>
      </c>
      <c r="G44" s="3">
        <v>20.460957466567599</v>
      </c>
      <c r="H44" s="3">
        <v>15.135486432799</v>
      </c>
      <c r="I44" s="3">
        <v>23.171270392368601</v>
      </c>
      <c r="J44" s="3">
        <v>20.028472980703</v>
      </c>
      <c r="K44" s="3">
        <v>16.0659138986526</v>
      </c>
      <c r="L44" s="3">
        <v>17.176635482608599</v>
      </c>
      <c r="M44" s="3">
        <v>17.983168683828598</v>
      </c>
      <c r="N44" s="3">
        <v>22.3870119374509</v>
      </c>
    </row>
    <row r="45" spans="1:14" x14ac:dyDescent="0.35">
      <c r="A45" s="2">
        <v>43098</v>
      </c>
      <c r="B45" s="3">
        <v>22.388925154765701</v>
      </c>
      <c r="C45" s="3">
        <v>16.827891133157099</v>
      </c>
      <c r="D45" s="3">
        <v>17.206915172904601</v>
      </c>
      <c r="E45" s="3">
        <v>15.2737781513871</v>
      </c>
      <c r="F45" s="3">
        <v>16.356655473142698</v>
      </c>
      <c r="G45" s="3">
        <v>20.734019633567801</v>
      </c>
      <c r="H45" s="3">
        <v>15.5492985215324</v>
      </c>
      <c r="I45" s="3">
        <v>23.527116252332601</v>
      </c>
      <c r="J45" s="3">
        <v>20.234723313277101</v>
      </c>
      <c r="K45" s="3">
        <v>15.968403181827799</v>
      </c>
      <c r="L45" s="3">
        <v>17.237747078145301</v>
      </c>
      <c r="M45" s="3">
        <v>17.8917428432806</v>
      </c>
      <c r="N45" s="3">
        <v>15.5073974754213</v>
      </c>
    </row>
    <row r="46" spans="1:14" x14ac:dyDescent="0.35">
      <c r="A46" s="2">
        <v>43131</v>
      </c>
      <c r="B46" s="3">
        <v>22.4868909508771</v>
      </c>
      <c r="C46" s="3">
        <v>16.754866934268701</v>
      </c>
      <c r="D46" s="3">
        <v>16.753191264089001</v>
      </c>
      <c r="E46" s="3">
        <v>15.3171741111833</v>
      </c>
      <c r="F46" s="3">
        <v>16.279022879671999</v>
      </c>
      <c r="G46" s="3">
        <v>21.807589378720401</v>
      </c>
      <c r="H46" s="3">
        <v>15.3633731963132</v>
      </c>
      <c r="I46" s="3">
        <v>25.162303018450402</v>
      </c>
      <c r="J46" s="3">
        <v>20.997281308058898</v>
      </c>
      <c r="K46" s="3">
        <v>16.439168965508699</v>
      </c>
      <c r="L46" s="3">
        <v>17.540283240111201</v>
      </c>
      <c r="M46" s="3">
        <v>18.698155855043002</v>
      </c>
      <c r="N46" s="3">
        <v>15.629001382646299</v>
      </c>
    </row>
    <row r="47" spans="1:14" x14ac:dyDescent="0.35">
      <c r="A47" s="2">
        <v>43159</v>
      </c>
      <c r="B47" s="3">
        <v>22.6915007290246</v>
      </c>
      <c r="C47" s="3">
        <v>16.5525904197488</v>
      </c>
      <c r="D47" s="3">
        <v>15.8440303406712</v>
      </c>
      <c r="E47" s="3">
        <v>14.256136240863601</v>
      </c>
      <c r="F47" s="3">
        <v>14.493257454053801</v>
      </c>
      <c r="G47" s="3">
        <v>21.230279326180401</v>
      </c>
      <c r="H47" s="3">
        <v>13.910784195916699</v>
      </c>
      <c r="I47" s="3">
        <v>24.1192849747836</v>
      </c>
      <c r="J47" s="3">
        <v>19.796141513328202</v>
      </c>
      <c r="K47" s="3">
        <v>15.621428269554601</v>
      </c>
      <c r="L47" s="3">
        <v>16.665918448253802</v>
      </c>
      <c r="M47" s="3">
        <v>16.991315291522799</v>
      </c>
      <c r="N47" s="3">
        <v>14.2133860010366</v>
      </c>
    </row>
    <row r="48" spans="1:14" x14ac:dyDescent="0.35">
      <c r="A48" s="2">
        <v>43188</v>
      </c>
      <c r="B48" s="3">
        <v>22.395471668322902</v>
      </c>
      <c r="C48" s="3">
        <v>16.2815090514869</v>
      </c>
      <c r="D48" s="3">
        <v>15.694294246763301</v>
      </c>
      <c r="E48" s="3">
        <v>14.096813167756901</v>
      </c>
      <c r="F48" s="3">
        <v>14.2542395217387</v>
      </c>
      <c r="G48" s="3">
        <v>20.720101104033901</v>
      </c>
      <c r="H48" s="3">
        <v>13.889865731274501</v>
      </c>
      <c r="I48" s="3">
        <v>23.6415291626979</v>
      </c>
      <c r="J48" s="3">
        <v>19.442240691761</v>
      </c>
      <c r="K48" s="3">
        <v>15.467357815326499</v>
      </c>
      <c r="L48" s="3">
        <v>16.559995888604899</v>
      </c>
      <c r="M48" s="3">
        <v>16.8339577519838</v>
      </c>
      <c r="N48" s="3">
        <v>14.083699160272401</v>
      </c>
    </row>
    <row r="49" spans="1:14" x14ac:dyDescent="0.35">
      <c r="A49" s="2">
        <v>43220</v>
      </c>
      <c r="B49" s="3">
        <v>22.317741440443498</v>
      </c>
      <c r="C49" s="3">
        <v>16.289045768337999</v>
      </c>
      <c r="D49" s="3">
        <v>15.5981434819284</v>
      </c>
      <c r="E49" s="3">
        <v>14.156803616180699</v>
      </c>
      <c r="F49" s="3">
        <v>14.2967769480474</v>
      </c>
      <c r="G49" s="3">
        <v>20.3109973029499</v>
      </c>
      <c r="H49" s="3">
        <v>14.0522513012969</v>
      </c>
      <c r="I49" s="3">
        <v>23.157281355142398</v>
      </c>
      <c r="J49" s="3">
        <v>19.077531196478201</v>
      </c>
      <c r="K49" s="3">
        <v>15.6091265603648</v>
      </c>
      <c r="L49" s="3">
        <v>16.586066767186701</v>
      </c>
      <c r="M49" s="3">
        <v>16.795441895308699</v>
      </c>
      <c r="N49" s="3">
        <v>14.1853625337352</v>
      </c>
    </row>
    <row r="50" spans="1:14" x14ac:dyDescent="0.35">
      <c r="A50" s="2">
        <v>43251</v>
      </c>
      <c r="B50" s="3">
        <v>22.3924160485054</v>
      </c>
      <c r="C50" s="3">
        <v>16.169090676793999</v>
      </c>
      <c r="D50" s="3">
        <v>15.4998553515382</v>
      </c>
      <c r="E50" s="3">
        <v>13.9907187288819</v>
      </c>
      <c r="F50" s="3">
        <v>14.0706555170014</v>
      </c>
      <c r="G50" s="3">
        <v>19.635220631594699</v>
      </c>
      <c r="H50" s="3">
        <v>13.975210811589999</v>
      </c>
      <c r="I50" s="3">
        <v>23.158647709191701</v>
      </c>
      <c r="J50" s="3">
        <v>18.857352387358201</v>
      </c>
      <c r="K50" s="3">
        <v>15.390246172604799</v>
      </c>
      <c r="L50" s="3">
        <v>16.5737457958089</v>
      </c>
      <c r="M50" s="3">
        <v>16.564271744229401</v>
      </c>
      <c r="N50" s="3">
        <v>13.4169063385909</v>
      </c>
    </row>
    <row r="51" spans="1:14" x14ac:dyDescent="0.35">
      <c r="A51" s="2">
        <v>43280</v>
      </c>
      <c r="B51" s="3">
        <v>22.847590549453798</v>
      </c>
      <c r="C51" s="3">
        <v>16.2800875614586</v>
      </c>
      <c r="D51" s="3">
        <v>15.4956522413703</v>
      </c>
      <c r="E51" s="3">
        <v>13.8875658519637</v>
      </c>
      <c r="F51" s="3">
        <v>13.910441782047499</v>
      </c>
      <c r="G51" s="3">
        <v>19.276078670819</v>
      </c>
      <c r="H51" s="3">
        <v>13.848330194822999</v>
      </c>
      <c r="I51" s="3">
        <v>22.976028130568199</v>
      </c>
      <c r="J51" s="3">
        <v>18.6134370089549</v>
      </c>
      <c r="K51" s="3">
        <v>15.1696652076955</v>
      </c>
      <c r="L51" s="3">
        <v>16.517634765485699</v>
      </c>
      <c r="M51" s="3">
        <v>16.476991229032699</v>
      </c>
      <c r="N51" s="3">
        <v>13.289562623464599</v>
      </c>
    </row>
    <row r="52" spans="1:14" x14ac:dyDescent="0.35">
      <c r="A52" s="2">
        <v>43312</v>
      </c>
      <c r="B52" s="3">
        <v>22.887148619642701</v>
      </c>
      <c r="C52" s="3">
        <v>16.353302612195201</v>
      </c>
      <c r="D52" s="3">
        <v>15.5298456094147</v>
      </c>
      <c r="E52" s="3">
        <v>14.184201503542701</v>
      </c>
      <c r="F52" s="3">
        <v>13.876896657059101</v>
      </c>
      <c r="G52" s="3">
        <v>19.2873125729907</v>
      </c>
      <c r="H52" s="3">
        <v>13.966781612643899</v>
      </c>
      <c r="I52" s="3">
        <v>22.929441888311199</v>
      </c>
      <c r="J52" s="3">
        <v>18.621519945271601</v>
      </c>
      <c r="K52" s="3">
        <v>15.324875454619001</v>
      </c>
      <c r="L52" s="3">
        <v>16.825446919211601</v>
      </c>
      <c r="M52" s="3">
        <v>16.637170380722999</v>
      </c>
      <c r="N52" s="3">
        <v>13.3608723048161</v>
      </c>
    </row>
    <row r="53" spans="1:14" x14ac:dyDescent="0.35">
      <c r="A53" s="2">
        <v>43343</v>
      </c>
      <c r="B53" s="3">
        <v>23.757388864391</v>
      </c>
      <c r="C53" s="3">
        <v>16.359794784017701</v>
      </c>
      <c r="D53" s="3">
        <v>15.238977878050401</v>
      </c>
      <c r="E53" s="3">
        <v>14.021403360529799</v>
      </c>
      <c r="F53" s="3">
        <v>13.650650473683299</v>
      </c>
      <c r="G53" s="3">
        <v>18.797701941154699</v>
      </c>
      <c r="H53" s="3">
        <v>13.5125453110635</v>
      </c>
      <c r="I53" s="3">
        <v>23.462207281979499</v>
      </c>
      <c r="J53" s="3">
        <v>18.701689354028201</v>
      </c>
      <c r="K53" s="3">
        <v>15.0320387753647</v>
      </c>
      <c r="L53" s="3">
        <v>16.600732905253501</v>
      </c>
      <c r="M53" s="3">
        <v>16.8131756196541</v>
      </c>
      <c r="N53" s="3">
        <v>12.4458594415345</v>
      </c>
    </row>
    <row r="54" spans="1:14" x14ac:dyDescent="0.35">
      <c r="A54" s="2">
        <v>43371</v>
      </c>
      <c r="B54" s="3">
        <v>23.554413501985898</v>
      </c>
      <c r="C54" s="3">
        <v>16.077010528992499</v>
      </c>
      <c r="D54" s="3">
        <v>15.038116760119999</v>
      </c>
      <c r="E54" s="3">
        <v>13.90480165962</v>
      </c>
      <c r="F54" s="3">
        <v>13.980353886776101</v>
      </c>
      <c r="G54" s="3">
        <v>18.587269952306698</v>
      </c>
      <c r="H54" s="3">
        <v>13.625078866389501</v>
      </c>
      <c r="I54" s="3">
        <v>23.2714903030339</v>
      </c>
      <c r="J54" s="3">
        <v>18.596762697053499</v>
      </c>
      <c r="K54" s="3">
        <v>15.103440315128299</v>
      </c>
      <c r="L54" s="3">
        <v>16.292242665657799</v>
      </c>
      <c r="M54" s="3">
        <v>16.930242746771</v>
      </c>
      <c r="N54" s="3">
        <v>12.333076822305999</v>
      </c>
    </row>
    <row r="55" spans="1:14" x14ac:dyDescent="0.35">
      <c r="A55" s="2">
        <v>43404</v>
      </c>
      <c r="B55" s="3">
        <v>22.6067105936316</v>
      </c>
      <c r="C55" s="3">
        <v>15.230258907842501</v>
      </c>
      <c r="D55" s="3">
        <v>14.182954414186201</v>
      </c>
      <c r="E55" s="3">
        <v>13.069319774024301</v>
      </c>
      <c r="F55" s="3">
        <v>12.8398526102144</v>
      </c>
      <c r="G55" s="3">
        <v>17.9313759114278</v>
      </c>
      <c r="H55" s="3">
        <v>12.848369351872</v>
      </c>
      <c r="I55" s="3">
        <v>21.1577722300235</v>
      </c>
      <c r="J55" s="3">
        <v>17.297158673934099</v>
      </c>
      <c r="K55" s="3">
        <v>14.142316150332199</v>
      </c>
      <c r="L55" s="3">
        <v>15.4619403514561</v>
      </c>
      <c r="M55" s="3">
        <v>15.325064220001201</v>
      </c>
      <c r="N55" s="3">
        <v>11.440603687089</v>
      </c>
    </row>
    <row r="56" spans="1:14" x14ac:dyDescent="0.35">
      <c r="A56" s="2">
        <v>43434</v>
      </c>
      <c r="B56" s="3">
        <v>22.721928670499</v>
      </c>
      <c r="C56" s="3">
        <v>14.8672537208656</v>
      </c>
      <c r="D56" s="3">
        <v>14.054323813252999</v>
      </c>
      <c r="E56" s="3">
        <v>12.8828774173161</v>
      </c>
      <c r="F56" s="3">
        <v>12.8279675403355</v>
      </c>
      <c r="G56" s="3">
        <v>17.703786659699499</v>
      </c>
      <c r="H56" s="3">
        <v>12.550971483693401</v>
      </c>
      <c r="I56" s="3">
        <v>20.752725692926798</v>
      </c>
      <c r="J56" s="3">
        <v>17.253370587726302</v>
      </c>
      <c r="K56" s="3">
        <v>13.753071887567099</v>
      </c>
      <c r="L56" s="3">
        <v>15.412775614075001</v>
      </c>
      <c r="M56" s="3">
        <v>14.8233032959828</v>
      </c>
      <c r="N56" s="3">
        <v>11.2217000747596</v>
      </c>
    </row>
    <row r="57" spans="1:14" x14ac:dyDescent="0.35">
      <c r="A57" s="2">
        <v>43465</v>
      </c>
      <c r="B57" s="3">
        <v>22.974092481471502</v>
      </c>
      <c r="C57" s="3">
        <v>14.6223187067508</v>
      </c>
      <c r="D57" s="3">
        <v>13.131557852534799</v>
      </c>
      <c r="E57" s="3">
        <v>12.0117474275311</v>
      </c>
      <c r="F57" s="3">
        <v>11.478063485722499</v>
      </c>
      <c r="G57" s="3">
        <v>16.186770504770799</v>
      </c>
      <c r="H57" s="3">
        <v>11.9434339120145</v>
      </c>
      <c r="I57" s="3">
        <v>18.639662312282699</v>
      </c>
      <c r="J57" s="3">
        <v>15.4897044891365</v>
      </c>
      <c r="K57" s="3">
        <v>12.9349299562362</v>
      </c>
      <c r="L57" s="3">
        <v>14.2830374670868</v>
      </c>
      <c r="M57" s="3">
        <v>13.801571070511701</v>
      </c>
      <c r="N57" s="3">
        <v>10.387179484884999</v>
      </c>
    </row>
    <row r="58" spans="1:14" x14ac:dyDescent="0.35">
      <c r="A58" s="2">
        <v>43496</v>
      </c>
      <c r="B58" s="3">
        <v>23.250735482785501</v>
      </c>
      <c r="C58" s="3">
        <v>15.277818788576401</v>
      </c>
      <c r="D58" s="3">
        <v>14.5619322093374</v>
      </c>
      <c r="E58" s="3">
        <v>12.809311505847701</v>
      </c>
      <c r="F58" s="3">
        <v>12.141787803910301</v>
      </c>
      <c r="G58" s="3">
        <v>17.5859729363534</v>
      </c>
      <c r="H58" s="3">
        <v>12.587114094204001</v>
      </c>
      <c r="I58" s="3">
        <v>20.4109511419258</v>
      </c>
      <c r="J58" s="3">
        <v>16.695530642422799</v>
      </c>
      <c r="K58" s="3">
        <v>13.7605349281608</v>
      </c>
      <c r="L58" s="3">
        <v>15.157655665820901</v>
      </c>
      <c r="M58" s="3">
        <v>16.0633534429438</v>
      </c>
      <c r="N58" s="3">
        <v>11.1378662596426</v>
      </c>
    </row>
    <row r="59" spans="1:14" x14ac:dyDescent="0.35">
      <c r="A59" s="2">
        <v>43524</v>
      </c>
      <c r="B59" s="3">
        <v>24.181576055078398</v>
      </c>
      <c r="C59" s="3">
        <v>15.9106076548454</v>
      </c>
      <c r="D59" s="3">
        <v>14.725206183424801</v>
      </c>
      <c r="E59" s="3">
        <v>13.2194048887983</v>
      </c>
      <c r="F59" s="3">
        <v>12.683518082045699</v>
      </c>
      <c r="G59" s="3">
        <v>18.353632933802398</v>
      </c>
      <c r="H59" s="3">
        <v>12.9344829141285</v>
      </c>
      <c r="I59" s="3">
        <v>20.8978946598702</v>
      </c>
      <c r="J59" s="3">
        <v>17.110139692055501</v>
      </c>
      <c r="K59" s="3">
        <v>14.5731947255995</v>
      </c>
      <c r="L59" s="3">
        <v>16.1413693740359</v>
      </c>
      <c r="M59" s="3">
        <v>18.159541093615498</v>
      </c>
      <c r="N59" s="3">
        <v>11.3132451904946</v>
      </c>
    </row>
    <row r="60" spans="1:14" x14ac:dyDescent="0.35">
      <c r="A60" s="2">
        <v>43553</v>
      </c>
      <c r="B60" s="3">
        <v>24.175166501223401</v>
      </c>
      <c r="C60" s="3">
        <v>15.8666437464871</v>
      </c>
      <c r="D60" s="3">
        <v>14.7083814108673</v>
      </c>
      <c r="E60" s="3">
        <v>13.1627985387774</v>
      </c>
      <c r="F60" s="3">
        <v>12.687555236804</v>
      </c>
      <c r="G60" s="3">
        <v>18.2760040041127</v>
      </c>
      <c r="H60" s="3">
        <v>12.947707118204599</v>
      </c>
      <c r="I60" s="3">
        <v>21.030754940942401</v>
      </c>
      <c r="J60" s="3">
        <v>17.136536634805001</v>
      </c>
      <c r="K60" s="3">
        <v>14.543172368441599</v>
      </c>
      <c r="L60" s="3">
        <v>16.150036104812301</v>
      </c>
      <c r="M60" s="3">
        <v>17.839680052769602</v>
      </c>
      <c r="N60" s="3">
        <v>11.324216150149001</v>
      </c>
    </row>
    <row r="61" spans="1:14" x14ac:dyDescent="0.35">
      <c r="A61" s="2">
        <v>43585</v>
      </c>
      <c r="B61" s="3">
        <v>24.2039690047466</v>
      </c>
      <c r="C61" s="3">
        <v>15.8616983106033</v>
      </c>
      <c r="D61" s="3">
        <v>14.629980751586499</v>
      </c>
      <c r="E61" s="3">
        <v>13.404609382726999</v>
      </c>
      <c r="F61" s="3">
        <v>12.786808906553</v>
      </c>
      <c r="G61" s="3">
        <v>18.294423223649499</v>
      </c>
      <c r="H61" s="3">
        <v>13.0061462553982</v>
      </c>
      <c r="I61" s="3">
        <v>21.4441069271417</v>
      </c>
      <c r="J61" s="3">
        <v>17.319964171815698</v>
      </c>
      <c r="K61" s="3">
        <v>14.691999028481501</v>
      </c>
      <c r="L61" s="3">
        <v>16.363334585086101</v>
      </c>
      <c r="M61" s="3">
        <v>17.8878899439379</v>
      </c>
      <c r="N61" s="3">
        <v>11.3584520167683</v>
      </c>
    </row>
    <row r="62" spans="1:14" x14ac:dyDescent="0.35">
      <c r="A62" s="2">
        <v>43616</v>
      </c>
      <c r="B62" s="3">
        <v>24.2756481212711</v>
      </c>
      <c r="C62" s="3">
        <v>15.913793143409499</v>
      </c>
      <c r="D62" s="3">
        <v>14.3717500238412</v>
      </c>
      <c r="E62" s="3">
        <v>13.089620118325101</v>
      </c>
      <c r="F62" s="3">
        <v>12.6047285191562</v>
      </c>
      <c r="G62" s="3">
        <v>18.048041672357801</v>
      </c>
      <c r="H62" s="3">
        <v>12.8170105442727</v>
      </c>
      <c r="I62" s="3">
        <v>20.791920606647501</v>
      </c>
      <c r="J62" s="3">
        <v>16.869952553776901</v>
      </c>
      <c r="K62" s="3">
        <v>14.325010705574901</v>
      </c>
      <c r="L62" s="3">
        <v>16.023790859938199</v>
      </c>
      <c r="M62" s="3">
        <v>16.971715099115599</v>
      </c>
      <c r="N62" s="3">
        <v>10.836667034931001</v>
      </c>
    </row>
    <row r="63" spans="1:14" x14ac:dyDescent="0.35">
      <c r="A63" s="2">
        <v>43644</v>
      </c>
      <c r="B63" s="3">
        <v>24.684811192637401</v>
      </c>
      <c r="C63" s="3">
        <v>16.258609830816301</v>
      </c>
      <c r="D63" s="3">
        <v>14.4933225115679</v>
      </c>
      <c r="E63" s="3">
        <v>13.433027933572699</v>
      </c>
      <c r="F63" s="3">
        <v>12.8569130332454</v>
      </c>
      <c r="G63" s="3">
        <v>18.3689302500905</v>
      </c>
      <c r="H63" s="3">
        <v>13.058708083920401</v>
      </c>
      <c r="I63" s="3">
        <v>21.605389695172502</v>
      </c>
      <c r="J63" s="3">
        <v>17.4039736500125</v>
      </c>
      <c r="K63" s="3">
        <v>14.683889494528</v>
      </c>
      <c r="L63" s="3">
        <v>16.3913612047219</v>
      </c>
      <c r="M63" s="3">
        <v>17.131859811964201</v>
      </c>
      <c r="N63" s="3">
        <v>11.109141201789599</v>
      </c>
    </row>
    <row r="64" spans="1:14" x14ac:dyDescent="0.35">
      <c r="A64" s="2">
        <v>43677</v>
      </c>
      <c r="B64" s="3">
        <v>25.37690170099</v>
      </c>
      <c r="C64" s="3">
        <v>16.525547229647302</v>
      </c>
      <c r="D64" s="3">
        <v>14.4837677283204</v>
      </c>
      <c r="E64" s="3">
        <v>13.5865996593443</v>
      </c>
      <c r="F64" s="3">
        <v>12.9955778748587</v>
      </c>
      <c r="G64" s="3">
        <v>18.330145434028001</v>
      </c>
      <c r="H64" s="3">
        <v>13.1346861031572</v>
      </c>
      <c r="I64" s="3">
        <v>21.9696815582864</v>
      </c>
      <c r="J64" s="3">
        <v>17.6495606365581</v>
      </c>
      <c r="K64" s="3">
        <v>14.816208284888701</v>
      </c>
      <c r="L64" s="3">
        <v>16.613863800411199</v>
      </c>
      <c r="M64" s="3">
        <v>16.8142201062076</v>
      </c>
      <c r="N64" s="3">
        <v>11.157494390592101</v>
      </c>
    </row>
    <row r="65" spans="1:14" x14ac:dyDescent="0.35">
      <c r="A65" s="2">
        <v>43706</v>
      </c>
      <c r="B65" s="3">
        <v>27.6180524236735</v>
      </c>
      <c r="C65" s="3">
        <v>16.249530543814299</v>
      </c>
      <c r="D65" s="3">
        <v>14.421813003017499</v>
      </c>
      <c r="E65" s="3">
        <v>13.518890503231299</v>
      </c>
      <c r="F65" s="3">
        <v>12.7294124117303</v>
      </c>
      <c r="G65" s="3">
        <v>18.2372817421703</v>
      </c>
      <c r="H65" s="3">
        <v>12.7992158157478</v>
      </c>
      <c r="I65" s="3">
        <v>21.836873922545799</v>
      </c>
      <c r="J65" s="3">
        <v>17.521408277328099</v>
      </c>
      <c r="K65" s="3">
        <v>14.772551100727901</v>
      </c>
      <c r="L65" s="3">
        <v>16.526079527875702</v>
      </c>
      <c r="M65" s="3">
        <v>15.7954335539401</v>
      </c>
      <c r="N65" s="3">
        <v>11.1152851854124</v>
      </c>
    </row>
    <row r="66" spans="1:14" x14ac:dyDescent="0.35">
      <c r="A66" s="2">
        <v>43738</v>
      </c>
      <c r="B66" s="3">
        <v>28.5828969973231</v>
      </c>
      <c r="C66" s="3">
        <v>16.800228186863301</v>
      </c>
      <c r="D66" s="3">
        <v>14.671502413596899</v>
      </c>
      <c r="E66" s="3">
        <v>14.0965748871289</v>
      </c>
      <c r="F66" s="3">
        <v>13.415446466988</v>
      </c>
      <c r="G66" s="3">
        <v>18.444921732929899</v>
      </c>
      <c r="H66" s="3">
        <v>13.193717493493301</v>
      </c>
      <c r="I66" s="3">
        <v>22.108316833345199</v>
      </c>
      <c r="J66" s="3">
        <v>17.8723272783681</v>
      </c>
      <c r="K66" s="3">
        <v>15.189027574894601</v>
      </c>
      <c r="L66" s="3">
        <v>17.142945620770799</v>
      </c>
      <c r="M66" s="3">
        <v>16.496360630241501</v>
      </c>
      <c r="N66" s="3">
        <v>11.3435956581048</v>
      </c>
    </row>
    <row r="67" spans="1:14" x14ac:dyDescent="0.35">
      <c r="A67" s="2">
        <v>43769</v>
      </c>
      <c r="B67" s="3">
        <v>28.833038667675002</v>
      </c>
      <c r="C67" s="3">
        <v>17.2646260360223</v>
      </c>
      <c r="D67" s="3">
        <v>14.732313730794701</v>
      </c>
      <c r="E67" s="3">
        <v>14.749505900578001</v>
      </c>
      <c r="F67" s="3">
        <v>14.0857705741796</v>
      </c>
      <c r="G67" s="3">
        <v>18.701437056745799</v>
      </c>
      <c r="H67" s="3">
        <v>13.226947493350901</v>
      </c>
      <c r="I67" s="3">
        <v>22.934826886271299</v>
      </c>
      <c r="J67" s="3">
        <v>18.3339021282811</v>
      </c>
      <c r="K67" s="3">
        <v>15.6105424942002</v>
      </c>
      <c r="L67" s="3">
        <v>17.320670952251</v>
      </c>
      <c r="M67" s="3">
        <v>16.804687679818102</v>
      </c>
      <c r="N67" s="3">
        <v>11.6569554758363</v>
      </c>
    </row>
    <row r="68" spans="1:14" x14ac:dyDescent="0.35">
      <c r="A68" s="2">
        <v>43798</v>
      </c>
      <c r="B68" s="3">
        <v>31.253720314748499</v>
      </c>
      <c r="C68" s="3">
        <v>17.742054424109298</v>
      </c>
      <c r="D68" s="3">
        <v>15.101999632458099</v>
      </c>
      <c r="E68" s="3">
        <v>15.237152155503001</v>
      </c>
      <c r="F68" s="3">
        <v>14.732873744507399</v>
      </c>
      <c r="G68" s="3">
        <v>19.048754682049601</v>
      </c>
      <c r="H68" s="3">
        <v>13.5533398219348</v>
      </c>
      <c r="I68" s="3">
        <v>24.162228231870898</v>
      </c>
      <c r="J68" s="3">
        <v>19.090700353494899</v>
      </c>
      <c r="K68" s="3">
        <v>16.0933141210066</v>
      </c>
      <c r="L68" s="3">
        <v>18.074696824567301</v>
      </c>
      <c r="M68" s="3">
        <v>15.883127532960801</v>
      </c>
      <c r="N68" s="3">
        <v>11.9159892515684</v>
      </c>
    </row>
    <row r="69" spans="1:14" x14ac:dyDescent="0.35">
      <c r="A69" s="2">
        <v>43830</v>
      </c>
      <c r="B69" s="3">
        <v>32.341771496178303</v>
      </c>
      <c r="C69" s="3">
        <v>17.768822925351401</v>
      </c>
      <c r="D69" s="3">
        <v>15.253236297726099</v>
      </c>
      <c r="E69" s="3">
        <v>15.472837589439401</v>
      </c>
      <c r="F69" s="3">
        <v>15.3183648508336</v>
      </c>
      <c r="G69" s="3">
        <v>19.619931256546899</v>
      </c>
      <c r="H69" s="3">
        <v>14.149860683655101</v>
      </c>
      <c r="I69" s="3">
        <v>25.4709466074783</v>
      </c>
      <c r="J69" s="3">
        <v>19.8780204779491</v>
      </c>
      <c r="K69" s="3">
        <v>16.497961554423998</v>
      </c>
      <c r="L69" s="3">
        <v>18.632509008504702</v>
      </c>
      <c r="M69" s="3">
        <v>16.172244750912899</v>
      </c>
      <c r="N69" s="3">
        <v>12.1127684771213</v>
      </c>
    </row>
    <row r="70" spans="1:14" x14ac:dyDescent="0.35">
      <c r="A70" s="2">
        <v>43861</v>
      </c>
      <c r="B70" s="3">
        <v>32.637837937192003</v>
      </c>
      <c r="C70" s="3">
        <v>18.446037941219998</v>
      </c>
      <c r="D70" s="3">
        <v>15.3686742646582</v>
      </c>
      <c r="E70" s="3">
        <v>15.0341086969967</v>
      </c>
      <c r="F70" s="3">
        <v>15.041330177921999</v>
      </c>
      <c r="G70" s="3">
        <v>19.678318617266399</v>
      </c>
      <c r="H70" s="3">
        <v>13.7918554772621</v>
      </c>
      <c r="I70" s="3">
        <v>25.579730013334601</v>
      </c>
      <c r="J70" s="3">
        <v>19.6689283170853</v>
      </c>
      <c r="K70" s="3">
        <v>16.0515710526366</v>
      </c>
      <c r="L70" s="3">
        <v>18.421976265016198</v>
      </c>
      <c r="M70" s="3">
        <v>13.818045937379001</v>
      </c>
      <c r="N70" s="3">
        <v>11.986559374222301</v>
      </c>
    </row>
    <row r="71" spans="1:14" x14ac:dyDescent="0.35">
      <c r="A71" s="2">
        <v>43889</v>
      </c>
      <c r="B71" s="3">
        <v>31.1164202842496</v>
      </c>
      <c r="C71" s="3">
        <v>16.9463800934025</v>
      </c>
      <c r="D71" s="3">
        <v>14.3479619341519</v>
      </c>
      <c r="E71" s="3">
        <v>14.037558798980401</v>
      </c>
      <c r="F71" s="3">
        <v>13.977459534720699</v>
      </c>
      <c r="G71" s="3">
        <v>18.010310827640598</v>
      </c>
      <c r="H71" s="3">
        <v>12.3461505849041</v>
      </c>
      <c r="I71" s="3">
        <v>23.803653105256501</v>
      </c>
      <c r="J71" s="3">
        <v>17.904501151654401</v>
      </c>
      <c r="K71" s="3">
        <v>14.6441363505227</v>
      </c>
      <c r="L71" s="3">
        <v>17.336755859298499</v>
      </c>
      <c r="M71" s="3">
        <v>12.881443136574701</v>
      </c>
      <c r="N71" s="3">
        <v>11.3567081312941</v>
      </c>
    </row>
    <row r="72" spans="1:14" x14ac:dyDescent="0.35">
      <c r="A72" s="2">
        <v>43921</v>
      </c>
      <c r="B72" s="3">
        <v>30.405889260037799</v>
      </c>
      <c r="C72" s="3">
        <v>16.318329361649901</v>
      </c>
      <c r="D72" s="3">
        <v>14.258098988357</v>
      </c>
      <c r="E72" s="3">
        <v>13.8574665560313</v>
      </c>
      <c r="F72" s="3">
        <v>13.7472101337229</v>
      </c>
      <c r="G72" s="3">
        <v>17.809325392650099</v>
      </c>
      <c r="H72" s="3">
        <v>12.4319544914076</v>
      </c>
      <c r="I72" s="3">
        <v>23.524577869594498</v>
      </c>
      <c r="J72" s="3">
        <v>17.6070289760391</v>
      </c>
      <c r="K72" s="3">
        <v>14.433713027227</v>
      </c>
      <c r="L72" s="3">
        <v>16.928059704960699</v>
      </c>
      <c r="M72" s="3">
        <v>12.979578003226999</v>
      </c>
      <c r="N72" s="3">
        <v>11.097595910126699</v>
      </c>
    </row>
    <row r="73" spans="1:14" x14ac:dyDescent="0.35">
      <c r="A73" s="2">
        <v>43951</v>
      </c>
      <c r="B73" s="3">
        <v>31.5637840630387</v>
      </c>
      <c r="C73" s="3">
        <v>17.412156615077301</v>
      </c>
      <c r="D73" s="3">
        <v>15.598096415451099</v>
      </c>
      <c r="E73" s="3">
        <v>15.0234054301475</v>
      </c>
      <c r="F73" s="3">
        <v>14.3371429390979</v>
      </c>
      <c r="G73" s="3">
        <v>18.548706436628201</v>
      </c>
      <c r="H73" s="3">
        <v>13.6429188342853</v>
      </c>
      <c r="I73" s="3">
        <v>25.082250337986501</v>
      </c>
      <c r="J73" s="3">
        <v>19.340836708990999</v>
      </c>
      <c r="K73" s="3">
        <v>15.873480664591201</v>
      </c>
      <c r="L73" s="3">
        <v>17.8382461223574</v>
      </c>
      <c r="M73" s="3">
        <v>14.5160519252829</v>
      </c>
      <c r="N73" s="3">
        <v>12.541122260211701</v>
      </c>
    </row>
    <row r="74" spans="1:14" x14ac:dyDescent="0.35">
      <c r="A74" s="2">
        <v>43980</v>
      </c>
      <c r="B74" s="3">
        <v>32.540046315497399</v>
      </c>
      <c r="C74" s="3">
        <v>17.937789650239701</v>
      </c>
      <c r="D74" s="3">
        <v>17.204524579097001</v>
      </c>
      <c r="E74" s="3">
        <v>16.187456219889601</v>
      </c>
      <c r="F74" s="3">
        <v>15.526214238416699</v>
      </c>
      <c r="G74" s="3">
        <v>19.114820521993401</v>
      </c>
      <c r="H74" s="3">
        <v>14.556086664048101</v>
      </c>
      <c r="I74" s="3">
        <v>26.484129046298801</v>
      </c>
      <c r="J74" s="3">
        <v>20.447382583716401</v>
      </c>
      <c r="K74" s="3">
        <v>16.865293002553301</v>
      </c>
      <c r="L74" s="3">
        <v>18.542995335538599</v>
      </c>
      <c r="M74" s="3">
        <v>15.776587729904399</v>
      </c>
      <c r="N74" s="3">
        <v>14.404691354362701</v>
      </c>
    </row>
    <row r="75" spans="1:14" x14ac:dyDescent="0.35">
      <c r="A75" s="2">
        <v>44012</v>
      </c>
      <c r="B75" s="3">
        <v>32.715118672149003</v>
      </c>
      <c r="C75" s="3">
        <v>18.3776447473684</v>
      </c>
      <c r="D75" s="3">
        <v>17.359621468131799</v>
      </c>
      <c r="E75" s="3">
        <v>17.631315462571902</v>
      </c>
      <c r="F75" s="3">
        <v>16.934209982668602</v>
      </c>
      <c r="G75" s="3">
        <v>19.543349288011601</v>
      </c>
      <c r="H75" s="3">
        <v>15.157621974194001</v>
      </c>
      <c r="I75" s="3">
        <v>27.669630214578699</v>
      </c>
      <c r="J75" s="3">
        <v>21.225908399547698</v>
      </c>
      <c r="K75" s="3">
        <v>18.590685026769201</v>
      </c>
      <c r="L75" s="3">
        <v>19.4984295095731</v>
      </c>
      <c r="M75" s="3">
        <v>17.253330914737099</v>
      </c>
      <c r="N75" s="3">
        <v>16.349416445734899</v>
      </c>
    </row>
    <row r="76" spans="1:14" x14ac:dyDescent="0.35">
      <c r="A76" s="2">
        <v>44043</v>
      </c>
      <c r="B76" s="3">
        <v>33.675229284007102</v>
      </c>
      <c r="C76" s="3">
        <v>18.9843454772302</v>
      </c>
      <c r="D76" s="3">
        <v>17.9754654025799</v>
      </c>
      <c r="E76" s="3">
        <v>18.497753877400701</v>
      </c>
      <c r="F76" s="3">
        <v>17.3845613454213</v>
      </c>
      <c r="G76" s="3">
        <v>19.909446344079601</v>
      </c>
      <c r="H76" s="3">
        <v>15.4436795299238</v>
      </c>
      <c r="I76" s="3">
        <v>28.717693811545999</v>
      </c>
      <c r="J76" s="3">
        <v>22.089259303246799</v>
      </c>
      <c r="K76" s="3">
        <v>20.768184236616701</v>
      </c>
      <c r="L76" s="3">
        <v>20.104972949763301</v>
      </c>
      <c r="M76" s="3">
        <v>16.869433574745099</v>
      </c>
      <c r="N76" s="3">
        <v>17.002658339409098</v>
      </c>
    </row>
    <row r="77" spans="1:14" x14ac:dyDescent="0.35">
      <c r="A77" s="2">
        <v>44074</v>
      </c>
      <c r="B77" s="3">
        <v>34.157125395079198</v>
      </c>
      <c r="C77" s="3">
        <v>19.8421573733972</v>
      </c>
      <c r="D77" s="3">
        <v>18.296707584153101</v>
      </c>
      <c r="E77" s="3">
        <v>19.974428188912</v>
      </c>
      <c r="F77" s="3">
        <v>18.906862394588401</v>
      </c>
      <c r="G77" s="3">
        <v>20.6226992913485</v>
      </c>
      <c r="H77" s="3">
        <v>16.6926491664378</v>
      </c>
      <c r="I77" s="3">
        <v>31.519785718940501</v>
      </c>
      <c r="J77" s="3">
        <v>23.681134843439999</v>
      </c>
      <c r="K77" s="3">
        <v>22.529251175502299</v>
      </c>
      <c r="L77" s="3">
        <v>21.120490907162601</v>
      </c>
      <c r="M77" s="3">
        <v>17.202926913329701</v>
      </c>
      <c r="N77" s="3">
        <v>17.789511069069899</v>
      </c>
    </row>
    <row r="78" spans="1:14" x14ac:dyDescent="0.35">
      <c r="A78" s="2">
        <v>44104</v>
      </c>
      <c r="B78" s="3">
        <v>33.707001532724298</v>
      </c>
      <c r="C78" s="3">
        <v>19.0859778866838</v>
      </c>
      <c r="D78" s="3">
        <v>18.302341265102399</v>
      </c>
      <c r="E78" s="3">
        <v>20.3685701659738</v>
      </c>
      <c r="F78" s="3">
        <v>19.9828069684574</v>
      </c>
      <c r="G78" s="3">
        <v>20.7175176002774</v>
      </c>
      <c r="H78" s="3">
        <v>16.797478275177699</v>
      </c>
      <c r="I78" s="3">
        <v>30.8591969471784</v>
      </c>
      <c r="J78" s="3">
        <v>23.566748547720302</v>
      </c>
      <c r="K78" s="3">
        <v>23.077546052757899</v>
      </c>
      <c r="L78" s="3">
        <v>21.834382448011201</v>
      </c>
      <c r="M78" s="3">
        <v>18.115578059276</v>
      </c>
      <c r="N78" s="3">
        <v>18.187095285332202</v>
      </c>
    </row>
    <row r="79" spans="1:14" x14ac:dyDescent="0.35">
      <c r="A79" s="2">
        <v>44134</v>
      </c>
      <c r="B79" s="3">
        <v>34.868742843247901</v>
      </c>
      <c r="C79" s="3">
        <v>19.532904408087401</v>
      </c>
      <c r="D79" s="3">
        <v>17.985903220693601</v>
      </c>
      <c r="E79" s="3">
        <v>18.392764522593399</v>
      </c>
      <c r="F79" s="3">
        <v>20.1516996007093</v>
      </c>
      <c r="G79" s="3">
        <v>19.6743356945416</v>
      </c>
      <c r="H79" s="3">
        <v>15.7468984494646</v>
      </c>
      <c r="I79" s="3">
        <v>29.74254705397</v>
      </c>
      <c r="J79" s="3">
        <v>22.845646616307199</v>
      </c>
      <c r="K79" s="3">
        <v>22.9517526175939</v>
      </c>
      <c r="L79" s="3">
        <v>21.594151220429701</v>
      </c>
      <c r="M79" s="3">
        <v>15.009870937595601</v>
      </c>
      <c r="N79" s="3">
        <v>17.976629478364501</v>
      </c>
    </row>
    <row r="80" spans="1:14" x14ac:dyDescent="0.35">
      <c r="A80" s="2">
        <v>44165</v>
      </c>
      <c r="B80" s="3">
        <v>35.644398722735602</v>
      </c>
      <c r="C80" s="3">
        <v>21.970504162433901</v>
      </c>
      <c r="D80" s="3">
        <v>19.779457957622601</v>
      </c>
      <c r="E80" s="3">
        <v>21.805880714094901</v>
      </c>
      <c r="F80" s="3">
        <v>22.533308397708399</v>
      </c>
      <c r="G80" s="3">
        <v>21.3471541780448</v>
      </c>
      <c r="H80" s="3">
        <v>18.500124446794999</v>
      </c>
      <c r="I80" s="3">
        <v>33.164566621846902</v>
      </c>
      <c r="J80" s="3">
        <v>25.330223667685299</v>
      </c>
      <c r="K80" s="3">
        <v>27.893522006700199</v>
      </c>
      <c r="L80" s="3">
        <v>26.0693665911555</v>
      </c>
      <c r="M80" s="3">
        <v>16.8143784229845</v>
      </c>
      <c r="N80" s="3">
        <v>21.877784176133499</v>
      </c>
    </row>
    <row r="81" spans="1:14" x14ac:dyDescent="0.35">
      <c r="A81" s="2">
        <v>44196</v>
      </c>
      <c r="B81" s="3">
        <v>37.928037510666698</v>
      </c>
      <c r="C81" s="3">
        <v>22.9540612302639</v>
      </c>
      <c r="D81" s="3">
        <v>20.367488124811899</v>
      </c>
      <c r="E81" s="3">
        <v>22.126768463538401</v>
      </c>
      <c r="F81" s="3">
        <v>23.610767776269899</v>
      </c>
      <c r="G81" s="3">
        <v>22.0192335076548</v>
      </c>
      <c r="H81" s="3">
        <v>19.767570178890502</v>
      </c>
      <c r="I81" s="3">
        <v>35.237273739519601</v>
      </c>
      <c r="J81" s="3">
        <v>27.423472938300399</v>
      </c>
      <c r="K81" s="3">
        <v>28.8602295434066</v>
      </c>
      <c r="L81" s="3">
        <v>27.348340291144599</v>
      </c>
      <c r="M81" s="3">
        <v>17.914111101730899</v>
      </c>
      <c r="N81" s="3">
        <v>23.3237130000973</v>
      </c>
    </row>
    <row r="82" spans="1:14" x14ac:dyDescent="0.35">
      <c r="A82" s="2">
        <v>44225</v>
      </c>
      <c r="B82" s="3">
        <v>37.134625951164701</v>
      </c>
      <c r="C82" s="3">
        <v>22.412023804422901</v>
      </c>
      <c r="D82" s="3">
        <v>20.1128469764759</v>
      </c>
      <c r="E82" s="3">
        <v>20.743972369763402</v>
      </c>
      <c r="F82" s="3">
        <v>22.9628107571436</v>
      </c>
      <c r="G82" s="3">
        <v>21.057969770761598</v>
      </c>
      <c r="H82" s="3">
        <v>19.073798360747102</v>
      </c>
      <c r="I82" s="3">
        <v>34.116379305601399</v>
      </c>
      <c r="J82" s="3">
        <v>26.299188156730398</v>
      </c>
      <c r="K82" s="3">
        <v>27.281685038133499</v>
      </c>
      <c r="L82" s="3">
        <v>27.2024334193557</v>
      </c>
      <c r="M82" s="3">
        <v>17.879787739681301</v>
      </c>
      <c r="N82" s="3">
        <v>20.223415982666101</v>
      </c>
    </row>
    <row r="83" spans="1:14" x14ac:dyDescent="0.35">
      <c r="A83" s="2">
        <v>44253</v>
      </c>
      <c r="B83" s="3">
        <v>34.343740925786598</v>
      </c>
      <c r="C83" s="3">
        <v>21.803472996914799</v>
      </c>
      <c r="D83" s="3">
        <v>19.9904739717302</v>
      </c>
      <c r="E83" s="3">
        <v>20.295086301686101</v>
      </c>
      <c r="F83" s="3">
        <v>21.677099362618801</v>
      </c>
      <c r="G83" s="3">
        <v>20.482314389170899</v>
      </c>
      <c r="H83" s="3">
        <v>18.842018843701901</v>
      </c>
      <c r="I83" s="3">
        <v>32.945700769931399</v>
      </c>
      <c r="J83" s="3">
        <v>26.2931693996623</v>
      </c>
      <c r="K83" s="3">
        <v>27.071057340460101</v>
      </c>
      <c r="L83" s="3">
        <v>28.983305238102801</v>
      </c>
      <c r="M83" s="3">
        <v>17.560412886581599</v>
      </c>
      <c r="N83" s="3">
        <v>20.352573516655301</v>
      </c>
    </row>
    <row r="84" spans="1:14" x14ac:dyDescent="0.35">
      <c r="A84" s="2">
        <v>44286</v>
      </c>
      <c r="B84" s="3">
        <v>34.512832611379501</v>
      </c>
      <c r="C84" s="3">
        <v>21.296471644612001</v>
      </c>
      <c r="D84" s="3">
        <v>19.5681169042637</v>
      </c>
      <c r="E84" s="3">
        <v>20.0572581335731</v>
      </c>
      <c r="F84" s="3">
        <v>21.3117376442009</v>
      </c>
      <c r="G84" s="3">
        <v>20.425682213681299</v>
      </c>
      <c r="H84" s="3">
        <v>18.264628509984199</v>
      </c>
      <c r="I84" s="3">
        <v>32.567328467507402</v>
      </c>
      <c r="J84" s="3">
        <v>25.992410786117699</v>
      </c>
      <c r="K84" s="3">
        <v>26.295386854469399</v>
      </c>
      <c r="L84" s="3">
        <v>28.558031849680901</v>
      </c>
      <c r="M84" s="3">
        <v>18.1538333079748</v>
      </c>
      <c r="N84" s="3">
        <v>19.799704514513699</v>
      </c>
    </row>
    <row r="85" spans="1:14" x14ac:dyDescent="0.35">
      <c r="A85" s="2">
        <v>44316</v>
      </c>
      <c r="B85" s="3">
        <v>34.585075352735799</v>
      </c>
      <c r="C85" s="3">
        <v>21.039286925786801</v>
      </c>
      <c r="D85" s="3">
        <v>19.224525940490299</v>
      </c>
      <c r="E85" s="3">
        <v>19.391804433119098</v>
      </c>
      <c r="F85" s="3">
        <v>20.721540113306201</v>
      </c>
      <c r="G85" s="3">
        <v>20.110864417268701</v>
      </c>
      <c r="H85" s="3">
        <v>17.696679351278402</v>
      </c>
      <c r="I85" s="3">
        <v>32.148346261999599</v>
      </c>
      <c r="J85" s="3">
        <v>25.579834145149</v>
      </c>
      <c r="K85" s="3">
        <v>25.448476627022099</v>
      </c>
      <c r="L85" s="3">
        <v>27.8915235800863</v>
      </c>
      <c r="M85" s="3">
        <v>17.842205264547999</v>
      </c>
      <c r="N85" s="3">
        <v>19.107018182520498</v>
      </c>
    </row>
    <row r="86" spans="1:14" x14ac:dyDescent="0.35">
      <c r="A86" s="2">
        <v>44344</v>
      </c>
      <c r="B86" s="3">
        <v>34.852357173854898</v>
      </c>
      <c r="C86" s="3">
        <v>20.740873165551701</v>
      </c>
      <c r="D86" s="3">
        <v>18.835578146848</v>
      </c>
      <c r="E86" s="3">
        <v>18.879386113349302</v>
      </c>
      <c r="F86" s="3">
        <v>20.359431791471401</v>
      </c>
      <c r="G86" s="3">
        <v>20.622709259313599</v>
      </c>
      <c r="H86" s="3">
        <v>17.202526333468199</v>
      </c>
      <c r="I86" s="3">
        <v>31.5157306023278</v>
      </c>
      <c r="J86" s="3">
        <v>25.117579797905101</v>
      </c>
      <c r="K86" s="3">
        <v>24.709766252436701</v>
      </c>
      <c r="L86" s="3">
        <v>27.118992173099201</v>
      </c>
      <c r="M86" s="3">
        <v>17.760534324421499</v>
      </c>
      <c r="N86" s="3">
        <v>18.636459448785001</v>
      </c>
    </row>
    <row r="87" spans="1:14" x14ac:dyDescent="0.35">
      <c r="A87" s="2">
        <v>44377</v>
      </c>
      <c r="B87" s="3">
        <v>36.046516355322296</v>
      </c>
      <c r="C87" s="3">
        <v>19.987891620634102</v>
      </c>
      <c r="D87" s="3">
        <v>18.443381306177699</v>
      </c>
      <c r="E87" s="3">
        <v>18.3232177204663</v>
      </c>
      <c r="F87" s="3">
        <v>19.770570001890398</v>
      </c>
      <c r="G87" s="3">
        <v>20.857110608952201</v>
      </c>
      <c r="H87" s="3">
        <v>16.3715000764658</v>
      </c>
      <c r="I87" s="3">
        <v>31.874566051767601</v>
      </c>
      <c r="J87" s="3">
        <v>24.822257800970501</v>
      </c>
      <c r="K87" s="3">
        <v>23.609432258991401</v>
      </c>
      <c r="L87" s="3">
        <v>26.588431933034101</v>
      </c>
      <c r="M87" s="3">
        <v>17.8941999617055</v>
      </c>
      <c r="N87" s="3">
        <v>17.961232690137599</v>
      </c>
    </row>
    <row r="88" spans="1:14" x14ac:dyDescent="0.35">
      <c r="A88" s="2">
        <v>44407</v>
      </c>
      <c r="B88" s="3">
        <v>36.405731482418197</v>
      </c>
      <c r="C88" s="3">
        <v>19.228086778681501</v>
      </c>
      <c r="D88" s="3">
        <v>17.770151081743101</v>
      </c>
      <c r="E88" s="3">
        <v>17.538391458111299</v>
      </c>
      <c r="F88" s="3">
        <v>19.004216690975898</v>
      </c>
      <c r="G88" s="3">
        <v>20.945849342710101</v>
      </c>
      <c r="H88" s="3">
        <v>15.4795031807506</v>
      </c>
      <c r="I88" s="3">
        <v>31.411727338501102</v>
      </c>
      <c r="J88" s="3">
        <v>24.169961114828499</v>
      </c>
      <c r="K88" s="3">
        <v>22.283665723161199</v>
      </c>
      <c r="L88" s="3">
        <v>26.269624893546698</v>
      </c>
      <c r="M88" s="3">
        <v>17.504191069761699</v>
      </c>
      <c r="N88" s="3">
        <v>17.2330261415573</v>
      </c>
    </row>
    <row r="89" spans="1:14" x14ac:dyDescent="0.35">
      <c r="A89" s="2">
        <v>44439</v>
      </c>
      <c r="B89" s="3">
        <v>38.294951398955099</v>
      </c>
      <c r="C89" s="3">
        <v>19.1509438020204</v>
      </c>
      <c r="D89" s="3">
        <v>17.161095185830799</v>
      </c>
      <c r="E89" s="3">
        <v>16.9150535535586</v>
      </c>
      <c r="F89" s="3">
        <v>18.397618455898201</v>
      </c>
      <c r="G89" s="3">
        <v>21.176354518433701</v>
      </c>
      <c r="H89" s="3">
        <v>14.779731040170599</v>
      </c>
      <c r="I89" s="3">
        <v>31.757691031094598</v>
      </c>
      <c r="J89" s="3">
        <v>24.010486569096301</v>
      </c>
      <c r="K89" s="3">
        <v>21.048989635577499</v>
      </c>
      <c r="L89" s="3">
        <v>26.034862645099999</v>
      </c>
      <c r="M89" s="3">
        <v>17.446564560010099</v>
      </c>
      <c r="N89" s="3">
        <v>15.690526048093799</v>
      </c>
    </row>
    <row r="90" spans="1:14" x14ac:dyDescent="0.35">
      <c r="A90" s="2">
        <v>44469</v>
      </c>
      <c r="B90" s="3">
        <v>38.924966452270297</v>
      </c>
      <c r="C90" s="3">
        <v>18.539312486396899</v>
      </c>
      <c r="D90" s="3">
        <v>16.373967199435299</v>
      </c>
      <c r="E90" s="3">
        <v>15.928549854522799</v>
      </c>
      <c r="F90" s="3">
        <v>18.139041476111402</v>
      </c>
      <c r="G90" s="3">
        <v>20.0864072663652</v>
      </c>
      <c r="H90" s="3">
        <v>13.9725142898982</v>
      </c>
      <c r="I90" s="3">
        <v>30.240229314022599</v>
      </c>
      <c r="J90" s="3">
        <v>22.9022844874081</v>
      </c>
      <c r="K90" s="3">
        <v>19.573256767268401</v>
      </c>
      <c r="L90" s="3">
        <v>24.301786968015598</v>
      </c>
      <c r="M90" s="3">
        <v>16.989976971347399</v>
      </c>
      <c r="N90" s="3">
        <v>14.726437419163901</v>
      </c>
    </row>
    <row r="91" spans="1:14" x14ac:dyDescent="0.35">
      <c r="A91" s="2">
        <v>44498</v>
      </c>
      <c r="B91" s="3">
        <v>39.2928678220484</v>
      </c>
      <c r="C91" s="3">
        <v>18.5560764677824</v>
      </c>
      <c r="D91" s="3">
        <v>16.626909888052701</v>
      </c>
      <c r="E91" s="3">
        <v>15.614608061315099</v>
      </c>
      <c r="F91" s="3">
        <v>17.498875855635799</v>
      </c>
      <c r="G91" s="3">
        <v>20.650589431283201</v>
      </c>
      <c r="H91" s="3">
        <v>13.638987478753601</v>
      </c>
      <c r="I91" s="3">
        <v>31.4591250243978</v>
      </c>
      <c r="J91" s="3">
        <v>23.3454320363752</v>
      </c>
      <c r="K91" s="3">
        <v>18.835001900730798</v>
      </c>
      <c r="L91" s="3">
        <v>24.664451162831998</v>
      </c>
      <c r="M91" s="3">
        <v>16.425730200728399</v>
      </c>
      <c r="N91" s="3">
        <v>14.2235277460482</v>
      </c>
    </row>
    <row r="92" spans="1:14" x14ac:dyDescent="0.35">
      <c r="A92" s="2">
        <v>44530</v>
      </c>
      <c r="B92" s="3">
        <v>38.254284624600302</v>
      </c>
      <c r="C92" s="3">
        <v>17.468434625996998</v>
      </c>
      <c r="D92" s="3">
        <v>15.533218226556899</v>
      </c>
      <c r="E92" s="3">
        <v>14.1168995762653</v>
      </c>
      <c r="F92" s="3">
        <v>16.380310152941501</v>
      </c>
      <c r="G92" s="3">
        <v>20.329462570300901</v>
      </c>
      <c r="H92" s="3">
        <v>12.454774390324999</v>
      </c>
      <c r="I92" s="3">
        <v>31.631300906784698</v>
      </c>
      <c r="J92" s="3">
        <v>22.649966953027899</v>
      </c>
      <c r="K92" s="3">
        <v>17.245334479684399</v>
      </c>
      <c r="L92" s="3">
        <v>22.707407020297399</v>
      </c>
      <c r="M92" s="3">
        <v>16.331714797860499</v>
      </c>
      <c r="N92" s="3">
        <v>12.5489093620277</v>
      </c>
    </row>
    <row r="93" spans="1:14" x14ac:dyDescent="0.35">
      <c r="A93" s="2">
        <v>44561</v>
      </c>
      <c r="B93" s="3">
        <v>39.354945247696399</v>
      </c>
      <c r="C93" s="3">
        <v>17.8166424238212</v>
      </c>
      <c r="D93" s="3">
        <v>15.405205419386901</v>
      </c>
      <c r="E93" s="3">
        <v>14.1378654604296</v>
      </c>
      <c r="F93" s="3">
        <v>16.101975487859601</v>
      </c>
      <c r="G93" s="3">
        <v>21.667037632477498</v>
      </c>
      <c r="H93" s="3">
        <v>12.401730773077899</v>
      </c>
      <c r="I93" s="3">
        <v>31.9012291369718</v>
      </c>
      <c r="J93" s="3">
        <v>23.234786305679101</v>
      </c>
      <c r="K93" s="3">
        <v>17.203833399749598</v>
      </c>
      <c r="L93" s="3">
        <v>22.6891096808763</v>
      </c>
      <c r="M93" s="3">
        <v>16.889818917305099</v>
      </c>
      <c r="N93" s="3">
        <v>12.067455386839599</v>
      </c>
    </row>
    <row r="94" spans="1:14" x14ac:dyDescent="0.35">
      <c r="A94" s="2">
        <v>44592</v>
      </c>
      <c r="B94" s="3">
        <v>35.954749751675699</v>
      </c>
      <c r="C94" s="3">
        <v>15.786336769768999</v>
      </c>
      <c r="D94" s="3">
        <v>15.2838032613273</v>
      </c>
      <c r="E94" s="3">
        <v>13.5606617935883</v>
      </c>
      <c r="F94" s="3">
        <v>15.0817154215936</v>
      </c>
      <c r="G94" s="3">
        <v>20.040182425878701</v>
      </c>
      <c r="H94" s="3">
        <v>12.604286219582599</v>
      </c>
      <c r="I94" s="3">
        <v>28.698378660569301</v>
      </c>
      <c r="J94" s="3">
        <v>21.785927572851101</v>
      </c>
      <c r="K94" s="3">
        <v>16.3034512585233</v>
      </c>
      <c r="L94" s="3">
        <v>20.244301268181299</v>
      </c>
      <c r="M94" s="3">
        <v>12.222770563680299</v>
      </c>
      <c r="N94" s="3">
        <v>11.8119159668388</v>
      </c>
    </row>
    <row r="95" spans="1:14" x14ac:dyDescent="0.35">
      <c r="A95" s="2">
        <v>44620</v>
      </c>
      <c r="B95" s="3">
        <v>35.2856899235504</v>
      </c>
      <c r="C95" s="3">
        <v>15.6714131906656</v>
      </c>
      <c r="D95" s="3">
        <v>15.248970840991699</v>
      </c>
      <c r="E95" s="3">
        <v>12.5328882361799</v>
      </c>
      <c r="F95" s="3">
        <v>14.753576483141</v>
      </c>
      <c r="G95" s="3">
        <v>18.497536832784998</v>
      </c>
      <c r="H95" s="3">
        <v>12.5643973568605</v>
      </c>
      <c r="I95" s="3">
        <v>26.702801833479</v>
      </c>
      <c r="J95" s="3">
        <v>20.7184478635386</v>
      </c>
      <c r="K95" s="3">
        <v>15.479346462712501</v>
      </c>
      <c r="L95" s="3">
        <v>18.3316789033893</v>
      </c>
      <c r="M95" s="3">
        <v>11.6552366179579</v>
      </c>
      <c r="N95" s="3">
        <v>10.6475829192046</v>
      </c>
    </row>
    <row r="96" spans="1:14" x14ac:dyDescent="0.35">
      <c r="A96" s="2">
        <v>44651</v>
      </c>
      <c r="B96" s="3">
        <v>35.094385493036597</v>
      </c>
      <c r="C96" s="3">
        <v>15.8138554337404</v>
      </c>
      <c r="D96" s="3">
        <v>15.035092633749599</v>
      </c>
      <c r="E96" s="3">
        <v>12.4465192684938</v>
      </c>
      <c r="F96" s="3">
        <v>14.620861399818001</v>
      </c>
      <c r="G96" s="3">
        <v>18.5854857146333</v>
      </c>
      <c r="H96" s="3">
        <v>12.324816022991801</v>
      </c>
      <c r="I96" s="3">
        <v>26.828213779275899</v>
      </c>
      <c r="J96" s="3">
        <v>20.704149096619702</v>
      </c>
      <c r="K96" s="3">
        <v>15.2619806521194</v>
      </c>
      <c r="L96" s="3">
        <v>18.5483746609737</v>
      </c>
      <c r="M96" s="3">
        <v>12.0371219696064</v>
      </c>
      <c r="N96" s="3">
        <v>10.56757720407</v>
      </c>
    </row>
    <row r="97" spans="1:14" x14ac:dyDescent="0.35">
      <c r="A97" s="2">
        <v>44680</v>
      </c>
      <c r="B97" s="3">
        <v>34.610089000813502</v>
      </c>
      <c r="C97" s="3">
        <v>15.4451641663444</v>
      </c>
      <c r="D97" s="3">
        <v>14.6000199213932</v>
      </c>
      <c r="E97" s="3">
        <v>12.266386529839499</v>
      </c>
      <c r="F97" s="3">
        <v>14.357138614586001</v>
      </c>
      <c r="G97" s="3">
        <v>18.525233793317302</v>
      </c>
      <c r="H97" s="3">
        <v>12.0756410567851</v>
      </c>
      <c r="I97" s="3">
        <v>25.8249989774962</v>
      </c>
      <c r="J97" s="3">
        <v>20.024756620323402</v>
      </c>
      <c r="K97" s="3">
        <v>14.8678883286999</v>
      </c>
      <c r="L97" s="3">
        <v>18.3036541239359</v>
      </c>
      <c r="M97" s="3">
        <v>12.249590222914501</v>
      </c>
      <c r="N97" s="3">
        <v>10.4148019498813</v>
      </c>
    </row>
    <row r="98" spans="1:14" x14ac:dyDescent="0.35">
      <c r="A98" s="2">
        <v>44712</v>
      </c>
      <c r="B98" s="3">
        <v>33.914613549309202</v>
      </c>
      <c r="C98" s="3">
        <v>15.010304616072901</v>
      </c>
      <c r="D98" s="3">
        <v>14.2851353505737</v>
      </c>
      <c r="E98" s="3">
        <v>12.114233069055301</v>
      </c>
      <c r="F98" s="3">
        <v>14.2287403167562</v>
      </c>
      <c r="G98" s="3">
        <v>18.222977537241</v>
      </c>
      <c r="H98" s="3">
        <v>11.791462810697</v>
      </c>
      <c r="I98" s="3">
        <v>25.340152654651099</v>
      </c>
      <c r="J98" s="3">
        <v>19.746347720238902</v>
      </c>
      <c r="K98" s="3">
        <v>14.378521608272401</v>
      </c>
      <c r="L98" s="3">
        <v>18.558674506621401</v>
      </c>
      <c r="M98" s="3">
        <v>13.6973653769337</v>
      </c>
      <c r="N98" s="3">
        <v>10.0936737816603</v>
      </c>
    </row>
    <row r="99" spans="1:14" x14ac:dyDescent="0.35">
      <c r="A99" s="2">
        <v>44742</v>
      </c>
      <c r="B99" s="3">
        <v>32.888463425326101</v>
      </c>
      <c r="C99" s="3">
        <v>14.0784533356616</v>
      </c>
      <c r="D99" s="3">
        <v>13.435975390924201</v>
      </c>
      <c r="E99" s="3">
        <v>11.378829557802</v>
      </c>
      <c r="F99" s="3">
        <v>13.851725555423901</v>
      </c>
      <c r="G99" s="3">
        <v>17.573031967173801</v>
      </c>
      <c r="H99" s="3">
        <v>11.175219341865301</v>
      </c>
      <c r="I99" s="3">
        <v>24.060744338675502</v>
      </c>
      <c r="J99" s="3">
        <v>18.7458746285164</v>
      </c>
      <c r="K99" s="3">
        <v>13.549000900070199</v>
      </c>
      <c r="L99" s="3">
        <v>18.060158277142101</v>
      </c>
      <c r="M99" s="3">
        <v>13.2508592159055</v>
      </c>
      <c r="N99" s="3">
        <v>9.3158062518671798</v>
      </c>
    </row>
    <row r="100" spans="1:14" x14ac:dyDescent="0.35">
      <c r="A100" s="2">
        <v>44771</v>
      </c>
      <c r="B100" s="3">
        <v>33.151736890498803</v>
      </c>
      <c r="C100" s="3">
        <v>14.5092909327015</v>
      </c>
      <c r="D100" s="3">
        <v>13.359082815033</v>
      </c>
      <c r="E100" s="3">
        <v>11.495285103017499</v>
      </c>
      <c r="F100" s="3">
        <v>13.9346949220086</v>
      </c>
      <c r="G100" s="3">
        <v>18.3072357900102</v>
      </c>
      <c r="H100" s="3">
        <v>11.0402794573197</v>
      </c>
      <c r="I100" s="3">
        <v>25.661844958271399</v>
      </c>
      <c r="J100" s="3">
        <v>19.372230412057998</v>
      </c>
      <c r="K100" s="3">
        <v>13.40840599843</v>
      </c>
      <c r="L100" s="3">
        <v>19.6804755326635</v>
      </c>
      <c r="M100" s="3">
        <v>14.7340592634055</v>
      </c>
      <c r="N100" s="3">
        <v>8.9997182757172993</v>
      </c>
    </row>
    <row r="101" spans="1:14" x14ac:dyDescent="0.35">
      <c r="A101" s="2">
        <v>44804</v>
      </c>
      <c r="B101" s="3">
        <v>34.4756062445772</v>
      </c>
      <c r="C101" s="3">
        <v>14.359651301812701</v>
      </c>
      <c r="D101" s="3">
        <v>12.8119642827569</v>
      </c>
      <c r="E101" s="3">
        <v>10.691281704837801</v>
      </c>
      <c r="F101" s="3">
        <v>13.8231879996379</v>
      </c>
      <c r="G101" s="3">
        <v>17.835262794357</v>
      </c>
      <c r="H101" s="3">
        <v>10.330243538754701</v>
      </c>
      <c r="I101" s="3">
        <v>24.742433966329401</v>
      </c>
      <c r="J101" s="3">
        <v>18.653372238160699</v>
      </c>
      <c r="K101" s="3">
        <v>12.506313699697699</v>
      </c>
      <c r="L101" s="3">
        <v>18.5595386552443</v>
      </c>
      <c r="M101" s="3">
        <v>14.420284064999001</v>
      </c>
      <c r="N101" s="3">
        <v>8.2639433426761801</v>
      </c>
    </row>
    <row r="102" spans="1:14" x14ac:dyDescent="0.35">
      <c r="A102" s="2">
        <v>44834</v>
      </c>
      <c r="B102" s="3">
        <v>31.706509206833498</v>
      </c>
      <c r="C102" s="3">
        <v>13.221839173757299</v>
      </c>
      <c r="D102" s="3">
        <v>12.168939639528601</v>
      </c>
      <c r="E102" s="3">
        <v>10.125806244332701</v>
      </c>
      <c r="F102" s="3">
        <v>12.9355938544323</v>
      </c>
      <c r="G102" s="3">
        <v>16.9641631423621</v>
      </c>
      <c r="H102" s="3">
        <v>9.49604117509468</v>
      </c>
      <c r="I102" s="3">
        <v>22.695700995371698</v>
      </c>
      <c r="J102" s="3">
        <v>17.265555671166599</v>
      </c>
      <c r="K102" s="3">
        <v>11.4728680650455</v>
      </c>
      <c r="L102" s="3">
        <v>17.093409922876301</v>
      </c>
      <c r="M102" s="3">
        <v>14.3110336907539</v>
      </c>
      <c r="N102" s="3">
        <v>8.0290029775019107</v>
      </c>
    </row>
    <row r="103" spans="1:14" x14ac:dyDescent="0.35">
      <c r="A103" s="2">
        <v>44865</v>
      </c>
      <c r="B103" s="3">
        <v>31.588705719960199</v>
      </c>
      <c r="C103" s="3">
        <v>13.473374398038001</v>
      </c>
      <c r="D103" s="3">
        <v>12.499322549729801</v>
      </c>
      <c r="E103" s="3">
        <v>10.4922317994643</v>
      </c>
      <c r="F103" s="3">
        <v>13.2576912707412</v>
      </c>
      <c r="G103" s="3">
        <v>17.814719705146601</v>
      </c>
      <c r="H103" s="3">
        <v>9.5444318523218907</v>
      </c>
      <c r="I103" s="3">
        <v>23.273989896776499</v>
      </c>
      <c r="J103" s="3">
        <v>18.057841508148901</v>
      </c>
      <c r="K103" s="3">
        <v>11.7617692645641</v>
      </c>
      <c r="L103" s="3">
        <v>18.1462076544084</v>
      </c>
      <c r="M103" s="3">
        <v>13.4035826385983</v>
      </c>
      <c r="N103" s="3">
        <v>8.0913423576544297</v>
      </c>
    </row>
    <row r="104" spans="1:14" x14ac:dyDescent="0.35">
      <c r="A104" s="2">
        <v>44895</v>
      </c>
      <c r="B104" s="3">
        <v>30.4141026491167</v>
      </c>
      <c r="C104" s="3">
        <v>14.4506028450662</v>
      </c>
      <c r="D104" s="3">
        <v>12.7613976174003</v>
      </c>
      <c r="E104" s="3">
        <v>11.1006442515832</v>
      </c>
      <c r="F104" s="3">
        <v>13.577043867286299</v>
      </c>
      <c r="G104" s="3">
        <v>19.6303206207619</v>
      </c>
      <c r="H104" s="3">
        <v>9.8800510218677307</v>
      </c>
      <c r="I104" s="3">
        <v>24.116734545755499</v>
      </c>
      <c r="J104" s="3">
        <v>18.664336103751602</v>
      </c>
      <c r="K104" s="3">
        <v>12.190784264737401</v>
      </c>
      <c r="L104" s="3">
        <v>18.8093602801003</v>
      </c>
      <c r="M104" s="3">
        <v>14.262174299206899</v>
      </c>
      <c r="N104" s="3">
        <v>8.0673782179739604</v>
      </c>
    </row>
    <row r="105" spans="1:14" x14ac:dyDescent="0.35">
      <c r="A105" s="2">
        <v>44925</v>
      </c>
      <c r="B105" s="3">
        <v>29.0383466191266</v>
      </c>
      <c r="C105" s="3">
        <v>14.028935884858701</v>
      </c>
      <c r="D105" s="3">
        <v>12.043371448190801</v>
      </c>
      <c r="E105" s="3">
        <v>10.4151947731043</v>
      </c>
      <c r="F105" s="3">
        <v>12.744945320550601</v>
      </c>
      <c r="G105" s="3">
        <v>20.0573075428435</v>
      </c>
      <c r="H105" s="3">
        <v>9.5741756926910693</v>
      </c>
      <c r="I105" s="3">
        <v>22.730733998146199</v>
      </c>
      <c r="J105" s="3">
        <v>17.410593947244099</v>
      </c>
      <c r="K105" s="3">
        <v>11.528603092361701</v>
      </c>
      <c r="L105" s="3">
        <v>17.6566343355755</v>
      </c>
      <c r="M105" s="3">
        <v>15.445340190445201</v>
      </c>
      <c r="N105" s="3">
        <v>7.3748312726828997</v>
      </c>
    </row>
    <row r="106" spans="1:14" x14ac:dyDescent="0.35">
      <c r="A106" s="2">
        <v>44957</v>
      </c>
      <c r="B106" s="3">
        <v>29.7050883538144</v>
      </c>
      <c r="C106" s="3">
        <v>14.8941228615624</v>
      </c>
      <c r="D106" s="3">
        <v>12.919846311917</v>
      </c>
      <c r="E106" s="3">
        <v>11.4430864624447</v>
      </c>
      <c r="F106" s="3">
        <v>13.4096101621484</v>
      </c>
      <c r="G106" s="3">
        <v>20.848457642798799</v>
      </c>
      <c r="H106" s="3">
        <v>10.153304823458599</v>
      </c>
      <c r="I106" s="3">
        <v>25.082715696245099</v>
      </c>
      <c r="J106" s="3">
        <v>18.5014384469102</v>
      </c>
      <c r="K106" s="3">
        <v>12.843219967919801</v>
      </c>
      <c r="L106" s="3">
        <v>19.293858287066602</v>
      </c>
      <c r="M106" s="3">
        <v>24.414106400722002</v>
      </c>
      <c r="N106" s="3">
        <v>8.1192241861238603</v>
      </c>
    </row>
    <row r="107" spans="1:14" x14ac:dyDescent="0.35">
      <c r="A107" s="2">
        <v>44985</v>
      </c>
      <c r="B107" s="3">
        <v>29.610772854311499</v>
      </c>
      <c r="C107" s="3">
        <v>14.2663938470017</v>
      </c>
      <c r="D107" s="3">
        <v>12.5722768101288</v>
      </c>
      <c r="E107" s="3">
        <v>11.346329334536801</v>
      </c>
      <c r="F107" s="3">
        <v>13.6544223947897</v>
      </c>
      <c r="G107" s="3">
        <v>20.699820024403699</v>
      </c>
      <c r="H107" s="3">
        <v>10.2657922652406</v>
      </c>
      <c r="I107" s="3">
        <v>25.242663259922701</v>
      </c>
      <c r="J107" s="3">
        <v>18.055770310664101</v>
      </c>
      <c r="K107" s="3">
        <v>12.900702997389301</v>
      </c>
      <c r="L107" s="3">
        <v>20.6531685379496</v>
      </c>
      <c r="M107" s="3">
        <v>25.679037726927302</v>
      </c>
      <c r="N107" s="3">
        <v>8.2291258731889592</v>
      </c>
    </row>
    <row r="108" spans="1:14" x14ac:dyDescent="0.35">
      <c r="A108" s="2">
        <v>45016</v>
      </c>
      <c r="B108" s="3">
        <v>28.946948632173601</v>
      </c>
      <c r="C108" s="3">
        <v>14.2408176993964</v>
      </c>
      <c r="D108" s="3">
        <v>12.6384051198165</v>
      </c>
      <c r="E108" s="3">
        <v>11.3853145706614</v>
      </c>
      <c r="F108" s="3">
        <v>13.652838072802799</v>
      </c>
      <c r="G108" s="3">
        <v>20.4309085273748</v>
      </c>
      <c r="H108" s="3">
        <v>10.265197610488499</v>
      </c>
      <c r="I108" s="3">
        <v>25.682759557591201</v>
      </c>
      <c r="J108" s="3">
        <v>18.2162863705631</v>
      </c>
      <c r="K108" s="3">
        <v>12.990378976540599</v>
      </c>
      <c r="L108" s="3">
        <v>20.3592854704907</v>
      </c>
      <c r="M108" s="3">
        <v>24.447430349432</v>
      </c>
      <c r="N108" s="3">
        <v>8.2993344340549609</v>
      </c>
    </row>
    <row r="109" spans="1:14" x14ac:dyDescent="0.35">
      <c r="A109" s="2">
        <v>45044</v>
      </c>
      <c r="B109" s="3">
        <v>28.5523055121322</v>
      </c>
      <c r="C109" s="3">
        <v>14.3273091999696</v>
      </c>
      <c r="D109" s="3">
        <v>12.821755119653</v>
      </c>
      <c r="E109" s="3">
        <v>11.4300404391818</v>
      </c>
      <c r="F109" s="3">
        <v>13.756685204465001</v>
      </c>
      <c r="G109" s="3">
        <v>20.3020936492928</v>
      </c>
      <c r="H109" s="3">
        <v>10.453109234573899</v>
      </c>
      <c r="I109" s="3">
        <v>25.668829993499902</v>
      </c>
      <c r="J109" s="3">
        <v>18.331645346867099</v>
      </c>
      <c r="K109" s="3">
        <v>13.2308014458446</v>
      </c>
      <c r="L109" s="3">
        <v>19.862134105143198</v>
      </c>
      <c r="M109" s="3">
        <v>23.362818307631301</v>
      </c>
      <c r="N109" s="3">
        <v>8.3778542953427309</v>
      </c>
    </row>
    <row r="110" spans="1:14" x14ac:dyDescent="0.35">
      <c r="A110" s="2">
        <v>45077</v>
      </c>
      <c r="B110" s="3">
        <v>27.9180858852699</v>
      </c>
      <c r="C110" s="3">
        <v>14.162337818549901</v>
      </c>
      <c r="D110" s="3">
        <v>12.7311558358965</v>
      </c>
      <c r="E110" s="3">
        <v>11.18792351209</v>
      </c>
      <c r="F110" s="3">
        <v>14.0024505248482</v>
      </c>
      <c r="G110" s="3">
        <v>19.7305853831942</v>
      </c>
      <c r="H110" s="3">
        <v>10.1936864399238</v>
      </c>
      <c r="I110" s="3">
        <v>26.336134973643599</v>
      </c>
      <c r="J110" s="3">
        <v>18.408359261107801</v>
      </c>
      <c r="K110" s="3">
        <v>12.947830735327299</v>
      </c>
      <c r="L110" s="3">
        <v>19.387368101415198</v>
      </c>
      <c r="M110" s="3">
        <v>21.928760421474902</v>
      </c>
      <c r="N110" s="3">
        <v>8.1270044553152108</v>
      </c>
    </row>
    <row r="111" spans="1:14" x14ac:dyDescent="0.35">
      <c r="A111" s="2">
        <v>45107</v>
      </c>
      <c r="B111" s="3">
        <v>26.094790804207101</v>
      </c>
      <c r="C111" s="3">
        <v>14.6024219137249</v>
      </c>
      <c r="D111" s="3">
        <v>13.0375879356463</v>
      </c>
      <c r="E111" s="3">
        <v>11.306251665562201</v>
      </c>
      <c r="F111" s="3">
        <v>14.5900146292265</v>
      </c>
      <c r="G111" s="3">
        <v>19.296185024986599</v>
      </c>
      <c r="H111" s="3">
        <v>10.3804780467537</v>
      </c>
      <c r="I111" s="3">
        <v>27.277733201036501</v>
      </c>
      <c r="J111" s="3">
        <v>19.137326621917399</v>
      </c>
      <c r="K111" s="3">
        <v>13.301282096373701</v>
      </c>
      <c r="L111" s="3">
        <v>19.2358258004028</v>
      </c>
      <c r="M111" s="3">
        <v>20.922881947134801</v>
      </c>
      <c r="N111" s="3">
        <v>8.5992910678854404</v>
      </c>
    </row>
    <row r="112" spans="1:14" x14ac:dyDescent="0.35">
      <c r="A112" s="2">
        <v>45138</v>
      </c>
      <c r="B112" s="3">
        <v>25.414695922667502</v>
      </c>
      <c r="C112" s="3">
        <v>15.1653523051509</v>
      </c>
      <c r="D112" s="3">
        <v>13.5814027033861</v>
      </c>
      <c r="E112" s="3">
        <v>11.439277351927901</v>
      </c>
      <c r="F112" s="3">
        <v>14.803950174044401</v>
      </c>
      <c r="G112" s="3">
        <v>19.256255865698101</v>
      </c>
      <c r="H112" s="3">
        <v>10.6828294195994</v>
      </c>
      <c r="I112" s="3">
        <v>27.151067806528602</v>
      </c>
      <c r="J112" s="3">
        <v>19.7137211680135</v>
      </c>
      <c r="K112" s="3">
        <v>13.4788641855995</v>
      </c>
      <c r="L112" s="3">
        <v>19.182149310838199</v>
      </c>
      <c r="M112" s="3">
        <v>19.560105557109001</v>
      </c>
      <c r="N112" s="3">
        <v>8.5361992748128408</v>
      </c>
    </row>
    <row r="113" spans="1:25" x14ac:dyDescent="0.35">
      <c r="A113" s="2">
        <v>45169</v>
      </c>
      <c r="B113" s="3">
        <v>24.413963929912601</v>
      </c>
      <c r="C113" s="3">
        <v>15.1831934917798</v>
      </c>
      <c r="D113" s="3">
        <v>13.509798630959899</v>
      </c>
      <c r="E113" s="3">
        <v>11.2484813367979</v>
      </c>
      <c r="F113" s="3">
        <v>14.765961832492099</v>
      </c>
      <c r="G113" s="3">
        <v>18.9551236461445</v>
      </c>
      <c r="H113" s="3">
        <v>10.4812601755338</v>
      </c>
      <c r="I113" s="3">
        <v>26.805571462280302</v>
      </c>
      <c r="J113" s="3">
        <v>19.557576201516198</v>
      </c>
      <c r="K113" s="3">
        <v>13.2624897955478</v>
      </c>
      <c r="L113" s="3">
        <v>17.776336928752301</v>
      </c>
      <c r="M113" s="3">
        <v>17.835329357468598</v>
      </c>
      <c r="N113" s="3">
        <v>8.3256073961903407</v>
      </c>
    </row>
    <row r="114" spans="1:25" x14ac:dyDescent="0.35">
      <c r="A114" s="2">
        <v>45198</v>
      </c>
      <c r="B114" s="3">
        <v>23.823059962187301</v>
      </c>
      <c r="C114" s="3">
        <v>14.813130596415901</v>
      </c>
      <c r="D114" s="3">
        <v>13.301463567906101</v>
      </c>
      <c r="E114" s="3">
        <v>11.054502495152899</v>
      </c>
      <c r="F114" s="3">
        <v>14.7739100865456</v>
      </c>
      <c r="G114" s="3">
        <v>18.417364703650101</v>
      </c>
      <c r="H114" s="3">
        <v>10.620164611203</v>
      </c>
      <c r="I114" s="3">
        <v>25.949909175198901</v>
      </c>
      <c r="J114" s="3">
        <v>19.0499238497821</v>
      </c>
      <c r="K114" s="3">
        <v>12.982563318238</v>
      </c>
      <c r="L114" s="3">
        <v>16.742769676593799</v>
      </c>
      <c r="M114" s="3">
        <v>16.759529065713402</v>
      </c>
      <c r="N114" s="3">
        <v>8.2523887503898603</v>
      </c>
    </row>
    <row r="115" spans="1:25" x14ac:dyDescent="0.35">
      <c r="A115" s="2">
        <v>45230</v>
      </c>
      <c r="B115" s="3">
        <v>22.349646183697001</v>
      </c>
      <c r="C115" s="3">
        <v>14.366854472893699</v>
      </c>
      <c r="D115" s="3">
        <v>12.972638390703899</v>
      </c>
      <c r="E115" s="3">
        <v>10.6824016187118</v>
      </c>
      <c r="F115" s="3">
        <v>14.487367116559</v>
      </c>
      <c r="G115" s="3">
        <v>17.468010485592998</v>
      </c>
      <c r="H115" s="3">
        <v>10.319448413570999</v>
      </c>
      <c r="I115" s="3">
        <v>25.300629258279798</v>
      </c>
      <c r="J115" s="3">
        <v>18.866774793060401</v>
      </c>
      <c r="K115" s="3">
        <v>12.6049036615918</v>
      </c>
      <c r="L115" s="3">
        <v>15.7929493432688</v>
      </c>
      <c r="M115" s="3">
        <v>15.7093974455797</v>
      </c>
      <c r="N115" s="3">
        <v>7.9886857531292303</v>
      </c>
    </row>
    <row r="116" spans="1:25" x14ac:dyDescent="0.35">
      <c r="A116" s="2">
        <v>45260</v>
      </c>
      <c r="B116" s="3">
        <v>22.293243355285401</v>
      </c>
      <c r="C116" s="3">
        <v>15.2435460634164</v>
      </c>
      <c r="D116" s="3">
        <v>13.881932551233101</v>
      </c>
      <c r="E116" s="3">
        <v>11.599337725916399</v>
      </c>
      <c r="F116" s="3">
        <v>15.227325646793901</v>
      </c>
      <c r="G116" s="3">
        <v>18.0840811616244</v>
      </c>
      <c r="H116" s="3">
        <v>10.8112541725146</v>
      </c>
      <c r="I116" s="3">
        <v>27.638930974211299</v>
      </c>
      <c r="J116" s="3">
        <v>20.4539509380675</v>
      </c>
      <c r="K116" s="3">
        <v>13.3862801604871</v>
      </c>
      <c r="L116" s="3">
        <v>16.447762773065001</v>
      </c>
      <c r="M116" s="3">
        <v>16.013478070531299</v>
      </c>
      <c r="N116" s="3">
        <v>8.3488944625290902</v>
      </c>
    </row>
    <row r="117" spans="1:25" x14ac:dyDescent="0.35">
      <c r="A117" s="2">
        <v>45289</v>
      </c>
      <c r="B117" s="3">
        <v>24.079906584360501</v>
      </c>
      <c r="C117" s="3">
        <v>16.569398491348998</v>
      </c>
      <c r="D117" s="3">
        <v>14.610507052570901</v>
      </c>
      <c r="E117" s="3">
        <v>11.9633111578336</v>
      </c>
      <c r="F117" s="3">
        <v>15.2923439191278</v>
      </c>
      <c r="G117" s="3">
        <v>18.431013099912501</v>
      </c>
      <c r="H117" s="3">
        <v>11.320080175486099</v>
      </c>
      <c r="I117" s="3">
        <v>29.163751430508899</v>
      </c>
      <c r="J117" s="3">
        <v>21.725639511288399</v>
      </c>
      <c r="K117" s="3">
        <v>14.0873839320359</v>
      </c>
      <c r="L117" s="3">
        <v>16.627122497565701</v>
      </c>
      <c r="M117" s="3">
        <v>17.966413476276099</v>
      </c>
      <c r="N117" s="3">
        <v>8.8544083316603093</v>
      </c>
    </row>
    <row r="118" spans="1:25" x14ac:dyDescent="0.35">
      <c r="A118" s="2">
        <v>45322</v>
      </c>
      <c r="B118" s="3">
        <v>23.243668998422802</v>
      </c>
      <c r="C118" s="3">
        <v>16.7068739563233</v>
      </c>
      <c r="D118" s="3">
        <v>14.649445238138499</v>
      </c>
      <c r="E118" s="3">
        <v>12.063454194906299</v>
      </c>
      <c r="F118" s="3">
        <v>16.528253635501901</v>
      </c>
      <c r="G118" s="3">
        <v>18.676052998548101</v>
      </c>
      <c r="H118" s="3">
        <v>11.373634347203099</v>
      </c>
      <c r="I118" s="3">
        <v>29.2667418299174</v>
      </c>
      <c r="J118" s="3">
        <v>21.956945353457598</v>
      </c>
      <c r="K118" s="3">
        <v>14.519589520613099</v>
      </c>
      <c r="L118" s="3">
        <v>17.321115996279101</v>
      </c>
      <c r="M118" s="3">
        <v>15.428868052992501</v>
      </c>
      <c r="N118" s="3">
        <v>9.1041110982594802</v>
      </c>
    </row>
    <row r="119" spans="1:25" x14ac:dyDescent="0.35">
      <c r="A119" s="2">
        <v>45351</v>
      </c>
      <c r="B119" s="3">
        <v>23.3289896193867</v>
      </c>
      <c r="C119" s="3">
        <v>16.607655476463201</v>
      </c>
      <c r="D119" s="3">
        <v>14.8629000274154</v>
      </c>
      <c r="E119" s="3">
        <v>12.5082374868334</v>
      </c>
      <c r="F119" s="3">
        <v>17.044832444661999</v>
      </c>
      <c r="G119" s="3">
        <v>19.1942433043024</v>
      </c>
      <c r="H119" s="3">
        <v>11.4353203404438</v>
      </c>
      <c r="I119" s="3">
        <v>30.321066890919901</v>
      </c>
      <c r="J119" s="3">
        <v>22.7770019860478</v>
      </c>
      <c r="K119" s="3">
        <v>15.4853083345016</v>
      </c>
      <c r="L119" s="3">
        <v>18.5620283216502</v>
      </c>
      <c r="M119" s="3">
        <v>15.7867160603531</v>
      </c>
      <c r="N119" s="3">
        <v>9.3464759770989403</v>
      </c>
    </row>
    <row r="120" spans="1:25" x14ac:dyDescent="0.35">
      <c r="A120" s="2">
        <v>45379</v>
      </c>
      <c r="B120" s="3">
        <v>24.046323792606199</v>
      </c>
      <c r="C120" s="3">
        <v>16.675701545927499</v>
      </c>
      <c r="D120" s="3">
        <v>14.9673308316518</v>
      </c>
      <c r="E120" s="3">
        <v>12.6044413095275</v>
      </c>
      <c r="F120" s="3">
        <v>17.007667882037701</v>
      </c>
      <c r="G120" s="3">
        <v>19.165279058360898</v>
      </c>
      <c r="H120" s="3">
        <v>11.5363868023913</v>
      </c>
      <c r="I120" s="3">
        <v>30.074894435125501</v>
      </c>
      <c r="J120" s="3">
        <v>22.767502440213399</v>
      </c>
      <c r="K120" s="3">
        <v>15.530991780067501</v>
      </c>
      <c r="L120" s="3">
        <v>18.459306897973502</v>
      </c>
      <c r="M120" s="3">
        <v>15.9085794415529</v>
      </c>
      <c r="N120" s="3">
        <v>9.4824930999873605</v>
      </c>
    </row>
    <row r="121" spans="1:25" x14ac:dyDescent="0.35">
      <c r="A121" s="2">
        <v>45412</v>
      </c>
      <c r="B121" s="3">
        <v>24.4045804450787</v>
      </c>
      <c r="C121" s="3">
        <v>16.5828126167367</v>
      </c>
      <c r="D121" s="3">
        <v>14.8335087882602</v>
      </c>
      <c r="E121" s="3">
        <v>12.4902403236177</v>
      </c>
      <c r="F121" s="3">
        <v>16.8419972480573</v>
      </c>
      <c r="G121" s="3">
        <v>18.738876944723199</v>
      </c>
      <c r="H121" s="3">
        <v>11.620504796463001</v>
      </c>
      <c r="I121" s="3">
        <v>29.378648209343599</v>
      </c>
      <c r="J121" s="3">
        <v>22.324829773970102</v>
      </c>
      <c r="K121" s="3">
        <v>15.4022971273621</v>
      </c>
      <c r="L121" s="3">
        <v>18.1241679739781</v>
      </c>
      <c r="M121" s="3">
        <v>15.909699955795899</v>
      </c>
      <c r="N121" s="3">
        <v>9.4423789711643895</v>
      </c>
    </row>
    <row r="122" spans="1:25" x14ac:dyDescent="0.35">
      <c r="A122" s="2">
        <v>45441</v>
      </c>
      <c r="B122" s="3">
        <v>24.486890587418898</v>
      </c>
      <c r="C122" s="3">
        <v>16.603872680814298</v>
      </c>
      <c r="D122" s="3">
        <v>14.892538419631499</v>
      </c>
      <c r="E122" s="3">
        <v>12.4901069564722</v>
      </c>
      <c r="F122" s="3">
        <v>16.743705522149298</v>
      </c>
      <c r="G122" s="3">
        <v>18.754161724597498</v>
      </c>
      <c r="H122" s="3">
        <v>11.663487017796101</v>
      </c>
      <c r="I122" s="3">
        <v>29.549987276970299</v>
      </c>
      <c r="J122" s="3">
        <v>22.425573797465699</v>
      </c>
      <c r="K122" s="3">
        <v>15.293360559739799</v>
      </c>
      <c r="L122" s="3">
        <v>18.240469444444301</v>
      </c>
      <c r="M122" s="3">
        <v>15.9925349265853</v>
      </c>
      <c r="N122" s="3">
        <v>9.5632298801496507</v>
      </c>
    </row>
    <row r="124" spans="1:25" x14ac:dyDescent="0.35">
      <c r="A124" s="2" t="s">
        <v>91</v>
      </c>
      <c r="B124" s="3" cm="1">
        <f t="array" ref="B124">MIN(_xlfn._xlws.FILTER(B1:B122, ISNUMBER(B1:B122)))</f>
        <v>17.944489831482802</v>
      </c>
      <c r="C124" s="3" cm="1">
        <f t="array" ref="C124">MIN(_xlfn._xlws.FILTER(C1:C122, ISNUMBER(C1:C122)))</f>
        <v>13.221839173757299</v>
      </c>
      <c r="D124" s="3" cm="1">
        <f t="array" ref="D124">MIN(_xlfn._xlws.FILTER(D1:D122, ISNUMBER(D1:D122)))</f>
        <v>12.043371448190801</v>
      </c>
      <c r="E124" s="3" cm="1">
        <f t="array" ref="E124">MIN(_xlfn._xlws.FILTER(E1:E122, ISNUMBER(E1:E122)))</f>
        <v>10.125806244332701</v>
      </c>
      <c r="F124" s="3" cm="1">
        <f t="array" ref="F124">MIN(_xlfn._xlws.FILTER(F1:F122, ISNUMBER(F1:F122)))</f>
        <v>11.478063485722499</v>
      </c>
      <c r="G124" s="3" cm="1">
        <f t="array" ref="G124">MIN(_xlfn._xlws.FILTER(G1:G122, ISNUMBER(G1:G122)))</f>
        <v>16.186770504770799</v>
      </c>
      <c r="H124" s="3" cm="1">
        <f t="array" ref="H124">MIN(_xlfn._xlws.FILTER(H1:H122, ISNUMBER(H1:H122)))</f>
        <v>9.49604117509468</v>
      </c>
      <c r="I124" s="3" cm="1">
        <f t="array" ref="I124">MIN(_xlfn._xlws.FILTER(I1:I122, ISNUMBER(I1:I122)))</f>
        <v>18.171940910564</v>
      </c>
      <c r="J124" s="3" cm="1">
        <f t="array" ref="J124">MIN(_xlfn._xlws.FILTER(J1:J122, ISNUMBER(J1:J122)))</f>
        <v>15.4897044891365</v>
      </c>
      <c r="K124" s="3" cm="1">
        <f t="array" ref="K124">MIN(_xlfn._xlws.FILTER(K1:K122, ISNUMBER(K1:K122)))</f>
        <v>11.4728680650455</v>
      </c>
      <c r="L124" s="3" cm="1">
        <f t="array" ref="L124">MIN(_xlfn._xlws.FILTER(L1:L122, ISNUMBER(L1:L122)))</f>
        <v>14.2830374670868</v>
      </c>
      <c r="M124" s="3" cm="1">
        <f t="array" ref="M124">MIN(_xlfn._xlws.FILTER(M1:M122, ISNUMBER(M1:M122)))</f>
        <v>11.6552366179579</v>
      </c>
      <c r="N124" s="3" cm="1">
        <f t="array" ref="N124">MIN(_xlfn._xlws.FILTER(N1:N122, ISNUMBER(N1:N122)))</f>
        <v>7.3748312726828997</v>
      </c>
    </row>
    <row r="125" spans="1:25" x14ac:dyDescent="0.35">
      <c r="A125" s="2" t="s">
        <v>92</v>
      </c>
      <c r="B125" s="3" cm="1">
        <f t="array" ref="B125">MAX(_xlfn._xlws.FILTER(B1:B122, ISNUMBER(B1:B122)))</f>
        <v>39.354945247696399</v>
      </c>
      <c r="C125" s="3" cm="1">
        <f t="array" ref="C125">MAX(_xlfn._xlws.FILTER(C1:C122, ISNUMBER(C1:C122)))</f>
        <v>22.9540612302639</v>
      </c>
      <c r="D125" s="3" cm="1">
        <f t="array" ref="D125">MAX(_xlfn._xlws.FILTER(D1:D122, ISNUMBER(D1:D122)))</f>
        <v>20.367488124811899</v>
      </c>
      <c r="E125" s="3" cm="1">
        <f t="array" ref="E125">MAX(_xlfn._xlws.FILTER(E1:E122, ISNUMBER(E1:E122)))</f>
        <v>22.126768463538401</v>
      </c>
      <c r="F125" s="3" cm="1">
        <f t="array" ref="F125">MAX(_xlfn._xlws.FILTER(F1:F122, ISNUMBER(F1:F122)))</f>
        <v>23.610767776269899</v>
      </c>
      <c r="G125" s="3" cm="1">
        <f t="array" ref="G125">MAX(_xlfn._xlws.FILTER(G1:G122, ISNUMBER(G1:G122)))</f>
        <v>22.0192335076548</v>
      </c>
      <c r="H125" s="3" cm="1">
        <f t="array" ref="H125">MAX(_xlfn._xlws.FILTER(H1:H122, ISNUMBER(H1:H122)))</f>
        <v>19.767570178890502</v>
      </c>
      <c r="I125" s="3" cm="1">
        <f t="array" ref="I125">MAX(_xlfn._xlws.FILTER(I1:I122, ISNUMBER(I1:I122)))</f>
        <v>35.237273739519601</v>
      </c>
      <c r="J125" s="3" cm="1">
        <f t="array" ref="J125">MAX(_xlfn._xlws.FILTER(J1:J122, ISNUMBER(J1:J122)))</f>
        <v>27.423472938300399</v>
      </c>
      <c r="K125" s="3" cm="1">
        <f t="array" ref="K125">MAX(_xlfn._xlws.FILTER(K1:K122, ISNUMBER(K1:K122)))</f>
        <v>28.8602295434066</v>
      </c>
      <c r="L125" s="3" cm="1">
        <f t="array" ref="L125">MAX(_xlfn._xlws.FILTER(L1:L122, ISNUMBER(L1:L122)))</f>
        <v>28.983305238102801</v>
      </c>
      <c r="M125" s="3" cm="1">
        <f t="array" ref="M125">MAX(_xlfn._xlws.FILTER(M1:M122, ISNUMBER(M1:M122)))</f>
        <v>25.679037726927302</v>
      </c>
      <c r="N125" s="3" cm="1">
        <f t="array" ref="N125">MAX(_xlfn._xlws.FILTER(N1:N122, ISNUMBER(N1:N122)))</f>
        <v>85.968927292375596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0.56499999999999995</v>
      </c>
      <c r="C127" s="9" cm="1">
        <f t="array" ref="C127">_xlfn.PERCENTRANK.EXC(_xlfn._xlws.FILTER(C1:C122, ISNUMBER(C1:C122)),C121)</f>
        <v>0.60599999999999998</v>
      </c>
      <c r="D127" s="9" cm="1">
        <f t="array" ref="D127">_xlfn.PERCENTRANK.EXC(_xlfn._xlws.FILTER(D1:D122, ISNUMBER(D1:D122)),D121)</f>
        <v>0.311</v>
      </c>
      <c r="E127" s="9" cm="1">
        <f t="array" ref="E127">_xlfn.PERCENTRANK.EXC(_xlfn._xlws.FILTER(E1:E122, ISNUMBER(E1:E122)),E121)</f>
        <v>0.21299999999999999</v>
      </c>
      <c r="F127" s="9" cm="1">
        <f t="array" ref="F127">_xlfn.PERCENTRANK.EXC(_xlfn._xlws.FILTER(F1:F122, ISNUMBER(F1:F122)),F121)</f>
        <v>0.80300000000000005</v>
      </c>
      <c r="G127" s="9" cm="1">
        <f t="array" ref="G127">_xlfn.PERCENTRANK.EXC(_xlfn._xlws.FILTER(G1:G122, ISNUMBER(G1:G122)),G121)</f>
        <v>0.53200000000000003</v>
      </c>
      <c r="H127" s="9" cm="1">
        <f t="array" ref="H127">_xlfn.PERCENTRANK.EXC(_xlfn._xlws.FILTER(H1:H122, ISNUMBER(H1:H122)),H121)</f>
        <v>0.188</v>
      </c>
      <c r="I127" s="9" cm="1">
        <f t="array" ref="I127">_xlfn.PERCENTRANK.EXC(_xlfn._xlws.FILTER(I1:I122, ISNUMBER(I1:I122)),I121)</f>
        <v>0.82699999999999996</v>
      </c>
      <c r="J127" s="9" cm="1">
        <f t="array" ref="J127">_xlfn.PERCENTRANK.EXC(_xlfn._xlws.FILTER(J1:J122, ISNUMBER(J1:J122)),J121)</f>
        <v>0.82699999999999996</v>
      </c>
      <c r="K127" s="9" cm="1">
        <f t="array" ref="K127">_xlfn.PERCENTRANK.EXC(_xlfn._xlws.FILTER(K1:K122, ISNUMBER(K1:K122)),K121)</f>
        <v>0.48299999999999998</v>
      </c>
      <c r="L127" s="9" cm="1">
        <f t="array" ref="L127">_xlfn.PERCENTRANK.EXC(_xlfn._xlws.FILTER(L1:L122, ISNUMBER(L1:L122)),L121)</f>
        <v>0.59</v>
      </c>
      <c r="M127" s="9" cm="1">
        <f t="array" ref="M127">_xlfn.PERCENTRANK.EXC(_xlfn._xlws.FILTER(M1:M122, ISNUMBER(M1:M122)),M121)</f>
        <v>0.311</v>
      </c>
      <c r="N127" s="9" cm="1">
        <f t="array" ref="N127">_xlfn.PERCENTRANK.EXC(_xlfn._xlws.FILTER(N1:N122, ISNUMBER(N1:N122)),N121)</f>
        <v>0.18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41789</v>
      </c>
      <c r="B2" s="3" cm="1">
        <f t="array" ref="B2:B122">_xll.FDS(B1,"FMA_PE(NTMA,-10AY,0,AM,""PORTAGG"",""MEANR"")")</f>
        <v>17.255520862314999</v>
      </c>
      <c r="C2" s="3" cm="1">
        <f t="array" ref="C2:C122">_xll.FDS(C1,"FMA_PE(NTMA,-10AY,0,AM,""PORTAGG"",""MEANR"")")</f>
        <v>14.297825981497899</v>
      </c>
      <c r="D2" s="3" cm="1">
        <f t="array" ref="D2:D122">_xll.FDS(D1,"FMA_PE(NTMA,-10AY,0,AM,""PORTAGG"",""MEANR"")")</f>
        <v>14.6284222279128</v>
      </c>
      <c r="E2" s="3" cm="1">
        <f t="array" ref="E2:E122">_xll.FDS(E1,"FMA_PE(NTMA,-10AY,0,AM,""PORTAGG"",""MEANR"")")</f>
        <v>13.352587665032299</v>
      </c>
      <c r="F2" s="3" cm="1">
        <f t="array" ref="F2:F122">_xll.FDS(F1,"FMA_PE(NTMA,-10AY,0,AM,""PORTAGG"",""MEANR"")")</f>
        <v>13.2186784272834</v>
      </c>
      <c r="G2" s="3" cm="1">
        <f t="array" ref="G2:G122">_xll.FDS(G1,"FMA_PE(NTMA,-10AY,0,AM,""PORTAGG"",""MEANR"")")</f>
        <v>16.3919649167552</v>
      </c>
      <c r="H2" s="3" cm="1">
        <f t="array" ref="H2:H122">_xll.FDS(H1,"FMA_PE(NTMA,-10AY,0,AM,""PORTAGG"",""MEANR"")")</f>
        <v>13.6686342138199</v>
      </c>
      <c r="I2" s="3" cm="1">
        <f t="array" ref="I2:I122">_xll.FDS(I1,"FMA_PE(NTMA,-10AY,0,AM,""PORTAGG"",""MEANR"")")</f>
        <v>17.188558404791401</v>
      </c>
      <c r="J2" s="3" cm="1">
        <f t="array" ref="J2:J122">_xll.FDS(J1,"FMA_PE(NTMA,-10AY,0,AM,""PORTAGG"",""MEANR"")")</f>
        <v>15.197241897443099</v>
      </c>
      <c r="K2" s="3" cm="1">
        <f t="array" ref="K2:K122">_xll.FDS(K1,"FMA_PE(NTMA,-10AY,0,AM,""PORTAGG"",""MEANR"")")</f>
        <v>14.2057205503567</v>
      </c>
      <c r="L2" s="3" cm="1">
        <f t="array" ref="L2:L122">_xll.FDS(L1,"FMA_PE(NTMA,-10AY,0,AM,""PORTAGG"",""MEANR"")")</f>
        <v>14.3355719632522</v>
      </c>
      <c r="M2" s="3" cm="1">
        <f t="array" ref="M2:M122">_xll.FDS(M1,"FMA_PE(NTMA,-10AY,0,AM,""PORTAGG"",""MEANR"")")</f>
        <v>15.944602352778199</v>
      </c>
      <c r="N2" s="3" cm="1">
        <f t="array" ref="N2:N122">_xll.FDS(N1,"FMA_PE(NTMA,-10AY,0,AM,""PORTAGG"",""MEANR"")")</f>
        <v>14.1092781042066</v>
      </c>
    </row>
    <row r="3" spans="1:14" x14ac:dyDescent="0.35">
      <c r="A3" s="2">
        <v>41820</v>
      </c>
      <c r="B3" s="3">
        <v>17.2393933656492</v>
      </c>
      <c r="C3" s="3">
        <v>14.251238595517</v>
      </c>
      <c r="D3" s="3">
        <v>15.0573328695189</v>
      </c>
      <c r="E3" s="3">
        <v>13.085675422369601</v>
      </c>
      <c r="F3" s="3">
        <v>13.7662935246078</v>
      </c>
      <c r="G3" s="3">
        <v>16.066452105610299</v>
      </c>
      <c r="H3" s="3">
        <v>13.574153028513299</v>
      </c>
      <c r="I3" s="3">
        <v>17.478927736645801</v>
      </c>
      <c r="J3" s="3">
        <v>15.3598789871011</v>
      </c>
      <c r="K3" s="3">
        <v>13.9377982028292</v>
      </c>
      <c r="L3" s="3">
        <v>14.5244310277177</v>
      </c>
      <c r="M3" s="3">
        <v>15.5149374602116</v>
      </c>
      <c r="N3" s="3">
        <v>14.4079521938383</v>
      </c>
    </row>
    <row r="4" spans="1:14" x14ac:dyDescent="0.35">
      <c r="A4" s="2">
        <v>41851</v>
      </c>
      <c r="B4" s="3">
        <v>17.231413635498502</v>
      </c>
      <c r="C4" s="3">
        <v>15.004694352403201</v>
      </c>
      <c r="D4" s="3">
        <v>15.1405827323102</v>
      </c>
      <c r="E4" s="3">
        <v>12.569832872198999</v>
      </c>
      <c r="F4" s="3">
        <v>13.909143291908</v>
      </c>
      <c r="G4" s="3">
        <v>15.838830360298999</v>
      </c>
      <c r="H4" s="3">
        <v>13.5578187334002</v>
      </c>
      <c r="I4" s="3">
        <v>17.221295712641201</v>
      </c>
      <c r="J4" s="3">
        <v>14.8993398538785</v>
      </c>
      <c r="K4" s="3">
        <v>13.3893519847693</v>
      </c>
      <c r="L4" s="3">
        <v>14.013393029189301</v>
      </c>
      <c r="M4" s="3">
        <v>15.3809341005389</v>
      </c>
      <c r="N4" s="3">
        <v>13.7822478798322</v>
      </c>
    </row>
    <row r="5" spans="1:14" x14ac:dyDescent="0.35">
      <c r="A5" s="2">
        <v>41880</v>
      </c>
      <c r="B5" s="3">
        <v>17.425990445087798</v>
      </c>
      <c r="C5" s="3">
        <v>14.8837061335486</v>
      </c>
      <c r="D5" s="3">
        <v>15.2353364171694</v>
      </c>
      <c r="E5" s="3">
        <v>12.568413882496399</v>
      </c>
      <c r="F5" s="3">
        <v>13.585355167216401</v>
      </c>
      <c r="G5" s="3">
        <v>16.115886505196599</v>
      </c>
      <c r="H5" s="3">
        <v>13.5557307291156</v>
      </c>
      <c r="I5" s="3">
        <v>17.877426543949401</v>
      </c>
      <c r="J5" s="3">
        <v>15.3577342548639</v>
      </c>
      <c r="K5" s="3">
        <v>13.6611265422643</v>
      </c>
      <c r="L5" s="3">
        <v>14.457231056903399</v>
      </c>
      <c r="M5" s="3">
        <v>14.7457568698236</v>
      </c>
      <c r="N5" s="3">
        <v>13.8013716688956</v>
      </c>
    </row>
    <row r="6" spans="1:14" x14ac:dyDescent="0.35">
      <c r="A6" s="2">
        <v>41912</v>
      </c>
      <c r="B6" s="3">
        <v>17.1649041349797</v>
      </c>
      <c r="C6" s="3">
        <v>13.847635368158899</v>
      </c>
      <c r="D6" s="3">
        <v>14.4527383828098</v>
      </c>
      <c r="E6" s="3">
        <v>12.4983496964228</v>
      </c>
      <c r="F6" s="3">
        <v>14.1074103886624</v>
      </c>
      <c r="G6" s="3">
        <v>15.964738535493501</v>
      </c>
      <c r="H6" s="3">
        <v>13.0656420372183</v>
      </c>
      <c r="I6" s="3">
        <v>17.4677204030199</v>
      </c>
      <c r="J6" s="3">
        <v>15.032987448997501</v>
      </c>
      <c r="K6" s="3">
        <v>13.612914177358199</v>
      </c>
      <c r="L6" s="3">
        <v>14.658847902725199</v>
      </c>
      <c r="M6" s="3">
        <v>14.687969894972801</v>
      </c>
      <c r="N6" s="3">
        <v>13.610369862407399</v>
      </c>
    </row>
    <row r="7" spans="1:14" x14ac:dyDescent="0.35">
      <c r="A7" s="2">
        <v>41943</v>
      </c>
      <c r="B7" s="3">
        <v>17.607549460587101</v>
      </c>
      <c r="C7" s="3">
        <v>14.617147750157599</v>
      </c>
      <c r="D7" s="3">
        <v>14.3528473978999</v>
      </c>
      <c r="E7" s="3">
        <v>12.2997736717441</v>
      </c>
      <c r="F7" s="3">
        <v>13.9869905302651</v>
      </c>
      <c r="G7" s="3">
        <v>15.9486062855683</v>
      </c>
      <c r="H7" s="3">
        <v>13.160472896626599</v>
      </c>
      <c r="I7" s="3">
        <v>17.6885889608936</v>
      </c>
      <c r="J7" s="3">
        <v>15.4981269408046</v>
      </c>
      <c r="K7" s="3">
        <v>13.2064043588754</v>
      </c>
      <c r="L7" s="3">
        <v>14.6029947441027</v>
      </c>
      <c r="M7" s="3">
        <v>14.6907340445612</v>
      </c>
      <c r="N7" s="3">
        <v>12.859005925144</v>
      </c>
    </row>
    <row r="8" spans="1:14" x14ac:dyDescent="0.35">
      <c r="A8" s="2">
        <v>41971</v>
      </c>
      <c r="B8" s="3">
        <v>17.725164154936401</v>
      </c>
      <c r="C8" s="3">
        <v>13.978788736638901</v>
      </c>
      <c r="D8" s="3">
        <v>14.683387528230501</v>
      </c>
      <c r="E8" s="3">
        <v>13.0889943655129</v>
      </c>
      <c r="F8" s="3">
        <v>14.4804093238916</v>
      </c>
      <c r="G8" s="3">
        <v>16.373898871413701</v>
      </c>
      <c r="H8" s="3">
        <v>13.5634694393154</v>
      </c>
      <c r="I8" s="3">
        <v>18.308665206578102</v>
      </c>
      <c r="J8" s="3">
        <v>15.845579727634201</v>
      </c>
      <c r="K8" s="3">
        <v>13.8444256314468</v>
      </c>
      <c r="L8" s="3">
        <v>15.2708740916053</v>
      </c>
      <c r="M8" s="3">
        <v>15.6989876845885</v>
      </c>
      <c r="N8" s="3">
        <v>13.001229169060499</v>
      </c>
    </row>
    <row r="9" spans="1:14" x14ac:dyDescent="0.35">
      <c r="A9" s="2">
        <v>42004</v>
      </c>
      <c r="B9" s="3">
        <v>18.214770787120599</v>
      </c>
      <c r="C9" s="3">
        <v>14.593185536132101</v>
      </c>
      <c r="D9" s="3">
        <v>15.505252280155</v>
      </c>
      <c r="E9" s="3">
        <v>12.8434669890816</v>
      </c>
      <c r="F9" s="3">
        <v>14.297694065687599</v>
      </c>
      <c r="G9" s="3">
        <v>15.6774388962394</v>
      </c>
      <c r="H9" s="3">
        <v>13.8378427236722</v>
      </c>
      <c r="I9" s="3">
        <v>17.4439790635812</v>
      </c>
      <c r="J9" s="3">
        <v>15.971462330108499</v>
      </c>
      <c r="K9" s="3">
        <v>13.7780667903218</v>
      </c>
      <c r="L9" s="3">
        <v>14.847496294931799</v>
      </c>
      <c r="M9" s="3">
        <v>15.610795736420201</v>
      </c>
      <c r="N9" s="3">
        <v>12.338338713316499</v>
      </c>
    </row>
    <row r="10" spans="1:14" x14ac:dyDescent="0.35">
      <c r="A10" s="2">
        <v>42034</v>
      </c>
      <c r="B10" s="3">
        <v>18.934546597998001</v>
      </c>
      <c r="C10" s="3">
        <v>15.2362716214905</v>
      </c>
      <c r="D10" s="3">
        <v>16.493173059250498</v>
      </c>
      <c r="E10" s="3">
        <v>13.983159956977801</v>
      </c>
      <c r="F10" s="3">
        <v>14.0144152447374</v>
      </c>
      <c r="G10" s="3">
        <v>16.3297532069083</v>
      </c>
      <c r="H10" s="3">
        <v>14.971451702718401</v>
      </c>
      <c r="I10" s="3">
        <v>16.936724531548201</v>
      </c>
      <c r="J10" s="3">
        <v>16.039060201694301</v>
      </c>
      <c r="K10" s="3">
        <v>15.2955982571255</v>
      </c>
      <c r="L10" s="3">
        <v>15.7673862704467</v>
      </c>
      <c r="M10" s="3">
        <v>16.202914323963402</v>
      </c>
      <c r="N10" s="3">
        <v>14.004178174042</v>
      </c>
    </row>
    <row r="11" spans="1:14" x14ac:dyDescent="0.35">
      <c r="A11" s="2">
        <v>42062</v>
      </c>
      <c r="B11" s="3">
        <v>19.300625418747899</v>
      </c>
      <c r="C11" s="3">
        <v>16.320292432707301</v>
      </c>
      <c r="D11" s="3">
        <v>17.500357880049499</v>
      </c>
      <c r="E11" s="3">
        <v>14.8213749994138</v>
      </c>
      <c r="F11" s="3">
        <v>15.101562261266899</v>
      </c>
      <c r="G11" s="3">
        <v>17.628133814780799</v>
      </c>
      <c r="H11" s="3">
        <v>15.7673388929755</v>
      </c>
      <c r="I11" s="3">
        <v>18.0987091619455</v>
      </c>
      <c r="J11" s="3">
        <v>16.900731634440199</v>
      </c>
      <c r="K11" s="3">
        <v>16.380690403267899</v>
      </c>
      <c r="L11" s="3">
        <v>16.924455546412901</v>
      </c>
      <c r="M11" s="3">
        <v>17.393614041026598</v>
      </c>
      <c r="N11" s="3">
        <v>15.551223659237801</v>
      </c>
    </row>
    <row r="12" spans="1:14" x14ac:dyDescent="0.35">
      <c r="A12" s="2">
        <v>42094</v>
      </c>
      <c r="B12" s="3">
        <v>18.034621076120199</v>
      </c>
      <c r="C12" s="3">
        <v>16.265424531910401</v>
      </c>
      <c r="D12" s="3">
        <v>16.975941702313399</v>
      </c>
      <c r="E12" s="3">
        <v>15.424311170126501</v>
      </c>
      <c r="F12" s="3">
        <v>15.204580959246799</v>
      </c>
      <c r="G12" s="3">
        <v>17.608450565972099</v>
      </c>
      <c r="H12" s="3">
        <v>15.3709184485006</v>
      </c>
      <c r="I12" s="3">
        <v>17.679888127348899</v>
      </c>
      <c r="J12" s="3">
        <v>16.4786587537508</v>
      </c>
      <c r="K12" s="3">
        <v>16.4716348607034</v>
      </c>
      <c r="L12" s="3">
        <v>17.139396363916099</v>
      </c>
      <c r="M12" s="3">
        <v>16.997614635664799</v>
      </c>
      <c r="N12" s="3">
        <v>15.8634053445672</v>
      </c>
    </row>
    <row r="13" spans="1:14" x14ac:dyDescent="0.35">
      <c r="A13" s="2">
        <v>42124</v>
      </c>
      <c r="B13" s="3">
        <v>18.2889900092988</v>
      </c>
      <c r="C13" s="3">
        <v>16.2161165918601</v>
      </c>
      <c r="D13" s="3">
        <v>17.219652990915801</v>
      </c>
      <c r="E13" s="3">
        <v>14.5687719047174</v>
      </c>
      <c r="F13" s="3">
        <v>15.7201430543941</v>
      </c>
      <c r="G13" s="3">
        <v>17.7320953459968</v>
      </c>
      <c r="H13" s="3">
        <v>16.0614627835823</v>
      </c>
      <c r="I13" s="3">
        <v>17.821024811762399</v>
      </c>
      <c r="J13" s="3">
        <v>16.550809312854</v>
      </c>
      <c r="K13" s="3">
        <v>16.3156461146434</v>
      </c>
      <c r="L13" s="3">
        <v>16.899703396284</v>
      </c>
      <c r="M13" s="3">
        <v>15.840082470970501</v>
      </c>
      <c r="N13" s="3">
        <v>15.7302112379706</v>
      </c>
    </row>
    <row r="14" spans="1:14" x14ac:dyDescent="0.35">
      <c r="A14" s="2">
        <v>42153</v>
      </c>
      <c r="B14" s="3">
        <v>18.424554884382001</v>
      </c>
      <c r="C14" s="3">
        <v>15.9971485556846</v>
      </c>
      <c r="D14" s="3">
        <v>16.522605442496602</v>
      </c>
      <c r="E14" s="3">
        <v>14.0968650326133</v>
      </c>
      <c r="F14" s="3">
        <v>16.444295911109599</v>
      </c>
      <c r="G14" s="3">
        <v>17.6337153950386</v>
      </c>
      <c r="H14" s="3">
        <v>15.9826389200667</v>
      </c>
      <c r="I14" s="3">
        <v>18.016858601746101</v>
      </c>
      <c r="J14" s="3">
        <v>16.545466872967999</v>
      </c>
      <c r="K14" s="3">
        <v>16.1051962930377</v>
      </c>
      <c r="L14" s="3">
        <v>17.0008564848339</v>
      </c>
      <c r="M14" s="3">
        <v>16.4926284571713</v>
      </c>
      <c r="N14" s="3">
        <v>15.768212853158101</v>
      </c>
    </row>
    <row r="15" spans="1:14" x14ac:dyDescent="0.35">
      <c r="A15" s="2">
        <v>42185</v>
      </c>
      <c r="B15" s="3">
        <v>17.836940893923401</v>
      </c>
      <c r="C15" s="3">
        <v>15.108007093568199</v>
      </c>
      <c r="D15" s="3">
        <v>15.8677840541521</v>
      </c>
      <c r="E15" s="3">
        <v>13.361095929224501</v>
      </c>
      <c r="F15" s="3">
        <v>15.411334415971901</v>
      </c>
      <c r="G15" s="3">
        <v>16.781445778327701</v>
      </c>
      <c r="H15" s="3">
        <v>14.953460025592101</v>
      </c>
      <c r="I15" s="3">
        <v>17.4863357511584</v>
      </c>
      <c r="J15" s="3">
        <v>16.096975829143499</v>
      </c>
      <c r="K15" s="3">
        <v>15.209645326054201</v>
      </c>
      <c r="L15" s="3">
        <v>16.1758437499415</v>
      </c>
      <c r="M15" s="3">
        <v>15.3818987124474</v>
      </c>
      <c r="N15" s="3">
        <v>14.7595589266733</v>
      </c>
    </row>
    <row r="16" spans="1:14" x14ac:dyDescent="0.35">
      <c r="A16" s="2">
        <v>42216</v>
      </c>
      <c r="B16" s="3">
        <v>18.3374247523085</v>
      </c>
      <c r="C16" s="3">
        <v>15.6963684051369</v>
      </c>
      <c r="D16" s="3">
        <v>15.658348117453601</v>
      </c>
      <c r="E16" s="3">
        <v>13.7553346204986</v>
      </c>
      <c r="F16" s="3">
        <v>15.5549826524311</v>
      </c>
      <c r="G16" s="3">
        <v>17.728659361365199</v>
      </c>
      <c r="H16" s="3">
        <v>15.402920468491301</v>
      </c>
      <c r="I16" s="3">
        <v>18.625859724397898</v>
      </c>
      <c r="J16" s="3">
        <v>16.428470716538602</v>
      </c>
      <c r="K16" s="3">
        <v>15.7846630693225</v>
      </c>
      <c r="L16" s="3">
        <v>16.8091333988136</v>
      </c>
      <c r="M16" s="3">
        <v>15.968217591357099</v>
      </c>
      <c r="N16" s="3">
        <v>15.466617764074799</v>
      </c>
    </row>
    <row r="17" spans="1:14" x14ac:dyDescent="0.35">
      <c r="A17" s="2">
        <v>42247</v>
      </c>
      <c r="B17" s="3">
        <v>17.609299712178</v>
      </c>
      <c r="C17" s="3">
        <v>14.4999441968755</v>
      </c>
      <c r="D17" s="3">
        <v>14.9329201869831</v>
      </c>
      <c r="E17" s="3">
        <v>12.452470343375801</v>
      </c>
      <c r="F17" s="3">
        <v>14.1816123984354</v>
      </c>
      <c r="G17" s="3">
        <v>16.581318630930902</v>
      </c>
      <c r="H17" s="3">
        <v>14.369057628721</v>
      </c>
      <c r="I17" s="3">
        <v>17.280369646113702</v>
      </c>
      <c r="J17" s="3">
        <v>15.351058813690599</v>
      </c>
      <c r="K17" s="3">
        <v>14.333820885036699</v>
      </c>
      <c r="L17" s="3">
        <v>15.041745572439501</v>
      </c>
      <c r="M17" s="3">
        <v>14.9033573095144</v>
      </c>
      <c r="N17" s="3">
        <v>14.3894014831502</v>
      </c>
    </row>
    <row r="18" spans="1:14" x14ac:dyDescent="0.35">
      <c r="A18" s="2">
        <v>42277</v>
      </c>
      <c r="B18" s="3">
        <v>16.9996084690621</v>
      </c>
      <c r="C18" s="3">
        <v>14.2020634777161</v>
      </c>
      <c r="D18" s="3">
        <v>14.4469976336929</v>
      </c>
      <c r="E18" s="3">
        <v>11.852519887862099</v>
      </c>
      <c r="F18" s="3">
        <v>12.948992078545601</v>
      </c>
      <c r="G18" s="3">
        <v>15.9454089953965</v>
      </c>
      <c r="H18" s="3">
        <v>14.266630404709201</v>
      </c>
      <c r="I18" s="3">
        <v>16.811658223300899</v>
      </c>
      <c r="J18" s="3">
        <v>14.949727078457199</v>
      </c>
      <c r="K18" s="3">
        <v>13.856395127648801</v>
      </c>
      <c r="L18" s="3">
        <v>14.329089828451799</v>
      </c>
      <c r="M18" s="3">
        <v>14.1084690328356</v>
      </c>
      <c r="N18" s="3">
        <v>13.892877004143401</v>
      </c>
    </row>
    <row r="19" spans="1:14" x14ac:dyDescent="0.35">
      <c r="A19" s="2">
        <v>42307</v>
      </c>
      <c r="B19" s="3">
        <v>18.038295420771</v>
      </c>
      <c r="C19" s="3">
        <v>15.0311255121562</v>
      </c>
      <c r="D19" s="3">
        <v>14.7494103952787</v>
      </c>
      <c r="E19" s="3">
        <v>13.3647461553588</v>
      </c>
      <c r="F19" s="3">
        <v>14.385129114322201</v>
      </c>
      <c r="G19" s="3">
        <v>16.969152773784501</v>
      </c>
      <c r="H19" s="3">
        <v>15.3196187474176</v>
      </c>
      <c r="I19" s="3">
        <v>18.545203662959501</v>
      </c>
      <c r="J19" s="3">
        <v>16.270771457812199</v>
      </c>
      <c r="K19" s="3">
        <v>15.1709503017873</v>
      </c>
      <c r="L19" s="3">
        <v>15.8345823022642</v>
      </c>
      <c r="M19" s="3">
        <v>15.454904907849301</v>
      </c>
      <c r="N19" s="3">
        <v>14.740695462059699</v>
      </c>
    </row>
    <row r="20" spans="1:14" x14ac:dyDescent="0.35">
      <c r="A20" s="2">
        <v>42338</v>
      </c>
      <c r="B20" s="3">
        <v>18.112173449677101</v>
      </c>
      <c r="C20" s="3">
        <v>14.965753651834699</v>
      </c>
      <c r="D20" s="3">
        <v>14.6145937126792</v>
      </c>
      <c r="E20" s="3">
        <v>14.1684872769296</v>
      </c>
      <c r="F20" s="3">
        <v>14.561593396600101</v>
      </c>
      <c r="G20" s="3">
        <v>17.006377021246699</v>
      </c>
      <c r="H20" s="3">
        <v>15.3728546532406</v>
      </c>
      <c r="I20" s="3">
        <v>18.670202498394101</v>
      </c>
      <c r="J20" s="3">
        <v>16.2490757069104</v>
      </c>
      <c r="K20" s="3">
        <v>15.405877827229</v>
      </c>
      <c r="L20" s="3">
        <v>16.4755893395924</v>
      </c>
      <c r="M20" s="3">
        <v>15.718756289533401</v>
      </c>
      <c r="N20" s="3">
        <v>15.104253642988899</v>
      </c>
    </row>
    <row r="21" spans="1:14" x14ac:dyDescent="0.35">
      <c r="A21" s="2">
        <v>42369</v>
      </c>
      <c r="B21" s="3">
        <v>18.2879518587097</v>
      </c>
      <c r="C21" s="3">
        <v>15.7577891400844</v>
      </c>
      <c r="D21" s="3">
        <v>14.121858270811501</v>
      </c>
      <c r="E21" s="3">
        <v>13.350964590216501</v>
      </c>
      <c r="F21" s="3">
        <v>14.059202899593901</v>
      </c>
      <c r="G21" s="3">
        <v>16.878889370263501</v>
      </c>
      <c r="H21" s="3">
        <v>15.2053139260079</v>
      </c>
      <c r="I21" s="3">
        <v>18.458821535757501</v>
      </c>
      <c r="J21" s="3">
        <v>15.991430392029001</v>
      </c>
      <c r="K21" s="3">
        <v>14.552502668719599</v>
      </c>
      <c r="L21" s="3">
        <v>15.3744123294909</v>
      </c>
      <c r="M21" s="3">
        <v>14.9750159777383</v>
      </c>
      <c r="N21" s="3">
        <v>14.0570435212574</v>
      </c>
    </row>
    <row r="22" spans="1:14" x14ac:dyDescent="0.35">
      <c r="A22" s="2">
        <v>42398</v>
      </c>
      <c r="B22" s="3">
        <v>17.445961177563301</v>
      </c>
      <c r="C22" s="3">
        <v>15.235472782096499</v>
      </c>
      <c r="D22" s="3">
        <v>14.512368700572299</v>
      </c>
      <c r="E22" s="3">
        <v>12.3195530888269</v>
      </c>
      <c r="F22" s="3">
        <v>13.042691962684099</v>
      </c>
      <c r="G22" s="3">
        <v>16.235847310189101</v>
      </c>
      <c r="H22" s="3">
        <v>15.504557830947499</v>
      </c>
      <c r="I22" s="3">
        <v>17.3170674814134</v>
      </c>
      <c r="J22" s="3">
        <v>15.5099438140132</v>
      </c>
      <c r="K22" s="3">
        <v>14.250827351842901</v>
      </c>
      <c r="L22" s="3">
        <v>15.077845120517701</v>
      </c>
      <c r="M22" s="3">
        <v>14.579874271664499</v>
      </c>
      <c r="N22" s="3">
        <v>13.034168832855</v>
      </c>
    </row>
    <row r="23" spans="1:14" x14ac:dyDescent="0.35">
      <c r="A23" s="2">
        <v>42429</v>
      </c>
      <c r="B23" s="3">
        <v>17.505570024910099</v>
      </c>
      <c r="C23" s="3">
        <v>15.051548140716701</v>
      </c>
      <c r="D23" s="3">
        <v>14.9356765539306</v>
      </c>
      <c r="E23" s="3">
        <v>12.148112021916299</v>
      </c>
      <c r="F23" s="3">
        <v>12.246164722609899</v>
      </c>
      <c r="G23" s="3">
        <v>16.282206864071199</v>
      </c>
      <c r="H23" s="3">
        <v>15.612412794759001</v>
      </c>
      <c r="I23" s="3">
        <v>16.8542378058808</v>
      </c>
      <c r="J23" s="3">
        <v>15.516736353630501</v>
      </c>
      <c r="K23" s="3">
        <v>14.1983688040375</v>
      </c>
      <c r="L23" s="3">
        <v>14.8648040793015</v>
      </c>
      <c r="M23" s="3">
        <v>15.1632909635731</v>
      </c>
      <c r="N23" s="3">
        <v>12.9384392812333</v>
      </c>
    </row>
    <row r="24" spans="1:14" x14ac:dyDescent="0.35">
      <c r="A24" s="2">
        <v>42460</v>
      </c>
      <c r="B24" s="3">
        <v>18.532753947012001</v>
      </c>
      <c r="C24" s="3">
        <v>15.7602280102256</v>
      </c>
      <c r="D24" s="3">
        <v>15.990338044464901</v>
      </c>
      <c r="E24" s="3">
        <v>12.7103735596592</v>
      </c>
      <c r="F24" s="3">
        <v>12.8159054496988</v>
      </c>
      <c r="G24" s="3">
        <v>16.456361079446001</v>
      </c>
      <c r="H24" s="3">
        <v>16.159506822519401</v>
      </c>
      <c r="I24" s="3">
        <v>17.897188146471901</v>
      </c>
      <c r="J24" s="3">
        <v>16.500463546018398</v>
      </c>
      <c r="K24" s="3">
        <v>14.391453604462299</v>
      </c>
      <c r="L24" s="3">
        <v>15.302594589770299</v>
      </c>
      <c r="M24" s="3">
        <v>15.0704805199272</v>
      </c>
      <c r="N24" s="3">
        <v>13.203270550022699</v>
      </c>
    </row>
    <row r="25" spans="1:14" x14ac:dyDescent="0.35">
      <c r="A25" s="2">
        <v>42489</v>
      </c>
      <c r="B25" s="3">
        <v>18.714137894830401</v>
      </c>
      <c r="C25" s="3">
        <v>16.185067998896201</v>
      </c>
      <c r="D25" s="3">
        <v>16.696742116561602</v>
      </c>
      <c r="E25" s="3">
        <v>12.7755065394228</v>
      </c>
      <c r="F25" s="3">
        <v>12.8681650989449</v>
      </c>
      <c r="G25" s="3">
        <v>16.7255752354645</v>
      </c>
      <c r="H25" s="3">
        <v>16.217559099455599</v>
      </c>
      <c r="I25" s="3">
        <v>17.4707196772289</v>
      </c>
      <c r="J25" s="3">
        <v>16.522677016730398</v>
      </c>
      <c r="K25" s="3">
        <v>14.4793950055038</v>
      </c>
      <c r="L25" s="3">
        <v>14.946129809202001</v>
      </c>
      <c r="M25" s="3">
        <v>15.2560793560229</v>
      </c>
      <c r="N25" s="3">
        <v>13.422114321749399</v>
      </c>
    </row>
    <row r="26" spans="1:14" x14ac:dyDescent="0.35">
      <c r="A26" s="2">
        <v>42521</v>
      </c>
      <c r="B26" s="3">
        <v>19.547272444069801</v>
      </c>
      <c r="C26" s="3">
        <v>16.479110352972601</v>
      </c>
      <c r="D26" s="3">
        <v>16.566658248235999</v>
      </c>
      <c r="E26" s="3">
        <v>12.7070518434154</v>
      </c>
      <c r="F26" s="3">
        <v>13.696705767038299</v>
      </c>
      <c r="G26" s="3">
        <v>17.150174503772</v>
      </c>
      <c r="H26" s="3">
        <v>15.874367476483201</v>
      </c>
      <c r="I26" s="3">
        <v>18.029923971081899</v>
      </c>
      <c r="J26" s="3">
        <v>16.591509636371502</v>
      </c>
      <c r="K26" s="3">
        <v>14.560376685114299</v>
      </c>
      <c r="L26" s="3">
        <v>15.3186071877111</v>
      </c>
      <c r="M26" s="3">
        <v>15.009324616000599</v>
      </c>
      <c r="N26" s="3">
        <v>13.5996513032285</v>
      </c>
    </row>
    <row r="27" spans="1:14" x14ac:dyDescent="0.35">
      <c r="A27" s="2">
        <v>42551</v>
      </c>
      <c r="B27" s="3">
        <v>18.986773556808402</v>
      </c>
      <c r="C27" s="3">
        <v>15.9496300306813</v>
      </c>
      <c r="D27" s="3">
        <v>16.313389439050301</v>
      </c>
      <c r="E27" s="3">
        <v>11.9616931461294</v>
      </c>
      <c r="F27" s="3">
        <v>12.591226530942601</v>
      </c>
      <c r="G27" s="3">
        <v>16.7416989528956</v>
      </c>
      <c r="H27" s="3">
        <v>15.9991981811096</v>
      </c>
      <c r="I27" s="3">
        <v>17.610107074404699</v>
      </c>
      <c r="J27" s="3">
        <v>16.494711191880601</v>
      </c>
      <c r="K27" s="3">
        <v>13.5851724271271</v>
      </c>
      <c r="L27" s="3">
        <v>14.149333799842699</v>
      </c>
      <c r="M27" s="3">
        <v>14.5167450248544</v>
      </c>
      <c r="N27" s="3">
        <v>11.7999998651401</v>
      </c>
    </row>
    <row r="28" spans="1:14" x14ac:dyDescent="0.35">
      <c r="A28" s="2">
        <v>42580</v>
      </c>
      <c r="B28" s="3">
        <v>20.317860759197298</v>
      </c>
      <c r="C28" s="3">
        <v>16.7960469997983</v>
      </c>
      <c r="D28" s="3">
        <v>16.444345887586199</v>
      </c>
      <c r="E28" s="3">
        <v>12.7496981471905</v>
      </c>
      <c r="F28" s="3">
        <v>13.3997319137909</v>
      </c>
      <c r="G28" s="3">
        <v>17.194709396987601</v>
      </c>
      <c r="H28" s="3">
        <v>16.183090573922399</v>
      </c>
      <c r="I28" s="3">
        <v>18.6503515019565</v>
      </c>
      <c r="J28" s="3">
        <v>16.972735506226801</v>
      </c>
      <c r="K28" s="3">
        <v>14.149371031928499</v>
      </c>
      <c r="L28" s="3">
        <v>14.7851056451738</v>
      </c>
      <c r="M28" s="3">
        <v>15.2593380109794</v>
      </c>
      <c r="N28" s="3">
        <v>12.452074341916999</v>
      </c>
    </row>
    <row r="29" spans="1:14" x14ac:dyDescent="0.35">
      <c r="A29" s="2">
        <v>42613</v>
      </c>
      <c r="B29" s="3">
        <v>20.676081582502501</v>
      </c>
      <c r="C29" s="3">
        <v>16.410224852670801</v>
      </c>
      <c r="D29" s="3">
        <v>16.219592194296801</v>
      </c>
      <c r="E29" s="3">
        <v>12.939522981387601</v>
      </c>
      <c r="F29" s="3">
        <v>13.532052802737599</v>
      </c>
      <c r="G29" s="3">
        <v>17.2554179389628</v>
      </c>
      <c r="H29" s="3">
        <v>15.9080729651937</v>
      </c>
      <c r="I29" s="3">
        <v>18.502713961818799</v>
      </c>
      <c r="J29" s="3">
        <v>16.7753633427191</v>
      </c>
      <c r="K29" s="3">
        <v>13.9362524648432</v>
      </c>
      <c r="L29" s="3">
        <v>14.970452520999</v>
      </c>
      <c r="M29" s="3">
        <v>15.480308488707699</v>
      </c>
      <c r="N29" s="3">
        <v>12.501734410968901</v>
      </c>
    </row>
    <row r="30" spans="1:14" x14ac:dyDescent="0.35">
      <c r="A30" s="2">
        <v>42643</v>
      </c>
      <c r="B30" s="3">
        <v>20.268189641831601</v>
      </c>
      <c r="C30" s="3">
        <v>16.2714200349259</v>
      </c>
      <c r="D30" s="3">
        <v>16.106254223097501</v>
      </c>
      <c r="E30" s="3">
        <v>12.875623321802999</v>
      </c>
      <c r="F30" s="3">
        <v>13.353674536845601</v>
      </c>
      <c r="G30" s="3">
        <v>17.132075768127802</v>
      </c>
      <c r="H30" s="3">
        <v>15.7154072811657</v>
      </c>
      <c r="I30" s="3">
        <v>18.668613979402501</v>
      </c>
      <c r="J30" s="3">
        <v>16.649022243530698</v>
      </c>
      <c r="K30" s="3">
        <v>13.8718181444197</v>
      </c>
      <c r="L30" s="3">
        <v>14.963041658227301</v>
      </c>
      <c r="M30" s="3">
        <v>15.7653590079957</v>
      </c>
      <c r="N30" s="3">
        <v>11.780334821756799</v>
      </c>
    </row>
    <row r="31" spans="1:14" x14ac:dyDescent="0.35">
      <c r="A31" s="2">
        <v>42674</v>
      </c>
      <c r="B31" s="3">
        <v>18.936073226141101</v>
      </c>
      <c r="C31" s="3">
        <v>15.7735751847448</v>
      </c>
      <c r="D31" s="3">
        <v>15.8104686276455</v>
      </c>
      <c r="E31" s="3">
        <v>12.9235789210187</v>
      </c>
      <c r="F31" s="3">
        <v>13.8491674079158</v>
      </c>
      <c r="G31" s="3">
        <v>16.47686899835</v>
      </c>
      <c r="H31" s="3">
        <v>14.9040565403123</v>
      </c>
      <c r="I31" s="3">
        <v>18.147946462976702</v>
      </c>
      <c r="J31" s="3">
        <v>16.194121607608899</v>
      </c>
      <c r="K31" s="3">
        <v>13.924033596238599</v>
      </c>
      <c r="L31" s="3">
        <v>14.728884405171399</v>
      </c>
      <c r="M31" s="3">
        <v>16.0344242227279</v>
      </c>
      <c r="N31" s="3">
        <v>12.0513768309649</v>
      </c>
    </row>
    <row r="32" spans="1:14" x14ac:dyDescent="0.35">
      <c r="A32" s="2">
        <v>42704</v>
      </c>
      <c r="B32" s="3">
        <v>18.698556024134199</v>
      </c>
      <c r="C32" s="3">
        <v>15.7876782687957</v>
      </c>
      <c r="D32" s="3">
        <v>15.930884350059999</v>
      </c>
      <c r="E32" s="3">
        <v>12.7951059129632</v>
      </c>
      <c r="F32" s="3">
        <v>14.473513839943999</v>
      </c>
      <c r="G32" s="3">
        <v>16.317678068030101</v>
      </c>
      <c r="H32" s="3">
        <v>14.2231753641962</v>
      </c>
      <c r="I32" s="3">
        <v>18.035569103604001</v>
      </c>
      <c r="J32" s="3">
        <v>16.678782626920899</v>
      </c>
      <c r="K32" s="3">
        <v>13.8667761110957</v>
      </c>
      <c r="L32" s="3">
        <v>14.6202978154517</v>
      </c>
      <c r="M32" s="3">
        <v>16.108032638151901</v>
      </c>
      <c r="N32" s="3">
        <v>11.875954387836</v>
      </c>
    </row>
    <row r="33" spans="1:14" x14ac:dyDescent="0.35">
      <c r="A33" s="2">
        <v>42734</v>
      </c>
      <c r="B33" s="3">
        <v>18.482568007984501</v>
      </c>
      <c r="C33" s="3">
        <v>15.7804147186182</v>
      </c>
      <c r="D33" s="3">
        <v>15.7399936479628</v>
      </c>
      <c r="E33" s="3">
        <v>13.638581726329701</v>
      </c>
      <c r="F33" s="3">
        <v>14.666066308776999</v>
      </c>
      <c r="G33" s="3">
        <v>16.782175135433</v>
      </c>
      <c r="H33" s="3">
        <v>14.451056544209401</v>
      </c>
      <c r="I33" s="3">
        <v>18.047091871645399</v>
      </c>
      <c r="J33" s="3">
        <v>16.8042774932923</v>
      </c>
      <c r="K33" s="3">
        <v>14.5703388121852</v>
      </c>
      <c r="L33" s="3">
        <v>15.0459531872303</v>
      </c>
      <c r="M33" s="3">
        <v>16.404672303361401</v>
      </c>
      <c r="N33" s="3">
        <v>13.5567131574021</v>
      </c>
    </row>
    <row r="34" spans="1:14" x14ac:dyDescent="0.35">
      <c r="A34" s="2">
        <v>42766</v>
      </c>
      <c r="B34" s="3">
        <v>18.961658804741599</v>
      </c>
      <c r="C34" s="3">
        <v>15.5571538725663</v>
      </c>
      <c r="D34" s="3">
        <v>15.9579234932023</v>
      </c>
      <c r="E34" s="3">
        <v>13.611309582253501</v>
      </c>
      <c r="F34" s="3">
        <v>14.395725429161599</v>
      </c>
      <c r="G34" s="3">
        <v>17.073889471005302</v>
      </c>
      <c r="H34" s="3">
        <v>14.1597858094171</v>
      </c>
      <c r="I34" s="3">
        <v>19.118185272818099</v>
      </c>
      <c r="J34" s="3">
        <v>17.058613329966899</v>
      </c>
      <c r="K34" s="3">
        <v>14.163486180242399</v>
      </c>
      <c r="L34" s="3">
        <v>14.8942772124415</v>
      </c>
      <c r="M34" s="3">
        <v>15.897056095390299</v>
      </c>
      <c r="N34" s="3">
        <v>12.468679624479901</v>
      </c>
    </row>
    <row r="35" spans="1:14" x14ac:dyDescent="0.35">
      <c r="A35" s="2">
        <v>42794</v>
      </c>
      <c r="B35" s="3">
        <v>18.345623529023399</v>
      </c>
      <c r="C35" s="3">
        <v>15.759947664808299</v>
      </c>
      <c r="D35" s="3">
        <v>15.817264823506999</v>
      </c>
      <c r="E35" s="3">
        <v>13.686296320478201</v>
      </c>
      <c r="F35" s="3">
        <v>14.1099273732975</v>
      </c>
      <c r="G35" s="3">
        <v>17.543801645900899</v>
      </c>
      <c r="H35" s="3">
        <v>14.387426044860099</v>
      </c>
      <c r="I35" s="3">
        <v>20.041470703903801</v>
      </c>
      <c r="J35" s="3">
        <v>17.658470304804698</v>
      </c>
      <c r="K35" s="3">
        <v>14.1974243755866</v>
      </c>
      <c r="L35" s="3">
        <v>15.4775278626066</v>
      </c>
      <c r="M35" s="3">
        <v>16.3898648505327</v>
      </c>
      <c r="N35" s="3">
        <v>12.7903887811697</v>
      </c>
    </row>
    <row r="36" spans="1:14" x14ac:dyDescent="0.35">
      <c r="A36" s="2">
        <v>42825</v>
      </c>
      <c r="B36" s="3">
        <v>19.0001722152101</v>
      </c>
      <c r="C36" s="3">
        <v>15.859258738362501</v>
      </c>
      <c r="D36" s="3">
        <v>15.8540727266835</v>
      </c>
      <c r="E36" s="3">
        <v>14.064418048950801</v>
      </c>
      <c r="F36" s="3">
        <v>13.7674669359031</v>
      </c>
      <c r="G36" s="3">
        <v>17.404040424910299</v>
      </c>
      <c r="H36" s="3">
        <v>14.419069474235799</v>
      </c>
      <c r="I36" s="3">
        <v>20.148536930708701</v>
      </c>
      <c r="J36" s="3">
        <v>17.509620263058899</v>
      </c>
      <c r="K36" s="3">
        <v>14.9122561126064</v>
      </c>
      <c r="L36" s="3">
        <v>16.086544809033001</v>
      </c>
      <c r="M36" s="3">
        <v>17.151096401234199</v>
      </c>
      <c r="N36" s="3">
        <v>13.682327478082</v>
      </c>
    </row>
    <row r="37" spans="1:14" x14ac:dyDescent="0.35">
      <c r="A37" s="2">
        <v>42853</v>
      </c>
      <c r="B37" s="3">
        <v>19.535671110391799</v>
      </c>
      <c r="C37" s="3">
        <v>15.964150867551201</v>
      </c>
      <c r="D37" s="3">
        <v>15.6903318404951</v>
      </c>
      <c r="E37" s="3">
        <v>13.9737694644847</v>
      </c>
      <c r="F37" s="3">
        <v>13.851733909173801</v>
      </c>
      <c r="G37" s="3">
        <v>17.821473120202299</v>
      </c>
      <c r="H37" s="3">
        <v>14.3108472927418</v>
      </c>
      <c r="I37" s="3">
        <v>20.361000657249299</v>
      </c>
      <c r="J37" s="3">
        <v>17.445156431584898</v>
      </c>
      <c r="K37" s="3">
        <v>15.211280112837001</v>
      </c>
      <c r="L37" s="3">
        <v>16.345623831759301</v>
      </c>
      <c r="M37" s="3">
        <v>17.090100577415001</v>
      </c>
      <c r="N37" s="3">
        <v>13.3991037145028</v>
      </c>
    </row>
    <row r="38" spans="1:14" x14ac:dyDescent="0.35">
      <c r="A38" s="2">
        <v>42886</v>
      </c>
      <c r="B38" s="3">
        <v>19.475296466873498</v>
      </c>
      <c r="C38" s="3">
        <v>15.2859050590392</v>
      </c>
      <c r="D38" s="3">
        <v>15.3103214564344</v>
      </c>
      <c r="E38" s="3">
        <v>13.7340018946943</v>
      </c>
      <c r="F38" s="3">
        <v>14.209286595288701</v>
      </c>
      <c r="G38" s="3">
        <v>18.04251048095</v>
      </c>
      <c r="H38" s="3">
        <v>14.801297252447201</v>
      </c>
      <c r="I38" s="3">
        <v>20.912447028715899</v>
      </c>
      <c r="J38" s="3">
        <v>17.4850708746702</v>
      </c>
      <c r="K38" s="3">
        <v>15.0937389272516</v>
      </c>
      <c r="L38" s="3">
        <v>16.260813959052001</v>
      </c>
      <c r="M38" s="3">
        <v>17.9885853625156</v>
      </c>
      <c r="N38" s="3">
        <v>13.1890616499368</v>
      </c>
    </row>
    <row r="39" spans="1:14" x14ac:dyDescent="0.35">
      <c r="A39" s="2">
        <v>42916</v>
      </c>
      <c r="B39" s="3">
        <v>19.518948958517601</v>
      </c>
      <c r="C39" s="3">
        <v>15.4265713988627</v>
      </c>
      <c r="D39" s="3">
        <v>15.231540248211999</v>
      </c>
      <c r="E39" s="3">
        <v>13.2857038333978</v>
      </c>
      <c r="F39" s="3">
        <v>14.302704841609501</v>
      </c>
      <c r="G39" s="3">
        <v>17.735162563020001</v>
      </c>
      <c r="H39" s="3">
        <v>14.3989278646626</v>
      </c>
      <c r="I39" s="3">
        <v>20.051943145317701</v>
      </c>
      <c r="J39" s="3">
        <v>17.413959423677198</v>
      </c>
      <c r="K39" s="3">
        <v>14.543953728786899</v>
      </c>
      <c r="L39" s="3">
        <v>15.641227161239399</v>
      </c>
      <c r="M39" s="3">
        <v>16.463775501159599</v>
      </c>
      <c r="N39" s="3">
        <v>12.9922537854392</v>
      </c>
    </row>
    <row r="40" spans="1:14" x14ac:dyDescent="0.35">
      <c r="A40" s="2">
        <v>42947</v>
      </c>
      <c r="B40" s="3">
        <v>19.673298547096302</v>
      </c>
      <c r="C40" s="3">
        <v>15.683750938777701</v>
      </c>
      <c r="D40" s="3">
        <v>15.582746336513299</v>
      </c>
      <c r="E40" s="3">
        <v>13.039104321887001</v>
      </c>
      <c r="F40" s="3">
        <v>14.172527303971799</v>
      </c>
      <c r="G40" s="3">
        <v>17.818579307486502</v>
      </c>
      <c r="H40" s="3">
        <v>14.7019187928699</v>
      </c>
      <c r="I40" s="3">
        <v>20.677462496389602</v>
      </c>
      <c r="J40" s="3">
        <v>17.633594296424501</v>
      </c>
      <c r="K40" s="3">
        <v>14.4858858708906</v>
      </c>
      <c r="L40" s="3">
        <v>15.973489011428899</v>
      </c>
      <c r="M40" s="3">
        <v>15.975877378112701</v>
      </c>
      <c r="N40" s="3">
        <v>13.467825626705901</v>
      </c>
    </row>
    <row r="41" spans="1:14" x14ac:dyDescent="0.35">
      <c r="A41" s="2">
        <v>42978</v>
      </c>
      <c r="B41" s="3">
        <v>20.0009237310244</v>
      </c>
      <c r="C41" s="3">
        <v>15.591969942453799</v>
      </c>
      <c r="D41" s="3">
        <v>15.5030595525821</v>
      </c>
      <c r="E41" s="3">
        <v>12.9139941723114</v>
      </c>
      <c r="F41" s="3">
        <v>13.7178737190061</v>
      </c>
      <c r="G41" s="3">
        <v>17.428019092473601</v>
      </c>
      <c r="H41" s="3">
        <v>14.5510550377484</v>
      </c>
      <c r="I41" s="3">
        <v>20.710874620575801</v>
      </c>
      <c r="J41" s="3">
        <v>17.500435380095801</v>
      </c>
      <c r="K41" s="3">
        <v>14.484507339643301</v>
      </c>
      <c r="L41" s="3">
        <v>15.653883200029099</v>
      </c>
      <c r="M41" s="3">
        <v>15.8016757447029</v>
      </c>
      <c r="N41" s="3">
        <v>13.237835720186499</v>
      </c>
    </row>
    <row r="42" spans="1:14" x14ac:dyDescent="0.35">
      <c r="A42" s="2">
        <v>43007</v>
      </c>
      <c r="B42" s="3">
        <v>19.831774172798401</v>
      </c>
      <c r="C42" s="3">
        <v>15.4254496003211</v>
      </c>
      <c r="D42" s="3">
        <v>15.7716774901123</v>
      </c>
      <c r="E42" s="3">
        <v>13.6674893399511</v>
      </c>
      <c r="F42" s="3">
        <v>14.011851250326901</v>
      </c>
      <c r="G42" s="3">
        <v>17.754606874660801</v>
      </c>
      <c r="H42" s="3">
        <v>14.541307661188601</v>
      </c>
      <c r="I42" s="3">
        <v>20.376122103290001</v>
      </c>
      <c r="J42" s="3">
        <v>17.732658922695201</v>
      </c>
      <c r="K42" s="3">
        <v>15.1352822443408</v>
      </c>
      <c r="L42" s="3">
        <v>16.020405717015201</v>
      </c>
      <c r="M42" s="3">
        <v>16.811367193639398</v>
      </c>
      <c r="N42" s="3">
        <v>13.590368742710901</v>
      </c>
    </row>
    <row r="43" spans="1:14" x14ac:dyDescent="0.35">
      <c r="A43" s="2">
        <v>43039</v>
      </c>
      <c r="B43" s="3">
        <v>20.488193177859799</v>
      </c>
      <c r="C43" s="3">
        <v>15.7783022560777</v>
      </c>
      <c r="D43" s="3">
        <v>15.931332746427101</v>
      </c>
      <c r="E43" s="3">
        <v>14.051497075599499</v>
      </c>
      <c r="F43" s="3">
        <v>14.584227704391701</v>
      </c>
      <c r="G43" s="3">
        <v>17.8998145687174</v>
      </c>
      <c r="H43" s="3">
        <v>14.5231755949159</v>
      </c>
      <c r="I43" s="3">
        <v>20.821676483088599</v>
      </c>
      <c r="J43" s="3">
        <v>17.939246019981098</v>
      </c>
      <c r="K43" s="3">
        <v>15.4155328595604</v>
      </c>
      <c r="L43" s="3">
        <v>16.348989016967</v>
      </c>
      <c r="M43" s="3">
        <v>17.3338264535547</v>
      </c>
      <c r="N43" s="3">
        <v>13.635041119215501</v>
      </c>
    </row>
    <row r="44" spans="1:14" x14ac:dyDescent="0.35">
      <c r="A44" s="2">
        <v>43069</v>
      </c>
      <c r="B44" s="3">
        <v>20.229624481082801</v>
      </c>
      <c r="C44" s="3">
        <v>15.838868786988</v>
      </c>
      <c r="D44" s="3">
        <v>15.8368097580677</v>
      </c>
      <c r="E44" s="3">
        <v>13.815612950942899</v>
      </c>
      <c r="F44" s="3">
        <v>14.6885134053455</v>
      </c>
      <c r="G44" s="3">
        <v>17.738280965116601</v>
      </c>
      <c r="H44" s="3">
        <v>14.176626241481401</v>
      </c>
      <c r="I44" s="3">
        <v>20.914375006872699</v>
      </c>
      <c r="J44" s="3">
        <v>18.2431706573784</v>
      </c>
      <c r="K44" s="3">
        <v>15.019004586255599</v>
      </c>
      <c r="L44" s="3">
        <v>15.935676149453</v>
      </c>
      <c r="M44" s="3">
        <v>16.535982102561199</v>
      </c>
      <c r="N44" s="3">
        <v>13.2454284052553</v>
      </c>
    </row>
    <row r="45" spans="1:14" x14ac:dyDescent="0.35">
      <c r="A45" s="2">
        <v>43098</v>
      </c>
      <c r="B45" s="3">
        <v>20.939465306715999</v>
      </c>
      <c r="C45" s="3">
        <v>16.0258597214481</v>
      </c>
      <c r="D45" s="3">
        <v>15.9212397952306</v>
      </c>
      <c r="E45" s="3">
        <v>13.7384136589018</v>
      </c>
      <c r="F45" s="3">
        <v>14.7172858599221</v>
      </c>
      <c r="G45" s="3">
        <v>17.691791048020299</v>
      </c>
      <c r="H45" s="3">
        <v>14.777121883385799</v>
      </c>
      <c r="I45" s="3">
        <v>20.794752533218301</v>
      </c>
      <c r="J45" s="3">
        <v>18.125319575866101</v>
      </c>
      <c r="K45" s="3">
        <v>14.803149276416599</v>
      </c>
      <c r="L45" s="3">
        <v>15.907886313488</v>
      </c>
      <c r="M45" s="3">
        <v>16.113894235021998</v>
      </c>
      <c r="N45" s="3">
        <v>12.9476628628246</v>
      </c>
    </row>
    <row r="46" spans="1:14" x14ac:dyDescent="0.35">
      <c r="A46" s="2">
        <v>43131</v>
      </c>
      <c r="B46" s="3">
        <v>20.9680095365098</v>
      </c>
      <c r="C46" s="3">
        <v>15.772772369397201</v>
      </c>
      <c r="D46" s="3">
        <v>15.232295455231901</v>
      </c>
      <c r="E46" s="3">
        <v>13.9091832648249</v>
      </c>
      <c r="F46" s="3">
        <v>14.691751830368601</v>
      </c>
      <c r="G46" s="3">
        <v>17.628405387800701</v>
      </c>
      <c r="H46" s="3">
        <v>14.369118996229099</v>
      </c>
      <c r="I46" s="3">
        <v>21.785727671140901</v>
      </c>
      <c r="J46" s="3">
        <v>18.0072792101675</v>
      </c>
      <c r="K46" s="3">
        <v>15.202113615423499</v>
      </c>
      <c r="L46" s="3">
        <v>16.2347494310565</v>
      </c>
      <c r="M46" s="3">
        <v>16.575639675743702</v>
      </c>
      <c r="N46" s="3">
        <v>13.288832746323999</v>
      </c>
    </row>
    <row r="47" spans="1:14" x14ac:dyDescent="0.35">
      <c r="A47" s="2">
        <v>43159</v>
      </c>
      <c r="B47" s="3">
        <v>20.8462380710614</v>
      </c>
      <c r="C47" s="3">
        <v>15.559774051457699</v>
      </c>
      <c r="D47" s="3">
        <v>14.4316732396112</v>
      </c>
      <c r="E47" s="3">
        <v>13.1139166925308</v>
      </c>
      <c r="F47" s="3">
        <v>13.262246295658899</v>
      </c>
      <c r="G47" s="3">
        <v>16.558212276686099</v>
      </c>
      <c r="H47" s="3">
        <v>13.116669102772001</v>
      </c>
      <c r="I47" s="3">
        <v>20.780915318045199</v>
      </c>
      <c r="J47" s="3">
        <v>16.877882067462401</v>
      </c>
      <c r="K47" s="3">
        <v>14.642622239218699</v>
      </c>
      <c r="L47" s="3">
        <v>15.613550224402401</v>
      </c>
      <c r="M47" s="3">
        <v>16.389267383932701</v>
      </c>
      <c r="N47" s="3">
        <v>12.511362753940199</v>
      </c>
    </row>
    <row r="48" spans="1:14" x14ac:dyDescent="0.35">
      <c r="A48" s="2">
        <v>43188</v>
      </c>
      <c r="B48" s="3">
        <v>19.968462639193898</v>
      </c>
      <c r="C48" s="3">
        <v>14.7277990890281</v>
      </c>
      <c r="D48" s="3">
        <v>14.178992741165301</v>
      </c>
      <c r="E48" s="3">
        <v>12.748070591478101</v>
      </c>
      <c r="F48" s="3">
        <v>12.680179678562499</v>
      </c>
      <c r="G48" s="3">
        <v>16.070666865179401</v>
      </c>
      <c r="H48" s="3">
        <v>13.2236066575751</v>
      </c>
      <c r="I48" s="3">
        <v>19.776305760343799</v>
      </c>
      <c r="J48" s="3">
        <v>16.3326334585674</v>
      </c>
      <c r="K48" s="3">
        <v>14.1993168392958</v>
      </c>
      <c r="L48" s="3">
        <v>15.3810444251276</v>
      </c>
      <c r="M48" s="3">
        <v>15.8207495332629</v>
      </c>
      <c r="N48" s="3">
        <v>12.4578319062636</v>
      </c>
    </row>
    <row r="49" spans="1:14" x14ac:dyDescent="0.35">
      <c r="A49" s="2">
        <v>43220</v>
      </c>
      <c r="B49" s="3">
        <v>20.087197179748902</v>
      </c>
      <c r="C49" s="3">
        <v>15.1811579045721</v>
      </c>
      <c r="D49" s="3">
        <v>14.1489189068146</v>
      </c>
      <c r="E49" s="3">
        <v>13.1951986195276</v>
      </c>
      <c r="F49" s="3">
        <v>13.2469539027739</v>
      </c>
      <c r="G49" s="3">
        <v>16.186943516460701</v>
      </c>
      <c r="H49" s="3">
        <v>13.8126762412488</v>
      </c>
      <c r="I49" s="3">
        <v>19.330490505839801</v>
      </c>
      <c r="J49" s="3">
        <v>16.0751455820917</v>
      </c>
      <c r="K49" s="3">
        <v>14.826756549923701</v>
      </c>
      <c r="L49" s="3">
        <v>15.668931310448601</v>
      </c>
      <c r="M49" s="3">
        <v>15.8794080385152</v>
      </c>
      <c r="N49" s="3">
        <v>13.049871991389001</v>
      </c>
    </row>
    <row r="50" spans="1:14" x14ac:dyDescent="0.35">
      <c r="A50" s="2">
        <v>43251</v>
      </c>
      <c r="B50" s="3">
        <v>20.455715131700799</v>
      </c>
      <c r="C50" s="3">
        <v>15.1222957562583</v>
      </c>
      <c r="D50" s="3">
        <v>14.1362861829307</v>
      </c>
      <c r="E50" s="3">
        <v>12.925404555454501</v>
      </c>
      <c r="F50" s="3">
        <v>12.9038133019152</v>
      </c>
      <c r="G50" s="3">
        <v>15.5046920358956</v>
      </c>
      <c r="H50" s="3">
        <v>13.5758896429766</v>
      </c>
      <c r="I50" s="3">
        <v>20.0614960707973</v>
      </c>
      <c r="J50" s="3">
        <v>16.177348890534201</v>
      </c>
      <c r="K50" s="3">
        <v>14.303693167574099</v>
      </c>
      <c r="L50" s="3">
        <v>15.650508405459901</v>
      </c>
      <c r="M50" s="3">
        <v>15.4134314603645</v>
      </c>
      <c r="N50" s="3">
        <v>11.375605949293201</v>
      </c>
    </row>
    <row r="51" spans="1:14" x14ac:dyDescent="0.35">
      <c r="A51" s="2">
        <v>43280</v>
      </c>
      <c r="B51" s="3">
        <v>21.160631644616</v>
      </c>
      <c r="C51" s="3">
        <v>15.4879372293169</v>
      </c>
      <c r="D51" s="3">
        <v>14.244258693531901</v>
      </c>
      <c r="E51" s="3">
        <v>12.724650759188901</v>
      </c>
      <c r="F51" s="3">
        <v>12.7818554015054</v>
      </c>
      <c r="G51" s="3">
        <v>15.5840372409696</v>
      </c>
      <c r="H51" s="3">
        <v>13.293387598198899</v>
      </c>
      <c r="I51" s="3">
        <v>20.087014612318999</v>
      </c>
      <c r="J51" s="3">
        <v>16.122971940518099</v>
      </c>
      <c r="K51" s="3">
        <v>13.9729637950702</v>
      </c>
      <c r="L51" s="3">
        <v>15.5222598755721</v>
      </c>
      <c r="M51" s="3">
        <v>15.350341786484799</v>
      </c>
      <c r="N51" s="3">
        <v>11.3692943819695</v>
      </c>
    </row>
    <row r="52" spans="1:14" x14ac:dyDescent="0.35">
      <c r="A52" s="2">
        <v>43312</v>
      </c>
      <c r="B52" s="3">
        <v>20.999075837910802</v>
      </c>
      <c r="C52" s="3">
        <v>15.6520628650613</v>
      </c>
      <c r="D52" s="3">
        <v>14.2137841753191</v>
      </c>
      <c r="E52" s="3">
        <v>13.2016305303199</v>
      </c>
      <c r="F52" s="3">
        <v>12.899327581856401</v>
      </c>
      <c r="G52" s="3">
        <v>16.3139489568828</v>
      </c>
      <c r="H52" s="3">
        <v>13.3440474944267</v>
      </c>
      <c r="I52" s="3">
        <v>20.235576199658599</v>
      </c>
      <c r="J52" s="3">
        <v>16.475922397017602</v>
      </c>
      <c r="K52" s="3">
        <v>14.2084678086939</v>
      </c>
      <c r="L52" s="3">
        <v>15.980591568835701</v>
      </c>
      <c r="M52" s="3">
        <v>15.6429301677145</v>
      </c>
      <c r="N52" s="3">
        <v>11.7342754623392</v>
      </c>
    </row>
    <row r="53" spans="1:14" x14ac:dyDescent="0.35">
      <c r="A53" s="2">
        <v>43343</v>
      </c>
      <c r="B53" s="3">
        <v>22.0706051942858</v>
      </c>
      <c r="C53" s="3">
        <v>15.6920441685479</v>
      </c>
      <c r="D53" s="3">
        <v>13.8050323583318</v>
      </c>
      <c r="E53" s="3">
        <v>12.848778393306301</v>
      </c>
      <c r="F53" s="3">
        <v>12.6994134229768</v>
      </c>
      <c r="G53" s="3">
        <v>16.032058781663199</v>
      </c>
      <c r="H53" s="3">
        <v>12.635829076154399</v>
      </c>
      <c r="I53" s="3">
        <v>21.143952225625799</v>
      </c>
      <c r="J53" s="3">
        <v>16.8103827441345</v>
      </c>
      <c r="K53" s="3">
        <v>13.7846595155505</v>
      </c>
      <c r="L53" s="3">
        <v>15.4862825689879</v>
      </c>
      <c r="M53" s="3">
        <v>15.8653631698662</v>
      </c>
      <c r="N53" s="3">
        <v>10.5885717201615</v>
      </c>
    </row>
    <row r="54" spans="1:14" x14ac:dyDescent="0.35">
      <c r="A54" s="2">
        <v>43371</v>
      </c>
      <c r="B54" s="3">
        <v>21.4693190006079</v>
      </c>
      <c r="C54" s="3">
        <v>15.3018169312989</v>
      </c>
      <c r="D54" s="3">
        <v>13.5635404959644</v>
      </c>
      <c r="E54" s="3">
        <v>12.6567280375032</v>
      </c>
      <c r="F54" s="3">
        <v>13.333064435246801</v>
      </c>
      <c r="G54" s="3">
        <v>16.067665549875699</v>
      </c>
      <c r="H54" s="3">
        <v>12.7726243200956</v>
      </c>
      <c r="I54" s="3">
        <v>20.879251081967901</v>
      </c>
      <c r="J54" s="3">
        <v>16.779291449582299</v>
      </c>
      <c r="K54" s="3">
        <v>13.859144718823099</v>
      </c>
      <c r="L54" s="3">
        <v>14.944329408064799</v>
      </c>
      <c r="M54" s="3">
        <v>15.880855913814599</v>
      </c>
      <c r="N54" s="3">
        <v>10.616831307497799</v>
      </c>
    </row>
    <row r="55" spans="1:14" x14ac:dyDescent="0.35">
      <c r="A55" s="2">
        <v>43404</v>
      </c>
      <c r="B55" s="3">
        <v>20.089574614330498</v>
      </c>
      <c r="C55" s="3">
        <v>14.289308397601999</v>
      </c>
      <c r="D55" s="3">
        <v>12.5835020476657</v>
      </c>
      <c r="E55" s="3">
        <v>11.7133531362793</v>
      </c>
      <c r="F55" s="3">
        <v>12.018569583050001</v>
      </c>
      <c r="G55" s="3">
        <v>15.700015627746399</v>
      </c>
      <c r="H55" s="3">
        <v>11.827655263945299</v>
      </c>
      <c r="I55" s="3">
        <v>18.829212477249399</v>
      </c>
      <c r="J55" s="3">
        <v>15.4886956985307</v>
      </c>
      <c r="K55" s="3">
        <v>12.789106881111</v>
      </c>
      <c r="L55" s="3">
        <v>14.014196019846599</v>
      </c>
      <c r="M55" s="3">
        <v>14.4416529266084</v>
      </c>
      <c r="N55" s="3">
        <v>9.7569102868929392</v>
      </c>
    </row>
    <row r="56" spans="1:14" x14ac:dyDescent="0.35">
      <c r="A56" s="2">
        <v>43434</v>
      </c>
      <c r="B56" s="3">
        <v>19.9671800715046</v>
      </c>
      <c r="C56" s="3">
        <v>14.057780519792001</v>
      </c>
      <c r="D56" s="3">
        <v>12.675442121711299</v>
      </c>
      <c r="E56" s="3">
        <v>11.526251013224099</v>
      </c>
      <c r="F56" s="3">
        <v>12.2456849881368</v>
      </c>
      <c r="G56" s="3">
        <v>15.646935610208001</v>
      </c>
      <c r="H56" s="3">
        <v>11.704956023789499</v>
      </c>
      <c r="I56" s="3">
        <v>18.811449863360099</v>
      </c>
      <c r="J56" s="3">
        <v>15.7392730597703</v>
      </c>
      <c r="K56" s="3">
        <v>12.5043562104057</v>
      </c>
      <c r="L56" s="3">
        <v>14.122416896252</v>
      </c>
      <c r="M56" s="3">
        <v>14.149254482645199</v>
      </c>
      <c r="N56" s="3">
        <v>9.6810525954438997</v>
      </c>
    </row>
    <row r="57" spans="1:14" x14ac:dyDescent="0.35">
      <c r="A57" s="2">
        <v>43465</v>
      </c>
      <c r="B57" s="3">
        <v>20.032983614631799</v>
      </c>
      <c r="C57" s="3">
        <v>13.9599013149694</v>
      </c>
      <c r="D57" s="3">
        <v>12.1168899695446</v>
      </c>
      <c r="E57" s="3">
        <v>10.9212601040765</v>
      </c>
      <c r="F57" s="3">
        <v>11.1043383882119</v>
      </c>
      <c r="G57" s="3">
        <v>14.4906295812933</v>
      </c>
      <c r="H57" s="3">
        <v>11.3877881290485</v>
      </c>
      <c r="I57" s="3">
        <v>17.1033334043296</v>
      </c>
      <c r="J57" s="3">
        <v>14.3997586310989</v>
      </c>
      <c r="K57" s="3">
        <v>11.8840659032109</v>
      </c>
      <c r="L57" s="3">
        <v>13.087477310085299</v>
      </c>
      <c r="M57" s="3">
        <v>13.3494752250555</v>
      </c>
      <c r="N57" s="3">
        <v>9.1384438057625701</v>
      </c>
    </row>
    <row r="58" spans="1:14" x14ac:dyDescent="0.35">
      <c r="A58" s="2">
        <v>43496</v>
      </c>
      <c r="B58" s="3">
        <v>20.4306165923241</v>
      </c>
      <c r="C58" s="3">
        <v>14.659417337855199</v>
      </c>
      <c r="D58" s="3">
        <v>13.6848485097177</v>
      </c>
      <c r="E58" s="3">
        <v>11.7332307693746</v>
      </c>
      <c r="F58" s="3">
        <v>11.910106319695201</v>
      </c>
      <c r="G58" s="3">
        <v>15.5577862084732</v>
      </c>
      <c r="H58" s="3">
        <v>12.173444114254</v>
      </c>
      <c r="I58" s="3">
        <v>19.081415950536901</v>
      </c>
      <c r="J58" s="3">
        <v>15.7584852838784</v>
      </c>
      <c r="K58" s="3">
        <v>12.857495167552299</v>
      </c>
      <c r="L58" s="3">
        <v>14.090703903988899</v>
      </c>
      <c r="M58" s="3">
        <v>14.1151047751926</v>
      </c>
      <c r="N58" s="3">
        <v>9.9561344168812695</v>
      </c>
    </row>
    <row r="59" spans="1:14" x14ac:dyDescent="0.35">
      <c r="A59" s="2">
        <v>43524</v>
      </c>
      <c r="B59" s="3">
        <v>21.570719669068399</v>
      </c>
      <c r="C59" s="3">
        <v>15.3518467142567</v>
      </c>
      <c r="D59" s="3">
        <v>14.1221263560808</v>
      </c>
      <c r="E59" s="3">
        <v>12.110553041979401</v>
      </c>
      <c r="F59" s="3">
        <v>12.4615144830221</v>
      </c>
      <c r="G59" s="3">
        <v>16.338073948078801</v>
      </c>
      <c r="H59" s="3">
        <v>12.399630052562401</v>
      </c>
      <c r="I59" s="3">
        <v>19.671921142110399</v>
      </c>
      <c r="J59" s="3">
        <v>16.2188096213021</v>
      </c>
      <c r="K59" s="3">
        <v>13.4777878618813</v>
      </c>
      <c r="L59" s="3">
        <v>14.8504332804713</v>
      </c>
      <c r="M59" s="3">
        <v>14.7869103765623</v>
      </c>
      <c r="N59" s="3">
        <v>10.579188236159</v>
      </c>
    </row>
    <row r="60" spans="1:14" x14ac:dyDescent="0.35">
      <c r="A60" s="2">
        <v>43553</v>
      </c>
      <c r="B60" s="3">
        <v>22.338887056974698</v>
      </c>
      <c r="C60" s="3">
        <v>15.2927673519464</v>
      </c>
      <c r="D60" s="3">
        <v>14.092488319061699</v>
      </c>
      <c r="E60" s="3">
        <v>12.133825340930199</v>
      </c>
      <c r="F60" s="3">
        <v>12.4698544979362</v>
      </c>
      <c r="G60" s="3">
        <v>16.579177769501001</v>
      </c>
      <c r="H60" s="3">
        <v>12.5347448196817</v>
      </c>
      <c r="I60" s="3">
        <v>20.324903881067701</v>
      </c>
      <c r="J60" s="3">
        <v>16.4297279067491</v>
      </c>
      <c r="K60" s="3">
        <v>13.5977769794351</v>
      </c>
      <c r="L60" s="3">
        <v>15.1517121988869</v>
      </c>
      <c r="M60" s="3">
        <v>14.6835089300983</v>
      </c>
      <c r="N60" s="3">
        <v>10.793456242586601</v>
      </c>
    </row>
    <row r="61" spans="1:14" x14ac:dyDescent="0.35">
      <c r="A61" s="2">
        <v>43585</v>
      </c>
      <c r="B61" s="3">
        <v>22.720714189573499</v>
      </c>
      <c r="C61" s="3">
        <v>15.363422553118401</v>
      </c>
      <c r="D61" s="3">
        <v>13.8974223906996</v>
      </c>
      <c r="E61" s="3">
        <v>12.987279705659301</v>
      </c>
      <c r="F61" s="3">
        <v>12.751371336848999</v>
      </c>
      <c r="G61" s="3">
        <v>16.9467012132734</v>
      </c>
      <c r="H61" s="3">
        <v>12.667782039044701</v>
      </c>
      <c r="I61" s="3">
        <v>21.284881852963</v>
      </c>
      <c r="J61" s="3">
        <v>16.918644927487001</v>
      </c>
      <c r="K61" s="3">
        <v>14.1338119963746</v>
      </c>
      <c r="L61" s="3">
        <v>15.8109121539052</v>
      </c>
      <c r="M61" s="3">
        <v>15.705945981892899</v>
      </c>
      <c r="N61" s="3">
        <v>10.9436785689093</v>
      </c>
    </row>
    <row r="62" spans="1:14" x14ac:dyDescent="0.35">
      <c r="A62" s="2">
        <v>43616</v>
      </c>
      <c r="B62" s="3">
        <v>22.974840903761301</v>
      </c>
      <c r="C62" s="3">
        <v>15.506151760668899</v>
      </c>
      <c r="D62" s="3">
        <v>13.342833980720901</v>
      </c>
      <c r="E62" s="3">
        <v>12.110914827464599</v>
      </c>
      <c r="F62" s="3">
        <v>12.1876913137614</v>
      </c>
      <c r="G62" s="3">
        <v>16.463023262121499</v>
      </c>
      <c r="H62" s="3">
        <v>12.1321932869227</v>
      </c>
      <c r="I62" s="3">
        <v>19.350356014376601</v>
      </c>
      <c r="J62" s="3">
        <v>15.684893028141801</v>
      </c>
      <c r="K62" s="3">
        <v>13.1707166827115</v>
      </c>
      <c r="L62" s="3">
        <v>14.840574598749299</v>
      </c>
      <c r="M62" s="3">
        <v>14.0663539951271</v>
      </c>
      <c r="N62" s="3">
        <v>9.7488061889318498</v>
      </c>
    </row>
    <row r="63" spans="1:14" x14ac:dyDescent="0.35">
      <c r="A63" s="2">
        <v>43644</v>
      </c>
      <c r="B63" s="3">
        <v>23.720287317614201</v>
      </c>
      <c r="C63" s="3">
        <v>16.1962504917731</v>
      </c>
      <c r="D63" s="3">
        <v>13.6844987120702</v>
      </c>
      <c r="E63" s="3">
        <v>12.751191384801301</v>
      </c>
      <c r="F63" s="3">
        <v>12.7197215765898</v>
      </c>
      <c r="G63" s="3">
        <v>17.176886787076299</v>
      </c>
      <c r="H63" s="3">
        <v>12.6020831393815</v>
      </c>
      <c r="I63" s="3">
        <v>20.811870731518699</v>
      </c>
      <c r="J63" s="3">
        <v>16.733424257044099</v>
      </c>
      <c r="K63" s="3">
        <v>13.907820388871</v>
      </c>
      <c r="L63" s="3">
        <v>15.4834378485148</v>
      </c>
      <c r="M63" s="3">
        <v>14.975076550822401</v>
      </c>
      <c r="N63" s="3">
        <v>10.463988994371499</v>
      </c>
    </row>
    <row r="64" spans="1:14" x14ac:dyDescent="0.35">
      <c r="A64" s="2">
        <v>43677</v>
      </c>
      <c r="B64" s="3">
        <v>24.691538898334699</v>
      </c>
      <c r="C64" s="3">
        <v>16.477808863958501</v>
      </c>
      <c r="D64" s="3">
        <v>13.6749111655416</v>
      </c>
      <c r="E64" s="3">
        <v>12.8397788012627</v>
      </c>
      <c r="F64" s="3">
        <v>12.8516514993815</v>
      </c>
      <c r="G64" s="3">
        <v>17.075031025577299</v>
      </c>
      <c r="H64" s="3">
        <v>12.6350625999954</v>
      </c>
      <c r="I64" s="3">
        <v>21.013900906834099</v>
      </c>
      <c r="J64" s="3">
        <v>16.932619462050202</v>
      </c>
      <c r="K64" s="3">
        <v>13.971941145904401</v>
      </c>
      <c r="L64" s="3">
        <v>15.716427195119801</v>
      </c>
      <c r="M64" s="3">
        <v>14.905814827195</v>
      </c>
      <c r="N64" s="3">
        <v>10.520218379413</v>
      </c>
    </row>
    <row r="65" spans="1:14" x14ac:dyDescent="0.35">
      <c r="A65" s="2">
        <v>43706</v>
      </c>
      <c r="B65" s="3">
        <v>25.275378687967098</v>
      </c>
      <c r="C65" s="3">
        <v>15.9437412283025</v>
      </c>
      <c r="D65" s="3">
        <v>13.644417231601</v>
      </c>
      <c r="E65" s="3">
        <v>12.513945099149501</v>
      </c>
      <c r="F65" s="3">
        <v>12.3809220234027</v>
      </c>
      <c r="G65" s="3">
        <v>16.899033037895698</v>
      </c>
      <c r="H65" s="3">
        <v>12.0100629121872</v>
      </c>
      <c r="I65" s="3">
        <v>20.455437851334299</v>
      </c>
      <c r="J65" s="3">
        <v>16.561279727238801</v>
      </c>
      <c r="K65" s="3">
        <v>13.7897919750858</v>
      </c>
      <c r="L65" s="3">
        <v>15.411123426451001</v>
      </c>
      <c r="M65" s="3">
        <v>13.7512240670503</v>
      </c>
      <c r="N65" s="3">
        <v>10.5133520374046</v>
      </c>
    </row>
    <row r="66" spans="1:14" x14ac:dyDescent="0.35">
      <c r="A66" s="2">
        <v>43738</v>
      </c>
      <c r="B66" s="3">
        <v>25.427724253766598</v>
      </c>
      <c r="C66" s="3">
        <v>16.6584926881707</v>
      </c>
      <c r="D66" s="3">
        <v>13.941117784073599</v>
      </c>
      <c r="E66" s="3">
        <v>13.0496184924956</v>
      </c>
      <c r="F66" s="3">
        <v>13.196461178939799</v>
      </c>
      <c r="G66" s="3">
        <v>17.137158486489799</v>
      </c>
      <c r="H66" s="3">
        <v>12.4787086352598</v>
      </c>
      <c r="I66" s="3">
        <v>20.435440496015801</v>
      </c>
      <c r="J66" s="3">
        <v>16.795898991158399</v>
      </c>
      <c r="K66" s="3">
        <v>14.1965124404437</v>
      </c>
      <c r="L66" s="3">
        <v>16.326849814970402</v>
      </c>
      <c r="M66" s="3">
        <v>15.0427244538468</v>
      </c>
      <c r="N66" s="3">
        <v>10.818439726960801</v>
      </c>
    </row>
    <row r="67" spans="1:14" x14ac:dyDescent="0.35">
      <c r="A67" s="2">
        <v>43769</v>
      </c>
      <c r="B67" s="3">
        <v>24.840437705556099</v>
      </c>
      <c r="C67" s="3">
        <v>16.87851213575</v>
      </c>
      <c r="D67" s="3">
        <v>13.92801212639</v>
      </c>
      <c r="E67" s="3">
        <v>13.5276376099798</v>
      </c>
      <c r="F67" s="3">
        <v>13.8308901796635</v>
      </c>
      <c r="G67" s="3">
        <v>17.323394151638499</v>
      </c>
      <c r="H67" s="3">
        <v>12.6328368462817</v>
      </c>
      <c r="I67" s="3">
        <v>21.123956535140302</v>
      </c>
      <c r="J67" s="3">
        <v>17.173512917619298</v>
      </c>
      <c r="K67" s="3">
        <v>14.4484799832747</v>
      </c>
      <c r="L67" s="3">
        <v>16.1963162754287</v>
      </c>
      <c r="M67" s="3">
        <v>15.701448048685499</v>
      </c>
      <c r="N67" s="3">
        <v>11.0416931566545</v>
      </c>
    </row>
    <row r="68" spans="1:14" x14ac:dyDescent="0.35">
      <c r="A68" s="2">
        <v>43798</v>
      </c>
      <c r="B68" s="3">
        <v>26.041318278881601</v>
      </c>
      <c r="C68" s="3">
        <v>17.368796244065098</v>
      </c>
      <c r="D68" s="3">
        <v>14.378171118759299</v>
      </c>
      <c r="E68" s="3">
        <v>14.087277846428799</v>
      </c>
      <c r="F68" s="3">
        <v>14.2181336517598</v>
      </c>
      <c r="G68" s="3">
        <v>17.528441145979802</v>
      </c>
      <c r="H68" s="3">
        <v>13.010873207431899</v>
      </c>
      <c r="I68" s="3">
        <v>22.0033636281151</v>
      </c>
      <c r="J68" s="3">
        <v>17.7141978000442</v>
      </c>
      <c r="K68" s="3">
        <v>14.743317769564401</v>
      </c>
      <c r="L68" s="3">
        <v>16.730521307243901</v>
      </c>
      <c r="M68" s="3">
        <v>15.6167541330991</v>
      </c>
      <c r="N68" s="3">
        <v>11.232574044650599</v>
      </c>
    </row>
    <row r="69" spans="1:14" x14ac:dyDescent="0.35">
      <c r="A69" s="2">
        <v>43830</v>
      </c>
      <c r="B69" s="3">
        <v>25.697210438063799</v>
      </c>
      <c r="C69" s="3">
        <v>17.177579719855199</v>
      </c>
      <c r="D69" s="3">
        <v>14.4121870789133</v>
      </c>
      <c r="E69" s="3">
        <v>14.0793923786763</v>
      </c>
      <c r="F69" s="3">
        <v>14.5324936463438</v>
      </c>
      <c r="G69" s="3">
        <v>17.8179771621407</v>
      </c>
      <c r="H69" s="3">
        <v>13.469423852566999</v>
      </c>
      <c r="I69" s="3">
        <v>22.733400383927901</v>
      </c>
      <c r="J69" s="3">
        <v>18.153990365797199</v>
      </c>
      <c r="K69" s="3">
        <v>14.888079620584501</v>
      </c>
      <c r="L69" s="3">
        <v>17.007742429646001</v>
      </c>
      <c r="M69" s="3">
        <v>16.088012278273901</v>
      </c>
      <c r="N69" s="3">
        <v>11.378904891543201</v>
      </c>
    </row>
    <row r="70" spans="1:14" x14ac:dyDescent="0.35">
      <c r="A70" s="2">
        <v>43861</v>
      </c>
      <c r="B70" s="3">
        <v>26.175592661348698</v>
      </c>
      <c r="C70" s="3">
        <v>17.899793054860901</v>
      </c>
      <c r="D70" s="3">
        <v>14.457673576329601</v>
      </c>
      <c r="E70" s="3">
        <v>13.8458279539415</v>
      </c>
      <c r="F70" s="3">
        <v>14.214377314546599</v>
      </c>
      <c r="G70" s="3">
        <v>17.8411205610265</v>
      </c>
      <c r="H70" s="3">
        <v>13.093129725378301</v>
      </c>
      <c r="I70" s="3">
        <v>22.777200936903998</v>
      </c>
      <c r="J70" s="3">
        <v>18.053586490975398</v>
      </c>
      <c r="K70" s="3">
        <v>14.520403639620101</v>
      </c>
      <c r="L70" s="3">
        <v>16.8189456167575</v>
      </c>
      <c r="M70" s="3">
        <v>16.0998274698633</v>
      </c>
      <c r="N70" s="3">
        <v>11.240492013789</v>
      </c>
    </row>
    <row r="71" spans="1:14" x14ac:dyDescent="0.35">
      <c r="A71" s="2">
        <v>43889</v>
      </c>
      <c r="B71" s="3">
        <v>25.9075376731227</v>
      </c>
      <c r="C71" s="3">
        <v>16.474077348146</v>
      </c>
      <c r="D71" s="3">
        <v>13.713008542723699</v>
      </c>
      <c r="E71" s="3">
        <v>12.690723718662101</v>
      </c>
      <c r="F71" s="3">
        <v>12.986079900839799</v>
      </c>
      <c r="G71" s="3">
        <v>16.481213972625</v>
      </c>
      <c r="H71" s="3">
        <v>11.882955628910601</v>
      </c>
      <c r="I71" s="3">
        <v>21.363400243172801</v>
      </c>
      <c r="J71" s="3">
        <v>16.576346299243301</v>
      </c>
      <c r="K71" s="3">
        <v>13.4531981399549</v>
      </c>
      <c r="L71" s="3">
        <v>15.652215115505101</v>
      </c>
      <c r="M71" s="3">
        <v>15.0619949205102</v>
      </c>
      <c r="N71" s="3">
        <v>10.5432842641668</v>
      </c>
    </row>
    <row r="72" spans="1:14" x14ac:dyDescent="0.35">
      <c r="A72" s="2">
        <v>43921</v>
      </c>
      <c r="B72" s="3">
        <v>24.633767376766301</v>
      </c>
      <c r="C72" s="3">
        <v>14.0475487863245</v>
      </c>
      <c r="D72" s="3">
        <v>13.265587549340999</v>
      </c>
      <c r="E72" s="3">
        <v>12.072878764940199</v>
      </c>
      <c r="F72" s="3">
        <v>12.286919157433299</v>
      </c>
      <c r="G72" s="3">
        <v>16.071435273901699</v>
      </c>
      <c r="H72" s="3">
        <v>12.0796182502959</v>
      </c>
      <c r="I72" s="3">
        <v>20.684844385926802</v>
      </c>
      <c r="J72" s="3">
        <v>15.586370543992899</v>
      </c>
      <c r="K72" s="3">
        <v>12.767260896043799</v>
      </c>
      <c r="L72" s="3">
        <v>14.392723274658801</v>
      </c>
      <c r="M72" s="3">
        <v>14.300665503104099</v>
      </c>
      <c r="N72" s="3">
        <v>9.6119384702581598</v>
      </c>
    </row>
    <row r="73" spans="1:14" x14ac:dyDescent="0.35">
      <c r="A73" s="2">
        <v>43951</v>
      </c>
      <c r="B73" s="3">
        <v>29.160919238939599</v>
      </c>
      <c r="C73" s="3">
        <v>17.5902598306504</v>
      </c>
      <c r="D73" s="3">
        <v>16.514817698700799</v>
      </c>
      <c r="E73" s="3">
        <v>15.107123804478199</v>
      </c>
      <c r="F73" s="3">
        <v>14.082615208070299</v>
      </c>
      <c r="G73" s="3">
        <v>18.253518737636</v>
      </c>
      <c r="H73" s="3">
        <v>14.9489203922834</v>
      </c>
      <c r="I73" s="3">
        <v>25.288253403012199</v>
      </c>
      <c r="J73" s="3">
        <v>20.3547536093809</v>
      </c>
      <c r="K73" s="3">
        <v>16.4559191662864</v>
      </c>
      <c r="L73" s="3">
        <v>17.2663608432009</v>
      </c>
      <c r="M73" s="3">
        <v>17.0325318042254</v>
      </c>
      <c r="N73" s="3">
        <v>13.262315959240601</v>
      </c>
    </row>
    <row r="74" spans="1:14" x14ac:dyDescent="0.35">
      <c r="A74" s="2">
        <v>43980</v>
      </c>
      <c r="B74" s="3">
        <v>31.196531347955599</v>
      </c>
      <c r="C74" s="3">
        <v>18.381193527114998</v>
      </c>
      <c r="D74" s="3">
        <v>18.540942779661101</v>
      </c>
      <c r="E74" s="3">
        <v>16.5971365663729</v>
      </c>
      <c r="F74" s="3">
        <v>16.236189601677001</v>
      </c>
      <c r="G74" s="3">
        <v>19.008535177002301</v>
      </c>
      <c r="H74" s="3">
        <v>15.812767501087601</v>
      </c>
      <c r="I74" s="3">
        <v>27.386382737472101</v>
      </c>
      <c r="J74" s="3">
        <v>21.672159293628699</v>
      </c>
      <c r="K74" s="3">
        <v>17.5357910752438</v>
      </c>
      <c r="L74" s="3">
        <v>18.418283159339602</v>
      </c>
      <c r="M74" s="3">
        <v>18.5148241623262</v>
      </c>
      <c r="N74" s="3">
        <v>15.876287253312601</v>
      </c>
    </row>
    <row r="75" spans="1:14" x14ac:dyDescent="0.35">
      <c r="A75" s="2">
        <v>44012</v>
      </c>
      <c r="B75" s="3">
        <v>31.0108072851197</v>
      </c>
      <c r="C75" s="3">
        <v>18.743918974177198</v>
      </c>
      <c r="D75" s="3">
        <v>17.650751651173699</v>
      </c>
      <c r="E75" s="3">
        <v>17.720097720940899</v>
      </c>
      <c r="F75" s="3">
        <v>17.624207590422799</v>
      </c>
      <c r="G75" s="3">
        <v>19.2741663652738</v>
      </c>
      <c r="H75" s="3">
        <v>15.8428508722166</v>
      </c>
      <c r="I75" s="3">
        <v>28.358559985869402</v>
      </c>
      <c r="J75" s="3">
        <v>21.686749465120499</v>
      </c>
      <c r="K75" s="3">
        <v>18.863452386880802</v>
      </c>
      <c r="L75" s="3">
        <v>19.4645503819679</v>
      </c>
      <c r="M75" s="3">
        <v>19.290082398014899</v>
      </c>
      <c r="N75" s="3">
        <v>17.241488222366399</v>
      </c>
    </row>
    <row r="76" spans="1:14" x14ac:dyDescent="0.35">
      <c r="A76" s="2">
        <v>44043</v>
      </c>
      <c r="B76" s="3">
        <v>31.918968538212201</v>
      </c>
      <c r="C76" s="3">
        <v>19.0209536693887</v>
      </c>
      <c r="D76" s="3">
        <v>17.593613751697699</v>
      </c>
      <c r="E76" s="3">
        <v>17.413262723112702</v>
      </c>
      <c r="F76" s="3">
        <v>17.091251009298499</v>
      </c>
      <c r="G76" s="3">
        <v>19.225382788557599</v>
      </c>
      <c r="H76" s="3">
        <v>15.136916996587299</v>
      </c>
      <c r="I76" s="3">
        <v>28.909678526575501</v>
      </c>
      <c r="J76" s="3">
        <v>21.9340536091396</v>
      </c>
      <c r="K76" s="3">
        <v>19.2534714877659</v>
      </c>
      <c r="L76" s="3">
        <v>19.407070165706401</v>
      </c>
      <c r="M76" s="3">
        <v>18.1484750364984</v>
      </c>
      <c r="N76" s="3">
        <v>16.4093384617975</v>
      </c>
    </row>
    <row r="77" spans="1:14" x14ac:dyDescent="0.35">
      <c r="A77" s="2">
        <v>44074</v>
      </c>
      <c r="B77" s="3">
        <v>32.909642654988097</v>
      </c>
      <c r="C77" s="3">
        <v>19.5543693627903</v>
      </c>
      <c r="D77" s="3">
        <v>17.1642082840334</v>
      </c>
      <c r="E77" s="3">
        <v>17.718263646260102</v>
      </c>
      <c r="F77" s="3">
        <v>18.135085231489999</v>
      </c>
      <c r="G77" s="3">
        <v>19.421471471867399</v>
      </c>
      <c r="H77" s="3">
        <v>15.3835456418731</v>
      </c>
      <c r="I77" s="3">
        <v>31.551958745655799</v>
      </c>
      <c r="J77" s="3">
        <v>22.868013290547999</v>
      </c>
      <c r="K77" s="3">
        <v>19.2592530097834</v>
      </c>
      <c r="L77" s="3">
        <v>19.5003162651232</v>
      </c>
      <c r="M77" s="3">
        <v>18.081991497342099</v>
      </c>
      <c r="N77" s="3">
        <v>15.7270305847545</v>
      </c>
    </row>
    <row r="78" spans="1:14" x14ac:dyDescent="0.35">
      <c r="A78" s="2">
        <v>44104</v>
      </c>
      <c r="B78" s="3">
        <v>31.851749548848399</v>
      </c>
      <c r="C78" s="3">
        <v>18.000341441791999</v>
      </c>
      <c r="D78" s="3">
        <v>16.1660969670463</v>
      </c>
      <c r="E78" s="3">
        <v>16.869910195522198</v>
      </c>
      <c r="F78" s="3">
        <v>18.071779652890299</v>
      </c>
      <c r="G78" s="3">
        <v>18.962180962677301</v>
      </c>
      <c r="H78" s="3">
        <v>14.3974913184336</v>
      </c>
      <c r="I78" s="3">
        <v>29.242738369146998</v>
      </c>
      <c r="J78" s="3">
        <v>21.528310042529299</v>
      </c>
      <c r="K78" s="3">
        <v>18.034036794263599</v>
      </c>
      <c r="L78" s="3">
        <v>19.192844339436199</v>
      </c>
      <c r="M78" s="3">
        <v>18.311318671989099</v>
      </c>
      <c r="N78" s="3">
        <v>14.701175465203599</v>
      </c>
    </row>
    <row r="79" spans="1:14" x14ac:dyDescent="0.35">
      <c r="A79" s="2">
        <v>44134</v>
      </c>
      <c r="B79" s="3">
        <v>32.448419462000999</v>
      </c>
      <c r="C79" s="3">
        <v>17.761910993488101</v>
      </c>
      <c r="D79" s="3">
        <v>15.1667901201261</v>
      </c>
      <c r="E79" s="3">
        <v>14.5512280266285</v>
      </c>
      <c r="F79" s="3">
        <v>17.118485487991201</v>
      </c>
      <c r="G79" s="3">
        <v>17.538472853252902</v>
      </c>
      <c r="H79" s="3">
        <v>13.006007795280601</v>
      </c>
      <c r="I79" s="3">
        <v>27.3491681956232</v>
      </c>
      <c r="J79" s="3">
        <v>20.229803996233699</v>
      </c>
      <c r="K79" s="3">
        <v>16.560024511720901</v>
      </c>
      <c r="L79" s="3">
        <v>18.5871180103249</v>
      </c>
      <c r="M79" s="3">
        <v>15.5955476372137</v>
      </c>
      <c r="N79" s="3">
        <v>13.144101281262399</v>
      </c>
    </row>
    <row r="80" spans="1:14" x14ac:dyDescent="0.35">
      <c r="A80" s="2">
        <v>44165</v>
      </c>
      <c r="B80" s="3">
        <v>32.367493849738203</v>
      </c>
      <c r="C80" s="3">
        <v>19.314275240211899</v>
      </c>
      <c r="D80" s="3">
        <v>16.1073332893477</v>
      </c>
      <c r="E80" s="3">
        <v>16.115582343298801</v>
      </c>
      <c r="F80" s="3">
        <v>18.471446483605298</v>
      </c>
      <c r="G80" s="3">
        <v>18.755236646810602</v>
      </c>
      <c r="H80" s="3">
        <v>14.5552521013513</v>
      </c>
      <c r="I80" s="3">
        <v>29.634338531026899</v>
      </c>
      <c r="J80" s="3">
        <v>21.770553095954799</v>
      </c>
      <c r="K80" s="3">
        <v>18.859699572212701</v>
      </c>
      <c r="L80" s="3">
        <v>20.677977240428099</v>
      </c>
      <c r="M80" s="3">
        <v>17.310863510643198</v>
      </c>
      <c r="N80" s="3">
        <v>14.8762758104877</v>
      </c>
    </row>
    <row r="81" spans="1:14" x14ac:dyDescent="0.35">
      <c r="A81" s="2">
        <v>44196</v>
      </c>
      <c r="B81" s="3">
        <v>34.288284426668199</v>
      </c>
      <c r="C81" s="3">
        <v>18.969370847068301</v>
      </c>
      <c r="D81" s="3">
        <v>15.752046251436401</v>
      </c>
      <c r="E81" s="3">
        <v>16.045161840357299</v>
      </c>
      <c r="F81" s="3">
        <v>18.369200929402599</v>
      </c>
      <c r="G81" s="3">
        <v>18.863138829891898</v>
      </c>
      <c r="H81" s="3">
        <v>14.416132478277801</v>
      </c>
      <c r="I81" s="3">
        <v>30.0918514845951</v>
      </c>
      <c r="J81" s="3">
        <v>22.439392244047301</v>
      </c>
      <c r="K81" s="3">
        <v>17.967719064894698</v>
      </c>
      <c r="L81" s="3">
        <v>20.578124225723201</v>
      </c>
      <c r="M81" s="3">
        <v>17.9826004051755</v>
      </c>
      <c r="N81" s="3">
        <v>14.7412461357557</v>
      </c>
    </row>
    <row r="82" spans="1:14" x14ac:dyDescent="0.35">
      <c r="A82" s="2">
        <v>44225</v>
      </c>
      <c r="B82" s="3">
        <v>33.649130866584599</v>
      </c>
      <c r="C82" s="3">
        <v>18.483040460892799</v>
      </c>
      <c r="D82" s="3">
        <v>15.4127708612444</v>
      </c>
      <c r="E82" s="3">
        <v>15.3688849271311</v>
      </c>
      <c r="F82" s="3">
        <v>18.064015554933999</v>
      </c>
      <c r="G82" s="3">
        <v>18.4239060344743</v>
      </c>
      <c r="H82" s="3">
        <v>13.6708901394477</v>
      </c>
      <c r="I82" s="3">
        <v>28.890963492366598</v>
      </c>
      <c r="J82" s="3">
        <v>21.312060733404198</v>
      </c>
      <c r="K82" s="3">
        <v>17.2558561401686</v>
      </c>
      <c r="L82" s="3">
        <v>20.829866004696999</v>
      </c>
      <c r="M82" s="3">
        <v>18.431961059314201</v>
      </c>
      <c r="N82" s="3">
        <v>13.354757606200801</v>
      </c>
    </row>
    <row r="83" spans="1:14" x14ac:dyDescent="0.35">
      <c r="A83" s="2">
        <v>44253</v>
      </c>
      <c r="B83" s="3">
        <v>31.507983403909002</v>
      </c>
      <c r="C83" s="3">
        <v>17.955050692596402</v>
      </c>
      <c r="D83" s="3">
        <v>15.117728459974501</v>
      </c>
      <c r="E83" s="3">
        <v>15.3083667940233</v>
      </c>
      <c r="F83" s="3">
        <v>17.643021535661699</v>
      </c>
      <c r="G83" s="3">
        <v>18.237486592664901</v>
      </c>
      <c r="H83" s="3">
        <v>13.7793074967779</v>
      </c>
      <c r="I83" s="3">
        <v>27.847622658061901</v>
      </c>
      <c r="J83" s="3">
        <v>21.385940534951601</v>
      </c>
      <c r="K83" s="3">
        <v>17.731265950206598</v>
      </c>
      <c r="L83" s="3">
        <v>21.416699370011202</v>
      </c>
      <c r="M83" s="3">
        <v>18.7197263345941</v>
      </c>
      <c r="N83" s="3">
        <v>13.701980133488</v>
      </c>
    </row>
    <row r="84" spans="1:14" x14ac:dyDescent="0.35">
      <c r="A84" s="2">
        <v>44286</v>
      </c>
      <c r="B84" s="3">
        <v>32.444484101672302</v>
      </c>
      <c r="C84" s="3">
        <v>17.588630189387398</v>
      </c>
      <c r="D84" s="3">
        <v>15.304036136485699</v>
      </c>
      <c r="E84" s="3">
        <v>16.1165396918087</v>
      </c>
      <c r="F84" s="3">
        <v>17.5359673647359</v>
      </c>
      <c r="G84" s="3">
        <v>18.6874790148565</v>
      </c>
      <c r="H84" s="3">
        <v>13.4535954277664</v>
      </c>
      <c r="I84" s="3">
        <v>27.975596339281999</v>
      </c>
      <c r="J84" s="3">
        <v>21.8308982112781</v>
      </c>
      <c r="K84" s="3">
        <v>18.186481076616801</v>
      </c>
      <c r="L84" s="3">
        <v>22.355640489969201</v>
      </c>
      <c r="M84" s="3">
        <v>20.255833750173501</v>
      </c>
      <c r="N84" s="3">
        <v>14.017929239285801</v>
      </c>
    </row>
    <row r="85" spans="1:14" x14ac:dyDescent="0.35">
      <c r="A85" s="2">
        <v>44316</v>
      </c>
      <c r="B85" s="3">
        <v>32.4086247751355</v>
      </c>
      <c r="C85" s="3">
        <v>17.995298906045601</v>
      </c>
      <c r="D85" s="3">
        <v>15.4366133742316</v>
      </c>
      <c r="E85" s="3">
        <v>15.1918256612677</v>
      </c>
      <c r="F85" s="3">
        <v>16.6871022605131</v>
      </c>
      <c r="G85" s="3">
        <v>18.2269849452322</v>
      </c>
      <c r="H85" s="3">
        <v>13.257441332378701</v>
      </c>
      <c r="I85" s="3">
        <v>27.796917636314099</v>
      </c>
      <c r="J85" s="3">
        <v>21.6513602535872</v>
      </c>
      <c r="K85" s="3">
        <v>17.945334432350599</v>
      </c>
      <c r="L85" s="3">
        <v>21.8694192303021</v>
      </c>
      <c r="M85" s="3">
        <v>18.692049447941798</v>
      </c>
      <c r="N85" s="3">
        <v>13.4412207407004</v>
      </c>
    </row>
    <row r="86" spans="1:14" x14ac:dyDescent="0.35">
      <c r="A86" s="2">
        <v>44344</v>
      </c>
      <c r="B86" s="3">
        <v>32.338134251720902</v>
      </c>
      <c r="C86" s="3">
        <v>18.124185972402099</v>
      </c>
      <c r="D86" s="3">
        <v>15.5262544810534</v>
      </c>
      <c r="E86" s="3">
        <v>14.884180324568399</v>
      </c>
      <c r="F86" s="3">
        <v>16.648284685650101</v>
      </c>
      <c r="G86" s="3">
        <v>19.3911816465349</v>
      </c>
      <c r="H86" s="3">
        <v>13.2017664326985</v>
      </c>
      <c r="I86" s="3">
        <v>26.9600675910178</v>
      </c>
      <c r="J86" s="3">
        <v>21.254111468689398</v>
      </c>
      <c r="K86" s="3">
        <v>17.9229278785213</v>
      </c>
      <c r="L86" s="3">
        <v>21.214509280588501</v>
      </c>
      <c r="M86" s="3">
        <v>18.463630174676499</v>
      </c>
      <c r="N86" s="3">
        <v>13.598274335345099</v>
      </c>
    </row>
    <row r="87" spans="1:14" x14ac:dyDescent="0.35">
      <c r="A87" s="2">
        <v>44377</v>
      </c>
      <c r="B87" s="3">
        <v>33.889968741839098</v>
      </c>
      <c r="C87" s="3">
        <v>17.458531319385202</v>
      </c>
      <c r="D87" s="3">
        <v>15.5579449465433</v>
      </c>
      <c r="E87" s="3">
        <v>14.6854686979446</v>
      </c>
      <c r="F87" s="3">
        <v>16.2286322012094</v>
      </c>
      <c r="G87" s="3">
        <v>19.7310036117143</v>
      </c>
      <c r="H87" s="3">
        <v>12.642793640802299</v>
      </c>
      <c r="I87" s="3">
        <v>28.3378338323752</v>
      </c>
      <c r="J87" s="3">
        <v>21.3504940478911</v>
      </c>
      <c r="K87" s="3">
        <v>17.360180927990999</v>
      </c>
      <c r="L87" s="3">
        <v>21.289510943596198</v>
      </c>
      <c r="M87" s="3">
        <v>18.5117640572089</v>
      </c>
      <c r="N87" s="3">
        <v>13.350540106440601</v>
      </c>
    </row>
    <row r="88" spans="1:14" x14ac:dyDescent="0.35">
      <c r="A88" s="2">
        <v>44407</v>
      </c>
      <c r="B88" s="3">
        <v>33.584962161183803</v>
      </c>
      <c r="C88" s="3">
        <v>16.7884811693106</v>
      </c>
      <c r="D88" s="3">
        <v>15.088277357315301</v>
      </c>
      <c r="E88" s="3">
        <v>14.227454921595401</v>
      </c>
      <c r="F88" s="3">
        <v>15.5393409642056</v>
      </c>
      <c r="G88" s="3">
        <v>19.7584499847848</v>
      </c>
      <c r="H88" s="3">
        <v>12.276720375951401</v>
      </c>
      <c r="I88" s="3">
        <v>27.9887797630624</v>
      </c>
      <c r="J88" s="3">
        <v>20.965468306006699</v>
      </c>
      <c r="K88" s="3">
        <v>16.7021484466853</v>
      </c>
      <c r="L88" s="3">
        <v>21.458048540131799</v>
      </c>
      <c r="M88" s="3">
        <v>18.442442305493799</v>
      </c>
      <c r="N88" s="3">
        <v>12.977527843663101</v>
      </c>
    </row>
    <row r="89" spans="1:14" x14ac:dyDescent="0.35">
      <c r="A89" s="2">
        <v>44439</v>
      </c>
      <c r="B89" s="3">
        <v>34.903878788958799</v>
      </c>
      <c r="C89" s="3">
        <v>17.327267303103401</v>
      </c>
      <c r="D89" s="3">
        <v>14.856744559056599</v>
      </c>
      <c r="E89" s="3">
        <v>14.199134648366201</v>
      </c>
      <c r="F89" s="3">
        <v>15.321876881370301</v>
      </c>
      <c r="G89" s="3">
        <v>19.845799242727001</v>
      </c>
      <c r="H89" s="3">
        <v>12.207105817022301</v>
      </c>
      <c r="I89" s="3">
        <v>28.688405600769102</v>
      </c>
      <c r="J89" s="3">
        <v>21.225114288978499</v>
      </c>
      <c r="K89" s="3">
        <v>16.3035095256812</v>
      </c>
      <c r="L89" s="3">
        <v>21.989172599159499</v>
      </c>
      <c r="M89" s="3">
        <v>18.390653606231201</v>
      </c>
      <c r="N89" s="3">
        <v>11.9886583967742</v>
      </c>
    </row>
    <row r="90" spans="1:14" x14ac:dyDescent="0.35">
      <c r="A90" s="2">
        <v>44469</v>
      </c>
      <c r="B90" s="3">
        <v>34.528449090161097</v>
      </c>
      <c r="C90" s="3">
        <v>17.061537501793801</v>
      </c>
      <c r="D90" s="3">
        <v>14.335780168422501</v>
      </c>
      <c r="E90" s="3">
        <v>13.5516290711622</v>
      </c>
      <c r="F90" s="3">
        <v>15.502586794539701</v>
      </c>
      <c r="G90" s="3">
        <v>18.317927229676599</v>
      </c>
      <c r="H90" s="3">
        <v>11.9008950126071</v>
      </c>
      <c r="I90" s="3">
        <v>26.8767808639492</v>
      </c>
      <c r="J90" s="3">
        <v>20.116172352636401</v>
      </c>
      <c r="K90" s="3">
        <v>15.593762367648599</v>
      </c>
      <c r="L90" s="3">
        <v>20.421003099704802</v>
      </c>
      <c r="M90" s="3">
        <v>17.835691968546801</v>
      </c>
      <c r="N90" s="3">
        <v>11.628068345369201</v>
      </c>
    </row>
    <row r="91" spans="1:14" x14ac:dyDescent="0.35">
      <c r="A91" s="2">
        <v>44498</v>
      </c>
      <c r="B91" s="3">
        <v>33.845968877497903</v>
      </c>
      <c r="C91" s="3">
        <v>17.399013794030701</v>
      </c>
      <c r="D91" s="3">
        <v>14.8634375573511</v>
      </c>
      <c r="E91" s="3">
        <v>13.6984344527226</v>
      </c>
      <c r="F91" s="3">
        <v>15.1726133599841</v>
      </c>
      <c r="G91" s="3">
        <v>18.9759850900261</v>
      </c>
      <c r="H91" s="3">
        <v>12.2088080942973</v>
      </c>
      <c r="I91" s="3">
        <v>28.922822747544402</v>
      </c>
      <c r="J91" s="3">
        <v>21.1688060426535</v>
      </c>
      <c r="K91" s="3">
        <v>15.713476155595799</v>
      </c>
      <c r="L91" s="3">
        <v>21.2075945846614</v>
      </c>
      <c r="M91" s="3">
        <v>18.131243060962799</v>
      </c>
      <c r="N91" s="3">
        <v>11.7310813628874</v>
      </c>
    </row>
    <row r="92" spans="1:14" x14ac:dyDescent="0.35">
      <c r="A92" s="2">
        <v>44530</v>
      </c>
      <c r="B92" s="3">
        <v>32.038113376571303</v>
      </c>
      <c r="C92" s="3">
        <v>16.7773950554575</v>
      </c>
      <c r="D92" s="3">
        <v>14.1683245294844</v>
      </c>
      <c r="E92" s="3">
        <v>12.8399521595601</v>
      </c>
      <c r="F92" s="3">
        <v>14.385378908881099</v>
      </c>
      <c r="G92" s="3">
        <v>18.596017974449701</v>
      </c>
      <c r="H92" s="3">
        <v>11.619642459216401</v>
      </c>
      <c r="I92" s="3">
        <v>29.018982580110499</v>
      </c>
      <c r="J92" s="3">
        <v>20.688219588369002</v>
      </c>
      <c r="K92" s="3">
        <v>15.053226788791401</v>
      </c>
      <c r="L92" s="3">
        <v>20.022109339465601</v>
      </c>
      <c r="M92" s="3">
        <v>17.9658368748321</v>
      </c>
      <c r="N92" s="3">
        <v>10.9097293506596</v>
      </c>
    </row>
    <row r="93" spans="1:14" x14ac:dyDescent="0.35">
      <c r="A93" s="2">
        <v>44561</v>
      </c>
      <c r="B93" s="3">
        <v>32.335003130707697</v>
      </c>
      <c r="C93" s="3">
        <v>17.4970792673071</v>
      </c>
      <c r="D93" s="3">
        <v>14.4230586367119</v>
      </c>
      <c r="E93" s="3">
        <v>13.382618460739099</v>
      </c>
      <c r="F93" s="3">
        <v>14.505630413384401</v>
      </c>
      <c r="G93" s="3">
        <v>19.805846670481898</v>
      </c>
      <c r="H93" s="3">
        <v>12.224781366046299</v>
      </c>
      <c r="I93" s="3">
        <v>29.167311739963601</v>
      </c>
      <c r="J93" s="3">
        <v>21.320924664773901</v>
      </c>
      <c r="K93" s="3">
        <v>15.7996277609271</v>
      </c>
      <c r="L93" s="3">
        <v>20.615610542285498</v>
      </c>
      <c r="M93" s="3">
        <v>18.6078033361492</v>
      </c>
      <c r="N93" s="3">
        <v>11.069489560574</v>
      </c>
    </row>
    <row r="94" spans="1:14" x14ac:dyDescent="0.35">
      <c r="A94" s="2">
        <v>44592</v>
      </c>
      <c r="B94" s="3">
        <v>29.198081984549301</v>
      </c>
      <c r="C94" s="3">
        <v>15.656714695303</v>
      </c>
      <c r="D94" s="3">
        <v>14.0794707681197</v>
      </c>
      <c r="E94" s="3">
        <v>12.9016603656077</v>
      </c>
      <c r="F94" s="3">
        <v>13.6207562568434</v>
      </c>
      <c r="G94" s="3">
        <v>18.205472553546699</v>
      </c>
      <c r="H94" s="3">
        <v>12.1808330223634</v>
      </c>
      <c r="I94" s="3">
        <v>26.2060106927917</v>
      </c>
      <c r="J94" s="3">
        <v>19.941873034354501</v>
      </c>
      <c r="K94" s="3">
        <v>14.900928590465501</v>
      </c>
      <c r="L94" s="3">
        <v>18.7204305858012</v>
      </c>
      <c r="M94" s="3">
        <v>16.652611404443899</v>
      </c>
      <c r="N94" s="3">
        <v>10.6800436006148</v>
      </c>
    </row>
    <row r="95" spans="1:14" x14ac:dyDescent="0.35">
      <c r="A95" s="2">
        <v>44620</v>
      </c>
      <c r="B95" s="3">
        <v>28.927847849941401</v>
      </c>
      <c r="C95" s="3">
        <v>15.4791782688763</v>
      </c>
      <c r="D95" s="3">
        <v>13.940530285122099</v>
      </c>
      <c r="E95" s="3">
        <v>11.8620758358814</v>
      </c>
      <c r="F95" s="3">
        <v>13.308614401751999</v>
      </c>
      <c r="G95" s="3">
        <v>18.070932109909901</v>
      </c>
      <c r="H95" s="3">
        <v>11.966271993799101</v>
      </c>
      <c r="I95" s="3">
        <v>24.7940749786898</v>
      </c>
      <c r="J95" s="3">
        <v>19.102831817825301</v>
      </c>
      <c r="K95" s="3">
        <v>13.8957966566799</v>
      </c>
      <c r="L95" s="3">
        <v>17.472851575567599</v>
      </c>
      <c r="M95" s="3">
        <v>15.090711690144399</v>
      </c>
      <c r="N95" s="3">
        <v>9.8388811735774304</v>
      </c>
    </row>
    <row r="96" spans="1:14" x14ac:dyDescent="0.35">
      <c r="A96" s="2">
        <v>44651</v>
      </c>
      <c r="B96" s="3">
        <v>29.7285002543662</v>
      </c>
      <c r="C96" s="3">
        <v>16.228224924922301</v>
      </c>
      <c r="D96" s="3">
        <v>13.5573661741587</v>
      </c>
      <c r="E96" s="3">
        <v>11.6184543010363</v>
      </c>
      <c r="F96" s="3">
        <v>13.2828218639236</v>
      </c>
      <c r="G96" s="3">
        <v>18.336734435664901</v>
      </c>
      <c r="H96" s="3">
        <v>11.2733117831634</v>
      </c>
      <c r="I96" s="3">
        <v>25.593703831783799</v>
      </c>
      <c r="J96" s="3">
        <v>19.441901528101699</v>
      </c>
      <c r="K96" s="3">
        <v>13.572592385946001</v>
      </c>
      <c r="L96" s="3">
        <v>18.290979232205501</v>
      </c>
      <c r="M96" s="3">
        <v>15.067392803492201</v>
      </c>
      <c r="N96" s="3">
        <v>9.7483802171185499</v>
      </c>
    </row>
    <row r="97" spans="1:14" x14ac:dyDescent="0.35">
      <c r="A97" s="2">
        <v>44680</v>
      </c>
      <c r="B97" s="3">
        <v>28.7863079035269</v>
      </c>
      <c r="C97" s="3">
        <v>15.044500546848401</v>
      </c>
      <c r="D97" s="3">
        <v>12.6062626781824</v>
      </c>
      <c r="E97" s="3">
        <v>11.1607123813548</v>
      </c>
      <c r="F97" s="3">
        <v>12.825407694210201</v>
      </c>
      <c r="G97" s="3">
        <v>17.925758317786901</v>
      </c>
      <c r="H97" s="3">
        <v>10.832520380562899</v>
      </c>
      <c r="I97" s="3">
        <v>22.460155339002998</v>
      </c>
      <c r="J97" s="3">
        <v>17.540042100311702</v>
      </c>
      <c r="K97" s="3">
        <v>12.8610043118597</v>
      </c>
      <c r="L97" s="3">
        <v>17.189938465031901</v>
      </c>
      <c r="M97" s="3">
        <v>14.543301749346799</v>
      </c>
      <c r="N97" s="3">
        <v>9.4756326178356591</v>
      </c>
    </row>
    <row r="98" spans="1:14" x14ac:dyDescent="0.35">
      <c r="A98" s="2">
        <v>44712</v>
      </c>
      <c r="B98" s="3">
        <v>27.387419947028199</v>
      </c>
      <c r="C98" s="3">
        <v>14.1862906651904</v>
      </c>
      <c r="D98" s="3">
        <v>12.4506282872286</v>
      </c>
      <c r="E98" s="3">
        <v>10.967581791622599</v>
      </c>
      <c r="F98" s="3">
        <v>12.8414184490587</v>
      </c>
      <c r="G98" s="3">
        <v>17.048974378929898</v>
      </c>
      <c r="H98" s="3">
        <v>10.588009393735099</v>
      </c>
      <c r="I98" s="3">
        <v>21.8191763621371</v>
      </c>
      <c r="J98" s="3">
        <v>17.353122990443701</v>
      </c>
      <c r="K98" s="3">
        <v>12.3568810848711</v>
      </c>
      <c r="L98" s="3">
        <v>17.326950277739101</v>
      </c>
      <c r="M98" s="3">
        <v>15.9545169882878</v>
      </c>
      <c r="N98" s="3">
        <v>9.0303546361558702</v>
      </c>
    </row>
    <row r="99" spans="1:14" x14ac:dyDescent="0.35">
      <c r="A99" s="2">
        <v>44742</v>
      </c>
      <c r="B99" s="3">
        <v>25.5141466318988</v>
      </c>
      <c r="C99" s="3">
        <v>12.6328370782189</v>
      </c>
      <c r="D99" s="3">
        <v>11.2039166663698</v>
      </c>
      <c r="E99" s="3">
        <v>9.6928349427989193</v>
      </c>
      <c r="F99" s="3">
        <v>12.334931535509799</v>
      </c>
      <c r="G99" s="3">
        <v>15.7363508516218</v>
      </c>
      <c r="H99" s="3">
        <v>9.6569383306247705</v>
      </c>
      <c r="I99" s="3">
        <v>19.7994457916489</v>
      </c>
      <c r="J99" s="3">
        <v>15.7972345302635</v>
      </c>
      <c r="K99" s="3">
        <v>11.196358858433999</v>
      </c>
      <c r="L99" s="3">
        <v>15.940081007758399</v>
      </c>
      <c r="M99" s="3">
        <v>14.0482315337327</v>
      </c>
      <c r="N99" s="3">
        <v>7.6771593161862404</v>
      </c>
    </row>
    <row r="100" spans="1:14" x14ac:dyDescent="0.35">
      <c r="A100" s="2">
        <v>44771</v>
      </c>
      <c r="B100" s="3">
        <v>26.155970777937199</v>
      </c>
      <c r="C100" s="3">
        <v>13.8005419836527</v>
      </c>
      <c r="D100" s="3">
        <v>11.588125526537899</v>
      </c>
      <c r="E100" s="3">
        <v>10.261909453062399</v>
      </c>
      <c r="F100" s="3">
        <v>12.744468169523699</v>
      </c>
      <c r="G100" s="3">
        <v>16.8854921880258</v>
      </c>
      <c r="H100" s="3">
        <v>9.9134612152297699</v>
      </c>
      <c r="I100" s="3">
        <v>23.015982661840699</v>
      </c>
      <c r="J100" s="3">
        <v>17.4326538282806</v>
      </c>
      <c r="K100" s="3">
        <v>11.7007074649002</v>
      </c>
      <c r="L100" s="3">
        <v>18.028428603343102</v>
      </c>
      <c r="M100" s="3">
        <v>15.4753974384837</v>
      </c>
      <c r="N100" s="3">
        <v>7.7191078958349797</v>
      </c>
    </row>
    <row r="101" spans="1:14" x14ac:dyDescent="0.35">
      <c r="A101" s="2">
        <v>44804</v>
      </c>
      <c r="B101" s="3">
        <v>27.2478814499332</v>
      </c>
      <c r="C101" s="3">
        <v>13.916322546617399</v>
      </c>
      <c r="D101" s="3">
        <v>11.3339783210739</v>
      </c>
      <c r="E101" s="3">
        <v>9.5563507910417407</v>
      </c>
      <c r="F101" s="3">
        <v>12.820175923995199</v>
      </c>
      <c r="G101" s="3">
        <v>16.050513658361702</v>
      </c>
      <c r="H101" s="3">
        <v>9.2947101898547899</v>
      </c>
      <c r="I101" s="3">
        <v>21.8184117704497</v>
      </c>
      <c r="J101" s="3">
        <v>16.651816309304198</v>
      </c>
      <c r="K101" s="3">
        <v>11.0495131548942</v>
      </c>
      <c r="L101" s="3">
        <v>16.130403744005399</v>
      </c>
      <c r="M101" s="3">
        <v>13.935250747057101</v>
      </c>
      <c r="N101" s="3">
        <v>7.2871407862512303</v>
      </c>
    </row>
    <row r="102" spans="1:14" x14ac:dyDescent="0.35">
      <c r="A102" s="2">
        <v>44834</v>
      </c>
      <c r="B102" s="3">
        <v>24.040849553408499</v>
      </c>
      <c r="C102" s="3">
        <v>12.546369965151801</v>
      </c>
      <c r="D102" s="3">
        <v>10.7655574557414</v>
      </c>
      <c r="E102" s="3">
        <v>8.99432918296975</v>
      </c>
      <c r="F102" s="3">
        <v>11.8310229073371</v>
      </c>
      <c r="G102" s="3">
        <v>14.967383290597301</v>
      </c>
      <c r="H102" s="3">
        <v>8.5640855310202308</v>
      </c>
      <c r="I102" s="3">
        <v>19.524137357478601</v>
      </c>
      <c r="J102" s="3">
        <v>15.1562944997678</v>
      </c>
      <c r="K102" s="3">
        <v>10.2198600360135</v>
      </c>
      <c r="L102" s="3">
        <v>14.3557537296509</v>
      </c>
      <c r="M102" s="3">
        <v>13.0652029604564</v>
      </c>
      <c r="N102" s="3">
        <v>7.2112670719934604</v>
      </c>
    </row>
    <row r="103" spans="1:14" x14ac:dyDescent="0.35">
      <c r="A103" s="2">
        <v>44865</v>
      </c>
      <c r="B103" s="3">
        <v>23.858043302082699</v>
      </c>
      <c r="C103" s="3">
        <v>13.331537670208</v>
      </c>
      <c r="D103" s="3">
        <v>11.512777149104499</v>
      </c>
      <c r="E103" s="3">
        <v>9.8697640734374694</v>
      </c>
      <c r="F103" s="3">
        <v>12.4873628931645</v>
      </c>
      <c r="G103" s="3">
        <v>15.740169174045</v>
      </c>
      <c r="H103" s="3">
        <v>9.0202683902740493</v>
      </c>
      <c r="I103" s="3">
        <v>21.0990982285211</v>
      </c>
      <c r="J103" s="3">
        <v>16.6869703640217</v>
      </c>
      <c r="K103" s="3">
        <v>11.1755670374926</v>
      </c>
      <c r="L103" s="3">
        <v>15.1875508486666</v>
      </c>
      <c r="M103" s="3">
        <v>13.157988496024799</v>
      </c>
      <c r="N103" s="3">
        <v>7.83245321166432</v>
      </c>
    </row>
    <row r="104" spans="1:14" x14ac:dyDescent="0.35">
      <c r="A104" s="2">
        <v>44895</v>
      </c>
      <c r="B104" s="3">
        <v>23.522578598732999</v>
      </c>
      <c r="C104" s="3">
        <v>14.721735559996601</v>
      </c>
      <c r="D104" s="3">
        <v>12.2815521066504</v>
      </c>
      <c r="E104" s="3">
        <v>10.7769062050921</v>
      </c>
      <c r="F104" s="3">
        <v>12.914466556274601</v>
      </c>
      <c r="G104" s="3">
        <v>16.7032855459262</v>
      </c>
      <c r="H104" s="3">
        <v>9.8234596265781402</v>
      </c>
      <c r="I104" s="3">
        <v>22.343822517390901</v>
      </c>
      <c r="J104" s="3">
        <v>17.6282717656537</v>
      </c>
      <c r="K104" s="3">
        <v>12.131031201047</v>
      </c>
      <c r="L104" s="3">
        <v>16.600795805076402</v>
      </c>
      <c r="M104" s="3">
        <v>12.9675147885106</v>
      </c>
      <c r="N104" s="3">
        <v>8.0627480684135904</v>
      </c>
    </row>
    <row r="105" spans="1:14" x14ac:dyDescent="0.35">
      <c r="A105" s="2">
        <v>44925</v>
      </c>
      <c r="B105" s="3">
        <v>23.008773274365598</v>
      </c>
      <c r="C105" s="3">
        <v>14.1727504256807</v>
      </c>
      <c r="D105" s="3">
        <v>11.9052655645163</v>
      </c>
      <c r="E105" s="3">
        <v>10.4616660277966</v>
      </c>
      <c r="F105" s="3">
        <v>12.203889572335999</v>
      </c>
      <c r="G105" s="3">
        <v>16.229500473204499</v>
      </c>
      <c r="H105" s="3">
        <v>9.8144242654452896</v>
      </c>
      <c r="I105" s="3">
        <v>20.8845994764384</v>
      </c>
      <c r="J105" s="3">
        <v>16.650131237619</v>
      </c>
      <c r="K105" s="3">
        <v>11.8173445902711</v>
      </c>
      <c r="L105" s="3">
        <v>15.329639192701499</v>
      </c>
      <c r="M105" s="3">
        <v>12.611548843741099</v>
      </c>
      <c r="N105" s="3">
        <v>7.5943844125458302</v>
      </c>
    </row>
    <row r="106" spans="1:14" x14ac:dyDescent="0.35">
      <c r="A106" s="2">
        <v>44957</v>
      </c>
      <c r="B106" s="3">
        <v>23.932439986530898</v>
      </c>
      <c r="C106" s="3">
        <v>14.9404761183182</v>
      </c>
      <c r="D106" s="3">
        <v>13.0641040973915</v>
      </c>
      <c r="E106" s="3">
        <v>11.498571619625899</v>
      </c>
      <c r="F106" s="3">
        <v>12.8677829605514</v>
      </c>
      <c r="G106" s="3">
        <v>17.241064071156</v>
      </c>
      <c r="H106" s="3">
        <v>10.538177721911</v>
      </c>
      <c r="I106" s="3">
        <v>23.400219495886098</v>
      </c>
      <c r="J106" s="3">
        <v>17.9683497530464</v>
      </c>
      <c r="K106" s="3">
        <v>13.1431609224257</v>
      </c>
      <c r="L106" s="3">
        <v>16.976449672957301</v>
      </c>
      <c r="M106" s="3">
        <v>13.926804844228</v>
      </c>
      <c r="N106" s="3">
        <v>8.3862652375131894</v>
      </c>
    </row>
    <row r="107" spans="1:14" x14ac:dyDescent="0.35">
      <c r="A107" s="2">
        <v>44985</v>
      </c>
      <c r="B107" s="3">
        <v>24.011013925857</v>
      </c>
      <c r="C107" s="3">
        <v>14.503631790876</v>
      </c>
      <c r="D107" s="3">
        <v>12.6891334598021</v>
      </c>
      <c r="E107" s="3">
        <v>11.539215391434499</v>
      </c>
      <c r="F107" s="3">
        <v>13.080760895330799</v>
      </c>
      <c r="G107" s="3">
        <v>17.041634285392</v>
      </c>
      <c r="H107" s="3">
        <v>10.528508991355899</v>
      </c>
      <c r="I107" s="3">
        <v>23.099717935742301</v>
      </c>
      <c r="J107" s="3">
        <v>17.4942955155514</v>
      </c>
      <c r="K107" s="3">
        <v>13.212205571705701</v>
      </c>
      <c r="L107" s="3">
        <v>16.4807481202809</v>
      </c>
      <c r="M107" s="3">
        <v>14.0822005531498</v>
      </c>
      <c r="N107" s="3">
        <v>8.2584607701660104</v>
      </c>
    </row>
    <row r="108" spans="1:14" x14ac:dyDescent="0.35">
      <c r="A108" s="2">
        <v>45016</v>
      </c>
      <c r="B108" s="3">
        <v>23.355336161952199</v>
      </c>
      <c r="C108" s="3">
        <v>14.3117517505269</v>
      </c>
      <c r="D108" s="3">
        <v>12.746278062124899</v>
      </c>
      <c r="E108" s="3">
        <v>11.430098906947499</v>
      </c>
      <c r="F108" s="3">
        <v>13.158625513456</v>
      </c>
      <c r="G108" s="3">
        <v>17.160653338069199</v>
      </c>
      <c r="H108" s="3">
        <v>10.352619357974</v>
      </c>
      <c r="I108" s="3">
        <v>25.0734269257497</v>
      </c>
      <c r="J108" s="3">
        <v>18.059701093425101</v>
      </c>
      <c r="K108" s="3">
        <v>13.288232894394399</v>
      </c>
      <c r="L108" s="3">
        <v>16.5539690403413</v>
      </c>
      <c r="M108" s="3">
        <v>13.8033449605729</v>
      </c>
      <c r="N108" s="3">
        <v>8.4771354117954001</v>
      </c>
    </row>
    <row r="109" spans="1:14" x14ac:dyDescent="0.35">
      <c r="A109" s="2">
        <v>45044</v>
      </c>
      <c r="B109" s="3">
        <v>23.675008341839501</v>
      </c>
      <c r="C109" s="3">
        <v>14.5568008791714</v>
      </c>
      <c r="D109" s="3">
        <v>13.087126766693</v>
      </c>
      <c r="E109" s="3">
        <v>11.3746518957681</v>
      </c>
      <c r="F109" s="3">
        <v>13.472216397007401</v>
      </c>
      <c r="G109" s="3">
        <v>17.540422422224999</v>
      </c>
      <c r="H109" s="3">
        <v>10.845245369593</v>
      </c>
      <c r="I109" s="3">
        <v>24.597945619426</v>
      </c>
      <c r="J109" s="3">
        <v>18.1738024511627</v>
      </c>
      <c r="K109" s="3">
        <v>13.7329079534024</v>
      </c>
      <c r="L109" s="3">
        <v>15.8332249132083</v>
      </c>
      <c r="M109" s="3">
        <v>13.765383611904999</v>
      </c>
      <c r="N109" s="3">
        <v>8.5884361047989408</v>
      </c>
    </row>
    <row r="110" spans="1:14" x14ac:dyDescent="0.35">
      <c r="A110" s="2">
        <v>45077</v>
      </c>
      <c r="B110" s="3">
        <v>23.440763453403999</v>
      </c>
      <c r="C110" s="3">
        <v>14.074724131051299</v>
      </c>
      <c r="D110" s="3">
        <v>12.5850447059434</v>
      </c>
      <c r="E110" s="3">
        <v>10.661615441310801</v>
      </c>
      <c r="F110" s="3">
        <v>13.9503925563709</v>
      </c>
      <c r="G110" s="3">
        <v>16.810792703181601</v>
      </c>
      <c r="H110" s="3">
        <v>10.0332999972089</v>
      </c>
      <c r="I110" s="3">
        <v>25.651192220295499</v>
      </c>
      <c r="J110" s="3">
        <v>18.0319625173079</v>
      </c>
      <c r="K110" s="3">
        <v>12.7255478195111</v>
      </c>
      <c r="L110" s="3">
        <v>15.565088822145</v>
      </c>
      <c r="M110" s="3">
        <v>13.272461010126699</v>
      </c>
      <c r="N110" s="3">
        <v>7.9009877106514503</v>
      </c>
    </row>
    <row r="111" spans="1:14" x14ac:dyDescent="0.35">
      <c r="A111" s="2">
        <v>45107</v>
      </c>
      <c r="B111" s="3">
        <v>20.9845942104727</v>
      </c>
      <c r="C111" s="3">
        <v>14.9313123571497</v>
      </c>
      <c r="D111" s="3">
        <v>13.0104265560103</v>
      </c>
      <c r="E111" s="3">
        <v>10.863379398495599</v>
      </c>
      <c r="F111" s="3">
        <v>14.8867175302062</v>
      </c>
      <c r="G111" s="3">
        <v>16.505346770160902</v>
      </c>
      <c r="H111" s="3">
        <v>10.388309365856401</v>
      </c>
      <c r="I111" s="3">
        <v>26.792181233149901</v>
      </c>
      <c r="J111" s="3">
        <v>19.139651262289998</v>
      </c>
      <c r="K111" s="3">
        <v>13.287966655341</v>
      </c>
      <c r="L111" s="3">
        <v>15.8423339530839</v>
      </c>
      <c r="M111" s="3">
        <v>13.6055048185011</v>
      </c>
      <c r="N111" s="3">
        <v>8.7926071652794295</v>
      </c>
    </row>
    <row r="112" spans="1:14" x14ac:dyDescent="0.35">
      <c r="A112" s="2">
        <v>45138</v>
      </c>
      <c r="B112" s="3">
        <v>21.149302700131798</v>
      </c>
      <c r="C112" s="3">
        <v>15.728963400499101</v>
      </c>
      <c r="D112" s="3">
        <v>13.5595261626642</v>
      </c>
      <c r="E112" s="3">
        <v>11.025615102644799</v>
      </c>
      <c r="F112" s="3">
        <v>14.8897502425281</v>
      </c>
      <c r="G112" s="3">
        <v>16.965304530249199</v>
      </c>
      <c r="H112" s="3">
        <v>10.8025044191129</v>
      </c>
      <c r="I112" s="3">
        <v>25.852377025411801</v>
      </c>
      <c r="J112" s="3">
        <v>19.565643823504399</v>
      </c>
      <c r="K112" s="3">
        <v>13.379382455501901</v>
      </c>
      <c r="L112" s="3">
        <v>16.221949637040101</v>
      </c>
      <c r="M112" s="3">
        <v>13.396342323583299</v>
      </c>
      <c r="N112" s="3">
        <v>8.7614188863401292</v>
      </c>
    </row>
    <row r="113" spans="1:25" x14ac:dyDescent="0.35">
      <c r="A113" s="2">
        <v>45169</v>
      </c>
      <c r="B113" s="3">
        <v>20.4031342210715</v>
      </c>
      <c r="C113" s="3">
        <v>15.607682682819201</v>
      </c>
      <c r="D113" s="3">
        <v>13.1557118124786</v>
      </c>
      <c r="E113" s="3">
        <v>10.663899700946001</v>
      </c>
      <c r="F113" s="3">
        <v>14.530705001685501</v>
      </c>
      <c r="G113" s="3">
        <v>16.678013600343199</v>
      </c>
      <c r="H113" s="3">
        <v>10.3286897272198</v>
      </c>
      <c r="I113" s="3">
        <v>24.694176900014501</v>
      </c>
      <c r="J113" s="3">
        <v>18.862988117932499</v>
      </c>
      <c r="K113" s="3">
        <v>12.927871988870599</v>
      </c>
      <c r="L113" s="3">
        <v>14.6833340611682</v>
      </c>
      <c r="M113" s="3">
        <v>12.7794910035584</v>
      </c>
      <c r="N113" s="3">
        <v>8.40572303902659</v>
      </c>
    </row>
    <row r="114" spans="1:25" x14ac:dyDescent="0.35">
      <c r="A114" s="2">
        <v>45198</v>
      </c>
      <c r="B114" s="3">
        <v>20.166110375563999</v>
      </c>
      <c r="C114" s="3">
        <v>14.9055833664576</v>
      </c>
      <c r="D114" s="3">
        <v>12.600353410292801</v>
      </c>
      <c r="E114" s="3">
        <v>10.320603646779601</v>
      </c>
      <c r="F114" s="3">
        <v>14.353548830818999</v>
      </c>
      <c r="G114" s="3">
        <v>16.171147660873199</v>
      </c>
      <c r="H114" s="3">
        <v>10.4426442915571</v>
      </c>
      <c r="I114" s="3">
        <v>23.1717902415329</v>
      </c>
      <c r="J114" s="3">
        <v>17.841264662817402</v>
      </c>
      <c r="K114" s="3">
        <v>12.4800074723211</v>
      </c>
      <c r="L114" s="3">
        <v>13.630614616387399</v>
      </c>
      <c r="M114" s="3">
        <v>12.9090225088888</v>
      </c>
      <c r="N114" s="3">
        <v>8.2695902325095503</v>
      </c>
    </row>
    <row r="115" spans="1:25" x14ac:dyDescent="0.35">
      <c r="A115" s="2">
        <v>45230</v>
      </c>
      <c r="B115" s="3">
        <v>19.4700678973234</v>
      </c>
      <c r="C115" s="3">
        <v>14.2716195705761</v>
      </c>
      <c r="D115" s="3">
        <v>12.0666506695105</v>
      </c>
      <c r="E115" s="3">
        <v>9.8905646739487398</v>
      </c>
      <c r="F115" s="3">
        <v>13.774687840184299</v>
      </c>
      <c r="G115" s="3">
        <v>15.3601261918615</v>
      </c>
      <c r="H115" s="3">
        <v>9.9823690870135895</v>
      </c>
      <c r="I115" s="3">
        <v>22.295188853399001</v>
      </c>
      <c r="J115" s="3">
        <v>17.3449449231255</v>
      </c>
      <c r="K115" s="3">
        <v>12.1187073306274</v>
      </c>
      <c r="L115" s="3">
        <v>13.2930575987531</v>
      </c>
      <c r="M115" s="3">
        <v>12.5157843440879</v>
      </c>
      <c r="N115" s="3">
        <v>7.9140371784548798</v>
      </c>
    </row>
    <row r="116" spans="1:25" x14ac:dyDescent="0.35">
      <c r="A116" s="2">
        <v>45260</v>
      </c>
      <c r="B116" s="3">
        <v>20.4876775753476</v>
      </c>
      <c r="C116" s="3">
        <v>15.271905837165599</v>
      </c>
      <c r="D116" s="3">
        <v>12.9568862756351</v>
      </c>
      <c r="E116" s="3">
        <v>10.9374174144798</v>
      </c>
      <c r="F116" s="3">
        <v>14.281516119291901</v>
      </c>
      <c r="G116" s="3">
        <v>16.378555380487001</v>
      </c>
      <c r="H116" s="3">
        <v>10.486014700534501</v>
      </c>
      <c r="I116" s="3">
        <v>24.224868774381498</v>
      </c>
      <c r="J116" s="3">
        <v>18.7237808627055</v>
      </c>
      <c r="K116" s="3">
        <v>12.918076608921799</v>
      </c>
      <c r="L116" s="3">
        <v>14.6434912139382</v>
      </c>
      <c r="M116" s="3">
        <v>13.429921401104099</v>
      </c>
      <c r="N116" s="3">
        <v>8.4019216819929792</v>
      </c>
    </row>
    <row r="117" spans="1:25" x14ac:dyDescent="0.35">
      <c r="A117" s="2">
        <v>45289</v>
      </c>
      <c r="B117" s="3">
        <v>22.9720675812572</v>
      </c>
      <c r="C117" s="3">
        <v>16.457881077490502</v>
      </c>
      <c r="D117" s="3">
        <v>13.673469981736799</v>
      </c>
      <c r="E117" s="3">
        <v>11.167694094965</v>
      </c>
      <c r="F117" s="3">
        <v>14.0462144783131</v>
      </c>
      <c r="G117" s="3">
        <v>16.8530354530591</v>
      </c>
      <c r="H117" s="3">
        <v>11.006427543471601</v>
      </c>
      <c r="I117" s="3">
        <v>25.0896939322298</v>
      </c>
      <c r="J117" s="3">
        <v>19.5251873155661</v>
      </c>
      <c r="K117" s="3">
        <v>13.4147515219524</v>
      </c>
      <c r="L117" s="3">
        <v>15.1008577463554</v>
      </c>
      <c r="M117" s="3">
        <v>15.725990014540301</v>
      </c>
      <c r="N117" s="3">
        <v>8.9013012943078405</v>
      </c>
    </row>
    <row r="118" spans="1:25" x14ac:dyDescent="0.35">
      <c r="A118" s="2">
        <v>45322</v>
      </c>
      <c r="B118" s="3">
        <v>22.257481190019501</v>
      </c>
      <c r="C118" s="3">
        <v>16.644495537650801</v>
      </c>
      <c r="D118" s="3">
        <v>13.8407827527771</v>
      </c>
      <c r="E118" s="3">
        <v>11.5199218930643</v>
      </c>
      <c r="F118" s="3">
        <v>15.0728817345714</v>
      </c>
      <c r="G118" s="3">
        <v>17.254538538694401</v>
      </c>
      <c r="H118" s="3">
        <v>11.0830975275046</v>
      </c>
      <c r="I118" s="3">
        <v>25.431637732855901</v>
      </c>
      <c r="J118" s="3">
        <v>19.7840390328127</v>
      </c>
      <c r="K118" s="3">
        <v>13.768012536423599</v>
      </c>
      <c r="L118" s="3">
        <v>15.677473014334799</v>
      </c>
      <c r="M118" s="3">
        <v>15.5517211979344</v>
      </c>
      <c r="N118" s="3">
        <v>9.0146749777045301</v>
      </c>
    </row>
    <row r="119" spans="1:25" x14ac:dyDescent="0.35">
      <c r="A119" s="2">
        <v>45351</v>
      </c>
      <c r="B119" s="3">
        <v>22.478207458187601</v>
      </c>
      <c r="C119" s="3">
        <v>16.553267608754801</v>
      </c>
      <c r="D119" s="3">
        <v>14.178327489246399</v>
      </c>
      <c r="E119" s="3">
        <v>12.0102087445963</v>
      </c>
      <c r="F119" s="3">
        <v>15.536497677021901</v>
      </c>
      <c r="G119" s="3">
        <v>17.444085372292001</v>
      </c>
      <c r="H119" s="3">
        <v>11.149533854641501</v>
      </c>
      <c r="I119" s="3">
        <v>26.209017265990202</v>
      </c>
      <c r="J119" s="3">
        <v>20.487736059534601</v>
      </c>
      <c r="K119" s="3">
        <v>14.2666083281529</v>
      </c>
      <c r="L119" s="3">
        <v>16.329832797292699</v>
      </c>
      <c r="M119" s="3">
        <v>16.2650688356761</v>
      </c>
      <c r="N119" s="3">
        <v>9.2614852831679695</v>
      </c>
    </row>
    <row r="120" spans="1:25" x14ac:dyDescent="0.35">
      <c r="A120" s="2">
        <v>45379</v>
      </c>
      <c r="B120" s="3">
        <v>25.2815236006387</v>
      </c>
      <c r="C120" s="3">
        <v>16.804182629915001</v>
      </c>
      <c r="D120" s="3">
        <v>14.6370440944886</v>
      </c>
      <c r="E120" s="3">
        <v>12.3924706262758</v>
      </c>
      <c r="F120" s="3">
        <v>15.789539418196901</v>
      </c>
      <c r="G120" s="3">
        <v>17.695776174374299</v>
      </c>
      <c r="H120" s="3">
        <v>11.541867156719301</v>
      </c>
      <c r="I120" s="3">
        <v>26.188730280272601</v>
      </c>
      <c r="J120" s="3">
        <v>20.9578601445582</v>
      </c>
      <c r="K120" s="3">
        <v>14.7130619455674</v>
      </c>
      <c r="L120" s="3">
        <v>16.377800373601598</v>
      </c>
      <c r="M120" s="3">
        <v>16.421145984415102</v>
      </c>
      <c r="N120" s="3">
        <v>9.8053273808059807</v>
      </c>
    </row>
    <row r="121" spans="1:25" x14ac:dyDescent="0.35">
      <c r="A121" s="2">
        <v>45412</v>
      </c>
      <c r="B121" s="3">
        <v>25.306596613687201</v>
      </c>
      <c r="C121" s="3">
        <v>16.370995429738802</v>
      </c>
      <c r="D121" s="3">
        <v>14.0871398537505</v>
      </c>
      <c r="E121" s="3">
        <v>11.889172914904099</v>
      </c>
      <c r="F121" s="3">
        <v>15.516303534407999</v>
      </c>
      <c r="G121" s="3">
        <v>16.6114035175918</v>
      </c>
      <c r="H121" s="3">
        <v>11.6219827305396</v>
      </c>
      <c r="I121" s="3">
        <v>24.7782572845862</v>
      </c>
      <c r="J121" s="3">
        <v>19.831246872954001</v>
      </c>
      <c r="K121" s="3">
        <v>14.3854264951968</v>
      </c>
      <c r="L121" s="3">
        <v>15.638178229732301</v>
      </c>
      <c r="M121" s="3">
        <v>16.0135679915272</v>
      </c>
      <c r="N121" s="3">
        <v>9.5040698389566902</v>
      </c>
    </row>
    <row r="122" spans="1:25" x14ac:dyDescent="0.35">
      <c r="A122" s="2">
        <v>45441</v>
      </c>
      <c r="B122" s="3">
        <v>24.976784988570198</v>
      </c>
      <c r="C122" s="3">
        <v>16.4006782644244</v>
      </c>
      <c r="D122" s="3">
        <v>14.1644589400734</v>
      </c>
      <c r="E122" s="3">
        <v>11.849856131853601</v>
      </c>
      <c r="F122" s="3">
        <v>15.4383438074015</v>
      </c>
      <c r="G122" s="3">
        <v>16.953925543284999</v>
      </c>
      <c r="H122" s="3">
        <v>11.5530330507331</v>
      </c>
      <c r="I122" s="3">
        <v>25.7464296072419</v>
      </c>
      <c r="J122" s="3">
        <v>20.3156903048109</v>
      </c>
      <c r="K122" s="3">
        <v>14.1656197209554</v>
      </c>
      <c r="L122" s="3">
        <v>16.130205584492799</v>
      </c>
      <c r="M122" s="3">
        <v>16.047035132452301</v>
      </c>
      <c r="N122" s="3">
        <v>9.6894292839742704</v>
      </c>
    </row>
    <row r="124" spans="1:25" x14ac:dyDescent="0.35">
      <c r="A124" s="2" t="s">
        <v>91</v>
      </c>
      <c r="B124" s="3" cm="1">
        <f t="array" ref="B124">MIN(_xlfn._xlws.FILTER(B1:B122, ISNUMBER(B1:B122)))</f>
        <v>16.9996084690621</v>
      </c>
      <c r="C124" s="3" cm="1">
        <f t="array" ref="C124">MIN(_xlfn._xlws.FILTER(C1:C122, ISNUMBER(C1:C122)))</f>
        <v>12.546369965151801</v>
      </c>
      <c r="D124" s="3" cm="1">
        <f t="array" ref="D124">MIN(_xlfn._xlws.FILTER(D1:D122, ISNUMBER(D1:D122)))</f>
        <v>10.7655574557414</v>
      </c>
      <c r="E124" s="3" cm="1">
        <f t="array" ref="E124">MIN(_xlfn._xlws.FILTER(E1:E122, ISNUMBER(E1:E122)))</f>
        <v>8.99432918296975</v>
      </c>
      <c r="F124" s="3" cm="1">
        <f t="array" ref="F124">MIN(_xlfn._xlws.FILTER(F1:F122, ISNUMBER(F1:F122)))</f>
        <v>11.1043383882119</v>
      </c>
      <c r="G124" s="3" cm="1">
        <f t="array" ref="G124">MIN(_xlfn._xlws.FILTER(G1:G122, ISNUMBER(G1:G122)))</f>
        <v>14.4906295812933</v>
      </c>
      <c r="H124" s="3" cm="1">
        <f t="array" ref="H124">MIN(_xlfn._xlws.FILTER(H1:H122, ISNUMBER(H1:H122)))</f>
        <v>8.5640855310202308</v>
      </c>
      <c r="I124" s="3" cm="1">
        <f t="array" ref="I124">MIN(_xlfn._xlws.FILTER(I1:I122, ISNUMBER(I1:I122)))</f>
        <v>16.811658223300899</v>
      </c>
      <c r="J124" s="3" cm="1">
        <f t="array" ref="J124">MIN(_xlfn._xlws.FILTER(J1:J122, ISNUMBER(J1:J122)))</f>
        <v>14.3997586310989</v>
      </c>
      <c r="K124" s="3" cm="1">
        <f t="array" ref="K124">MIN(_xlfn._xlws.FILTER(K1:K122, ISNUMBER(K1:K122)))</f>
        <v>10.2198600360135</v>
      </c>
      <c r="L124" s="3" cm="1">
        <f t="array" ref="L124">MIN(_xlfn._xlws.FILTER(L1:L122, ISNUMBER(L1:L122)))</f>
        <v>13.087477310085299</v>
      </c>
      <c r="M124" s="3" cm="1">
        <f t="array" ref="M124">MIN(_xlfn._xlws.FILTER(M1:M122, ISNUMBER(M1:M122)))</f>
        <v>12.5157843440879</v>
      </c>
      <c r="N124" s="3" cm="1">
        <f t="array" ref="N124">MIN(_xlfn._xlws.FILTER(N1:N122, ISNUMBER(N1:N122)))</f>
        <v>7.2112670719934604</v>
      </c>
    </row>
    <row r="125" spans="1:25" x14ac:dyDescent="0.35">
      <c r="A125" s="2" t="s">
        <v>92</v>
      </c>
      <c r="B125" s="3" cm="1">
        <f t="array" ref="B125">MAX(_xlfn._xlws.FILTER(B1:B122, ISNUMBER(B1:B122)))</f>
        <v>34.903878788958799</v>
      </c>
      <c r="C125" s="3" cm="1">
        <f t="array" ref="C125">MAX(_xlfn._xlws.FILTER(C1:C122, ISNUMBER(C1:C122)))</f>
        <v>19.5543693627903</v>
      </c>
      <c r="D125" s="3" cm="1">
        <f t="array" ref="D125">MAX(_xlfn._xlws.FILTER(D1:D122, ISNUMBER(D1:D122)))</f>
        <v>18.540942779661101</v>
      </c>
      <c r="E125" s="3" cm="1">
        <f t="array" ref="E125">MAX(_xlfn._xlws.FILTER(E1:E122, ISNUMBER(E1:E122)))</f>
        <v>17.720097720940899</v>
      </c>
      <c r="F125" s="3" cm="1">
        <f t="array" ref="F125">MAX(_xlfn._xlws.FILTER(F1:F122, ISNUMBER(F1:F122)))</f>
        <v>18.471446483605298</v>
      </c>
      <c r="G125" s="3" cm="1">
        <f t="array" ref="G125">MAX(_xlfn._xlws.FILTER(G1:G122, ISNUMBER(G1:G122)))</f>
        <v>19.845799242727001</v>
      </c>
      <c r="H125" s="3" cm="1">
        <f t="array" ref="H125">MAX(_xlfn._xlws.FILTER(H1:H122, ISNUMBER(H1:H122)))</f>
        <v>16.217559099455599</v>
      </c>
      <c r="I125" s="3" cm="1">
        <f t="array" ref="I125">MAX(_xlfn._xlws.FILTER(I1:I122, ISNUMBER(I1:I122)))</f>
        <v>31.551958745655799</v>
      </c>
      <c r="J125" s="3" cm="1">
        <f t="array" ref="J125">MAX(_xlfn._xlws.FILTER(J1:J122, ISNUMBER(J1:J122)))</f>
        <v>22.868013290547999</v>
      </c>
      <c r="K125" s="3" cm="1">
        <f t="array" ref="K125">MAX(_xlfn._xlws.FILTER(K1:K122, ISNUMBER(K1:K122)))</f>
        <v>19.2592530097834</v>
      </c>
      <c r="L125" s="3" cm="1">
        <f t="array" ref="L125">MAX(_xlfn._xlws.FILTER(L1:L122, ISNUMBER(L1:L122)))</f>
        <v>22.355640489969201</v>
      </c>
      <c r="M125" s="3" cm="1">
        <f t="array" ref="M125">MAX(_xlfn._xlws.FILTER(M1:M122, ISNUMBER(M1:M122)))</f>
        <v>20.255833750173501</v>
      </c>
      <c r="N125" s="3" cm="1">
        <f t="array" ref="N125">MAX(_xlfn._xlws.FILTER(N1:N122, ISNUMBER(N1:N122)))</f>
        <v>17.241488222366399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0.68799999999999994</v>
      </c>
      <c r="C127" s="9" cm="1">
        <f t="array" ref="C127">_xlfn.PERCENTRANK.EXC(_xlfn._xlws.FILTER(C1:C122, ISNUMBER(C1:C122)),C122)</f>
        <v>0.70399999999999996</v>
      </c>
      <c r="D127" s="9" cm="1">
        <f t="array" ref="D127">_xlfn.PERCENTRANK.EXC(_xlfn._xlws.FILTER(D1:D122, ISNUMBER(D1:D122)),D122)</f>
        <v>0.38500000000000001</v>
      </c>
      <c r="E127" s="9" cm="1">
        <f t="array" ref="E127">_xlfn.PERCENTRANK.EXC(_xlfn._xlws.FILTER(E1:E122, ISNUMBER(E1:E122)),E122)</f>
        <v>0.22900000000000001</v>
      </c>
      <c r="F127" s="9" cm="1">
        <f t="array" ref="F127">_xlfn.PERCENTRANK.EXC(_xlfn._xlws.FILTER(F1:F122, ISNUMBER(F1:F122)),F122)</f>
        <v>0.81100000000000005</v>
      </c>
      <c r="G127" s="9" cm="1">
        <f t="array" ref="G127">_xlfn.PERCENTRANK.EXC(_xlfn._xlws.FILTER(G1:G122, ISNUMBER(G1:G122)),G122)</f>
        <v>0.45900000000000002</v>
      </c>
      <c r="H127" s="9" cm="1">
        <f t="array" ref="H127">_xlfn.PERCENTRANK.EXC(_xlfn._xlws.FILTER(H1:H122, ISNUMBER(H1:H122)),H122)</f>
        <v>0.221</v>
      </c>
      <c r="I127" s="9" cm="1">
        <f t="array" ref="I127">_xlfn.PERCENTRANK.EXC(_xlfn._xlws.FILTER(I1:I122, ISNUMBER(I1:I122)),I122)</f>
        <v>0.78600000000000003</v>
      </c>
      <c r="J127" s="9" cm="1">
        <f t="array" ref="J127">_xlfn.PERCENTRANK.EXC(_xlfn._xlws.FILTER(J1:J122, ISNUMBER(J1:J122)),J122)</f>
        <v>0.81899999999999995</v>
      </c>
      <c r="K127" s="9" cm="1">
        <f t="array" ref="K127">_xlfn.PERCENTRANK.EXC(_xlfn._xlws.FILTER(K1:K122, ISNUMBER(K1:K122)),K122)</f>
        <v>0.45900000000000002</v>
      </c>
      <c r="L127" s="9" cm="1">
        <f t="array" ref="L127">_xlfn.PERCENTRANK.EXC(_xlfn._xlws.FILTER(L1:L122, ISNUMBER(L1:L122)),L122)</f>
        <v>0.57299999999999995</v>
      </c>
      <c r="M127" s="9" cm="1">
        <f t="array" ref="M127">_xlfn.PERCENTRANK.EXC(_xlfn._xlws.FILTER(M1:M122, ISNUMBER(M1:M122)),M122)</f>
        <v>0.64700000000000002</v>
      </c>
      <c r="N127" s="9" cm="1">
        <f t="array" ref="N127">_xlfn.PERCENTRANK.EXC(_xlfn._xlws.FILTER(N1:N122, ISNUMBER(N1:N122)),N122)</f>
        <v>0.22900000000000001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41789</v>
      </c>
      <c r="B2" s="3" cm="1">
        <f t="array" ref="B2:B122">_xll.FDS(B1,"FMA_DIV_YLD(NTMA,-10AY,0,AM,""PORTAGG"",""MEANR"")")</f>
        <v>4.1509342452946099</v>
      </c>
      <c r="C2" s="3" cm="1">
        <f t="array" ref="C2:C122">_xll.FDS(C1,"FMA_DIV_YLD(NTMA,-10AY,0,AM,""PORTAGG"",""MEANR"")")</f>
        <v>4.7678700771151101</v>
      </c>
      <c r="D2" s="3" cm="1">
        <f t="array" ref="D2:D122">_xll.FDS(D1,"FMA_DIV_YLD(NTMA,-10AY,0,AM,""PORTAGG"",""MEANR"")")</f>
        <v>2.89670712365053</v>
      </c>
      <c r="E2" s="3" cm="1">
        <f t="array" ref="E2:E122">_xll.FDS(E1,"FMA_DIV_YLD(NTMA,-10AY,0,AM,""PORTAGG"",""MEANR"")")</f>
        <v>2.9617701034738499</v>
      </c>
      <c r="F2" s="3" cm="1">
        <f t="array" ref="F2:F122">_xll.FDS(F1,"FMA_DIV_YLD(NTMA,-10AY,0,AM,""PORTAGG"",""MEANR"")")</f>
        <v>2.1591300421948998</v>
      </c>
      <c r="G2" s="3" cm="1">
        <f t="array" ref="G2:G122">_xll.FDS(G1,"FMA_DIV_YLD(NTMA,-10AY,0,AM,""PORTAGG"",""MEANR"")")</f>
        <v>3.20701469639901</v>
      </c>
      <c r="H2" s="3" cm="1">
        <f t="array" ref="H2:H122">_xll.FDS(H1,"FMA_DIV_YLD(NTMA,-10AY,0,AM,""PORTAGG"",""MEANR"")")</f>
        <v>3.83589919998927</v>
      </c>
      <c r="I2" s="3" cm="1">
        <f t="array" ref="I2:I122">_xll.FDS(I1,"FMA_DIV_YLD(NTMA,-10AY,0,AM,""PORTAGG"",""MEANR"")")</f>
        <v>1.3124553997150199</v>
      </c>
      <c r="J2" s="3" cm="1">
        <f t="array" ref="J2:J122">_xll.FDS(J1,"FMA_DIV_YLD(NTMA,-10AY,0,AM,""PORTAGG"",""MEANR"")")</f>
        <v>2.12337879640548</v>
      </c>
      <c r="K2" s="3" cm="1">
        <f t="array" ref="K2:K122">_xll.FDS(K1,"FMA_DIV_YLD(NTMA,-10AY,0,AM,""PORTAGG"",""MEANR"")")</f>
        <v>3.3935933737863899</v>
      </c>
      <c r="L2" s="3" cm="1">
        <f t="array" ref="L2:L122">_xll.FDS(L1,"FMA_DIV_YLD(NTMA,-10AY,0,AM,""PORTAGG"",""MEANR"")")</f>
        <v>2.808355927194</v>
      </c>
      <c r="M2" s="3" cm="1">
        <f t="array" ref="M2:M122">_xll.FDS(M1,"FMA_DIV_YLD(NTMA,-10AY,0,AM,""PORTAGG"",""MEANR"")")</f>
        <v>4.0123840140022402</v>
      </c>
      <c r="N2" s="3" cm="1">
        <f t="array" ref="N2:N122">_xll.FDS(N1,"FMA_DIV_YLD(NTMA,-10AY,0,AM,""PORTAGG"",""MEANR"")")</f>
        <v>3.44529095154147</v>
      </c>
    </row>
    <row r="3" spans="1:14" x14ac:dyDescent="0.35">
      <c r="A3" s="2">
        <v>41820</v>
      </c>
      <c r="B3" s="3">
        <v>4.4463584778763501</v>
      </c>
      <c r="C3" s="3">
        <v>4.8614252043804997</v>
      </c>
      <c r="D3" s="3">
        <v>2.8079986644076298</v>
      </c>
      <c r="E3" s="3">
        <v>3.0314202997338899</v>
      </c>
      <c r="F3" s="3">
        <v>2.07386135956463</v>
      </c>
      <c r="G3" s="3">
        <v>3.3199011069106699</v>
      </c>
      <c r="H3" s="3">
        <v>3.87164581406924</v>
      </c>
      <c r="I3" s="3">
        <v>1.2654707053596499</v>
      </c>
      <c r="J3" s="3">
        <v>2.0957046335752101</v>
      </c>
      <c r="K3" s="3">
        <v>3.4458794700254298</v>
      </c>
      <c r="L3" s="3">
        <v>2.80355832673769</v>
      </c>
      <c r="M3" s="3">
        <v>4.1423548731819197</v>
      </c>
      <c r="N3" s="3">
        <v>3.3864867992061498</v>
      </c>
    </row>
    <row r="4" spans="1:14" x14ac:dyDescent="0.35">
      <c r="A4" s="2">
        <v>41851</v>
      </c>
      <c r="B4" s="3">
        <v>4.4544784889839502</v>
      </c>
      <c r="C4" s="3">
        <v>4.6509181628927498</v>
      </c>
      <c r="D4" s="3">
        <v>2.7753508042891699</v>
      </c>
      <c r="E4" s="3">
        <v>3.1917639615477298</v>
      </c>
      <c r="F4" s="3">
        <v>2.0450695598037401</v>
      </c>
      <c r="G4" s="3">
        <v>3.3949821370242699</v>
      </c>
      <c r="H4" s="3">
        <v>3.90913500739275</v>
      </c>
      <c r="I4" s="3">
        <v>1.26420791694804</v>
      </c>
      <c r="J4" s="3">
        <v>2.1494707962014798</v>
      </c>
      <c r="K4" s="3">
        <v>3.6001143741752801</v>
      </c>
      <c r="L4" s="3">
        <v>2.9564215578008599</v>
      </c>
      <c r="M4" s="3">
        <v>4.2281993447765798</v>
      </c>
      <c r="N4" s="3">
        <v>3.52235296461531</v>
      </c>
    </row>
    <row r="5" spans="1:14" x14ac:dyDescent="0.35">
      <c r="A5" s="2">
        <v>41880</v>
      </c>
      <c r="B5" s="3">
        <v>4.53899776998386</v>
      </c>
      <c r="C5" s="3">
        <v>4.6877023864786302</v>
      </c>
      <c r="D5" s="3">
        <v>2.7501300436627099</v>
      </c>
      <c r="E5" s="3">
        <v>3.1761892656951098</v>
      </c>
      <c r="F5" s="3">
        <v>2.0837418014011302</v>
      </c>
      <c r="G5" s="3">
        <v>3.3253010010495698</v>
      </c>
      <c r="H5" s="3">
        <v>3.8939000024378001</v>
      </c>
      <c r="I5" s="3">
        <v>1.21275980992652</v>
      </c>
      <c r="J5" s="3">
        <v>2.0861312340587199</v>
      </c>
      <c r="K5" s="3">
        <v>3.53449264250309</v>
      </c>
      <c r="L5" s="3">
        <v>2.9875368558412001</v>
      </c>
      <c r="M5" s="3">
        <v>4.2168443615278202</v>
      </c>
      <c r="N5" s="3">
        <v>3.58687276806257</v>
      </c>
    </row>
    <row r="6" spans="1:14" x14ac:dyDescent="0.35">
      <c r="A6" s="2">
        <v>41912</v>
      </c>
      <c r="B6" s="3">
        <v>4.5756356211651497</v>
      </c>
      <c r="C6" s="3">
        <v>5.0698306530260604</v>
      </c>
      <c r="D6" s="3">
        <v>2.8785687446788399</v>
      </c>
      <c r="E6" s="3">
        <v>3.1921236293662401</v>
      </c>
      <c r="F6" s="3">
        <v>2.0224889020822401</v>
      </c>
      <c r="G6" s="3">
        <v>3.32842474523031</v>
      </c>
      <c r="H6" s="3">
        <v>4.0468711826302997</v>
      </c>
      <c r="I6" s="3">
        <v>1.23932327758256</v>
      </c>
      <c r="J6" s="3">
        <v>2.1324508119427898</v>
      </c>
      <c r="K6" s="3">
        <v>3.5658582024697898</v>
      </c>
      <c r="L6" s="3">
        <v>3.00023113365316</v>
      </c>
      <c r="M6" s="3">
        <v>4.2038214346267999</v>
      </c>
      <c r="N6" s="3">
        <v>3.6297133736869198</v>
      </c>
    </row>
    <row r="7" spans="1:14" x14ac:dyDescent="0.35">
      <c r="A7" s="2">
        <v>41943</v>
      </c>
      <c r="B7" s="3">
        <v>4.5048395410641398</v>
      </c>
      <c r="C7" s="3">
        <v>4.8244225696928398</v>
      </c>
      <c r="D7" s="3">
        <v>2.9628185389949699</v>
      </c>
      <c r="E7" s="3">
        <v>3.2665099932034498</v>
      </c>
      <c r="F7" s="3">
        <v>2.02193698969938</v>
      </c>
      <c r="G7" s="3">
        <v>3.3234686035494598</v>
      </c>
      <c r="H7" s="3">
        <v>4.0920695337017499</v>
      </c>
      <c r="I7" s="3">
        <v>1.22378485612699</v>
      </c>
      <c r="J7" s="3">
        <v>2.1065324113141402</v>
      </c>
      <c r="K7" s="3">
        <v>3.6976174728139499</v>
      </c>
      <c r="L7" s="3">
        <v>3.1016778638384199</v>
      </c>
      <c r="M7" s="3">
        <v>4.1758112454866598</v>
      </c>
      <c r="N7" s="3">
        <v>3.8600860482479802</v>
      </c>
    </row>
    <row r="8" spans="1:14" x14ac:dyDescent="0.35">
      <c r="A8" s="2">
        <v>41971</v>
      </c>
      <c r="B8" s="3">
        <v>4.5486185880208101</v>
      </c>
      <c r="C8" s="3">
        <v>5.0572975158295801</v>
      </c>
      <c r="D8" s="3">
        <v>2.9472609885354601</v>
      </c>
      <c r="E8" s="3">
        <v>3.1278909180015302</v>
      </c>
      <c r="F8" s="3">
        <v>1.94863501610075</v>
      </c>
      <c r="G8" s="3">
        <v>3.2012860785725401</v>
      </c>
      <c r="H8" s="3">
        <v>4.0343804736276896</v>
      </c>
      <c r="I8" s="3">
        <v>1.1892147806701601</v>
      </c>
      <c r="J8" s="3">
        <v>2.0700263158159098</v>
      </c>
      <c r="K8" s="3">
        <v>3.5643145231204598</v>
      </c>
      <c r="L8" s="3">
        <v>3.0176448426321798</v>
      </c>
      <c r="M8" s="3">
        <v>4.0805632087961099</v>
      </c>
      <c r="N8" s="3">
        <v>3.8747768154684898</v>
      </c>
    </row>
    <row r="9" spans="1:14" x14ac:dyDescent="0.35">
      <c r="A9" s="2">
        <v>42004</v>
      </c>
      <c r="B9" s="3">
        <v>4.4360364985371801</v>
      </c>
      <c r="C9" s="3">
        <v>4.9655492920777098</v>
      </c>
      <c r="D9" s="3">
        <v>2.9269196511515401</v>
      </c>
      <c r="E9" s="3">
        <v>3.1914897834533802</v>
      </c>
      <c r="F9" s="3">
        <v>1.96975335127454</v>
      </c>
      <c r="G9" s="3">
        <v>3.30343855307156</v>
      </c>
      <c r="H9" s="3">
        <v>4.13171988007349</v>
      </c>
      <c r="I9" s="3">
        <v>1.2052210367990099</v>
      </c>
      <c r="J9" s="3">
        <v>2.1002609350984098</v>
      </c>
      <c r="K9" s="3">
        <v>3.6305396697283498</v>
      </c>
      <c r="L9" s="3">
        <v>3.07635052922722</v>
      </c>
      <c r="M9" s="3">
        <v>4.0924420991354404</v>
      </c>
      <c r="N9" s="3">
        <v>4.08215400071101</v>
      </c>
    </row>
    <row r="10" spans="1:14" x14ac:dyDescent="0.35">
      <c r="A10" s="2">
        <v>42034</v>
      </c>
      <c r="B10" s="3">
        <v>4.3341534194523401</v>
      </c>
      <c r="C10" s="3">
        <v>4.85263383422431</v>
      </c>
      <c r="D10" s="3">
        <v>2.9582966929683998</v>
      </c>
      <c r="E10" s="3">
        <v>2.9441279703492298</v>
      </c>
      <c r="F10" s="3">
        <v>2.0059378958779299</v>
      </c>
      <c r="G10" s="3">
        <v>3.3808683677697098</v>
      </c>
      <c r="H10" s="3">
        <v>4.0742257622111797</v>
      </c>
      <c r="I10" s="3">
        <v>1.24061559788852</v>
      </c>
      <c r="J10" s="3">
        <v>2.19446282471469</v>
      </c>
      <c r="K10" s="3">
        <v>3.3695858936804699</v>
      </c>
      <c r="L10" s="3">
        <v>2.90003273270605</v>
      </c>
      <c r="M10" s="3">
        <v>3.8497100142387701</v>
      </c>
      <c r="N10" s="3">
        <v>3.7925815159902099</v>
      </c>
    </row>
    <row r="11" spans="1:14" x14ac:dyDescent="0.35">
      <c r="A11" s="2">
        <v>42062</v>
      </c>
      <c r="B11" s="3">
        <v>4.2622728581580498</v>
      </c>
      <c r="C11" s="3">
        <v>4.5482874033505203</v>
      </c>
      <c r="D11" s="3">
        <v>2.84975029796081</v>
      </c>
      <c r="E11" s="3">
        <v>2.7817321445467802</v>
      </c>
      <c r="F11" s="3">
        <v>1.87834190262488</v>
      </c>
      <c r="G11" s="3">
        <v>3.1584835698833902</v>
      </c>
      <c r="H11" s="3">
        <v>3.8845579202623099</v>
      </c>
      <c r="I11" s="3">
        <v>1.21346631716943</v>
      </c>
      <c r="J11" s="3">
        <v>2.0987376201391101</v>
      </c>
      <c r="K11" s="3">
        <v>3.12865411889008</v>
      </c>
      <c r="L11" s="3">
        <v>2.71372282178949</v>
      </c>
      <c r="M11" s="3">
        <v>3.5944542145726501</v>
      </c>
      <c r="N11" s="3">
        <v>3.4145751083191298</v>
      </c>
    </row>
    <row r="12" spans="1:14" x14ac:dyDescent="0.35">
      <c r="A12" s="2">
        <v>42094</v>
      </c>
      <c r="B12" s="3">
        <v>4.4172738232570898</v>
      </c>
      <c r="C12" s="3">
        <v>4.6029601474433504</v>
      </c>
      <c r="D12" s="3">
        <v>2.9125576699282698</v>
      </c>
      <c r="E12" s="3">
        <v>2.6840642910946402</v>
      </c>
      <c r="F12" s="3">
        <v>1.8830327915515701</v>
      </c>
      <c r="G12" s="3">
        <v>3.1510803481438501</v>
      </c>
      <c r="H12" s="3">
        <v>4.0509099223237204</v>
      </c>
      <c r="I12" s="3">
        <v>1.2760467346476301</v>
      </c>
      <c r="J12" s="3">
        <v>2.17880307138382</v>
      </c>
      <c r="K12" s="3">
        <v>3.1990148071632798</v>
      </c>
      <c r="L12" s="3">
        <v>2.6876954424552602</v>
      </c>
      <c r="M12" s="3">
        <v>3.6716508576954801</v>
      </c>
      <c r="N12" s="3">
        <v>3.1586559861900301</v>
      </c>
    </row>
    <row r="13" spans="1:14" x14ac:dyDescent="0.35">
      <c r="A13" s="2">
        <v>42124</v>
      </c>
      <c r="B13" s="3">
        <v>4.4797605062845101</v>
      </c>
      <c r="C13" s="3">
        <v>4.6690839586427497</v>
      </c>
      <c r="D13" s="3">
        <v>2.8422819015412801</v>
      </c>
      <c r="E13" s="3">
        <v>2.8574308918553299</v>
      </c>
      <c r="F13" s="3">
        <v>1.84822254893743</v>
      </c>
      <c r="G13" s="3">
        <v>3.1046197959524102</v>
      </c>
      <c r="H13" s="3">
        <v>3.8903602373712101</v>
      </c>
      <c r="I13" s="3">
        <v>1.2557294388817499</v>
      </c>
      <c r="J13" s="3">
        <v>2.1721893460853501</v>
      </c>
      <c r="K13" s="3">
        <v>3.2501947072102801</v>
      </c>
      <c r="L13" s="3">
        <v>2.7456695586334301</v>
      </c>
      <c r="M13" s="3">
        <v>3.7971528288342302</v>
      </c>
      <c r="N13" s="3">
        <v>3.1900644480268898</v>
      </c>
    </row>
    <row r="14" spans="1:14" x14ac:dyDescent="0.35">
      <c r="A14" s="2">
        <v>42153</v>
      </c>
      <c r="B14" s="3">
        <v>4.4090462867222904</v>
      </c>
      <c r="C14" s="3">
        <v>4.72128589665948</v>
      </c>
      <c r="D14" s="3">
        <v>2.9035305544884</v>
      </c>
      <c r="E14" s="3">
        <v>2.9389200999986</v>
      </c>
      <c r="F14" s="3">
        <v>1.8249837080590801</v>
      </c>
      <c r="G14" s="3">
        <v>3.1196801759720199</v>
      </c>
      <c r="H14" s="3">
        <v>3.9196285153038599</v>
      </c>
      <c r="I14" s="3">
        <v>1.2390265386463599</v>
      </c>
      <c r="J14" s="3">
        <v>2.1596182086592002</v>
      </c>
      <c r="K14" s="3">
        <v>3.2967848514561799</v>
      </c>
      <c r="L14" s="3">
        <v>2.8274940470512</v>
      </c>
      <c r="M14" s="3">
        <v>3.7927927809980102</v>
      </c>
      <c r="N14" s="3">
        <v>3.1795958859064002</v>
      </c>
    </row>
    <row r="15" spans="1:14" x14ac:dyDescent="0.35">
      <c r="A15" s="2">
        <v>42185</v>
      </c>
      <c r="B15" s="3">
        <v>4.6900794191478301</v>
      </c>
      <c r="C15" s="3">
        <v>4.9776097469342098</v>
      </c>
      <c r="D15" s="3">
        <v>3.0186372856572001</v>
      </c>
      <c r="E15" s="3">
        <v>3.0956143850888198</v>
      </c>
      <c r="F15" s="3">
        <v>1.9179485652960999</v>
      </c>
      <c r="G15" s="3">
        <v>3.28749829518841</v>
      </c>
      <c r="H15" s="3">
        <v>4.2010435721692199</v>
      </c>
      <c r="I15" s="3">
        <v>1.2710798646632899</v>
      </c>
      <c r="J15" s="3">
        <v>2.2104409052328799</v>
      </c>
      <c r="K15" s="3">
        <v>3.4559083894380498</v>
      </c>
      <c r="L15" s="3">
        <v>2.97790319327714</v>
      </c>
      <c r="M15" s="3">
        <v>4.0765133028712297</v>
      </c>
      <c r="N15" s="3">
        <v>3.3431531892975799</v>
      </c>
    </row>
    <row r="16" spans="1:14" x14ac:dyDescent="0.35">
      <c r="A16" s="2">
        <v>42216</v>
      </c>
      <c r="B16" s="3">
        <v>4.5533712011916601</v>
      </c>
      <c r="C16" s="3">
        <v>4.8021964473910099</v>
      </c>
      <c r="D16" s="3">
        <v>3.0629996926862799</v>
      </c>
      <c r="E16" s="3">
        <v>3.0122105581785901</v>
      </c>
      <c r="F16" s="3">
        <v>1.8975566776964901</v>
      </c>
      <c r="G16" s="3">
        <v>3.1022687086928</v>
      </c>
      <c r="H16" s="3">
        <v>4.0964170082160001</v>
      </c>
      <c r="I16" s="3">
        <v>1.26115963601434</v>
      </c>
      <c r="J16" s="3">
        <v>2.1873912404734499</v>
      </c>
      <c r="K16" s="3">
        <v>3.2915720318120001</v>
      </c>
      <c r="L16" s="3">
        <v>2.8900662201743001</v>
      </c>
      <c r="M16" s="3">
        <v>3.9554093087774298</v>
      </c>
      <c r="N16" s="3">
        <v>3.1165728231883199</v>
      </c>
    </row>
    <row r="17" spans="1:14" x14ac:dyDescent="0.35">
      <c r="A17" s="2">
        <v>42247</v>
      </c>
      <c r="B17" s="3">
        <v>5.1006347140331902</v>
      </c>
      <c r="C17" s="3">
        <v>5.3170894647030504</v>
      </c>
      <c r="D17" s="3">
        <v>3.1584845718002001</v>
      </c>
      <c r="E17" s="3">
        <v>3.32986262000964</v>
      </c>
      <c r="F17" s="3">
        <v>2.07492584140696</v>
      </c>
      <c r="G17" s="3">
        <v>3.3238718569866501</v>
      </c>
      <c r="H17" s="3">
        <v>4.3927587867384599</v>
      </c>
      <c r="I17" s="3">
        <v>1.3612666366039801</v>
      </c>
      <c r="J17" s="3">
        <v>2.3499131190991398</v>
      </c>
      <c r="K17" s="3">
        <v>3.6110884816282498</v>
      </c>
      <c r="L17" s="3">
        <v>3.3794629524736202</v>
      </c>
      <c r="M17" s="3">
        <v>4.2997053998013204</v>
      </c>
      <c r="N17" s="3">
        <v>3.3803856752616199</v>
      </c>
    </row>
    <row r="18" spans="1:14" x14ac:dyDescent="0.35">
      <c r="A18" s="2">
        <v>42277</v>
      </c>
      <c r="B18" s="3">
        <v>5.2958590865534196</v>
      </c>
      <c r="C18" s="3">
        <v>5.4823650557935801</v>
      </c>
      <c r="D18" s="3">
        <v>3.30475888306735</v>
      </c>
      <c r="E18" s="3">
        <v>3.4717940400743101</v>
      </c>
      <c r="F18" s="3">
        <v>2.2750726880483398</v>
      </c>
      <c r="G18" s="3">
        <v>3.4499413137053998</v>
      </c>
      <c r="H18" s="3">
        <v>4.4864191056166902</v>
      </c>
      <c r="I18" s="3">
        <v>1.3952276309360001</v>
      </c>
      <c r="J18" s="3">
        <v>2.42056136890452</v>
      </c>
      <c r="K18" s="3">
        <v>3.7604076458442899</v>
      </c>
      <c r="L18" s="3">
        <v>3.5929643831264602</v>
      </c>
      <c r="M18" s="3">
        <v>4.5800136132328104</v>
      </c>
      <c r="N18" s="3">
        <v>3.7090513272672601</v>
      </c>
    </row>
    <row r="19" spans="1:14" x14ac:dyDescent="0.35">
      <c r="A19" s="2">
        <v>42307</v>
      </c>
      <c r="B19" s="3">
        <v>4.9239741674362696</v>
      </c>
      <c r="C19" s="3">
        <v>5.2340495529272104</v>
      </c>
      <c r="D19" s="3">
        <v>3.2672166108954799</v>
      </c>
      <c r="E19" s="3">
        <v>2.9922005070834201</v>
      </c>
      <c r="F19" s="3">
        <v>2.0513541392902299</v>
      </c>
      <c r="G19" s="3">
        <v>3.2612105382981298</v>
      </c>
      <c r="H19" s="3">
        <v>4.2449180624595799</v>
      </c>
      <c r="I19" s="3">
        <v>1.27153351470829</v>
      </c>
      <c r="J19" s="3">
        <v>2.24984846935225</v>
      </c>
      <c r="K19" s="3">
        <v>3.4321060793834399</v>
      </c>
      <c r="L19" s="3">
        <v>3.2574894017875202</v>
      </c>
      <c r="M19" s="3">
        <v>4.2041751776482297</v>
      </c>
      <c r="N19" s="3">
        <v>3.5464937087541402</v>
      </c>
    </row>
    <row r="20" spans="1:14" x14ac:dyDescent="0.35">
      <c r="A20" s="2">
        <v>42338</v>
      </c>
      <c r="B20" s="3">
        <v>4.8165595250206898</v>
      </c>
      <c r="C20" s="3">
        <v>5.2805164394380002</v>
      </c>
      <c r="D20" s="3">
        <v>3.29154399448276</v>
      </c>
      <c r="E20" s="3">
        <v>2.8619461287640702</v>
      </c>
      <c r="F20" s="3">
        <v>2.0420316951087001</v>
      </c>
      <c r="G20" s="3">
        <v>3.24308670880322</v>
      </c>
      <c r="H20" s="3">
        <v>4.1987568576865</v>
      </c>
      <c r="I20" s="3">
        <v>1.2728765438827101</v>
      </c>
      <c r="J20" s="3">
        <v>2.2756992900151598</v>
      </c>
      <c r="K20" s="3">
        <v>3.3917696445146399</v>
      </c>
      <c r="L20" s="3">
        <v>3.1135991552514302</v>
      </c>
      <c r="M20" s="3">
        <v>4.08428523262456</v>
      </c>
      <c r="N20" s="3">
        <v>3.5339723164583901</v>
      </c>
    </row>
    <row r="21" spans="1:14" x14ac:dyDescent="0.35">
      <c r="A21" s="2">
        <v>42369</v>
      </c>
      <c r="B21" s="3">
        <v>4.7251598090588898</v>
      </c>
      <c r="C21" s="3">
        <v>5.0962560197721301</v>
      </c>
      <c r="D21" s="3">
        <v>3.3535405693636999</v>
      </c>
      <c r="E21" s="3">
        <v>3.0291933924976502</v>
      </c>
      <c r="F21" s="3">
        <v>2.09547306420622</v>
      </c>
      <c r="G21" s="3">
        <v>3.2704094504136698</v>
      </c>
      <c r="H21" s="3">
        <v>4.3085630194237696</v>
      </c>
      <c r="I21" s="3">
        <v>1.2599780433658301</v>
      </c>
      <c r="J21" s="3">
        <v>2.3146834111961798</v>
      </c>
      <c r="K21" s="3">
        <v>3.60193863288813</v>
      </c>
      <c r="L21" s="3">
        <v>3.1578447626867199</v>
      </c>
      <c r="M21" s="3">
        <v>4.3132758780682803</v>
      </c>
      <c r="N21" s="3">
        <v>3.8318095522954301</v>
      </c>
    </row>
    <row r="22" spans="1:14" x14ac:dyDescent="0.35">
      <c r="A22" s="2">
        <v>42398</v>
      </c>
      <c r="B22" s="3">
        <v>4.8749769776126097</v>
      </c>
      <c r="C22" s="3">
        <v>5.1648522729328796</v>
      </c>
      <c r="D22" s="3">
        <v>3.3571453370902802</v>
      </c>
      <c r="E22" s="3">
        <v>3.3447111345953102</v>
      </c>
      <c r="F22" s="3">
        <v>2.28045936184802</v>
      </c>
      <c r="G22" s="3">
        <v>3.4571379634011001</v>
      </c>
      <c r="H22" s="3">
        <v>4.4375767035048304</v>
      </c>
      <c r="I22" s="3">
        <v>1.35895408073496</v>
      </c>
      <c r="J22" s="3">
        <v>2.4518202590146898</v>
      </c>
      <c r="K22" s="3">
        <v>3.7674588931746502</v>
      </c>
      <c r="L22" s="3">
        <v>3.2205159103027499</v>
      </c>
      <c r="M22" s="3">
        <v>4.4412522612934699</v>
      </c>
      <c r="N22" s="3">
        <v>4.4017271090212997</v>
      </c>
    </row>
    <row r="23" spans="1:14" x14ac:dyDescent="0.35">
      <c r="A23" s="2">
        <v>42429</v>
      </c>
      <c r="B23" s="3">
        <v>4.8640865800991602</v>
      </c>
      <c r="C23" s="3">
        <v>5.06107515679422</v>
      </c>
      <c r="D23" s="3">
        <v>3.34256100760867</v>
      </c>
      <c r="E23" s="3">
        <v>3.4596280972554299</v>
      </c>
      <c r="F23" s="3">
        <v>2.4852714293894498</v>
      </c>
      <c r="G23" s="3">
        <v>3.5482804232108802</v>
      </c>
      <c r="H23" s="3">
        <v>4.4937864213275498</v>
      </c>
      <c r="I23" s="3">
        <v>1.4161315246833099</v>
      </c>
      <c r="J23" s="3">
        <v>2.4751977345461702</v>
      </c>
      <c r="K23" s="3">
        <v>3.82314253795407</v>
      </c>
      <c r="L23" s="3">
        <v>3.35672741714485</v>
      </c>
      <c r="M23" s="3">
        <v>4.3727232615748104</v>
      </c>
      <c r="N23" s="3">
        <v>4.5102335826743296</v>
      </c>
    </row>
    <row r="24" spans="1:14" x14ac:dyDescent="0.35">
      <c r="A24" s="2">
        <v>42460</v>
      </c>
      <c r="B24" s="3">
        <v>4.5471762776876696</v>
      </c>
      <c r="C24" s="3">
        <v>4.8402506130723699</v>
      </c>
      <c r="D24" s="3">
        <v>3.15091788784959</v>
      </c>
      <c r="E24" s="3">
        <v>3.2920261581797701</v>
      </c>
      <c r="F24" s="3">
        <v>2.3978029586995402</v>
      </c>
      <c r="G24" s="3">
        <v>3.5325324522555501</v>
      </c>
      <c r="H24" s="3">
        <v>4.3444376251925698</v>
      </c>
      <c r="I24" s="3">
        <v>1.33316585165583</v>
      </c>
      <c r="J24" s="3">
        <v>2.2917987413403398</v>
      </c>
      <c r="K24" s="3">
        <v>3.7606117342716598</v>
      </c>
      <c r="L24" s="3">
        <v>3.30194979018846</v>
      </c>
      <c r="M24" s="3">
        <v>4.3860056354559402</v>
      </c>
      <c r="N24" s="3">
        <v>4.37313529329872</v>
      </c>
    </row>
    <row r="25" spans="1:14" x14ac:dyDescent="0.35">
      <c r="A25" s="2">
        <v>42489</v>
      </c>
      <c r="B25" s="3">
        <v>4.5812516138861303</v>
      </c>
      <c r="C25" s="3">
        <v>4.6648807940130803</v>
      </c>
      <c r="D25" s="3">
        <v>3.0501492776759598</v>
      </c>
      <c r="E25" s="3">
        <v>3.2918871979604001</v>
      </c>
      <c r="F25" s="3">
        <v>2.3909478833475899</v>
      </c>
      <c r="G25" s="3">
        <v>3.5055020062550799</v>
      </c>
      <c r="H25" s="3">
        <v>4.27161646826222</v>
      </c>
      <c r="I25" s="3">
        <v>1.3909934419950101</v>
      </c>
      <c r="J25" s="3">
        <v>2.2927014117324598</v>
      </c>
      <c r="K25" s="3">
        <v>3.7235496743684799</v>
      </c>
      <c r="L25" s="3">
        <v>3.3707402030183999</v>
      </c>
      <c r="M25" s="3">
        <v>4.3614311416743101</v>
      </c>
      <c r="N25" s="3">
        <v>4.3137809107264298</v>
      </c>
    </row>
    <row r="26" spans="1:14" x14ac:dyDescent="0.35">
      <c r="A26" s="2">
        <v>42521</v>
      </c>
      <c r="B26" s="3">
        <v>4.4213504401380304</v>
      </c>
      <c r="C26" s="3">
        <v>4.5598171353830104</v>
      </c>
      <c r="D26" s="3">
        <v>3.0406949773465399</v>
      </c>
      <c r="E26" s="3">
        <v>3.2801853621405201</v>
      </c>
      <c r="F26" s="3">
        <v>2.3109309753984499</v>
      </c>
      <c r="G26" s="3">
        <v>3.4598025016982499</v>
      </c>
      <c r="H26" s="3">
        <v>4.3023099197474099</v>
      </c>
      <c r="I26" s="3">
        <v>1.34255606774123</v>
      </c>
      <c r="J26" s="3">
        <v>2.2731518026146298</v>
      </c>
      <c r="K26" s="3">
        <v>3.6837621936706002</v>
      </c>
      <c r="L26" s="3">
        <v>3.2715401917731999</v>
      </c>
      <c r="M26" s="3">
        <v>4.3734088202365999</v>
      </c>
      <c r="N26" s="3">
        <v>4.5103111234212196</v>
      </c>
    </row>
    <row r="27" spans="1:14" x14ac:dyDescent="0.35">
      <c r="A27" s="2">
        <v>42551</v>
      </c>
      <c r="B27" s="3">
        <v>4.4196713265685403</v>
      </c>
      <c r="C27" s="3">
        <v>4.6834525489327499</v>
      </c>
      <c r="D27" s="3">
        <v>3.07663352900386</v>
      </c>
      <c r="E27" s="3">
        <v>3.4888349464925001</v>
      </c>
      <c r="F27" s="3">
        <v>2.5400920742459201</v>
      </c>
      <c r="G27" s="3">
        <v>3.5511255052070299</v>
      </c>
      <c r="H27" s="3">
        <v>4.2162560430552896</v>
      </c>
      <c r="I27" s="3">
        <v>1.36448154564843</v>
      </c>
      <c r="J27" s="3">
        <v>2.2820057492631798</v>
      </c>
      <c r="K27" s="3">
        <v>3.9079517608912</v>
      </c>
      <c r="L27" s="3">
        <v>3.3446151272833702</v>
      </c>
      <c r="M27" s="3">
        <v>4.5139516406761997</v>
      </c>
      <c r="N27" s="3">
        <v>4.9898224411241197</v>
      </c>
    </row>
    <row r="28" spans="1:14" x14ac:dyDescent="0.35">
      <c r="A28" s="2">
        <v>42580</v>
      </c>
      <c r="B28" s="3">
        <v>4.1234447278457296</v>
      </c>
      <c r="C28" s="3">
        <v>4.4165776472972</v>
      </c>
      <c r="D28" s="3">
        <v>2.9722170897692499</v>
      </c>
      <c r="E28" s="3">
        <v>3.2655776493511102</v>
      </c>
      <c r="F28" s="3">
        <v>2.3805581355663201</v>
      </c>
      <c r="G28" s="3">
        <v>3.4861515138469201</v>
      </c>
      <c r="H28" s="3">
        <v>4.1193340683579498</v>
      </c>
      <c r="I28" s="3">
        <v>1.2899745804682301</v>
      </c>
      <c r="J28" s="3">
        <v>2.2123710112792101</v>
      </c>
      <c r="K28" s="3">
        <v>3.7264604024765902</v>
      </c>
      <c r="L28" s="3">
        <v>3.1980464598819198</v>
      </c>
      <c r="M28" s="3">
        <v>4.3072382295529703</v>
      </c>
      <c r="N28" s="3">
        <v>4.7596557895217</v>
      </c>
    </row>
    <row r="29" spans="1:14" x14ac:dyDescent="0.35">
      <c r="A29" s="2">
        <v>42613</v>
      </c>
      <c r="B29" s="3">
        <v>4.2089028362187504</v>
      </c>
      <c r="C29" s="3">
        <v>4.5352540322959296</v>
      </c>
      <c r="D29" s="3">
        <v>2.96565461561485</v>
      </c>
      <c r="E29" s="3">
        <v>3.1868987664268</v>
      </c>
      <c r="F29" s="3">
        <v>2.3642072044133902</v>
      </c>
      <c r="G29" s="3">
        <v>3.4648921115017499</v>
      </c>
      <c r="H29" s="3">
        <v>4.1305634738871904</v>
      </c>
      <c r="I29" s="3">
        <v>1.2889295389955999</v>
      </c>
      <c r="J29" s="3">
        <v>2.2213453651350399</v>
      </c>
      <c r="K29" s="3">
        <v>3.7410686547236498</v>
      </c>
      <c r="L29" s="3">
        <v>3.1132394183025598</v>
      </c>
      <c r="M29" s="3">
        <v>4.2295206171209898</v>
      </c>
      <c r="N29" s="3">
        <v>4.7032208469125303</v>
      </c>
    </row>
    <row r="30" spans="1:14" x14ac:dyDescent="0.35">
      <c r="A30" s="2">
        <v>42643</v>
      </c>
      <c r="B30" s="3">
        <v>4.3204043945240702</v>
      </c>
      <c r="C30" s="3">
        <v>4.5419400431494799</v>
      </c>
      <c r="D30" s="3">
        <v>2.9372466292355601</v>
      </c>
      <c r="E30" s="3">
        <v>3.17642683206914</v>
      </c>
      <c r="F30" s="3">
        <v>2.4073945232387199</v>
      </c>
      <c r="G30" s="3">
        <v>3.4921843468164</v>
      </c>
      <c r="H30" s="3">
        <v>4.1564709474935002</v>
      </c>
      <c r="I30" s="3">
        <v>1.2600437969674101</v>
      </c>
      <c r="J30" s="3">
        <v>2.2203824392172802</v>
      </c>
      <c r="K30" s="3">
        <v>3.7246319902403702</v>
      </c>
      <c r="L30" s="3">
        <v>3.1189971125853799</v>
      </c>
      <c r="M30" s="3">
        <v>4.1883276595265704</v>
      </c>
      <c r="N30" s="3">
        <v>4.9730601360768896</v>
      </c>
    </row>
    <row r="31" spans="1:14" x14ac:dyDescent="0.35">
      <c r="A31" s="2">
        <v>42674</v>
      </c>
      <c r="B31" s="3">
        <v>4.5750820494321598</v>
      </c>
      <c r="C31" s="3">
        <v>4.6524966218375097</v>
      </c>
      <c r="D31" s="3">
        <v>2.9306671963027799</v>
      </c>
      <c r="E31" s="3">
        <v>3.1500908879462401</v>
      </c>
      <c r="F31" s="3">
        <v>2.3038339709653699</v>
      </c>
      <c r="G31" s="3">
        <v>3.6346423150241001</v>
      </c>
      <c r="H31" s="3">
        <v>4.3392660683088096</v>
      </c>
      <c r="I31" s="3">
        <v>1.2896481083813101</v>
      </c>
      <c r="J31" s="3">
        <v>2.2764620987072499</v>
      </c>
      <c r="K31" s="3">
        <v>3.7325653343199598</v>
      </c>
      <c r="L31" s="3">
        <v>3.1240871771855701</v>
      </c>
      <c r="M31" s="3">
        <v>4.14527525373276</v>
      </c>
      <c r="N31" s="3">
        <v>4.7776071139673402</v>
      </c>
    </row>
    <row r="32" spans="1:14" x14ac:dyDescent="0.35">
      <c r="A32" s="2">
        <v>42704</v>
      </c>
      <c r="B32" s="3">
        <v>4.5904333565479103</v>
      </c>
      <c r="C32" s="3">
        <v>4.5918415003042004</v>
      </c>
      <c r="D32" s="3">
        <v>2.8719480044843202</v>
      </c>
      <c r="E32" s="3">
        <v>3.1853823218993602</v>
      </c>
      <c r="F32" s="3">
        <v>2.1874186137446299</v>
      </c>
      <c r="G32" s="3">
        <v>3.66232153798587</v>
      </c>
      <c r="H32" s="3">
        <v>4.42208032275476</v>
      </c>
      <c r="I32" s="3">
        <v>1.29602971682071</v>
      </c>
      <c r="J32" s="3">
        <v>2.21537787655594</v>
      </c>
      <c r="K32" s="3">
        <v>3.6700107307149201</v>
      </c>
      <c r="L32" s="3">
        <v>3.11207312350261</v>
      </c>
      <c r="M32" s="3">
        <v>4.03261146257449</v>
      </c>
      <c r="N32" s="3">
        <v>4.7662917472627102</v>
      </c>
    </row>
    <row r="33" spans="1:14" x14ac:dyDescent="0.35">
      <c r="A33" s="2">
        <v>42734</v>
      </c>
      <c r="B33" s="3">
        <v>4.6345425267272997</v>
      </c>
      <c r="C33" s="3">
        <v>4.5298092555234</v>
      </c>
      <c r="D33" s="3">
        <v>2.8484415941311401</v>
      </c>
      <c r="E33" s="3">
        <v>2.9747084897088998</v>
      </c>
      <c r="F33" s="3">
        <v>2.1245493720034498</v>
      </c>
      <c r="G33" s="3">
        <v>3.5533111966061002</v>
      </c>
      <c r="H33" s="3">
        <v>4.2715173451552699</v>
      </c>
      <c r="I33" s="3">
        <v>1.3019778294631601</v>
      </c>
      <c r="J33" s="3">
        <v>2.1885915165277599</v>
      </c>
      <c r="K33" s="3">
        <v>3.4662792695584099</v>
      </c>
      <c r="L33" s="3">
        <v>2.9618206119659001</v>
      </c>
      <c r="M33" s="3">
        <v>3.9039572492326799</v>
      </c>
      <c r="N33" s="3">
        <v>4.2957062553254302</v>
      </c>
    </row>
    <row r="34" spans="1:14" x14ac:dyDescent="0.35">
      <c r="A34" s="2">
        <v>42766</v>
      </c>
      <c r="B34" s="3">
        <v>4.5336616924136104</v>
      </c>
      <c r="C34" s="3">
        <v>4.5711935596277797</v>
      </c>
      <c r="D34" s="3">
        <v>2.83899231820656</v>
      </c>
      <c r="E34" s="3">
        <v>2.9801267688161301</v>
      </c>
      <c r="F34" s="3">
        <v>2.1483090248182801</v>
      </c>
      <c r="G34" s="3">
        <v>3.4860748971318101</v>
      </c>
      <c r="H34" s="3">
        <v>4.3296444295974199</v>
      </c>
      <c r="I34" s="3">
        <v>1.2467239421379701</v>
      </c>
      <c r="J34" s="3">
        <v>2.1687038059612602</v>
      </c>
      <c r="K34" s="3">
        <v>3.5354223966773399</v>
      </c>
      <c r="L34" s="3">
        <v>3.0048820131217999</v>
      </c>
      <c r="M34" s="3">
        <v>3.6983396814309399</v>
      </c>
      <c r="N34" s="3">
        <v>4.5188709239248999</v>
      </c>
    </row>
    <row r="35" spans="1:14" x14ac:dyDescent="0.35">
      <c r="A35" s="2">
        <v>42794</v>
      </c>
      <c r="B35" s="3">
        <v>4.6570843286458503</v>
      </c>
      <c r="C35" s="3">
        <v>4.5717486002536001</v>
      </c>
      <c r="D35" s="3">
        <v>2.88074790409572</v>
      </c>
      <c r="E35" s="3">
        <v>2.9545259643792501</v>
      </c>
      <c r="F35" s="3">
        <v>2.1610457871608602</v>
      </c>
      <c r="G35" s="3">
        <v>3.3772564752182999</v>
      </c>
      <c r="H35" s="3">
        <v>4.29897374225063</v>
      </c>
      <c r="I35" s="3">
        <v>1.2241570032387199</v>
      </c>
      <c r="J35" s="3">
        <v>2.10455079975663</v>
      </c>
      <c r="K35" s="3">
        <v>3.51220981378499</v>
      </c>
      <c r="L35" s="3">
        <v>2.8692784126197699</v>
      </c>
      <c r="M35" s="3">
        <v>3.6475444971784001</v>
      </c>
      <c r="N35" s="3">
        <v>4.3102905193014296</v>
      </c>
    </row>
    <row r="36" spans="1:14" x14ac:dyDescent="0.35">
      <c r="A36" s="2">
        <v>42825</v>
      </c>
      <c r="B36" s="3">
        <v>4.5788271005976604</v>
      </c>
      <c r="C36" s="3">
        <v>4.5046750036187104</v>
      </c>
      <c r="D36" s="3">
        <v>2.91893378364749</v>
      </c>
      <c r="E36" s="3">
        <v>2.9105466510858999</v>
      </c>
      <c r="F36" s="3">
        <v>2.2196924504373499</v>
      </c>
      <c r="G36" s="3">
        <v>3.4179919106528902</v>
      </c>
      <c r="H36" s="3">
        <v>4.3247932402000497</v>
      </c>
      <c r="I36" s="3">
        <v>1.20673171258263</v>
      </c>
      <c r="J36" s="3">
        <v>2.1146458181440702</v>
      </c>
      <c r="K36" s="3">
        <v>3.34878974588245</v>
      </c>
      <c r="L36" s="3">
        <v>2.7591827990322799</v>
      </c>
      <c r="M36" s="3">
        <v>3.6304984907617599</v>
      </c>
      <c r="N36" s="3">
        <v>3.8974900777088299</v>
      </c>
    </row>
    <row r="37" spans="1:14" x14ac:dyDescent="0.35">
      <c r="A37" s="2">
        <v>42853</v>
      </c>
      <c r="B37" s="3">
        <v>4.4583105410889097</v>
      </c>
      <c r="C37" s="3">
        <v>4.4846023936154502</v>
      </c>
      <c r="D37" s="3">
        <v>2.9357397887524201</v>
      </c>
      <c r="E37" s="3">
        <v>2.8942566420825999</v>
      </c>
      <c r="F37" s="3">
        <v>2.21407683036057</v>
      </c>
      <c r="G37" s="3">
        <v>3.3511614355480499</v>
      </c>
      <c r="H37" s="3">
        <v>4.3774034409782496</v>
      </c>
      <c r="I37" s="3">
        <v>1.18832593916955</v>
      </c>
      <c r="J37" s="3">
        <v>2.1087945955299801</v>
      </c>
      <c r="K37" s="3">
        <v>3.2620532686089598</v>
      </c>
      <c r="L37" s="3">
        <v>2.7373049631073099</v>
      </c>
      <c r="M37" s="3">
        <v>3.5413525378406199</v>
      </c>
      <c r="N37" s="3">
        <v>3.9193364196563198</v>
      </c>
    </row>
    <row r="38" spans="1:14" x14ac:dyDescent="0.35">
      <c r="A38" s="2">
        <v>42886</v>
      </c>
      <c r="B38" s="3">
        <v>4.4613604834155396</v>
      </c>
      <c r="C38" s="3">
        <v>4.66491201326183</v>
      </c>
      <c r="D38" s="3">
        <v>3.0052902496125</v>
      </c>
      <c r="E38" s="3">
        <v>2.9380873888266001</v>
      </c>
      <c r="F38" s="3">
        <v>2.20142822831657</v>
      </c>
      <c r="G38" s="3">
        <v>3.2959339662886902</v>
      </c>
      <c r="H38" s="3">
        <v>4.2282580692374596</v>
      </c>
      <c r="I38" s="3">
        <v>1.15809527439634</v>
      </c>
      <c r="J38" s="3">
        <v>2.0990388826245998</v>
      </c>
      <c r="K38" s="3">
        <v>3.25996356409299</v>
      </c>
      <c r="L38" s="3">
        <v>2.7437501027380899</v>
      </c>
      <c r="M38" s="3">
        <v>3.3690624255324901</v>
      </c>
      <c r="N38" s="3">
        <v>3.9162589555741101</v>
      </c>
    </row>
    <row r="39" spans="1:14" x14ac:dyDescent="0.35">
      <c r="A39" s="2">
        <v>42916</v>
      </c>
      <c r="B39" s="3">
        <v>4.3930742870532704</v>
      </c>
      <c r="C39" s="3">
        <v>4.6242746098921002</v>
      </c>
      <c r="D39" s="3">
        <v>3.04960316508655</v>
      </c>
      <c r="E39" s="3">
        <v>3.0356339338287999</v>
      </c>
      <c r="F39" s="3">
        <v>2.1702968793699902</v>
      </c>
      <c r="G39" s="3">
        <v>3.2884830810788501</v>
      </c>
      <c r="H39" s="3">
        <v>4.3524396324878403</v>
      </c>
      <c r="I39" s="3">
        <v>1.1996936199808199</v>
      </c>
      <c r="J39" s="3">
        <v>2.1034427098980801</v>
      </c>
      <c r="K39" s="3">
        <v>3.3889258716036101</v>
      </c>
      <c r="L39" s="3">
        <v>2.8183774724831201</v>
      </c>
      <c r="M39" s="3">
        <v>3.6086600928528498</v>
      </c>
      <c r="N39" s="3">
        <v>3.8857594673982598</v>
      </c>
    </row>
    <row r="40" spans="1:14" x14ac:dyDescent="0.35">
      <c r="A40" s="2">
        <v>42947</v>
      </c>
      <c r="B40" s="3">
        <v>4.4014910940637604</v>
      </c>
      <c r="C40" s="3">
        <v>4.5923885840701999</v>
      </c>
      <c r="D40" s="3">
        <v>3.0460247428575</v>
      </c>
      <c r="E40" s="3">
        <v>3.0944437768325601</v>
      </c>
      <c r="F40" s="3">
        <v>2.17577187114582</v>
      </c>
      <c r="G40" s="3">
        <v>3.2733464200578601</v>
      </c>
      <c r="H40" s="3">
        <v>4.28043161838196</v>
      </c>
      <c r="I40" s="3">
        <v>1.1741860514917799</v>
      </c>
      <c r="J40" s="3">
        <v>2.0858548650153401</v>
      </c>
      <c r="K40" s="3">
        <v>3.4077758053256901</v>
      </c>
      <c r="L40" s="3">
        <v>2.7691446010977998</v>
      </c>
      <c r="M40" s="3">
        <v>3.73804140896614</v>
      </c>
      <c r="N40" s="3">
        <v>3.7662205990464099</v>
      </c>
    </row>
    <row r="41" spans="1:14" x14ac:dyDescent="0.35">
      <c r="A41" s="2">
        <v>42978</v>
      </c>
      <c r="B41" s="3">
        <v>4.3186974121534698</v>
      </c>
      <c r="C41" s="3">
        <v>4.5866441773387097</v>
      </c>
      <c r="D41" s="3">
        <v>3.06025945312174</v>
      </c>
      <c r="E41" s="3">
        <v>3.15381162811267</v>
      </c>
      <c r="F41" s="3">
        <v>2.2099197284802501</v>
      </c>
      <c r="G41" s="3">
        <v>3.3307480492697001</v>
      </c>
      <c r="H41" s="3">
        <v>4.3318059023510296</v>
      </c>
      <c r="I41" s="3">
        <v>1.1599595197596699</v>
      </c>
      <c r="J41" s="3">
        <v>2.0975881708624899</v>
      </c>
      <c r="K41" s="3">
        <v>3.4255914589421299</v>
      </c>
      <c r="L41" s="3">
        <v>2.8400453742051202</v>
      </c>
      <c r="M41" s="3">
        <v>3.78014789485592</v>
      </c>
      <c r="N41" s="3">
        <v>3.7896715013795599</v>
      </c>
    </row>
    <row r="42" spans="1:14" x14ac:dyDescent="0.35">
      <c r="A42" s="2">
        <v>43007</v>
      </c>
      <c r="B42" s="3">
        <v>4.41229401725204</v>
      </c>
      <c r="C42" s="3">
        <v>4.6183537265397803</v>
      </c>
      <c r="D42" s="3">
        <v>2.98033222192467</v>
      </c>
      <c r="E42" s="3">
        <v>2.9903837523008501</v>
      </c>
      <c r="F42" s="3">
        <v>2.15654878610097</v>
      </c>
      <c r="G42" s="3">
        <v>3.26883982541692</v>
      </c>
      <c r="H42" s="3">
        <v>4.2954948853678099</v>
      </c>
      <c r="I42" s="3">
        <v>1.1627979713816099</v>
      </c>
      <c r="J42" s="3">
        <v>2.06074268842083</v>
      </c>
      <c r="K42" s="3">
        <v>3.2946530053581</v>
      </c>
      <c r="L42" s="3">
        <v>2.7883744483930801</v>
      </c>
      <c r="M42" s="3">
        <v>3.5548727791319799</v>
      </c>
      <c r="N42" s="3">
        <v>3.6756394311624199</v>
      </c>
    </row>
    <row r="43" spans="1:14" x14ac:dyDescent="0.35">
      <c r="A43" s="2">
        <v>43039</v>
      </c>
      <c r="B43" s="3">
        <v>4.3399905811926498</v>
      </c>
      <c r="C43" s="3">
        <v>4.5038915934074897</v>
      </c>
      <c r="D43" s="3">
        <v>2.9156108746954099</v>
      </c>
      <c r="E43" s="3">
        <v>2.9045210898341498</v>
      </c>
      <c r="F43" s="3">
        <v>2.06900512434258</v>
      </c>
      <c r="G43" s="3">
        <v>3.2438642657213101</v>
      </c>
      <c r="H43" s="3">
        <v>4.2892332527431902</v>
      </c>
      <c r="I43" s="3">
        <v>1.1171082287262999</v>
      </c>
      <c r="J43" s="3">
        <v>2.02936045773719</v>
      </c>
      <c r="K43" s="3">
        <v>3.2357255984706801</v>
      </c>
      <c r="L43" s="3">
        <v>2.7355568418478602</v>
      </c>
      <c r="M43" s="3">
        <v>3.51678176354259</v>
      </c>
      <c r="N43" s="3">
        <v>3.77760331125087</v>
      </c>
    </row>
    <row r="44" spans="1:14" x14ac:dyDescent="0.35">
      <c r="A44" s="2">
        <v>43069</v>
      </c>
      <c r="B44" s="3">
        <v>4.3461518107514898</v>
      </c>
      <c r="C44" s="3">
        <v>4.4860495736646397</v>
      </c>
      <c r="D44" s="3">
        <v>2.9215254548788301</v>
      </c>
      <c r="E44" s="3">
        <v>2.94062969093177</v>
      </c>
      <c r="F44" s="3">
        <v>2.0804929461346999</v>
      </c>
      <c r="G44" s="3">
        <v>3.22974021985566</v>
      </c>
      <c r="H44" s="3">
        <v>4.3876473998023302</v>
      </c>
      <c r="I44" s="3">
        <v>1.10443109229641</v>
      </c>
      <c r="J44" s="3">
        <v>1.9705167239464401</v>
      </c>
      <c r="K44" s="3">
        <v>3.3042342016377799</v>
      </c>
      <c r="L44" s="3">
        <v>2.8358794135668801</v>
      </c>
      <c r="M44" s="3">
        <v>3.6753509739822499</v>
      </c>
      <c r="N44" s="3">
        <v>3.8810476128490099</v>
      </c>
    </row>
    <row r="45" spans="1:14" x14ac:dyDescent="0.35">
      <c r="A45" s="2">
        <v>43098</v>
      </c>
      <c r="B45" s="3">
        <v>4.2012875847133504</v>
      </c>
      <c r="C45" s="3">
        <v>4.4475505847228503</v>
      </c>
      <c r="D45" s="3">
        <v>2.9076808922441102</v>
      </c>
      <c r="E45" s="3">
        <v>2.9537049579508801</v>
      </c>
      <c r="F45" s="3">
        <v>2.0587963278246701</v>
      </c>
      <c r="G45" s="3">
        <v>3.2193072494408801</v>
      </c>
      <c r="H45" s="3">
        <v>4.19117596008474</v>
      </c>
      <c r="I45" s="3">
        <v>1.1010354995756799</v>
      </c>
      <c r="J45" s="3">
        <v>1.9630925267995001</v>
      </c>
      <c r="K45" s="3">
        <v>3.32111484492617</v>
      </c>
      <c r="L45" s="3">
        <v>2.8575348401300902</v>
      </c>
      <c r="M45" s="3">
        <v>3.7743353320748398</v>
      </c>
      <c r="N45" s="3">
        <v>3.9892337312195401</v>
      </c>
    </row>
    <row r="46" spans="1:14" x14ac:dyDescent="0.35">
      <c r="A46" s="2">
        <v>43131</v>
      </c>
      <c r="B46" s="3">
        <v>4.1909003060580403</v>
      </c>
      <c r="C46" s="3">
        <v>4.5157097461266797</v>
      </c>
      <c r="D46" s="3">
        <v>2.9707304074318901</v>
      </c>
      <c r="E46" s="3">
        <v>2.93327567008674</v>
      </c>
      <c r="F46" s="3">
        <v>2.05541919281699</v>
      </c>
      <c r="G46" s="3">
        <v>3.1959776912023301</v>
      </c>
      <c r="H46" s="3">
        <v>4.2297284995842501</v>
      </c>
      <c r="I46" s="3">
        <v>1.0314430229320699</v>
      </c>
      <c r="J46" s="3">
        <v>1.8844958643469401</v>
      </c>
      <c r="K46" s="3">
        <v>3.2213925571670901</v>
      </c>
      <c r="L46" s="3">
        <v>2.8126933422263898</v>
      </c>
      <c r="M46" s="3">
        <v>3.7577973844007002</v>
      </c>
      <c r="N46" s="3">
        <v>3.7747989339866099</v>
      </c>
    </row>
    <row r="47" spans="1:14" x14ac:dyDescent="0.35">
      <c r="A47" s="2">
        <v>43159</v>
      </c>
      <c r="B47" s="3">
        <v>4.1740757223065197</v>
      </c>
      <c r="C47" s="3">
        <v>4.5913673090686302</v>
      </c>
      <c r="D47" s="3">
        <v>3.1327254725301499</v>
      </c>
      <c r="E47" s="3">
        <v>3.1277804534750402</v>
      </c>
      <c r="F47" s="3">
        <v>2.19077462782696</v>
      </c>
      <c r="G47" s="3">
        <v>3.4040176929285102</v>
      </c>
      <c r="H47" s="3">
        <v>4.6209020556063596</v>
      </c>
      <c r="I47" s="3">
        <v>1.0647944279632799</v>
      </c>
      <c r="J47" s="3">
        <v>1.98433360458719</v>
      </c>
      <c r="K47" s="3">
        <v>3.3643249511687401</v>
      </c>
      <c r="L47" s="3">
        <v>2.93299424388678</v>
      </c>
      <c r="M47" s="3">
        <v>3.83889594769335</v>
      </c>
      <c r="N47" s="3">
        <v>3.9721774657956699</v>
      </c>
    </row>
    <row r="48" spans="1:14" x14ac:dyDescent="0.35">
      <c r="A48" s="2">
        <v>43188</v>
      </c>
      <c r="B48" s="3">
        <v>4.3162273701020997</v>
      </c>
      <c r="C48" s="3">
        <v>4.8535340522634502</v>
      </c>
      <c r="D48" s="3">
        <v>3.18679481647357</v>
      </c>
      <c r="E48" s="3">
        <v>3.2471765044013199</v>
      </c>
      <c r="F48" s="3">
        <v>2.2877157808157902</v>
      </c>
      <c r="G48" s="3">
        <v>3.4985468183463899</v>
      </c>
      <c r="H48" s="3">
        <v>4.5645342727218097</v>
      </c>
      <c r="I48" s="3">
        <v>1.1216901024719499</v>
      </c>
      <c r="J48" s="3">
        <v>2.0571534030706502</v>
      </c>
      <c r="K48" s="3">
        <v>3.4649735497601002</v>
      </c>
      <c r="L48" s="3">
        <v>2.9861100704902599</v>
      </c>
      <c r="M48" s="3">
        <v>4.0373364353752201</v>
      </c>
      <c r="N48" s="3">
        <v>4.1065813019984896</v>
      </c>
    </row>
    <row r="49" spans="1:14" x14ac:dyDescent="0.35">
      <c r="A49" s="2">
        <v>43220</v>
      </c>
      <c r="B49" s="3">
        <v>4.2719974961339302</v>
      </c>
      <c r="C49" s="3">
        <v>4.7198602897285404</v>
      </c>
      <c r="D49" s="3">
        <v>3.15357641136164</v>
      </c>
      <c r="E49" s="3">
        <v>3.1583663987051902</v>
      </c>
      <c r="F49" s="3">
        <v>2.2071128362908801</v>
      </c>
      <c r="G49" s="3">
        <v>3.4648434449593699</v>
      </c>
      <c r="H49" s="3">
        <v>4.3459910619486202</v>
      </c>
      <c r="I49" s="3">
        <v>1.12858686593306</v>
      </c>
      <c r="J49" s="3">
        <v>2.0742941151889802</v>
      </c>
      <c r="K49" s="3">
        <v>3.30003068688359</v>
      </c>
      <c r="L49" s="3">
        <v>2.9315459637453198</v>
      </c>
      <c r="M49" s="3">
        <v>4.0362098325145102</v>
      </c>
      <c r="N49" s="3">
        <v>3.8931845098742799</v>
      </c>
    </row>
    <row r="50" spans="1:14" x14ac:dyDescent="0.35">
      <c r="A50" s="2">
        <v>43251</v>
      </c>
      <c r="B50" s="3">
        <v>4.2075747474885201</v>
      </c>
      <c r="C50" s="3">
        <v>4.73531609167068</v>
      </c>
      <c r="D50" s="3">
        <v>3.0822274248436301</v>
      </c>
      <c r="E50" s="3">
        <v>3.2106237824410102</v>
      </c>
      <c r="F50" s="3">
        <v>2.2810552506907502</v>
      </c>
      <c r="G50" s="3">
        <v>3.5979723140584898</v>
      </c>
      <c r="H50" s="3">
        <v>4.3375447685262696</v>
      </c>
      <c r="I50" s="3">
        <v>1.0830752223692099</v>
      </c>
      <c r="J50" s="3">
        <v>2.0436727960355099</v>
      </c>
      <c r="K50" s="3">
        <v>3.4019158279521902</v>
      </c>
      <c r="L50" s="3">
        <v>2.9376737506977699</v>
      </c>
      <c r="M50" s="3">
        <v>4.1165411945569801</v>
      </c>
      <c r="N50" s="3">
        <v>4.3928185334827896</v>
      </c>
    </row>
    <row r="51" spans="1:14" x14ac:dyDescent="0.35">
      <c r="A51" s="2">
        <v>43280</v>
      </c>
      <c r="B51" s="3">
        <v>4.0543394762179901</v>
      </c>
      <c r="C51" s="3">
        <v>4.59945664941218</v>
      </c>
      <c r="D51" s="3">
        <v>3.0673178168303399</v>
      </c>
      <c r="E51" s="3">
        <v>3.2748015672860502</v>
      </c>
      <c r="F51" s="3">
        <v>2.3030687197189601</v>
      </c>
      <c r="G51" s="3">
        <v>3.5660646339401998</v>
      </c>
      <c r="H51" s="3">
        <v>4.4032853921743698</v>
      </c>
      <c r="I51" s="3">
        <v>1.07614608708486</v>
      </c>
      <c r="J51" s="3">
        <v>2.0517248625448099</v>
      </c>
      <c r="K51" s="3">
        <v>3.4615021412047802</v>
      </c>
      <c r="L51" s="3">
        <v>2.9501358703740301</v>
      </c>
      <c r="M51" s="3">
        <v>4.1322454075147403</v>
      </c>
      <c r="N51" s="3">
        <v>4.4960884586690097</v>
      </c>
    </row>
    <row r="52" spans="1:14" x14ac:dyDescent="0.35">
      <c r="A52" s="2">
        <v>43312</v>
      </c>
      <c r="B52" s="3">
        <v>4.1065199933973</v>
      </c>
      <c r="C52" s="3">
        <v>4.5795512159933196</v>
      </c>
      <c r="D52" s="3">
        <v>3.0618818826043102</v>
      </c>
      <c r="E52" s="3">
        <v>3.1597546393742202</v>
      </c>
      <c r="F52" s="3">
        <v>2.2809060924386402</v>
      </c>
      <c r="G52" s="3">
        <v>3.3712393207422799</v>
      </c>
      <c r="H52" s="3">
        <v>4.3695876050498104</v>
      </c>
      <c r="I52" s="3">
        <v>1.10262471885249</v>
      </c>
      <c r="J52" s="3">
        <v>2.00330899085957</v>
      </c>
      <c r="K52" s="3">
        <v>3.3728246568492799</v>
      </c>
      <c r="L52" s="3">
        <v>2.8485680986598001</v>
      </c>
      <c r="M52" s="3">
        <v>4.08072062719281</v>
      </c>
      <c r="N52" s="3">
        <v>4.3170546912074004</v>
      </c>
    </row>
    <row r="53" spans="1:14" x14ac:dyDescent="0.35">
      <c r="A53" s="2">
        <v>43343</v>
      </c>
      <c r="B53" s="3">
        <v>3.8955733123540899</v>
      </c>
      <c r="C53" s="3">
        <v>4.6144316496254696</v>
      </c>
      <c r="D53" s="3">
        <v>3.12182649824625</v>
      </c>
      <c r="E53" s="3">
        <v>3.2571169349565499</v>
      </c>
      <c r="F53" s="3">
        <v>2.3170207298104901</v>
      </c>
      <c r="G53" s="3">
        <v>3.41830060980553</v>
      </c>
      <c r="H53" s="3">
        <v>4.5766306421934999</v>
      </c>
      <c r="I53" s="3">
        <v>1.05046082475478</v>
      </c>
      <c r="J53" s="3">
        <v>1.95551789133049</v>
      </c>
      <c r="K53" s="3">
        <v>3.4550461231607899</v>
      </c>
      <c r="L53" s="3">
        <v>2.9031838112027</v>
      </c>
      <c r="M53" s="3">
        <v>4.0194639263428904</v>
      </c>
      <c r="N53" s="3">
        <v>4.7677066505411503</v>
      </c>
    </row>
    <row r="54" spans="1:14" x14ac:dyDescent="0.35">
      <c r="A54" s="2">
        <v>43371</v>
      </c>
      <c r="B54" s="3">
        <v>3.9790071615836902</v>
      </c>
      <c r="C54" s="3">
        <v>4.7403585566426498</v>
      </c>
      <c r="D54" s="3">
        <v>3.1739828708695099</v>
      </c>
      <c r="E54" s="3">
        <v>3.3237076338273401</v>
      </c>
      <c r="F54" s="3">
        <v>2.2179232548042198</v>
      </c>
      <c r="G54" s="3">
        <v>3.4054765669637499</v>
      </c>
      <c r="H54" s="3">
        <v>4.5154571448665797</v>
      </c>
      <c r="I54" s="3">
        <v>1.0602033805061699</v>
      </c>
      <c r="J54" s="3">
        <v>1.9559818886590601</v>
      </c>
      <c r="K54" s="3">
        <v>3.4305747130456101</v>
      </c>
      <c r="L54" s="3">
        <v>3.0145756462442299</v>
      </c>
      <c r="M54" s="3">
        <v>4.02562062467823</v>
      </c>
      <c r="N54" s="3">
        <v>4.7003702892116204</v>
      </c>
    </row>
    <row r="55" spans="1:14" x14ac:dyDescent="0.35">
      <c r="A55" s="2">
        <v>43404</v>
      </c>
      <c r="B55" s="3">
        <v>4.2861412935281002</v>
      </c>
      <c r="C55" s="3">
        <v>5.0594604835032797</v>
      </c>
      <c r="D55" s="3">
        <v>3.4053742531408302</v>
      </c>
      <c r="E55" s="3">
        <v>3.6160659450187</v>
      </c>
      <c r="F55" s="3">
        <v>2.4603584213216698</v>
      </c>
      <c r="G55" s="3">
        <v>3.4968404337813799</v>
      </c>
      <c r="H55" s="3">
        <v>4.8398511842509597</v>
      </c>
      <c r="I55" s="3">
        <v>1.18137614513665</v>
      </c>
      <c r="J55" s="3">
        <v>2.1092352246179602</v>
      </c>
      <c r="K55" s="3">
        <v>3.7165949001896799</v>
      </c>
      <c r="L55" s="3">
        <v>3.2075618933975498</v>
      </c>
      <c r="M55" s="3">
        <v>4.3532825603655301</v>
      </c>
      <c r="N55" s="3">
        <v>5.1100411409710897</v>
      </c>
    </row>
    <row r="56" spans="1:14" x14ac:dyDescent="0.35">
      <c r="A56" s="2">
        <v>43434</v>
      </c>
      <c r="B56" s="3">
        <v>4.2583297606439601</v>
      </c>
      <c r="C56" s="3">
        <v>5.3200852787218897</v>
      </c>
      <c r="D56" s="3">
        <v>3.3901634773764102</v>
      </c>
      <c r="E56" s="3">
        <v>3.6842650803122599</v>
      </c>
      <c r="F56" s="3">
        <v>2.4659727340486501</v>
      </c>
      <c r="G56" s="3">
        <v>3.52407662738803</v>
      </c>
      <c r="H56" s="3">
        <v>4.9792438680833202</v>
      </c>
      <c r="I56" s="3">
        <v>1.19016442416278</v>
      </c>
      <c r="J56" s="3">
        <v>2.0866905037172701</v>
      </c>
      <c r="K56" s="3">
        <v>3.7944627858353801</v>
      </c>
      <c r="L56" s="3">
        <v>3.2258754723323602</v>
      </c>
      <c r="M56" s="3">
        <v>4.46122081358196</v>
      </c>
      <c r="N56" s="3">
        <v>5.1195146614828904</v>
      </c>
    </row>
    <row r="57" spans="1:14" x14ac:dyDescent="0.35">
      <c r="A57" s="2">
        <v>43465</v>
      </c>
      <c r="B57" s="3">
        <v>4.1806124038384702</v>
      </c>
      <c r="C57" s="3">
        <v>5.3602979038162299</v>
      </c>
      <c r="D57" s="3">
        <v>3.5898014476029898</v>
      </c>
      <c r="E57" s="3">
        <v>3.97098544891004</v>
      </c>
      <c r="F57" s="3">
        <v>2.75200807077962</v>
      </c>
      <c r="G57" s="3">
        <v>3.7055029764154299</v>
      </c>
      <c r="H57" s="3">
        <v>5.3422103242973096</v>
      </c>
      <c r="I57" s="3">
        <v>1.3289676621306299</v>
      </c>
      <c r="J57" s="3">
        <v>2.3197563308836799</v>
      </c>
      <c r="K57" s="3">
        <v>4.0055185201309298</v>
      </c>
      <c r="L57" s="3">
        <v>3.4613794049885702</v>
      </c>
      <c r="M57" s="3">
        <v>4.73856562537439</v>
      </c>
      <c r="N57" s="3">
        <v>5.4595933028088401</v>
      </c>
    </row>
    <row r="58" spans="1:14" x14ac:dyDescent="0.35">
      <c r="A58" s="2">
        <v>43496</v>
      </c>
      <c r="B58" s="3">
        <v>4.1045755782805999</v>
      </c>
      <c r="C58" s="3">
        <v>5.1092226010264801</v>
      </c>
      <c r="D58" s="3">
        <v>3.3368724573147701</v>
      </c>
      <c r="E58" s="3">
        <v>3.72188199970156</v>
      </c>
      <c r="F58" s="3">
        <v>2.6322347995633302</v>
      </c>
      <c r="G58" s="3">
        <v>3.4640731665133799</v>
      </c>
      <c r="H58" s="3">
        <v>5.0738454538795796</v>
      </c>
      <c r="I58" s="3">
        <v>1.2185788016180901</v>
      </c>
      <c r="J58" s="3">
        <v>2.1610226431710502</v>
      </c>
      <c r="K58" s="3">
        <v>3.7956893346375402</v>
      </c>
      <c r="L58" s="3">
        <v>3.2810186481299999</v>
      </c>
      <c r="M58" s="3">
        <v>4.3512053441338496</v>
      </c>
      <c r="N58" s="3">
        <v>5.0802743940806598</v>
      </c>
    </row>
    <row r="59" spans="1:14" x14ac:dyDescent="0.35">
      <c r="A59" s="2">
        <v>43524</v>
      </c>
      <c r="B59" s="3">
        <v>3.9616058386614301</v>
      </c>
      <c r="C59" s="3">
        <v>4.9227392654131101</v>
      </c>
      <c r="D59" s="3">
        <v>3.2770263014159302</v>
      </c>
      <c r="E59" s="3">
        <v>3.61231623795558</v>
      </c>
      <c r="F59" s="3">
        <v>2.5699106192148902</v>
      </c>
      <c r="G59" s="3">
        <v>3.33618169851596</v>
      </c>
      <c r="H59" s="3">
        <v>4.9737746688661399</v>
      </c>
      <c r="I59" s="3">
        <v>1.17801506593521</v>
      </c>
      <c r="J59" s="3">
        <v>2.1075996348026198</v>
      </c>
      <c r="K59" s="3">
        <v>3.6380608075462599</v>
      </c>
      <c r="L59" s="3">
        <v>3.12172646058908</v>
      </c>
      <c r="M59" s="3">
        <v>4.1638293328810798</v>
      </c>
      <c r="N59" s="3">
        <v>4.8199035571211697</v>
      </c>
    </row>
    <row r="60" spans="1:14" x14ac:dyDescent="0.35">
      <c r="A60" s="2">
        <v>43553</v>
      </c>
      <c r="B60" s="3">
        <v>3.76110018677953</v>
      </c>
      <c r="C60" s="3">
        <v>4.9524511154442301</v>
      </c>
      <c r="D60" s="3">
        <v>3.2818332523632701</v>
      </c>
      <c r="E60" s="3">
        <v>3.6185932536930401</v>
      </c>
      <c r="F60" s="3">
        <v>2.6003270897329598</v>
      </c>
      <c r="G60" s="3">
        <v>3.32452480499752</v>
      </c>
      <c r="H60" s="3">
        <v>4.9154337532770098</v>
      </c>
      <c r="I60" s="3">
        <v>1.1388545482172601</v>
      </c>
      <c r="J60" s="3">
        <v>2.0859444879951599</v>
      </c>
      <c r="K60" s="3">
        <v>3.6071405135291799</v>
      </c>
      <c r="L60" s="3">
        <v>3.0568017213714702</v>
      </c>
      <c r="M60" s="3">
        <v>4.2141848954455901</v>
      </c>
      <c r="N60" s="3">
        <v>4.6725905264848704</v>
      </c>
    </row>
    <row r="61" spans="1:14" x14ac:dyDescent="0.35">
      <c r="A61" s="2">
        <v>43585</v>
      </c>
      <c r="B61" s="3">
        <v>3.6828874794018098</v>
      </c>
      <c r="C61" s="3">
        <v>4.8984822234473899</v>
      </c>
      <c r="D61" s="3">
        <v>3.1914358482100198</v>
      </c>
      <c r="E61" s="3">
        <v>3.3906029931007602</v>
      </c>
      <c r="F61" s="3">
        <v>2.5664890920810199</v>
      </c>
      <c r="G61" s="3">
        <v>3.24673140905875</v>
      </c>
      <c r="H61" s="3">
        <v>4.8421964102625701</v>
      </c>
      <c r="I61" s="3">
        <v>1.0937461527128201</v>
      </c>
      <c r="J61" s="3">
        <v>2.02603420393325</v>
      </c>
      <c r="K61" s="3">
        <v>3.4688474317488298</v>
      </c>
      <c r="L61" s="3">
        <v>2.94643803110618</v>
      </c>
      <c r="M61" s="3">
        <v>4.0132527845700903</v>
      </c>
      <c r="N61" s="3">
        <v>4.6048876609400402</v>
      </c>
    </row>
    <row r="62" spans="1:14" x14ac:dyDescent="0.35">
      <c r="A62" s="2">
        <v>43616</v>
      </c>
      <c r="B62" s="3">
        <v>3.7079068324885398</v>
      </c>
      <c r="C62" s="3">
        <v>4.8459923579360398</v>
      </c>
      <c r="D62" s="3">
        <v>3.38181444492034</v>
      </c>
      <c r="E62" s="3">
        <v>3.65168275655261</v>
      </c>
      <c r="F62" s="3">
        <v>2.7537457799284399</v>
      </c>
      <c r="G62" s="3">
        <v>3.3445579813944999</v>
      </c>
      <c r="H62" s="3">
        <v>4.9517727205686404</v>
      </c>
      <c r="I62" s="3">
        <v>1.20013896593598</v>
      </c>
      <c r="J62" s="3">
        <v>2.1778423783163499</v>
      </c>
      <c r="K62" s="3">
        <v>3.7272409358984602</v>
      </c>
      <c r="L62" s="3">
        <v>3.17470130173706</v>
      </c>
      <c r="M62" s="3">
        <v>4.4400687449655498</v>
      </c>
      <c r="N62" s="3">
        <v>5.1591103569568997</v>
      </c>
    </row>
    <row r="63" spans="1:14" x14ac:dyDescent="0.35">
      <c r="A63" s="2">
        <v>43644</v>
      </c>
      <c r="B63" s="3">
        <v>3.5627527194666202</v>
      </c>
      <c r="C63" s="3">
        <v>4.6113391783872704</v>
      </c>
      <c r="D63" s="3">
        <v>3.3189763170187798</v>
      </c>
      <c r="E63" s="3">
        <v>3.4877083234996298</v>
      </c>
      <c r="F63" s="3">
        <v>2.6833900384281799</v>
      </c>
      <c r="G63" s="3">
        <v>3.2094560194669501</v>
      </c>
      <c r="H63" s="3">
        <v>4.7744317797505103</v>
      </c>
      <c r="I63" s="3">
        <v>1.1141338537340999</v>
      </c>
      <c r="J63" s="3">
        <v>2.0481600886897602</v>
      </c>
      <c r="K63" s="3">
        <v>3.5258989526078</v>
      </c>
      <c r="L63" s="3">
        <v>3.0076913272503298</v>
      </c>
      <c r="M63" s="3">
        <v>4.1685582031502397</v>
      </c>
      <c r="N63" s="3">
        <v>4.8405653192291798</v>
      </c>
    </row>
    <row r="64" spans="1:14" x14ac:dyDescent="0.35">
      <c r="A64" s="2">
        <v>43677</v>
      </c>
      <c r="B64" s="3">
        <v>3.4078684275330899</v>
      </c>
      <c r="C64" s="3">
        <v>4.51610995562603</v>
      </c>
      <c r="D64" s="3">
        <v>3.34763198437027</v>
      </c>
      <c r="E64" s="3">
        <v>3.4610946860116401</v>
      </c>
      <c r="F64" s="3">
        <v>2.6691135685891698</v>
      </c>
      <c r="G64" s="3">
        <v>3.2249129011446902</v>
      </c>
      <c r="H64" s="3">
        <v>4.7855169139562399</v>
      </c>
      <c r="I64" s="3">
        <v>1.09360104112937</v>
      </c>
      <c r="J64" s="3">
        <v>2.0328028888272698</v>
      </c>
      <c r="K64" s="3">
        <v>3.5595368830589398</v>
      </c>
      <c r="L64" s="3">
        <v>2.9069097860172501</v>
      </c>
      <c r="M64" s="3">
        <v>4.0648019392941599</v>
      </c>
      <c r="N64" s="3">
        <v>4.8247262694303297</v>
      </c>
    </row>
    <row r="65" spans="1:14" x14ac:dyDescent="0.35">
      <c r="A65" s="2">
        <v>43706</v>
      </c>
      <c r="B65" s="3">
        <v>3.4330047886438502</v>
      </c>
      <c r="C65" s="3">
        <v>4.6717509805867197</v>
      </c>
      <c r="D65" s="3">
        <v>3.3921347942993099</v>
      </c>
      <c r="E65" s="3">
        <v>3.55231236928533</v>
      </c>
      <c r="F65" s="3">
        <v>2.7888807772651401</v>
      </c>
      <c r="G65" s="3">
        <v>3.24884662076499</v>
      </c>
      <c r="H65" s="3">
        <v>5.0767104704433699</v>
      </c>
      <c r="I65" s="3">
        <v>1.1176635984140599</v>
      </c>
      <c r="J65" s="3">
        <v>2.0806323113479301</v>
      </c>
      <c r="K65" s="3">
        <v>3.6014143070451499</v>
      </c>
      <c r="L65" s="3">
        <v>2.9689649740651398</v>
      </c>
      <c r="M65" s="3">
        <v>4.2181008846220003</v>
      </c>
      <c r="N65" s="3">
        <v>4.8686967795552203</v>
      </c>
    </row>
    <row r="66" spans="1:14" x14ac:dyDescent="0.35">
      <c r="A66" s="2">
        <v>43738</v>
      </c>
      <c r="B66" s="3">
        <v>3.3499496515249798</v>
      </c>
      <c r="C66" s="3">
        <v>4.4501936604433103</v>
      </c>
      <c r="D66" s="3">
        <v>3.3296580269939899</v>
      </c>
      <c r="E66" s="3">
        <v>3.3949435108180399</v>
      </c>
      <c r="F66" s="3">
        <v>2.6240032305167902</v>
      </c>
      <c r="G66" s="3">
        <v>3.2024162259939</v>
      </c>
      <c r="H66" s="3">
        <v>4.8743088946792898</v>
      </c>
      <c r="I66" s="3">
        <v>1.1145873257896399</v>
      </c>
      <c r="J66" s="3">
        <v>2.0517922099748902</v>
      </c>
      <c r="K66" s="3">
        <v>3.4908748282743098</v>
      </c>
      <c r="L66" s="3">
        <v>2.7315742419348799</v>
      </c>
      <c r="M66" s="3">
        <v>3.9041589626020001</v>
      </c>
      <c r="N66" s="3">
        <v>4.7261194904200199</v>
      </c>
    </row>
    <row r="67" spans="1:14" x14ac:dyDescent="0.35">
      <c r="A67" s="2">
        <v>43769</v>
      </c>
      <c r="B67" s="3">
        <v>3.3770691050955901</v>
      </c>
      <c r="C67" s="3">
        <v>4.4089568552619296</v>
      </c>
      <c r="D67" s="3">
        <v>3.3624194970239101</v>
      </c>
      <c r="E67" s="3">
        <v>3.28757913794955</v>
      </c>
      <c r="F67" s="3">
        <v>2.51369814638602</v>
      </c>
      <c r="G67" s="3">
        <v>3.1546155415941</v>
      </c>
      <c r="H67" s="3">
        <v>4.842679749387</v>
      </c>
      <c r="I67" s="3">
        <v>1.0839244847990901</v>
      </c>
      <c r="J67" s="3">
        <v>2.0292332501066701</v>
      </c>
      <c r="K67" s="3">
        <v>3.4509699613915101</v>
      </c>
      <c r="L67" s="3">
        <v>2.7590637566556202</v>
      </c>
      <c r="M67" s="3">
        <v>3.7358797377625699</v>
      </c>
      <c r="N67" s="3">
        <v>4.6483236550908202</v>
      </c>
    </row>
    <row r="68" spans="1:14" x14ac:dyDescent="0.35">
      <c r="A68" s="2">
        <v>43798</v>
      </c>
      <c r="B68" s="3">
        <v>3.2207020614311102</v>
      </c>
      <c r="C68" s="3">
        <v>4.2750688237062002</v>
      </c>
      <c r="D68" s="3">
        <v>3.2468804623583098</v>
      </c>
      <c r="E68" s="3">
        <v>3.0971551440738501</v>
      </c>
      <c r="F68" s="3">
        <v>2.4670356490112901</v>
      </c>
      <c r="G68" s="3">
        <v>3.0975673393248302</v>
      </c>
      <c r="H68" s="3">
        <v>4.7373528617052596</v>
      </c>
      <c r="I68" s="3">
        <v>1.0716901299877399</v>
      </c>
      <c r="J68" s="3">
        <v>1.9756997964163201</v>
      </c>
      <c r="K68" s="3">
        <v>3.37893160974465</v>
      </c>
      <c r="L68" s="3">
        <v>2.65154040471967</v>
      </c>
      <c r="M68" s="3">
        <v>3.7143828724585499</v>
      </c>
      <c r="N68" s="3">
        <v>4.56961812429887</v>
      </c>
    </row>
    <row r="69" spans="1:14" x14ac:dyDescent="0.35">
      <c r="A69" s="2">
        <v>43830</v>
      </c>
      <c r="B69" s="3">
        <v>3.1803686260389998</v>
      </c>
      <c r="C69" s="3">
        <v>4.30780774994785</v>
      </c>
      <c r="D69" s="3">
        <v>3.2635605689941798</v>
      </c>
      <c r="E69" s="3">
        <v>3.1013898502386499</v>
      </c>
      <c r="F69" s="3">
        <v>2.4440337700163699</v>
      </c>
      <c r="G69" s="3">
        <v>3.0432891491554299</v>
      </c>
      <c r="H69" s="3">
        <v>4.5626678613255303</v>
      </c>
      <c r="I69" s="3">
        <v>1.04767821188653</v>
      </c>
      <c r="J69" s="3">
        <v>1.93350465659419</v>
      </c>
      <c r="K69" s="3">
        <v>3.3524575683480302</v>
      </c>
      <c r="L69" s="3">
        <v>2.6001811857736601</v>
      </c>
      <c r="M69" s="3">
        <v>3.62646329948458</v>
      </c>
      <c r="N69" s="3">
        <v>4.49658699383727</v>
      </c>
    </row>
    <row r="70" spans="1:14" x14ac:dyDescent="0.35">
      <c r="A70" s="2">
        <v>43861</v>
      </c>
      <c r="B70" s="3">
        <v>3.10302790525696</v>
      </c>
      <c r="C70" s="3">
        <v>4.1711082845887004</v>
      </c>
      <c r="D70" s="3">
        <v>3.28104813208701</v>
      </c>
      <c r="E70" s="3">
        <v>3.1616567148522901</v>
      </c>
      <c r="F70" s="3">
        <v>2.4970799652540601</v>
      </c>
      <c r="G70" s="3">
        <v>3.02734981477521</v>
      </c>
      <c r="H70" s="3">
        <v>4.7388175197732103</v>
      </c>
      <c r="I70" s="3">
        <v>1.02349312664834</v>
      </c>
      <c r="J70" s="3">
        <v>1.9520299270353101</v>
      </c>
      <c r="K70" s="3">
        <v>3.4330016179013998</v>
      </c>
      <c r="L70" s="3">
        <v>2.6842422291951502</v>
      </c>
      <c r="M70" s="3">
        <v>3.6293863306958198</v>
      </c>
      <c r="N70" s="3">
        <v>4.6011370865805299</v>
      </c>
    </row>
    <row r="71" spans="1:14" x14ac:dyDescent="0.35">
      <c r="A71" s="2">
        <v>43889</v>
      </c>
      <c r="B71" s="3">
        <v>3.1699334584336198</v>
      </c>
      <c r="C71" s="3">
        <v>4.4946242762451103</v>
      </c>
      <c r="D71" s="3">
        <v>3.5456181912962199</v>
      </c>
      <c r="E71" s="3">
        <v>3.4328000594677799</v>
      </c>
      <c r="F71" s="3">
        <v>2.7616977184379801</v>
      </c>
      <c r="G71" s="3">
        <v>3.3026211798255098</v>
      </c>
      <c r="H71" s="3">
        <v>5.3263672122056596</v>
      </c>
      <c r="I71" s="3">
        <v>1.0935728999838099</v>
      </c>
      <c r="J71" s="3">
        <v>2.1457295024268999</v>
      </c>
      <c r="K71" s="3">
        <v>3.7278208747997601</v>
      </c>
      <c r="L71" s="3">
        <v>2.8703219753556901</v>
      </c>
      <c r="M71" s="3">
        <v>3.83213371744875</v>
      </c>
      <c r="N71" s="3">
        <v>5.0087033729094204</v>
      </c>
    </row>
    <row r="72" spans="1:14" x14ac:dyDescent="0.35">
      <c r="A72" s="2">
        <v>43921</v>
      </c>
      <c r="B72" s="3">
        <v>3.3300333738297301</v>
      </c>
      <c r="C72" s="3">
        <v>5.2341534429209</v>
      </c>
      <c r="D72" s="3">
        <v>4.2842646446520902</v>
      </c>
      <c r="E72" s="3">
        <v>3.9231984746906599</v>
      </c>
      <c r="F72" s="3">
        <v>2.9808604587440501</v>
      </c>
      <c r="G72" s="3">
        <v>3.4991111295970101</v>
      </c>
      <c r="H72" s="3">
        <v>6.1034258946212496</v>
      </c>
      <c r="I72" s="3">
        <v>1.18850241001459</v>
      </c>
      <c r="J72" s="3">
        <v>2.4331517264870302</v>
      </c>
      <c r="K72" s="3">
        <v>4.3060754394827701</v>
      </c>
      <c r="L72" s="3">
        <v>3.28144530517435</v>
      </c>
      <c r="M72" s="3">
        <v>4.0909606499863296</v>
      </c>
      <c r="N72" s="3">
        <v>6.21984132999805</v>
      </c>
    </row>
    <row r="73" spans="1:14" x14ac:dyDescent="0.35">
      <c r="A73" s="2">
        <v>43951</v>
      </c>
      <c r="B73" s="3">
        <v>2.6896251848086798</v>
      </c>
      <c r="C73" s="3">
        <v>3.8592947966490101</v>
      </c>
      <c r="D73" s="3">
        <v>3.8659987550239401</v>
      </c>
      <c r="E73" s="3">
        <v>3.3529071201248302</v>
      </c>
      <c r="F73" s="3">
        <v>2.7986011193092599</v>
      </c>
      <c r="G73" s="3">
        <v>3.2764318503397898</v>
      </c>
      <c r="H73" s="3">
        <v>5.1204865291424797</v>
      </c>
      <c r="I73" s="3">
        <v>1.0187257107663701</v>
      </c>
      <c r="J73" s="3">
        <v>2.1026841905679099</v>
      </c>
      <c r="K73" s="3">
        <v>3.5431279078279099</v>
      </c>
      <c r="L73" s="3">
        <v>2.7022135035147001</v>
      </c>
      <c r="M73" s="3">
        <v>3.29314453267689</v>
      </c>
      <c r="N73" s="3">
        <v>5.2821705506207302</v>
      </c>
    </row>
    <row r="74" spans="1:14" x14ac:dyDescent="0.35">
      <c r="A74" s="2">
        <v>43980</v>
      </c>
      <c r="B74" s="3">
        <v>2.49348548155558</v>
      </c>
      <c r="C74" s="3">
        <v>3.5909562041120302</v>
      </c>
      <c r="D74" s="3">
        <v>3.6480131963348601</v>
      </c>
      <c r="E74" s="3">
        <v>3.1222206383884301</v>
      </c>
      <c r="F74" s="3">
        <v>2.57904795304876</v>
      </c>
      <c r="G74" s="3">
        <v>3.1601984869784601</v>
      </c>
      <c r="H74" s="3">
        <v>4.19123239090501</v>
      </c>
      <c r="I74" s="3">
        <v>0.95045988971666895</v>
      </c>
      <c r="J74" s="3">
        <v>1.9831713154186601</v>
      </c>
      <c r="K74" s="3">
        <v>3.3247358146188</v>
      </c>
      <c r="L74" s="3">
        <v>2.47985800973676</v>
      </c>
      <c r="M74" s="3">
        <v>3.1611463559541302</v>
      </c>
      <c r="N74" s="3">
        <v>4.6430822115533799</v>
      </c>
    </row>
    <row r="75" spans="1:14" x14ac:dyDescent="0.35">
      <c r="A75" s="2">
        <v>44012</v>
      </c>
      <c r="B75" s="3">
        <v>2.4807067962226199</v>
      </c>
      <c r="C75" s="3">
        <v>3.4673596390163701</v>
      </c>
      <c r="D75" s="3">
        <v>3.5507093742834499</v>
      </c>
      <c r="E75" s="3">
        <v>2.9309370296955501</v>
      </c>
      <c r="F75" s="3">
        <v>2.5157701134907802</v>
      </c>
      <c r="G75" s="3">
        <v>3.0854588420112798</v>
      </c>
      <c r="H75" s="3">
        <v>4.1584328607447603</v>
      </c>
      <c r="I75" s="3">
        <v>0.89416614597188904</v>
      </c>
      <c r="J75" s="3">
        <v>1.93525385169332</v>
      </c>
      <c r="K75" s="3">
        <v>3.15997145716439</v>
      </c>
      <c r="L75" s="3">
        <v>2.3777641301112098</v>
      </c>
      <c r="M75" s="3">
        <v>3.06954270042031</v>
      </c>
      <c r="N75" s="3">
        <v>4.3715594338989803</v>
      </c>
    </row>
    <row r="76" spans="1:14" x14ac:dyDescent="0.35">
      <c r="A76" s="2">
        <v>44043</v>
      </c>
      <c r="B76" s="3">
        <v>2.3984369714194198</v>
      </c>
      <c r="C76" s="3">
        <v>3.42710956751037</v>
      </c>
      <c r="D76" s="3">
        <v>3.4245644850280401</v>
      </c>
      <c r="E76" s="3">
        <v>2.9375956752617598</v>
      </c>
      <c r="F76" s="3">
        <v>2.6044037505621001</v>
      </c>
      <c r="G76" s="3">
        <v>3.0201964561597299</v>
      </c>
      <c r="H76" s="3">
        <v>4.1556300454987198</v>
      </c>
      <c r="I76" s="3">
        <v>0.83527683209541703</v>
      </c>
      <c r="J76" s="3">
        <v>1.8178845165109201</v>
      </c>
      <c r="K76" s="3">
        <v>3.23491884614065</v>
      </c>
      <c r="L76" s="3">
        <v>2.4204340590187701</v>
      </c>
      <c r="M76" s="3">
        <v>3.0772020397497899</v>
      </c>
      <c r="N76" s="3">
        <v>4.0651578393272603</v>
      </c>
    </row>
    <row r="77" spans="1:14" x14ac:dyDescent="0.35">
      <c r="A77" s="2">
        <v>44074</v>
      </c>
      <c r="B77" s="3">
        <v>2.3259965713647999</v>
      </c>
      <c r="C77" s="3">
        <v>3.4016949057253498</v>
      </c>
      <c r="D77" s="3">
        <v>3.3495369492717302</v>
      </c>
      <c r="E77" s="3">
        <v>2.82165533252551</v>
      </c>
      <c r="F77" s="3">
        <v>2.3776570067691898</v>
      </c>
      <c r="G77" s="3">
        <v>2.9514096627465598</v>
      </c>
      <c r="H77" s="3">
        <v>4.0327116281690802</v>
      </c>
      <c r="I77" s="3">
        <v>0.75265465119119901</v>
      </c>
      <c r="J77" s="3">
        <v>1.7038217925532899</v>
      </c>
      <c r="K77" s="3">
        <v>3.1480250699339498</v>
      </c>
      <c r="L77" s="3">
        <v>2.3282080011106401</v>
      </c>
      <c r="M77" s="3">
        <v>3.0240974643515299</v>
      </c>
      <c r="N77" s="3">
        <v>4.0480132917696903</v>
      </c>
    </row>
    <row r="78" spans="1:14" x14ac:dyDescent="0.35">
      <c r="A78" s="2">
        <v>44104</v>
      </c>
      <c r="B78" s="3">
        <v>2.46760240719835</v>
      </c>
      <c r="C78" s="3">
        <v>3.7044954585422101</v>
      </c>
      <c r="D78" s="3">
        <v>3.4515588667373902</v>
      </c>
      <c r="E78" s="3">
        <v>2.8667492777789398</v>
      </c>
      <c r="F78" s="3">
        <v>2.3944699306876598</v>
      </c>
      <c r="G78" s="3">
        <v>2.9728021396337598</v>
      </c>
      <c r="H78" s="3">
        <v>4.2342973917501201</v>
      </c>
      <c r="I78" s="3">
        <v>0.80100463107368802</v>
      </c>
      <c r="J78" s="3">
        <v>1.7733741405716199</v>
      </c>
      <c r="K78" s="3">
        <v>3.28898769296717</v>
      </c>
      <c r="L78" s="3">
        <v>2.3606855526196999</v>
      </c>
      <c r="M78" s="3">
        <v>3.0056874506965601</v>
      </c>
      <c r="N78" s="3">
        <v>4.2018856298002802</v>
      </c>
    </row>
    <row r="79" spans="1:14" x14ac:dyDescent="0.35">
      <c r="A79" s="2">
        <v>44134</v>
      </c>
      <c r="B79" s="3">
        <v>2.4369376400744098</v>
      </c>
      <c r="C79" s="3">
        <v>3.7867418114267601</v>
      </c>
      <c r="D79" s="3">
        <v>3.5502529750157601</v>
      </c>
      <c r="E79" s="3">
        <v>3.1821038630237699</v>
      </c>
      <c r="F79" s="3">
        <v>2.4666023138244801</v>
      </c>
      <c r="G79" s="3">
        <v>3.15198115057443</v>
      </c>
      <c r="H79" s="3">
        <v>4.5919001690055401</v>
      </c>
      <c r="I79" s="3">
        <v>0.83816030033054501</v>
      </c>
      <c r="J79" s="3">
        <v>1.8328823610332301</v>
      </c>
      <c r="K79" s="3">
        <v>3.44528026932278</v>
      </c>
      <c r="L79" s="3">
        <v>2.41361595395544</v>
      </c>
      <c r="M79" s="3">
        <v>3.3300698234577499</v>
      </c>
      <c r="N79" s="3">
        <v>4.5602862639487602</v>
      </c>
    </row>
    <row r="80" spans="1:14" x14ac:dyDescent="0.35">
      <c r="A80" s="2">
        <v>44165</v>
      </c>
      <c r="B80" s="3">
        <v>2.4303155132685501</v>
      </c>
      <c r="C80" s="3">
        <v>3.51390267288056</v>
      </c>
      <c r="D80" s="3">
        <v>3.2143357794285299</v>
      </c>
      <c r="E80" s="3">
        <v>2.81977266876254</v>
      </c>
      <c r="F80" s="3">
        <v>2.2031209583851901</v>
      </c>
      <c r="G80" s="3">
        <v>2.89275115542315</v>
      </c>
      <c r="H80" s="3">
        <v>4.0161952766893698</v>
      </c>
      <c r="I80" s="3">
        <v>0.75650703815142895</v>
      </c>
      <c r="J80" s="3">
        <v>1.6581460083197901</v>
      </c>
      <c r="K80" s="3">
        <v>2.9069512262158002</v>
      </c>
      <c r="L80" s="3">
        <v>2.0061933406103498</v>
      </c>
      <c r="M80" s="3">
        <v>3.0336542794867101</v>
      </c>
      <c r="N80" s="3">
        <v>3.9200917137072802</v>
      </c>
    </row>
    <row r="81" spans="1:14" x14ac:dyDescent="0.35">
      <c r="A81" s="2">
        <v>44196</v>
      </c>
      <c r="B81" s="3">
        <v>2.4053926364159901</v>
      </c>
      <c r="C81" s="3">
        <v>3.5844448354815501</v>
      </c>
      <c r="D81" s="3">
        <v>3.1389385776855399</v>
      </c>
      <c r="E81" s="3">
        <v>2.7202595320454299</v>
      </c>
      <c r="F81" s="3">
        <v>2.1399484297988298</v>
      </c>
      <c r="G81" s="3">
        <v>2.8207752385023102</v>
      </c>
      <c r="H81" s="3">
        <v>3.9389749240048801</v>
      </c>
      <c r="I81" s="3">
        <v>0.76306680393272797</v>
      </c>
      <c r="J81" s="3">
        <v>1.5777077476630399</v>
      </c>
      <c r="K81" s="3">
        <v>2.93955435270377</v>
      </c>
      <c r="L81" s="3">
        <v>1.9681814798734101</v>
      </c>
      <c r="M81" s="3">
        <v>3.1075294420021899</v>
      </c>
      <c r="N81" s="3">
        <v>3.9446405353127498</v>
      </c>
    </row>
    <row r="82" spans="1:14" x14ac:dyDescent="0.35">
      <c r="A82" s="2">
        <v>44225</v>
      </c>
      <c r="B82" s="3">
        <v>2.4644916432888602</v>
      </c>
      <c r="C82" s="3">
        <v>3.6801803210560702</v>
      </c>
      <c r="D82" s="3">
        <v>3.14992608623059</v>
      </c>
      <c r="E82" s="3">
        <v>2.8132205085155899</v>
      </c>
      <c r="F82" s="3">
        <v>2.1537137638096402</v>
      </c>
      <c r="G82" s="3">
        <v>2.8870663233861502</v>
      </c>
      <c r="H82" s="3">
        <v>4.1039348873917101</v>
      </c>
      <c r="I82" s="3">
        <v>0.76572630437839195</v>
      </c>
      <c r="J82" s="3">
        <v>1.60434742854214</v>
      </c>
      <c r="K82" s="3">
        <v>3.0260149476465101</v>
      </c>
      <c r="L82" s="3">
        <v>2.02789519970178</v>
      </c>
      <c r="M82" s="3">
        <v>3.0329629837746501</v>
      </c>
      <c r="N82" s="3">
        <v>4.1845081373748796</v>
      </c>
    </row>
    <row r="83" spans="1:14" x14ac:dyDescent="0.35">
      <c r="A83" s="2">
        <v>44253</v>
      </c>
      <c r="B83" s="3">
        <v>2.6390537501451301</v>
      </c>
      <c r="C83" s="3">
        <v>3.9257667749489502</v>
      </c>
      <c r="D83" s="3">
        <v>2.9804457227924002</v>
      </c>
      <c r="E83" s="3">
        <v>2.84200926461744</v>
      </c>
      <c r="F83" s="3">
        <v>2.1233149619173899</v>
      </c>
      <c r="G83" s="3">
        <v>2.91272826287135</v>
      </c>
      <c r="H83" s="3">
        <v>4.0593531704580901</v>
      </c>
      <c r="I83" s="3">
        <v>0.77474230191607296</v>
      </c>
      <c r="J83" s="3">
        <v>1.57925339429634</v>
      </c>
      <c r="K83" s="3">
        <v>2.8800627751938301</v>
      </c>
      <c r="L83" s="3">
        <v>2.0089015450111498</v>
      </c>
      <c r="M83" s="3">
        <v>2.9905458544825101</v>
      </c>
      <c r="N83" s="3">
        <v>4.1215827209711202</v>
      </c>
    </row>
    <row r="84" spans="1:14" x14ac:dyDescent="0.35">
      <c r="A84" s="2">
        <v>44286</v>
      </c>
      <c r="B84" s="3">
        <v>2.5744166816944598</v>
      </c>
      <c r="C84" s="3">
        <v>3.9892559805893</v>
      </c>
      <c r="D84" s="3">
        <v>2.8460872086831199</v>
      </c>
      <c r="E84" s="3">
        <v>2.7111929891259599</v>
      </c>
      <c r="F84" s="3">
        <v>2.0701970463347799</v>
      </c>
      <c r="G84" s="3">
        <v>2.8121443461944899</v>
      </c>
      <c r="H84" s="3">
        <v>4.05530577622058</v>
      </c>
      <c r="I84" s="3">
        <v>0.76771427864306196</v>
      </c>
      <c r="J84" s="3">
        <v>1.5236616598975501</v>
      </c>
      <c r="K84" s="3">
        <v>2.7579355960170999</v>
      </c>
      <c r="L84" s="3">
        <v>1.9507414623864601</v>
      </c>
      <c r="M84" s="3">
        <v>2.7633857617603099</v>
      </c>
      <c r="N84" s="3">
        <v>4.0004092328369003</v>
      </c>
    </row>
    <row r="85" spans="1:14" x14ac:dyDescent="0.35">
      <c r="A85" s="2">
        <v>44316</v>
      </c>
      <c r="B85" s="3">
        <v>2.5880948732242199</v>
      </c>
      <c r="C85" s="3">
        <v>3.9314369150242898</v>
      </c>
      <c r="D85" s="3">
        <v>2.7625045175571201</v>
      </c>
      <c r="E85" s="3">
        <v>2.7846560957973798</v>
      </c>
      <c r="F85" s="3">
        <v>2.15617241842331</v>
      </c>
      <c r="G85" s="3">
        <v>2.7748305994456599</v>
      </c>
      <c r="H85" s="3">
        <v>3.95879453059203</v>
      </c>
      <c r="I85" s="3">
        <v>0.73090196136723595</v>
      </c>
      <c r="J85" s="3">
        <v>1.4601255734592899</v>
      </c>
      <c r="K85" s="3">
        <v>2.7059486924379299</v>
      </c>
      <c r="L85" s="3">
        <v>1.9631256024258199</v>
      </c>
      <c r="M85" s="3">
        <v>2.8394937899467498</v>
      </c>
      <c r="N85" s="3">
        <v>4.1908301934866596</v>
      </c>
    </row>
    <row r="86" spans="1:14" x14ac:dyDescent="0.35">
      <c r="A86" s="2">
        <v>44344</v>
      </c>
      <c r="B86" s="3">
        <v>2.7430433482568701</v>
      </c>
      <c r="C86" s="3">
        <v>3.8774693184729498</v>
      </c>
      <c r="D86" s="3">
        <v>2.62112529194407</v>
      </c>
      <c r="E86" s="3">
        <v>2.8049732681908099</v>
      </c>
      <c r="F86" s="3">
        <v>2.1463717616418898</v>
      </c>
      <c r="G86" s="3">
        <v>2.7034879637706202</v>
      </c>
      <c r="H86" s="3">
        <v>3.89749527791002</v>
      </c>
      <c r="I86" s="3">
        <v>0.74074418726637303</v>
      </c>
      <c r="J86" s="3">
        <v>1.4586170264418299</v>
      </c>
      <c r="K86" s="3">
        <v>2.66882638839735</v>
      </c>
      <c r="L86" s="3">
        <v>2.0038287138899902</v>
      </c>
      <c r="M86" s="3">
        <v>2.7048535290372899</v>
      </c>
      <c r="N86" s="3">
        <v>4.09625271062973</v>
      </c>
    </row>
    <row r="87" spans="1:14" x14ac:dyDescent="0.35">
      <c r="A87" s="2">
        <v>44377</v>
      </c>
      <c r="B87" s="3">
        <v>2.6605003541926702</v>
      </c>
      <c r="C87" s="3">
        <v>4.0504386294701797</v>
      </c>
      <c r="D87" s="3">
        <v>2.7120272949934301</v>
      </c>
      <c r="E87" s="3">
        <v>2.8193279922005301</v>
      </c>
      <c r="F87" s="3">
        <v>2.1981645672198402</v>
      </c>
      <c r="G87" s="3">
        <v>2.6386575728905299</v>
      </c>
      <c r="H87" s="3">
        <v>4.0264410159047701</v>
      </c>
      <c r="I87" s="3">
        <v>0.70418799255658104</v>
      </c>
      <c r="J87" s="3">
        <v>1.4425176062099301</v>
      </c>
      <c r="K87" s="3">
        <v>2.7108571323311201</v>
      </c>
      <c r="L87" s="3">
        <v>2.01017447938951</v>
      </c>
      <c r="M87" s="3">
        <v>2.7150929440848199</v>
      </c>
      <c r="N87" s="3">
        <v>4.1584772019546499</v>
      </c>
    </row>
    <row r="88" spans="1:14" x14ac:dyDescent="0.35">
      <c r="A88" s="2">
        <v>44407</v>
      </c>
      <c r="B88" s="3">
        <v>2.6580797025582998</v>
      </c>
      <c r="C88" s="3">
        <v>4.1205726895188102</v>
      </c>
      <c r="D88" s="3">
        <v>2.7117435551718199</v>
      </c>
      <c r="E88" s="3">
        <v>2.8432074161782501</v>
      </c>
      <c r="F88" s="3">
        <v>2.2731805728101602</v>
      </c>
      <c r="G88" s="3">
        <v>2.59129954385517</v>
      </c>
      <c r="H88" s="3">
        <v>4.1597829101787704</v>
      </c>
      <c r="I88" s="3">
        <v>0.70392169904468904</v>
      </c>
      <c r="J88" s="3">
        <v>1.4285678507364199</v>
      </c>
      <c r="K88" s="3">
        <v>2.7144155891838402</v>
      </c>
      <c r="L88" s="3">
        <v>1.94889365224805</v>
      </c>
      <c r="M88" s="3">
        <v>2.7337722652612499</v>
      </c>
      <c r="N88" s="3">
        <v>4.2353139294577202</v>
      </c>
    </row>
    <row r="89" spans="1:14" x14ac:dyDescent="0.35">
      <c r="A89" s="2">
        <v>44439</v>
      </c>
      <c r="B89" s="3">
        <v>2.56263888277214</v>
      </c>
      <c r="C89" s="3">
        <v>4.02826857563785</v>
      </c>
      <c r="D89" s="3">
        <v>2.7427593683818698</v>
      </c>
      <c r="E89" s="3">
        <v>2.85165299026204</v>
      </c>
      <c r="F89" s="3">
        <v>2.2533726409148001</v>
      </c>
      <c r="G89" s="3">
        <v>2.5665529486938201</v>
      </c>
      <c r="H89" s="3">
        <v>4.1891330774115501</v>
      </c>
      <c r="I89" s="3">
        <v>0.67969736088347599</v>
      </c>
      <c r="J89" s="3">
        <v>1.4006471575416599</v>
      </c>
      <c r="K89" s="3">
        <v>2.7574410398847</v>
      </c>
      <c r="L89" s="3">
        <v>1.8185162672531501</v>
      </c>
      <c r="M89" s="3">
        <v>2.7466807300079799</v>
      </c>
      <c r="N89" s="3">
        <v>4.4009308977584896</v>
      </c>
    </row>
    <row r="90" spans="1:14" x14ac:dyDescent="0.35">
      <c r="A90" s="2">
        <v>44469</v>
      </c>
      <c r="B90" s="3">
        <v>2.6210251191957199</v>
      </c>
      <c r="C90" s="3">
        <v>4.06921988670776</v>
      </c>
      <c r="D90" s="3">
        <v>2.8332288811619999</v>
      </c>
      <c r="E90" s="3">
        <v>2.98159851328922</v>
      </c>
      <c r="F90" s="3">
        <v>2.2017922166793</v>
      </c>
      <c r="G90" s="3">
        <v>2.76529529432689</v>
      </c>
      <c r="H90" s="3">
        <v>4.1696758711288302</v>
      </c>
      <c r="I90" s="3">
        <v>0.72813879506325496</v>
      </c>
      <c r="J90" s="3">
        <v>1.4751795156482601</v>
      </c>
      <c r="K90" s="3">
        <v>2.8620899893165799</v>
      </c>
      <c r="L90" s="3">
        <v>1.96227892563856</v>
      </c>
      <c r="M90" s="3">
        <v>2.89107210637441</v>
      </c>
      <c r="N90" s="3">
        <v>4.5460631682003498</v>
      </c>
    </row>
    <row r="91" spans="1:14" x14ac:dyDescent="0.35">
      <c r="A91" s="2">
        <v>44498</v>
      </c>
      <c r="B91" s="3">
        <v>2.6607008963799199</v>
      </c>
      <c r="C91" s="3">
        <v>3.9805052818038802</v>
      </c>
      <c r="D91" s="3">
        <v>2.7436400201331699</v>
      </c>
      <c r="E91" s="3">
        <v>2.9643055686188098</v>
      </c>
      <c r="F91" s="3">
        <v>2.2476678530353098</v>
      </c>
      <c r="G91" s="3">
        <v>2.6498863622978202</v>
      </c>
      <c r="H91" s="3">
        <v>4.0326424390000302</v>
      </c>
      <c r="I91" s="3">
        <v>0.67857418303249295</v>
      </c>
      <c r="J91" s="3">
        <v>1.39349387228374</v>
      </c>
      <c r="K91" s="3">
        <v>2.7856432323528</v>
      </c>
      <c r="L91" s="3">
        <v>1.90359335067005</v>
      </c>
      <c r="M91" s="3">
        <v>3.04446819194531</v>
      </c>
      <c r="N91" s="3">
        <v>4.3839489647242598</v>
      </c>
    </row>
    <row r="92" spans="1:14" x14ac:dyDescent="0.35">
      <c r="A92" s="2">
        <v>44530</v>
      </c>
      <c r="B92" s="3">
        <v>2.7486129175354699</v>
      </c>
      <c r="C92" s="3">
        <v>4.0905809432237001</v>
      </c>
      <c r="D92" s="3">
        <v>2.8501408585566699</v>
      </c>
      <c r="E92" s="3">
        <v>3.1590399563258802</v>
      </c>
      <c r="F92" s="3">
        <v>2.36099260243599</v>
      </c>
      <c r="G92" s="3">
        <v>2.6799412443963702</v>
      </c>
      <c r="H92" s="3">
        <v>4.1740536177640397</v>
      </c>
      <c r="I92" s="3">
        <v>0.67158013607210099</v>
      </c>
      <c r="J92" s="3">
        <v>1.41041130826651</v>
      </c>
      <c r="K92" s="3">
        <v>2.8902602362095702</v>
      </c>
      <c r="L92" s="3">
        <v>1.97905872833459</v>
      </c>
      <c r="M92" s="3">
        <v>3.10066297169557</v>
      </c>
      <c r="N92" s="3">
        <v>4.6477740299454702</v>
      </c>
    </row>
    <row r="93" spans="1:14" x14ac:dyDescent="0.35">
      <c r="A93" s="2">
        <v>44561</v>
      </c>
      <c r="B93" s="3">
        <v>2.76511566800919</v>
      </c>
      <c r="C93" s="3">
        <v>3.8752438584150299</v>
      </c>
      <c r="D93" s="3">
        <v>2.7873327316916399</v>
      </c>
      <c r="E93" s="3">
        <v>3.0442405681104301</v>
      </c>
      <c r="F93" s="3">
        <v>2.3131354196013101</v>
      </c>
      <c r="G93" s="3">
        <v>2.5276605735921902</v>
      </c>
      <c r="H93" s="3">
        <v>3.8971764165620102</v>
      </c>
      <c r="I93" s="3">
        <v>0.66798362760113095</v>
      </c>
      <c r="J93" s="3">
        <v>1.35459202448055</v>
      </c>
      <c r="K93" s="3">
        <v>2.7387953498536999</v>
      </c>
      <c r="L93" s="3">
        <v>1.93656613675911</v>
      </c>
      <c r="M93" s="3">
        <v>2.8324360731858498</v>
      </c>
      <c r="N93" s="3">
        <v>4.5998556478422898</v>
      </c>
    </row>
    <row r="94" spans="1:14" x14ac:dyDescent="0.35">
      <c r="A94" s="2">
        <v>44592</v>
      </c>
      <c r="B94" s="3">
        <v>3.06864738080324</v>
      </c>
      <c r="C94" s="3">
        <v>4.3261045480644098</v>
      </c>
      <c r="D94" s="3">
        <v>2.8269969638181101</v>
      </c>
      <c r="E94" s="3">
        <v>3.1719861273232901</v>
      </c>
      <c r="F94" s="3">
        <v>2.46415001045396</v>
      </c>
      <c r="G94" s="3">
        <v>2.7224050983855999</v>
      </c>
      <c r="H94" s="3">
        <v>3.8158169473546502</v>
      </c>
      <c r="I94" s="3">
        <v>0.73747016483449102</v>
      </c>
      <c r="J94" s="3">
        <v>1.4480173700265899</v>
      </c>
      <c r="K94" s="3">
        <v>2.8604089011345</v>
      </c>
      <c r="L94" s="3">
        <v>2.1875038608656401</v>
      </c>
      <c r="M94" s="3">
        <v>2.8726657980630499</v>
      </c>
      <c r="N94" s="3">
        <v>4.77557298528545</v>
      </c>
    </row>
    <row r="95" spans="1:14" x14ac:dyDescent="0.35">
      <c r="A95" s="2">
        <v>44620</v>
      </c>
      <c r="B95" s="3">
        <v>3.05800894408413</v>
      </c>
      <c r="C95" s="3">
        <v>4.3854093997207997</v>
      </c>
      <c r="D95" s="3">
        <v>2.8750750220495802</v>
      </c>
      <c r="E95" s="3">
        <v>3.4702635522923</v>
      </c>
      <c r="F95" s="3">
        <v>2.5310709636592699</v>
      </c>
      <c r="G95" s="3">
        <v>2.7997364500050002</v>
      </c>
      <c r="H95" s="3">
        <v>3.90181381356309</v>
      </c>
      <c r="I95" s="3">
        <v>0.78735625412017596</v>
      </c>
      <c r="J95" s="3">
        <v>1.51096902065247</v>
      </c>
      <c r="K95" s="3">
        <v>3.0829863064819198</v>
      </c>
      <c r="L95" s="3">
        <v>2.3362342781574998</v>
      </c>
      <c r="M95" s="3">
        <v>3.1473560006414698</v>
      </c>
      <c r="N95" s="3">
        <v>5.0703295174204097</v>
      </c>
    </row>
    <row r="96" spans="1:14" x14ac:dyDescent="0.35">
      <c r="A96" s="2">
        <v>44651</v>
      </c>
      <c r="B96" s="3">
        <v>3.0678872673075501</v>
      </c>
      <c r="C96" s="3">
        <v>4.1761775687928502</v>
      </c>
      <c r="D96" s="3">
        <v>2.8345755457064499</v>
      </c>
      <c r="E96" s="3">
        <v>3.5424110055637601</v>
      </c>
      <c r="F96" s="3">
        <v>2.5128547952922</v>
      </c>
      <c r="G96" s="3">
        <v>2.78139881422491</v>
      </c>
      <c r="H96" s="3">
        <v>3.9964661694906298</v>
      </c>
      <c r="I96" s="3">
        <v>0.75919210101025103</v>
      </c>
      <c r="J96" s="3">
        <v>1.45532138224525</v>
      </c>
      <c r="K96" s="3">
        <v>3.0877620090120899</v>
      </c>
      <c r="L96" s="3">
        <v>2.25177868406172</v>
      </c>
      <c r="M96" s="3">
        <v>3.1362505289309399</v>
      </c>
      <c r="N96" s="3">
        <v>5.0466805880570504</v>
      </c>
    </row>
    <row r="97" spans="1:14" x14ac:dyDescent="0.35">
      <c r="A97" s="2">
        <v>44680</v>
      </c>
      <c r="B97" s="3">
        <v>3.0598331746385901</v>
      </c>
      <c r="C97" s="3">
        <v>4.4601295129855298</v>
      </c>
      <c r="D97" s="3">
        <v>3.07116332644503</v>
      </c>
      <c r="E97" s="3">
        <v>3.6968228199090398</v>
      </c>
      <c r="F97" s="3">
        <v>2.5914409793456801</v>
      </c>
      <c r="G97" s="3">
        <v>2.84152955009802</v>
      </c>
      <c r="H97" s="3">
        <v>4.0434183558858399</v>
      </c>
      <c r="I97" s="3">
        <v>0.87839368651099503</v>
      </c>
      <c r="J97" s="3">
        <v>1.5989824502528101</v>
      </c>
      <c r="K97" s="3">
        <v>3.1491862042862899</v>
      </c>
      <c r="L97" s="3">
        <v>2.3868799709984301</v>
      </c>
      <c r="M97" s="3">
        <v>3.27519893619115</v>
      </c>
      <c r="N97" s="3">
        <v>5.11557226472741</v>
      </c>
    </row>
    <row r="98" spans="1:14" x14ac:dyDescent="0.35">
      <c r="A98" s="2">
        <v>44712</v>
      </c>
      <c r="B98" s="3">
        <v>3.1944467966750101</v>
      </c>
      <c r="C98" s="3">
        <v>4.7129851558134899</v>
      </c>
      <c r="D98" s="3">
        <v>3.1036848953328802</v>
      </c>
      <c r="E98" s="3">
        <v>3.7491598441748502</v>
      </c>
      <c r="F98" s="3">
        <v>2.6065798152755</v>
      </c>
      <c r="G98" s="3">
        <v>2.95783181158912</v>
      </c>
      <c r="H98" s="3">
        <v>4.0139984153082704</v>
      </c>
      <c r="I98" s="3">
        <v>0.90198631587662104</v>
      </c>
      <c r="J98" s="3">
        <v>1.6061559164425301</v>
      </c>
      <c r="K98" s="3">
        <v>3.21467183215228</v>
      </c>
      <c r="L98" s="3">
        <v>2.5216276509489699</v>
      </c>
      <c r="M98" s="3">
        <v>3.35464185982927</v>
      </c>
      <c r="N98" s="3">
        <v>5.1503015006491903</v>
      </c>
    </row>
    <row r="99" spans="1:14" x14ac:dyDescent="0.35">
      <c r="A99" s="2">
        <v>44742</v>
      </c>
      <c r="B99" s="3">
        <v>3.37969433288887</v>
      </c>
      <c r="C99" s="3">
        <v>5.2513464417727302</v>
      </c>
      <c r="D99" s="3">
        <v>3.4263180397652402</v>
      </c>
      <c r="E99" s="3">
        <v>4.2186401714395103</v>
      </c>
      <c r="F99" s="3">
        <v>2.7018778363048099</v>
      </c>
      <c r="G99" s="3">
        <v>3.2013754261825902</v>
      </c>
      <c r="H99" s="3">
        <v>4.3027647127711104</v>
      </c>
      <c r="I99" s="3">
        <v>0.99912868139075806</v>
      </c>
      <c r="J99" s="3">
        <v>1.7727692064124501</v>
      </c>
      <c r="K99" s="3">
        <v>3.5400570568457801</v>
      </c>
      <c r="L99" s="3">
        <v>3.4578497341258898</v>
      </c>
      <c r="M99" s="3">
        <v>3.6523959984108898</v>
      </c>
      <c r="N99" s="3">
        <v>5.9482509700430803</v>
      </c>
    </row>
    <row r="100" spans="1:14" x14ac:dyDescent="0.35">
      <c r="A100" s="2">
        <v>44771</v>
      </c>
      <c r="B100" s="3">
        <v>3.2689264032382002</v>
      </c>
      <c r="C100" s="3">
        <v>4.83355219496024</v>
      </c>
      <c r="D100" s="3">
        <v>3.3221174605420098</v>
      </c>
      <c r="E100" s="3">
        <v>4.0220600536540498</v>
      </c>
      <c r="F100" s="3">
        <v>2.6158454418198298</v>
      </c>
      <c r="G100" s="3">
        <v>3.0576746295879098</v>
      </c>
      <c r="H100" s="3">
        <v>4.1413006394604102</v>
      </c>
      <c r="I100" s="3">
        <v>0.89343209607509899</v>
      </c>
      <c r="J100" s="3">
        <v>1.6323878099948801</v>
      </c>
      <c r="K100" s="3">
        <v>3.28559973068363</v>
      </c>
      <c r="L100" s="3">
        <v>3.0509171603329999</v>
      </c>
      <c r="M100" s="3">
        <v>3.43703960025648</v>
      </c>
      <c r="N100" s="3">
        <v>5.8099271346356698</v>
      </c>
    </row>
    <row r="101" spans="1:14" x14ac:dyDescent="0.35">
      <c r="A101" s="2">
        <v>44804</v>
      </c>
      <c r="B101" s="3">
        <v>3.1729791284924298</v>
      </c>
      <c r="C101" s="3">
        <v>4.7495556892546098</v>
      </c>
      <c r="D101" s="3">
        <v>3.4679137702426899</v>
      </c>
      <c r="E101" s="3">
        <v>4.2079340103378602</v>
      </c>
      <c r="F101" s="3">
        <v>2.5990249726319901</v>
      </c>
      <c r="G101" s="3">
        <v>3.2088077709600902</v>
      </c>
      <c r="H101" s="3">
        <v>4.4171478817084697</v>
      </c>
      <c r="I101" s="3">
        <v>0.94744109431294798</v>
      </c>
      <c r="J101" s="3">
        <v>1.7262953452770899</v>
      </c>
      <c r="K101" s="3">
        <v>3.5103686384899002</v>
      </c>
      <c r="L101" s="3">
        <v>3.7660388348092799</v>
      </c>
      <c r="M101" s="3">
        <v>3.69855895847365</v>
      </c>
      <c r="N101" s="3">
        <v>5.9241142641616804</v>
      </c>
    </row>
    <row r="102" spans="1:14" x14ac:dyDescent="0.35">
      <c r="A102" s="2">
        <v>44834</v>
      </c>
      <c r="B102" s="3">
        <v>3.42620608411407</v>
      </c>
      <c r="C102" s="3">
        <v>5.2635282249166</v>
      </c>
      <c r="D102" s="3">
        <v>3.6346845964218599</v>
      </c>
      <c r="E102" s="3">
        <v>4.4846100059377303</v>
      </c>
      <c r="F102" s="3">
        <v>2.81776404802272</v>
      </c>
      <c r="G102" s="3">
        <v>3.4263138214808002</v>
      </c>
      <c r="H102" s="3">
        <v>4.7608020858992601</v>
      </c>
      <c r="I102" s="3">
        <v>1.07002595175519</v>
      </c>
      <c r="J102" s="3">
        <v>1.91157674221866</v>
      </c>
      <c r="K102" s="3">
        <v>3.7722992336566699</v>
      </c>
      <c r="L102" s="3">
        <v>3.0790863276424298</v>
      </c>
      <c r="M102" s="3">
        <v>3.7915644393765202</v>
      </c>
      <c r="N102" s="3">
        <v>6.1945506712516201</v>
      </c>
    </row>
    <row r="103" spans="1:14" x14ac:dyDescent="0.35">
      <c r="A103" s="2">
        <v>44865</v>
      </c>
      <c r="B103" s="3">
        <v>3.3644559219877102</v>
      </c>
      <c r="C103" s="3">
        <v>4.9710648557887103</v>
      </c>
      <c r="D103" s="3">
        <v>3.4439508348745602</v>
      </c>
      <c r="E103" s="3">
        <v>4.1366493712960901</v>
      </c>
      <c r="F103" s="3">
        <v>2.67854697545279</v>
      </c>
      <c r="G103" s="3">
        <v>3.2838295936311801</v>
      </c>
      <c r="H103" s="3">
        <v>4.5313680462181596</v>
      </c>
      <c r="I103" s="3">
        <v>1.03650820391809</v>
      </c>
      <c r="J103" s="3">
        <v>1.78498659593081</v>
      </c>
      <c r="K103" s="3">
        <v>3.51048981532136</v>
      </c>
      <c r="L103" s="3">
        <v>2.93865660970889</v>
      </c>
      <c r="M103" s="3">
        <v>3.7550805605748501</v>
      </c>
      <c r="N103" s="3">
        <v>5.7213853784086997</v>
      </c>
    </row>
    <row r="104" spans="1:14" x14ac:dyDescent="0.35">
      <c r="A104" s="2">
        <v>44895</v>
      </c>
      <c r="B104" s="3">
        <v>3.3738327135791399</v>
      </c>
      <c r="C104" s="3">
        <v>4.4624189150675404</v>
      </c>
      <c r="D104" s="3">
        <v>3.27463947317885</v>
      </c>
      <c r="E104" s="3">
        <v>3.7362908034551698</v>
      </c>
      <c r="F104" s="3">
        <v>2.5940135137468499</v>
      </c>
      <c r="G104" s="3">
        <v>3.1245791318573799</v>
      </c>
      <c r="H104" s="3">
        <v>4.2404296539851503</v>
      </c>
      <c r="I104" s="3">
        <v>0.98667916956665902</v>
      </c>
      <c r="J104" s="3">
        <v>1.6999731003862699</v>
      </c>
      <c r="K104" s="3">
        <v>3.2654084047769398</v>
      </c>
      <c r="L104" s="3">
        <v>2.6437034747433601</v>
      </c>
      <c r="M104" s="3">
        <v>3.6156996079463299</v>
      </c>
      <c r="N104" s="3">
        <v>5.5093272223434004</v>
      </c>
    </row>
    <row r="105" spans="1:14" x14ac:dyDescent="0.35">
      <c r="A105" s="2">
        <v>44925</v>
      </c>
      <c r="B105" s="3">
        <v>3.4817595151301202</v>
      </c>
      <c r="C105" s="3">
        <v>4.5472140818103002</v>
      </c>
      <c r="D105" s="3">
        <v>3.4707922433344001</v>
      </c>
      <c r="E105" s="3">
        <v>3.8475143428358201</v>
      </c>
      <c r="F105" s="3">
        <v>2.7626410660049201</v>
      </c>
      <c r="G105" s="3">
        <v>3.2251424731146301</v>
      </c>
      <c r="H105" s="3">
        <v>4.2749219191024199</v>
      </c>
      <c r="I105" s="3">
        <v>1.0384400172415</v>
      </c>
      <c r="J105" s="3">
        <v>1.8088940783940299</v>
      </c>
      <c r="K105" s="3">
        <v>3.3807948662548499</v>
      </c>
      <c r="L105" s="3">
        <v>2.8174429701382899</v>
      </c>
      <c r="M105" s="3">
        <v>3.7664239509156099</v>
      </c>
      <c r="N105" s="3">
        <v>5.9215585910381598</v>
      </c>
    </row>
    <row r="106" spans="1:14" x14ac:dyDescent="0.35">
      <c r="A106" s="2">
        <v>44957</v>
      </c>
      <c r="B106" s="3">
        <v>3.3261339005212802</v>
      </c>
      <c r="C106" s="3">
        <v>4.2804153477807603</v>
      </c>
      <c r="D106" s="3">
        <v>3.2637478195024801</v>
      </c>
      <c r="E106" s="3">
        <v>3.51532793658368</v>
      </c>
      <c r="F106" s="3">
        <v>2.6330614845706801</v>
      </c>
      <c r="G106" s="3">
        <v>3.0603434254038802</v>
      </c>
      <c r="H106" s="3">
        <v>4.0951842379635801</v>
      </c>
      <c r="I106" s="3">
        <v>0.95020339170107004</v>
      </c>
      <c r="J106" s="3">
        <v>1.71582296774257</v>
      </c>
      <c r="K106" s="3">
        <v>3.11729794581202</v>
      </c>
      <c r="L106" s="3">
        <v>2.56015207249337</v>
      </c>
      <c r="M106" s="3">
        <v>3.5920102551103699</v>
      </c>
      <c r="N106" s="3">
        <v>5.4494358704378998</v>
      </c>
    </row>
    <row r="107" spans="1:14" x14ac:dyDescent="0.35">
      <c r="A107" s="2">
        <v>44985</v>
      </c>
      <c r="B107" s="3">
        <v>3.3705808781833602</v>
      </c>
      <c r="C107" s="3">
        <v>4.4748128289895996</v>
      </c>
      <c r="D107" s="3">
        <v>3.35357065127257</v>
      </c>
      <c r="E107" s="3">
        <v>3.52099338927732</v>
      </c>
      <c r="F107" s="3">
        <v>2.6236984867004902</v>
      </c>
      <c r="G107" s="3">
        <v>3.1321205994608898</v>
      </c>
      <c r="H107" s="3">
        <v>4.1102388561794001</v>
      </c>
      <c r="I107" s="3">
        <v>0.96201770345412796</v>
      </c>
      <c r="J107" s="3">
        <v>1.7686139315654299</v>
      </c>
      <c r="K107" s="3">
        <v>3.15712768720056</v>
      </c>
      <c r="L107" s="3">
        <v>2.6709459573911798</v>
      </c>
      <c r="M107" s="3">
        <v>3.55284359218596</v>
      </c>
      <c r="N107" s="3">
        <v>5.5773927678683402</v>
      </c>
    </row>
    <row r="108" spans="1:14" x14ac:dyDescent="0.35">
      <c r="A108" s="2">
        <v>45016</v>
      </c>
      <c r="B108" s="3">
        <v>3.3968483428020999</v>
      </c>
      <c r="C108" s="3">
        <v>4.5428269481902097</v>
      </c>
      <c r="D108" s="3">
        <v>3.3463525101712399</v>
      </c>
      <c r="E108" s="3">
        <v>3.5203067591384598</v>
      </c>
      <c r="F108" s="3">
        <v>2.6217755343024298</v>
      </c>
      <c r="G108" s="3">
        <v>3.1567808378198201</v>
      </c>
      <c r="H108" s="3">
        <v>4.21560198089841</v>
      </c>
      <c r="I108" s="3">
        <v>0.88408534215901102</v>
      </c>
      <c r="J108" s="3">
        <v>1.7138888327263799</v>
      </c>
      <c r="K108" s="3">
        <v>3.17295241079551</v>
      </c>
      <c r="L108" s="3">
        <v>2.6345248160778798</v>
      </c>
      <c r="M108" s="3">
        <v>3.6305547729728298</v>
      </c>
      <c r="N108" s="3">
        <v>5.4376222814753996</v>
      </c>
    </row>
    <row r="109" spans="1:14" x14ac:dyDescent="0.35">
      <c r="A109" s="2">
        <v>45044</v>
      </c>
      <c r="B109" s="3">
        <v>3.38217498951632</v>
      </c>
      <c r="C109" s="3">
        <v>4.42963180770204</v>
      </c>
      <c r="D109" s="3">
        <v>3.2269816653733301</v>
      </c>
      <c r="E109" s="3">
        <v>3.5063990255128901</v>
      </c>
      <c r="F109" s="3">
        <v>2.5654114114379398</v>
      </c>
      <c r="G109" s="3">
        <v>3.0691429227913498</v>
      </c>
      <c r="H109" s="3">
        <v>4.0908321941414698</v>
      </c>
      <c r="I109" s="3">
        <v>0.86392521134044797</v>
      </c>
      <c r="J109" s="3">
        <v>1.69249471074931</v>
      </c>
      <c r="K109" s="3">
        <v>3.1173670446358801</v>
      </c>
      <c r="L109" s="3">
        <v>2.68570320957914</v>
      </c>
      <c r="M109" s="3">
        <v>3.6386948874307898</v>
      </c>
      <c r="N109" s="3">
        <v>5.3979057224611102</v>
      </c>
    </row>
    <row r="110" spans="1:14" x14ac:dyDescent="0.35">
      <c r="A110" s="2">
        <v>45077</v>
      </c>
      <c r="B110" s="3">
        <v>3.5127831782821302</v>
      </c>
      <c r="C110" s="3">
        <v>4.56615726670654</v>
      </c>
      <c r="D110" s="3">
        <v>3.3977080127041899</v>
      </c>
      <c r="E110" s="3">
        <v>3.6874972983426799</v>
      </c>
      <c r="F110" s="3">
        <v>2.4903079617440702</v>
      </c>
      <c r="G110" s="3">
        <v>3.1904265360775899</v>
      </c>
      <c r="H110" s="3">
        <v>4.4713685797703802</v>
      </c>
      <c r="I110" s="3">
        <v>0.80673218242825795</v>
      </c>
      <c r="J110" s="3">
        <v>1.69670231241583</v>
      </c>
      <c r="K110" s="3">
        <v>3.3551833075032702</v>
      </c>
      <c r="L110" s="3">
        <v>2.70314371877835</v>
      </c>
      <c r="M110" s="3">
        <v>3.82974136238087</v>
      </c>
      <c r="N110" s="3">
        <v>5.8473496233789897</v>
      </c>
    </row>
    <row r="111" spans="1:14" x14ac:dyDescent="0.35">
      <c r="A111" s="2">
        <v>45107</v>
      </c>
      <c r="B111" s="3">
        <v>3.41941461587257</v>
      </c>
      <c r="C111" s="3">
        <v>4.2992331256682998</v>
      </c>
      <c r="D111" s="3">
        <v>3.2521051096131002</v>
      </c>
      <c r="E111" s="3">
        <v>3.6204523088825602</v>
      </c>
      <c r="F111" s="3">
        <v>2.32877548012195</v>
      </c>
      <c r="G111" s="3">
        <v>3.1648528823911199</v>
      </c>
      <c r="H111" s="3">
        <v>4.3508500200326798</v>
      </c>
      <c r="I111" s="3">
        <v>0.762629514025155</v>
      </c>
      <c r="J111" s="3">
        <v>1.59650435282419</v>
      </c>
      <c r="K111" s="3">
        <v>3.22608407133038</v>
      </c>
      <c r="L111" s="3">
        <v>2.69580855444124</v>
      </c>
      <c r="M111" s="3">
        <v>3.71306750072914</v>
      </c>
      <c r="N111" s="3">
        <v>5.2928205624770799</v>
      </c>
    </row>
    <row r="112" spans="1:14" x14ac:dyDescent="0.35">
      <c r="A112" s="2">
        <v>45138</v>
      </c>
      <c r="B112" s="3">
        <v>3.3874859114955398</v>
      </c>
      <c r="C112" s="3">
        <v>4.0707322568066697</v>
      </c>
      <c r="D112" s="3">
        <v>3.1345663337759002</v>
      </c>
      <c r="E112" s="3">
        <v>3.5840871921685999</v>
      </c>
      <c r="F112" s="3">
        <v>2.3229412245953198</v>
      </c>
      <c r="G112" s="3">
        <v>3.13725596886208</v>
      </c>
      <c r="H112" s="3">
        <v>4.2492009647108597</v>
      </c>
      <c r="I112" s="3">
        <v>0.85636517592352002</v>
      </c>
      <c r="J112" s="3">
        <v>1.5564473356865001</v>
      </c>
      <c r="K112" s="3">
        <v>3.2263959636555</v>
      </c>
      <c r="L112" s="3">
        <v>2.6340981090257101</v>
      </c>
      <c r="M112" s="3">
        <v>3.7778548011272899</v>
      </c>
      <c r="N112" s="3">
        <v>5.2178096773174003</v>
      </c>
    </row>
    <row r="113" spans="1:25" x14ac:dyDescent="0.35">
      <c r="A113" s="2">
        <v>45169</v>
      </c>
      <c r="B113" s="3">
        <v>3.4738569740108698</v>
      </c>
      <c r="C113" s="3">
        <v>4.1270232122613599</v>
      </c>
      <c r="D113" s="3">
        <v>3.4963464787029399</v>
      </c>
      <c r="E113" s="3">
        <v>3.71258463884261</v>
      </c>
      <c r="F113" s="3">
        <v>2.3562100789836</v>
      </c>
      <c r="G113" s="3">
        <v>3.2270465600890699</v>
      </c>
      <c r="H113" s="3">
        <v>4.4877620579309401</v>
      </c>
      <c r="I113" s="3">
        <v>0.87331905716099401</v>
      </c>
      <c r="J113" s="3">
        <v>1.5942000887164001</v>
      </c>
      <c r="K113" s="3">
        <v>3.3303884051865298</v>
      </c>
      <c r="L113" s="3">
        <v>2.8839231712965798</v>
      </c>
      <c r="M113" s="3">
        <v>3.9427345699463001</v>
      </c>
      <c r="N113" s="3">
        <v>5.4663193010184701</v>
      </c>
    </row>
    <row r="114" spans="1:25" x14ac:dyDescent="0.35">
      <c r="A114" s="2">
        <v>45198</v>
      </c>
      <c r="B114" s="3">
        <v>3.42427644033148</v>
      </c>
      <c r="C114" s="3">
        <v>4.2965479520281802</v>
      </c>
      <c r="D114" s="3">
        <v>3.6350732058445798</v>
      </c>
      <c r="E114" s="3">
        <v>3.8585244800712402</v>
      </c>
      <c r="F114" s="3">
        <v>2.38888517866895</v>
      </c>
      <c r="G114" s="3">
        <v>3.3548247937706601</v>
      </c>
      <c r="H114" s="3">
        <v>4.44668901195418</v>
      </c>
      <c r="I114" s="3">
        <v>0.94569423569980104</v>
      </c>
      <c r="J114" s="3">
        <v>1.6891082190746201</v>
      </c>
      <c r="K114" s="3">
        <v>3.42144306544155</v>
      </c>
      <c r="L114" s="3">
        <v>3.0361824670426301</v>
      </c>
      <c r="M114" s="3">
        <v>4.0079529046853599</v>
      </c>
      <c r="N114" s="3">
        <v>5.5058737207415502</v>
      </c>
    </row>
    <row r="115" spans="1:25" x14ac:dyDescent="0.35">
      <c r="A115" s="2">
        <v>45230</v>
      </c>
      <c r="B115" s="3">
        <v>3.5780301116115401</v>
      </c>
      <c r="C115" s="3">
        <v>4.55575710142028</v>
      </c>
      <c r="D115" s="3">
        <v>3.78588702883687</v>
      </c>
      <c r="E115" s="3">
        <v>4.0364074390490696</v>
      </c>
      <c r="F115" s="3">
        <v>2.4863021458324002</v>
      </c>
      <c r="G115" s="3">
        <v>3.55331919528117</v>
      </c>
      <c r="H115" s="3">
        <v>4.6468454725155599</v>
      </c>
      <c r="I115" s="3">
        <v>0.97211829758311796</v>
      </c>
      <c r="J115" s="3">
        <v>1.73348993621248</v>
      </c>
      <c r="K115" s="3">
        <v>3.5450913029698699</v>
      </c>
      <c r="L115" s="3">
        <v>3.09322987512415</v>
      </c>
      <c r="M115" s="3">
        <v>3.9762187970110401</v>
      </c>
      <c r="N115" s="3">
        <v>5.7243744609897602</v>
      </c>
    </row>
    <row r="116" spans="1:25" x14ac:dyDescent="0.35">
      <c r="A116" s="2">
        <v>45260</v>
      </c>
      <c r="B116" s="3">
        <v>3.2584639319507298</v>
      </c>
      <c r="C116" s="3">
        <v>4.2947856449448603</v>
      </c>
      <c r="D116" s="3">
        <v>3.4755118729482302</v>
      </c>
      <c r="E116" s="3">
        <v>3.6606745115253698</v>
      </c>
      <c r="F116" s="3">
        <v>2.3951718454052702</v>
      </c>
      <c r="G116" s="3">
        <v>3.3633936139956999</v>
      </c>
      <c r="H116" s="3">
        <v>4.4454635686895596</v>
      </c>
      <c r="I116" s="3">
        <v>0.88730711313291299</v>
      </c>
      <c r="J116" s="3">
        <v>1.59559364920055</v>
      </c>
      <c r="K116" s="3">
        <v>3.3422553052000601</v>
      </c>
      <c r="L116" s="3">
        <v>2.7961762004455402</v>
      </c>
      <c r="M116" s="3">
        <v>3.6408036924229399</v>
      </c>
      <c r="N116" s="3">
        <v>5.4950222580206596</v>
      </c>
    </row>
    <row r="117" spans="1:25" x14ac:dyDescent="0.35">
      <c r="A117" s="2">
        <v>45289</v>
      </c>
      <c r="B117" s="3">
        <v>2.9682775962558399</v>
      </c>
      <c r="C117" s="3">
        <v>3.97495871443751</v>
      </c>
      <c r="D117" s="3">
        <v>3.3573726690361099</v>
      </c>
      <c r="E117" s="3">
        <v>3.5531027937618598</v>
      </c>
      <c r="F117" s="3">
        <v>2.4281513404148298</v>
      </c>
      <c r="G117" s="3">
        <v>3.27188692633068</v>
      </c>
      <c r="H117" s="3">
        <v>4.2665720842035002</v>
      </c>
      <c r="I117" s="3">
        <v>0.91927919808391201</v>
      </c>
      <c r="J117" s="3">
        <v>1.54343197414577</v>
      </c>
      <c r="K117" s="3">
        <v>3.2303869125429299</v>
      </c>
      <c r="L117" s="3">
        <v>2.6832251201867101</v>
      </c>
      <c r="M117" s="3">
        <v>2.92065549436807</v>
      </c>
      <c r="N117" s="3">
        <v>5.4807296433605996</v>
      </c>
    </row>
    <row r="118" spans="1:25" x14ac:dyDescent="0.35">
      <c r="A118" s="2">
        <v>45322</v>
      </c>
      <c r="B118" s="3">
        <v>3.0051998519887699</v>
      </c>
      <c r="C118" s="3">
        <v>3.9531738559779601</v>
      </c>
      <c r="D118" s="3">
        <v>3.3342259593789199</v>
      </c>
      <c r="E118" s="3">
        <v>3.5412674661302499</v>
      </c>
      <c r="F118" s="3">
        <v>2.26404217438232</v>
      </c>
      <c r="G118" s="3">
        <v>3.2791062554367501</v>
      </c>
      <c r="H118" s="3">
        <v>4.2877996897559001</v>
      </c>
      <c r="I118" s="3">
        <v>0.90127536824030297</v>
      </c>
      <c r="J118" s="3">
        <v>1.52698651059553</v>
      </c>
      <c r="K118" s="3">
        <v>3.1720993001125</v>
      </c>
      <c r="L118" s="3">
        <v>2.5847190866822798</v>
      </c>
      <c r="M118" s="3">
        <v>3.3505536088411998</v>
      </c>
      <c r="N118" s="3">
        <v>5.3855755721273999</v>
      </c>
    </row>
    <row r="119" spans="1:25" x14ac:dyDescent="0.35">
      <c r="A119" s="2">
        <v>45351</v>
      </c>
      <c r="B119" s="3">
        <v>2.8970649272668698</v>
      </c>
      <c r="C119" s="3">
        <v>3.9839710917344999</v>
      </c>
      <c r="D119" s="3">
        <v>3.2581101013674698</v>
      </c>
      <c r="E119" s="3">
        <v>3.4332900017611401</v>
      </c>
      <c r="F119" s="3">
        <v>2.19333570859534</v>
      </c>
      <c r="G119" s="3">
        <v>3.3036357288390401</v>
      </c>
      <c r="H119" s="3">
        <v>4.2097992886281803</v>
      </c>
      <c r="I119" s="3">
        <v>0.88267729319970401</v>
      </c>
      <c r="J119" s="3">
        <v>1.47134148240322</v>
      </c>
      <c r="K119" s="3">
        <v>3.1324554288638402</v>
      </c>
      <c r="L119" s="3">
        <v>2.4859623377996498</v>
      </c>
      <c r="M119" s="3">
        <v>3.3062375359233598</v>
      </c>
      <c r="N119" s="3">
        <v>5.3248534316678899</v>
      </c>
    </row>
    <row r="120" spans="1:25" x14ac:dyDescent="0.35">
      <c r="A120" s="2">
        <v>45379</v>
      </c>
      <c r="B120" s="3">
        <v>2.74179906309109</v>
      </c>
      <c r="C120" s="3">
        <v>3.89800473260612</v>
      </c>
      <c r="D120" s="3">
        <v>3.10692325273597</v>
      </c>
      <c r="E120" s="3">
        <v>3.2469229783637799</v>
      </c>
      <c r="F120" s="3">
        <v>2.1577284741320599</v>
      </c>
      <c r="G120" s="3">
        <v>3.2623862770419101</v>
      </c>
      <c r="H120" s="3">
        <v>4.0254963346234902</v>
      </c>
      <c r="I120" s="3">
        <v>0.88247780360133599</v>
      </c>
      <c r="J120" s="3">
        <v>1.4269830069868701</v>
      </c>
      <c r="K120" s="3">
        <v>3.0531297300006002</v>
      </c>
      <c r="L120" s="3">
        <v>2.5193439140388301</v>
      </c>
      <c r="M120" s="3">
        <v>3.2305999509815999</v>
      </c>
      <c r="N120" s="3">
        <v>5.0761901758371097</v>
      </c>
    </row>
    <row r="121" spans="1:25" x14ac:dyDescent="0.35">
      <c r="A121" s="2">
        <v>45412</v>
      </c>
      <c r="B121" s="3">
        <v>2.7463353353453099</v>
      </c>
      <c r="C121" s="3">
        <v>4.0156245451039903</v>
      </c>
      <c r="D121" s="3">
        <v>3.1413647727970102</v>
      </c>
      <c r="E121" s="3">
        <v>3.3906448019887101</v>
      </c>
      <c r="F121" s="3">
        <v>2.2053176549983702</v>
      </c>
      <c r="G121" s="3">
        <v>3.4144094278527302</v>
      </c>
      <c r="H121" s="3">
        <v>3.9383967804942199</v>
      </c>
      <c r="I121" s="3">
        <v>0.94389688030197405</v>
      </c>
      <c r="J121" s="3">
        <v>1.50897382186799</v>
      </c>
      <c r="K121" s="3">
        <v>3.14682611644802</v>
      </c>
      <c r="L121" s="3">
        <v>2.5916190010633202</v>
      </c>
      <c r="M121" s="3">
        <v>3.2745858133541099</v>
      </c>
      <c r="N121" s="3">
        <v>5.3081319225203796</v>
      </c>
    </row>
    <row r="122" spans="1:25" x14ac:dyDescent="0.35">
      <c r="A122" s="2">
        <v>45441</v>
      </c>
      <c r="B122" s="3">
        <v>2.7593830697207999</v>
      </c>
      <c r="C122" s="3">
        <v>4.0307131775937304</v>
      </c>
      <c r="D122" s="3">
        <v>3.2912449917061699</v>
      </c>
      <c r="E122" s="3">
        <v>3.38226238077507</v>
      </c>
      <c r="F122" s="3">
        <v>2.2363085243691101</v>
      </c>
      <c r="G122" s="3">
        <v>3.2679593568862599</v>
      </c>
      <c r="H122" s="3">
        <v>3.9107747950974598</v>
      </c>
      <c r="I122" s="3">
        <v>0.89639296821571501</v>
      </c>
      <c r="J122" s="3">
        <v>1.4636113624261</v>
      </c>
      <c r="K122" s="3">
        <v>3.1887245822555998</v>
      </c>
      <c r="L122" s="3">
        <v>2.5013695048134501</v>
      </c>
      <c r="M122" s="3">
        <v>3.2195705815790299</v>
      </c>
      <c r="N122" s="3">
        <v>5.25523133527998</v>
      </c>
    </row>
    <row r="125" spans="1:25" x14ac:dyDescent="0.35">
      <c r="A125" s="2" t="s">
        <v>91</v>
      </c>
      <c r="B125" s="3" cm="1">
        <f t="array" ref="B125">MIN(_xlfn._xlws.FILTER(B1:B122, ISNUMBER(B1:B122)))</f>
        <v>2.3259965713647999</v>
      </c>
      <c r="C125" s="3" cm="1">
        <f t="array" ref="C125">MIN(_xlfn._xlws.FILTER(C1:C122, ISNUMBER(C1:C122)))</f>
        <v>3.4016949057253498</v>
      </c>
      <c r="D125" s="3" cm="1">
        <f t="array" ref="D125">MIN(_xlfn._xlws.FILTER(D1:D122, ISNUMBER(D1:D122)))</f>
        <v>2.62112529194407</v>
      </c>
      <c r="E125" s="3" cm="1">
        <f t="array" ref="E125">MIN(_xlfn._xlws.FILTER(E1:E122, ISNUMBER(E1:E122)))</f>
        <v>2.6840642910946402</v>
      </c>
      <c r="F125" s="3" cm="1">
        <f t="array" ref="F125">MIN(_xlfn._xlws.FILTER(F1:F122, ISNUMBER(F1:F122)))</f>
        <v>1.8249837080590801</v>
      </c>
      <c r="G125" s="3" cm="1">
        <f t="array" ref="G125">MIN(_xlfn._xlws.FILTER(G1:G122, ISNUMBER(G1:G122)))</f>
        <v>2.5276605735921902</v>
      </c>
      <c r="H125" s="3" cm="1">
        <f t="array" ref="H125">MIN(_xlfn._xlws.FILTER(H1:H122, ISNUMBER(H1:H122)))</f>
        <v>3.8158169473546502</v>
      </c>
      <c r="I125" s="3" cm="1">
        <f t="array" ref="I125">MIN(_xlfn._xlws.FILTER(I1:I122, ISNUMBER(I1:I122)))</f>
        <v>0.66798362760113095</v>
      </c>
      <c r="J125" s="3" cm="1">
        <f t="array" ref="J125">MIN(_xlfn._xlws.FILTER(J1:J122, ISNUMBER(J1:J122)))</f>
        <v>1.35459202448055</v>
      </c>
      <c r="K125" s="3" cm="1">
        <f t="array" ref="K125">MIN(_xlfn._xlws.FILTER(K1:K122, ISNUMBER(K1:K122)))</f>
        <v>2.66882638839735</v>
      </c>
      <c r="L125" s="3" cm="1">
        <f t="array" ref="L125">MIN(_xlfn._xlws.FILTER(L1:L122, ISNUMBER(L1:L122)))</f>
        <v>1.8185162672531501</v>
      </c>
      <c r="M125" s="3" cm="1">
        <f t="array" ref="M125">MIN(_xlfn._xlws.FILTER(M1:M122, ISNUMBER(M1:M122)))</f>
        <v>2.7048535290372899</v>
      </c>
      <c r="N125" s="3" cm="1">
        <f t="array" ref="N125">MIN(_xlfn._xlws.FILTER(N1:N122, ISNUMBER(N1:N122)))</f>
        <v>3.1165728231883199</v>
      </c>
    </row>
    <row r="126" spans="1:25" x14ac:dyDescent="0.35">
      <c r="A126" s="2" t="s">
        <v>92</v>
      </c>
      <c r="B126" s="3" cm="1">
        <f t="array" ref="B126">MAX(_xlfn._xlws.FILTER(B1:B122, ISNUMBER(B1:B122)))</f>
        <v>5.2958590865534196</v>
      </c>
      <c r="C126" s="3" cm="1">
        <f t="array" ref="C126">MAX(_xlfn._xlws.FILTER(C1:C122, ISNUMBER(C1:C122)))</f>
        <v>5.4823650557935801</v>
      </c>
      <c r="D126" s="3" cm="1">
        <f t="array" ref="D126">MAX(_xlfn._xlws.FILTER(D1:D122, ISNUMBER(D1:D122)))</f>
        <v>4.2842646446520902</v>
      </c>
      <c r="E126" s="3" cm="1">
        <f t="array" ref="E126">MAX(_xlfn._xlws.FILTER(E1:E122, ISNUMBER(E1:E122)))</f>
        <v>4.4846100059377303</v>
      </c>
      <c r="F126" s="3" cm="1">
        <f t="array" ref="F126">MAX(_xlfn._xlws.FILTER(F1:F122, ISNUMBER(F1:F122)))</f>
        <v>2.9808604587440501</v>
      </c>
      <c r="G126" s="3" cm="1">
        <f t="array" ref="G126">MAX(_xlfn._xlws.FILTER(G1:G122, ISNUMBER(G1:G122)))</f>
        <v>3.7055029764154299</v>
      </c>
      <c r="H126" s="3" cm="1">
        <f t="array" ref="H126">MAX(_xlfn._xlws.FILTER(H1:H122, ISNUMBER(H1:H122)))</f>
        <v>6.1034258946212496</v>
      </c>
      <c r="I126" s="3" cm="1">
        <f t="array" ref="I126">MAX(_xlfn._xlws.FILTER(I1:I122, ISNUMBER(I1:I122)))</f>
        <v>1.4161315246833099</v>
      </c>
      <c r="J126" s="3" cm="1">
        <f t="array" ref="J126">MAX(_xlfn._xlws.FILTER(J1:J122, ISNUMBER(J1:J122)))</f>
        <v>2.4751977345461702</v>
      </c>
      <c r="K126" s="3" cm="1">
        <f t="array" ref="K126">MAX(_xlfn._xlws.FILTER(K1:K122, ISNUMBER(K1:K122)))</f>
        <v>4.3060754394827701</v>
      </c>
      <c r="L126" s="3" cm="1">
        <f t="array" ref="L126">MAX(_xlfn._xlws.FILTER(L1:L122, ISNUMBER(L1:L122)))</f>
        <v>3.7660388348092799</v>
      </c>
      <c r="M126" s="3" cm="1">
        <f t="array" ref="M126">MAX(_xlfn._xlws.FILTER(M1:M122, ISNUMBER(M1:M122)))</f>
        <v>4.73856562537439</v>
      </c>
      <c r="N126" s="3" cm="1">
        <f t="array" ref="N126">MAX(_xlfn._xlws.FILTER(N1:N122, ISNUMBER(N1:N122)))</f>
        <v>6.21984132999805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0.188</v>
      </c>
      <c r="C128" s="9" cm="1">
        <f t="array" ref="C128">_xlfn.PERCENTRANK.EXC(_xlfn._xlws.FILTER(C1:C122, ISNUMBER(C1:C122)),C122)</f>
        <v>0.188</v>
      </c>
      <c r="D128" s="9" cm="1">
        <f t="array" ref="D128">_xlfn.PERCENTRANK.EXC(_xlfn._xlws.FILTER(D1:D122, ISNUMBER(D1:D122)),D122)</f>
        <v>0.67200000000000004</v>
      </c>
      <c r="E128" s="9" cm="1">
        <f t="array" ref="E128">_xlfn.PERCENTRANK.EXC(_xlfn._xlws.FILTER(E1:E122, ISNUMBER(E1:E122)),E122)</f>
        <v>0.63900000000000001</v>
      </c>
      <c r="F128" s="9" cm="1">
        <f t="array" ref="F128">_xlfn.PERCENTRANK.EXC(_xlfn._xlws.FILTER(F1:F122, ISNUMBER(F1:F122)),F122)</f>
        <v>0.40899999999999997</v>
      </c>
      <c r="G128" s="9" cm="1">
        <f t="array" ref="G128">_xlfn.PERCENTRANK.EXC(_xlfn._xlws.FILTER(G1:G122, ISNUMBER(G1:G122)),G122)</f>
        <v>0.50800000000000001</v>
      </c>
      <c r="H128" s="9" cm="1">
        <f t="array" ref="H128">_xlfn.PERCENTRANK.EXC(_xlfn._xlws.FILTER(H1:H122, ISNUMBER(H1:H122)),H122)</f>
        <v>0.09</v>
      </c>
      <c r="I128" s="9" cm="1">
        <f t="array" ref="I128">_xlfn.PERCENTRANK.EXC(_xlfn._xlws.FILTER(I1:I122, ISNUMBER(I1:I122)),I122)</f>
        <v>0.27800000000000002</v>
      </c>
      <c r="J128" s="9" cm="1">
        <f t="array" ref="J128">_xlfn.PERCENTRANK.EXC(_xlfn._xlws.FILTER(J1:J122, ISNUMBER(J1:J122)),J122)</f>
        <v>9.8000000000000004E-2</v>
      </c>
      <c r="K128" s="9" cm="1">
        <f t="array" ref="K128">_xlfn.PERCENTRANK.EXC(_xlfn._xlws.FILTER(K1:K122, ISNUMBER(K1:K122)),K122)</f>
        <v>0.245</v>
      </c>
      <c r="L128" s="9" cm="1">
        <f t="array" ref="L128">_xlfn.PERCENTRANK.EXC(_xlfn._xlws.FILTER(L1:L122, ISNUMBER(L1:L122)),L122)</f>
        <v>0.21299999999999999</v>
      </c>
      <c r="M128" s="9" cm="1">
        <f t="array" ref="M128">_xlfn.PERCENTRANK.EXC(_xlfn._xlws.FILTER(M1:M122, ISNUMBER(M1:M122)),M122)</f>
        <v>0.19600000000000001</v>
      </c>
      <c r="N128" s="9" cm="1">
        <f t="array" ref="N128">_xlfn.PERCENTRANK.EXC(_xlfn._xlws.FILTER(N1:N122, ISNUMBER(N1:N122)),N122)</f>
        <v>0.79500000000000004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41789</v>
      </c>
      <c r="B2" s="24" cm="1">
        <f t="array" ref="B2:B122">_xll.FDS(B1,"FG_TOTAL_RETURNC(-10AY,0,AM)")/100</f>
        <v>-2.5339722999999998E-2</v>
      </c>
      <c r="C2" s="24" cm="1">
        <f t="array" ref="C2:C122">_xll.FDS(C1,"FG_TOTAL_RETURNC(-10AY,0,AM)")/100</f>
        <v>4.1587352999999999E-3</v>
      </c>
      <c r="D2" s="24" cm="1">
        <f t="array" ref="D2:D122">_xll.FDS(D1,"FG_TOTAL_RETURNC(-10AY,0,AM)")/100</f>
        <v>5.2390099999999997E-3</v>
      </c>
      <c r="E2" s="24" cm="1">
        <f t="array" ref="E2:E122">_xll.FDS(E1,"FG_TOTAL_RETURNC(-10AY,0,AM)")/100</f>
        <v>1.4520168E-2</v>
      </c>
      <c r="F2" s="24" cm="1">
        <f t="array" ref="F2:F122">_xll.FDS(F1,"FG_TOTAL_RETURNC(-10AY,0,AM)")/100</f>
        <v>4.5126319999999998E-2</v>
      </c>
      <c r="G2" s="24" cm="1">
        <f t="array" ref="G2:G122">_xll.FDS(G1,"FG_TOTAL_RETURNC(-10AY,0,AM)")/100</f>
        <v>6.5658090000000006E-3</v>
      </c>
      <c r="H2" s="24" cm="1">
        <f t="array" ref="H2:H122">_xll.FDS(H1,"FG_TOTAL_RETURNC(-10AY,0,AM)")/100</f>
        <v>9.7583529999999991E-3</v>
      </c>
      <c r="I2" s="24" cm="1">
        <f t="array" ref="I2:I122">_xll.FDS(I1,"FG_TOTAL_RETURNC(-10AY,0,AM)")/100</f>
        <v>4.4856429999999996E-2</v>
      </c>
      <c r="J2" s="24" cm="1">
        <f t="array" ref="J2:J122">_xll.FDS(J1,"FG_TOTAL_RETURNC(-10AY,0,AM)")/100</f>
        <v>2.3206353000000002E-2</v>
      </c>
      <c r="K2" s="24" cm="1">
        <f t="array" ref="K2:K122">_xll.FDS(K1,"FG_TOTAL_RETURNC(-10AY,0,AM)")/100</f>
        <v>5.3262710000000005E-3</v>
      </c>
      <c r="L2" s="24" cm="1">
        <f t="array" ref="L2:L122">_xll.FDS(L1,"FG_TOTAL_RETURNC(-10AY,0,AM)")/100</f>
        <v>8.5602999999999999E-3</v>
      </c>
      <c r="M2" s="24" cm="1">
        <f t="array" ref="M2:M122">_xll.FDS(M1,"FG_TOTAL_RETURNC(-10AY,0,AM)")/100</f>
        <v>3.2547712000000001E-3</v>
      </c>
      <c r="N2" s="24" cm="1">
        <f t="array" ref="N2:N122">_xll.FDS(N1,"FG_TOTAL_RETURNC(-10AY,0,AM)")/100</f>
        <v>-1.9955694999999999E-2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41820</v>
      </c>
      <c r="B3" s="24">
        <v>1.8623232999999999E-2</v>
      </c>
      <c r="C3" s="24">
        <v>-1.3749003000000002E-3</v>
      </c>
      <c r="D3" s="24">
        <v>5.6968449999999997E-2</v>
      </c>
      <c r="E3" s="24">
        <v>-7.124722E-3</v>
      </c>
      <c r="F3" s="24">
        <v>4.6839713999999998E-2</v>
      </c>
      <c r="G3" s="24">
        <v>-4.2902230000000001E-3</v>
      </c>
      <c r="H3" s="24">
        <v>8.1435440000000008E-3</v>
      </c>
      <c r="I3" s="24">
        <v>3.1236053E-2</v>
      </c>
      <c r="J3" s="24">
        <v>2.0633460000000003E-2</v>
      </c>
      <c r="K3" s="24">
        <v>-1.4561653000000001E-2</v>
      </c>
      <c r="L3" s="24">
        <v>5.8058500000000004E-3</v>
      </c>
      <c r="M3" s="24">
        <v>-1.8920124E-2</v>
      </c>
      <c r="N3" s="24">
        <v>-3.1986832999999996E-3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41851</v>
      </c>
      <c r="B4" s="24">
        <v>-3.6316215999999998E-2</v>
      </c>
      <c r="C4" s="24">
        <v>1.7604351000000001E-2</v>
      </c>
      <c r="D4" s="24">
        <v>-1.5522838000000001E-3</v>
      </c>
      <c r="E4" s="24">
        <v>-6.8094672999999994E-2</v>
      </c>
      <c r="F4" s="24">
        <v>-3.3222436999999997E-3</v>
      </c>
      <c r="G4" s="24">
        <v>-4.4289055000000001E-2</v>
      </c>
      <c r="H4" s="24">
        <v>-2.3946345000000001E-2</v>
      </c>
      <c r="I4" s="24">
        <v>1.1819720000000001E-2</v>
      </c>
      <c r="J4" s="24">
        <v>-1.3437569E-2</v>
      </c>
      <c r="K4" s="24">
        <v>-6.5866229999999998E-2</v>
      </c>
      <c r="L4" s="24">
        <v>-5.8203100000000001E-2</v>
      </c>
      <c r="M4" s="24">
        <v>-3.3163190000000002E-2</v>
      </c>
      <c r="N4" s="24">
        <v>-5.9838829999999996E-2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41880</v>
      </c>
      <c r="B5" s="24">
        <v>5.665064E-3</v>
      </c>
      <c r="C5" s="24">
        <v>2.1436571999999997E-2</v>
      </c>
      <c r="D5" s="24">
        <v>2.1766186E-2</v>
      </c>
      <c r="E5" s="24">
        <v>-7.890224500000001E-3</v>
      </c>
      <c r="F5" s="24">
        <v>-1.6666650999999998E-2</v>
      </c>
      <c r="G5" s="24">
        <v>2.5304913999999998E-2</v>
      </c>
      <c r="H5" s="24">
        <v>7.8508854000000003E-3</v>
      </c>
      <c r="I5" s="24">
        <v>5.0094724E-2</v>
      </c>
      <c r="J5" s="24">
        <v>3.9463520000000002E-2</v>
      </c>
      <c r="K5" s="24">
        <v>1.2486219999999999E-2</v>
      </c>
      <c r="L5" s="24">
        <v>2.0323515E-2</v>
      </c>
      <c r="M5" s="24">
        <v>-1.9056797E-3</v>
      </c>
      <c r="N5" s="24">
        <v>-2.2643805000000003E-2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41912</v>
      </c>
      <c r="B6" s="24">
        <v>-5.7310819999999998E-2</v>
      </c>
      <c r="C6" s="24">
        <v>-0.11855668</v>
      </c>
      <c r="D6" s="24">
        <v>-6.6037709999999999E-2</v>
      </c>
      <c r="E6" s="24">
        <v>-4.2185306999999998E-2</v>
      </c>
      <c r="F6" s="24">
        <v>-2.5423765E-3</v>
      </c>
      <c r="G6" s="24">
        <v>-3.3303677999999996E-2</v>
      </c>
      <c r="H6" s="24">
        <v>-5.6475280000000003E-2</v>
      </c>
      <c r="I6" s="24">
        <v>-7.5668690000000004E-3</v>
      </c>
      <c r="J6" s="24">
        <v>-1.3791203E-2</v>
      </c>
      <c r="K6" s="24">
        <v>-3.6996781999999999E-2</v>
      </c>
      <c r="L6" s="24">
        <v>-1.8699228999999998E-2</v>
      </c>
      <c r="M6" s="24">
        <v>-2.8051078E-2</v>
      </c>
      <c r="N6" s="24">
        <v>-1.7532945000000001E-2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41943</v>
      </c>
      <c r="B7" s="24">
        <v>3.3512592000000001E-2</v>
      </c>
      <c r="C7" s="24">
        <v>6.2238930000000005E-2</v>
      </c>
      <c r="D7" s="24">
        <v>-2.5089621999999999E-2</v>
      </c>
      <c r="E7" s="24">
        <v>-1.6967534999999999E-2</v>
      </c>
      <c r="F7" s="24">
        <v>2.4638891E-2</v>
      </c>
      <c r="G7" s="24">
        <v>-4.3063759999999998E-3</v>
      </c>
      <c r="H7" s="24">
        <v>-1.9091785E-2</v>
      </c>
      <c r="I7" s="24">
        <v>2.6419640000000001E-2</v>
      </c>
      <c r="J7" s="24">
        <v>2.3550867999999999E-2</v>
      </c>
      <c r="K7" s="24">
        <v>-3.766477E-2</v>
      </c>
      <c r="L7" s="24">
        <v>-1.5737354999999998E-2</v>
      </c>
      <c r="M7" s="24">
        <v>-5.1375630000000004E-3</v>
      </c>
      <c r="N7" s="24">
        <v>-5.0350546999999996E-2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41971</v>
      </c>
      <c r="B8" s="24">
        <v>5.7842729999999995E-3</v>
      </c>
      <c r="C8" s="24">
        <v>-7.0782603999999999E-2</v>
      </c>
      <c r="D8" s="24">
        <v>6.6840650000000003E-4</v>
      </c>
      <c r="E8" s="24">
        <v>5.7289839999999995E-2</v>
      </c>
      <c r="F8" s="24">
        <v>-3.6484299999999997E-2</v>
      </c>
      <c r="G8" s="24">
        <v>2.5332093000000003E-2</v>
      </c>
      <c r="H8" s="24">
        <v>1.0521412E-3</v>
      </c>
      <c r="I8" s="24">
        <v>4.546356E-2</v>
      </c>
      <c r="J8" s="24">
        <v>2.7471899999999997E-2</v>
      </c>
      <c r="K8" s="24">
        <v>2.9745579000000001E-2</v>
      </c>
      <c r="L8" s="24">
        <v>4.8396229999999998E-2</v>
      </c>
      <c r="M8" s="24">
        <v>1.8529772999999999E-2</v>
      </c>
      <c r="N8" s="24">
        <v>-1.342237E-3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42004</v>
      </c>
      <c r="B9" s="24">
        <v>2.7281759999999999E-2</v>
      </c>
      <c r="C9" s="24">
        <v>-3.1299054999999999E-2</v>
      </c>
      <c r="D9" s="24">
        <v>-2.2760987E-2</v>
      </c>
      <c r="E9" s="24">
        <v>-4.7933339999999998E-2</v>
      </c>
      <c r="F9" s="24">
        <v>-2.7009964000000001E-2</v>
      </c>
      <c r="G9" s="24">
        <v>-4.5194270000000002E-2</v>
      </c>
      <c r="H9" s="24">
        <v>-3.3848226000000002E-2</v>
      </c>
      <c r="I9" s="24">
        <v>-2.2423923000000002E-2</v>
      </c>
      <c r="J9" s="24">
        <v>-2.5601983000000002E-3</v>
      </c>
      <c r="K9" s="24">
        <v>-5.4771365999999995E-2</v>
      </c>
      <c r="L9" s="24">
        <v>-3.7062466000000002E-2</v>
      </c>
      <c r="M9" s="24">
        <v>-4.8536777000000003E-2</v>
      </c>
      <c r="N9" s="24">
        <v>-7.9669420000000005E-2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42034</v>
      </c>
      <c r="B10" s="24">
        <v>-3.5767912999999998E-2</v>
      </c>
      <c r="C10" s="24">
        <v>-1.1276484E-2</v>
      </c>
      <c r="D10" s="24">
        <v>-8.3853059999999993E-2</v>
      </c>
      <c r="E10" s="24">
        <v>2.3349166000000001E-2</v>
      </c>
      <c r="F10" s="24">
        <v>2.224195E-2</v>
      </c>
      <c r="G10" s="24">
        <v>1.893282E-3</v>
      </c>
      <c r="H10" s="24">
        <v>5.5468081999999997E-4</v>
      </c>
      <c r="I10" s="24">
        <v>-2.082324E-2</v>
      </c>
      <c r="J10" s="24">
        <v>-2.9629229999999999E-2</v>
      </c>
      <c r="K10" s="24">
        <v>1.2170434000000001E-2</v>
      </c>
      <c r="L10" s="24">
        <v>3.5556555000000002E-3</v>
      </c>
      <c r="M10" s="24">
        <v>2.4313210999999998E-2</v>
      </c>
      <c r="N10" s="24">
        <v>8.0882309999999995E-3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42062</v>
      </c>
      <c r="B11" s="24">
        <v>6.2256812999999994E-2</v>
      </c>
      <c r="C11" s="24">
        <v>8.0291990000000008E-2</v>
      </c>
      <c r="D11" s="24">
        <v>5.9757949999999997E-2</v>
      </c>
      <c r="E11" s="24">
        <v>5.8823585999999997E-2</v>
      </c>
      <c r="F11" s="24">
        <v>7.4847700000000003E-2</v>
      </c>
      <c r="G11" s="24">
        <v>4.9448850000000003E-2</v>
      </c>
      <c r="H11" s="24">
        <v>5.875826E-2</v>
      </c>
      <c r="I11" s="24">
        <v>7.2205779999999997E-2</v>
      </c>
      <c r="J11" s="24">
        <v>5.6204557000000002E-2</v>
      </c>
      <c r="K11" s="24">
        <v>6.2124249999999999E-2</v>
      </c>
      <c r="L11" s="24">
        <v>6.6694500000000004E-2</v>
      </c>
      <c r="M11" s="24">
        <v>7.0283650000000003E-2</v>
      </c>
      <c r="N11" s="24">
        <v>8.5339180000000001E-2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42094</v>
      </c>
      <c r="B12" s="24">
        <v>-2.1733820000000001E-2</v>
      </c>
      <c r="C12" s="24">
        <v>-3.4628391000000001E-2</v>
      </c>
      <c r="D12" s="24">
        <v>-2.9978573000000001E-2</v>
      </c>
      <c r="E12" s="24">
        <v>4.7137736999999999E-3</v>
      </c>
      <c r="F12" s="24">
        <v>1.4574884999999999E-2</v>
      </c>
      <c r="G12" s="24">
        <v>-3.3013225000000004E-3</v>
      </c>
      <c r="H12" s="24">
        <v>-5.7068050000000002E-2</v>
      </c>
      <c r="I12" s="24">
        <v>-2.3603678000000003E-2</v>
      </c>
      <c r="J12" s="24">
        <v>-1.5744805000000001E-2</v>
      </c>
      <c r="K12" s="24">
        <v>-1.9622683999999998E-2</v>
      </c>
      <c r="L12" s="24">
        <v>-1.2114107999999998E-2</v>
      </c>
      <c r="M12" s="24">
        <v>-3.5714328000000004E-2</v>
      </c>
      <c r="N12" s="24">
        <v>-5.3763389999999999E-3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42124</v>
      </c>
      <c r="B13" s="24">
        <v>1.2234092E-2</v>
      </c>
      <c r="C13" s="24">
        <v>2.012241E-2</v>
      </c>
      <c r="D13" s="24">
        <v>7.1376084999999992E-2</v>
      </c>
      <c r="E13" s="24">
        <v>-7.3726180000000001E-3</v>
      </c>
      <c r="F13" s="24">
        <v>2.6336789999999999E-2</v>
      </c>
      <c r="G13" s="24">
        <v>4.0048239999999999E-2</v>
      </c>
      <c r="H13" s="24">
        <v>6.6629529999999992E-2</v>
      </c>
      <c r="I13" s="24">
        <v>1.9223452000000002E-2</v>
      </c>
      <c r="J13" s="24">
        <v>9.8339320000000001E-3</v>
      </c>
      <c r="K13" s="24">
        <v>4.5419574000000004E-2</v>
      </c>
      <c r="L13" s="24">
        <v>3.2832264999999999E-2</v>
      </c>
      <c r="M13" s="24">
        <v>1.6129017000000002E-2</v>
      </c>
      <c r="N13" s="24">
        <v>3.1756758999999996E-2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42153</v>
      </c>
      <c r="B14" s="24">
        <v>-5.9928299999999997E-2</v>
      </c>
      <c r="C14" s="24">
        <v>-3.3447623000000003E-2</v>
      </c>
      <c r="D14" s="24">
        <v>-4.6016510000000004E-2</v>
      </c>
      <c r="E14" s="24">
        <v>-1.7218113E-2</v>
      </c>
      <c r="F14" s="24">
        <v>1.4774560999999999E-2</v>
      </c>
      <c r="G14" s="24">
        <v>2.4898647999999999E-2</v>
      </c>
      <c r="H14" s="24">
        <v>6.2468049999999994E-3</v>
      </c>
      <c r="I14" s="24">
        <v>2.2484540000000001E-2</v>
      </c>
      <c r="J14" s="24">
        <v>1.2856126000000001E-2</v>
      </c>
      <c r="K14" s="24">
        <v>-8.4683299999999996E-3</v>
      </c>
      <c r="L14" s="24">
        <v>1.7617701999999999E-2</v>
      </c>
      <c r="M14" s="24">
        <v>-1.7637014E-3</v>
      </c>
      <c r="N14" s="24">
        <v>1.899147E-2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42185</v>
      </c>
      <c r="B15" s="24">
        <v>-6.6702184999999997E-2</v>
      </c>
      <c r="C15" s="24">
        <v>-4.438156E-2</v>
      </c>
      <c r="D15" s="24">
        <v>-3.2566129999999999E-2</v>
      </c>
      <c r="E15" s="24">
        <v>-2.5632261999999999E-2</v>
      </c>
      <c r="F15" s="24">
        <v>-1.3438344E-2</v>
      </c>
      <c r="G15" s="24">
        <v>-5.2762746999999999E-2</v>
      </c>
      <c r="H15" s="24">
        <v>-3.8664758E-2</v>
      </c>
      <c r="I15" s="24">
        <v>-2.4828374E-2</v>
      </c>
      <c r="J15" s="24">
        <v>-2.0290612999999999E-2</v>
      </c>
      <c r="K15" s="24">
        <v>-2.8395473999999997E-2</v>
      </c>
      <c r="L15" s="24">
        <v>-2.1730660999999998E-2</v>
      </c>
      <c r="M15" s="24">
        <v>-3.1572282E-2</v>
      </c>
      <c r="N15" s="24">
        <v>-2.6199996E-2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42216</v>
      </c>
      <c r="B16" s="24">
        <v>5.1903725000000001E-3</v>
      </c>
      <c r="C16" s="24">
        <v>-5.2306649999999998E-3</v>
      </c>
      <c r="D16" s="24">
        <v>-4.1994809999999994E-2</v>
      </c>
      <c r="E16" s="24">
        <v>1.6140580000000002E-2</v>
      </c>
      <c r="F16" s="24">
        <v>9.3677043999999994E-3</v>
      </c>
      <c r="G16" s="24">
        <v>4.1221379999999995E-2</v>
      </c>
      <c r="H16" s="24">
        <v>1.5890478999999999E-2</v>
      </c>
      <c r="I16" s="24">
        <v>4.5577645E-2</v>
      </c>
      <c r="J16" s="24">
        <v>2.2589207E-2</v>
      </c>
      <c r="K16" s="24">
        <v>4.0808440000000001E-2</v>
      </c>
      <c r="L16" s="24">
        <v>3.1529783999999998E-2</v>
      </c>
      <c r="M16" s="24">
        <v>8.4985495000000008E-3</v>
      </c>
      <c r="N16" s="24">
        <v>3.9623856999999998E-2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42247</v>
      </c>
      <c r="B17" s="24">
        <v>-7.573146E-2</v>
      </c>
      <c r="C17" s="24">
        <v>-0.10850863999999999</v>
      </c>
      <c r="D17" s="24">
        <v>-5.0097823000000007E-2</v>
      </c>
      <c r="E17" s="24">
        <v>-7.0243539999999993E-2</v>
      </c>
      <c r="F17" s="24">
        <v>-6.2645015999999998E-2</v>
      </c>
      <c r="G17" s="24">
        <v>-6.6862164000000002E-2</v>
      </c>
      <c r="H17" s="24">
        <v>-7.9827490000000001E-2</v>
      </c>
      <c r="I17" s="24">
        <v>-6.8244752999999991E-2</v>
      </c>
      <c r="J17" s="24">
        <v>-6.09501E-2</v>
      </c>
      <c r="K17" s="24">
        <v>-6.5720677000000005E-2</v>
      </c>
      <c r="L17" s="24">
        <v>-7.6603770000000002E-2</v>
      </c>
      <c r="M17" s="24">
        <v>-5.3214789999999998E-2</v>
      </c>
      <c r="N17" s="24">
        <v>-4.3927609999999999E-2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42277</v>
      </c>
      <c r="B18" s="24">
        <v>-7.4488520000000006E-3</v>
      </c>
      <c r="C18" s="24">
        <v>-3.9142072E-2</v>
      </c>
      <c r="D18" s="24">
        <v>-5.2327989999999998E-2</v>
      </c>
      <c r="E18" s="24">
        <v>-6.0744103999999993E-2</v>
      </c>
      <c r="F18" s="24">
        <v>-5.6930660000000001E-2</v>
      </c>
      <c r="G18" s="24">
        <v>-3.8654923000000001E-2</v>
      </c>
      <c r="H18" s="24">
        <v>-3.9273142999999996E-2</v>
      </c>
      <c r="I18" s="24">
        <v>-2.2038519999999999E-2</v>
      </c>
      <c r="J18" s="24">
        <v>-2.5430024000000002E-2</v>
      </c>
      <c r="K18" s="24">
        <v>-3.7969650000000001E-2</v>
      </c>
      <c r="L18" s="24">
        <v>-4.3726979999999999E-2</v>
      </c>
      <c r="M18" s="24">
        <v>-4.3019532999999999E-2</v>
      </c>
      <c r="N18" s="24">
        <v>-3.2432437000000001E-2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42307</v>
      </c>
      <c r="B19" s="24">
        <v>0.13617886000000001</v>
      </c>
      <c r="C19" s="24">
        <v>5.5803537E-2</v>
      </c>
      <c r="D19" s="24">
        <v>3.4782529999999999E-2</v>
      </c>
      <c r="E19" s="24">
        <v>9.5796350000000002E-2</v>
      </c>
      <c r="F19" s="24">
        <v>7.7865243000000001E-2</v>
      </c>
      <c r="G19" s="24">
        <v>3.8574695999999999E-2</v>
      </c>
      <c r="H19" s="24">
        <v>6.5893889999999997E-2</v>
      </c>
      <c r="I19" s="24">
        <v>0.11369884499999999</v>
      </c>
      <c r="J19" s="24">
        <v>8.5059640000000006E-2</v>
      </c>
      <c r="K19" s="24">
        <v>7.1458339999999995E-2</v>
      </c>
      <c r="L19" s="24">
        <v>6.8376064E-2</v>
      </c>
      <c r="M19" s="24">
        <v>3.8580774999999998E-2</v>
      </c>
      <c r="N19" s="24">
        <v>3.4217954000000002E-2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42338</v>
      </c>
      <c r="B20" s="24">
        <v>-1.5549719E-2</v>
      </c>
      <c r="C20" s="24">
        <v>8.9851619999999997E-3</v>
      </c>
      <c r="D20" s="24">
        <v>-2.2268832000000002E-2</v>
      </c>
      <c r="E20" s="24">
        <v>5.1641464000000007E-3</v>
      </c>
      <c r="F20" s="24">
        <v>4.8701763E-3</v>
      </c>
      <c r="G20" s="24">
        <v>-2.7699113000000001E-2</v>
      </c>
      <c r="H20" s="24">
        <v>-1.6599834000000001E-2</v>
      </c>
      <c r="I20" s="24">
        <v>6.0883759999999995E-3</v>
      </c>
      <c r="J20" s="24">
        <v>3.6550759999999997E-3</v>
      </c>
      <c r="K20" s="24">
        <v>-2.3264824999999999E-2</v>
      </c>
      <c r="L20" s="24">
        <v>-1.0800004E-2</v>
      </c>
      <c r="M20" s="24">
        <v>3.9801597999999999E-3</v>
      </c>
      <c r="N20" s="24">
        <v>-2.8359234000000001E-2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42369</v>
      </c>
      <c r="B21" s="24">
        <v>6.7839980000000008E-2</v>
      </c>
      <c r="C21" s="24">
        <v>2.0926117999999997E-2</v>
      </c>
      <c r="D21" s="24">
        <v>-6.3515243999999998E-2</v>
      </c>
      <c r="E21" s="24">
        <v>-3.8899064000000004E-2</v>
      </c>
      <c r="F21" s="24">
        <v>-1.3874589999999999E-2</v>
      </c>
      <c r="G21" s="24">
        <v>4.8559903999999994E-3</v>
      </c>
      <c r="H21" s="24">
        <v>-4.1776476E-2</v>
      </c>
      <c r="I21" s="24">
        <v>-1.5886188000000002E-2</v>
      </c>
      <c r="J21" s="24">
        <v>-1.7179251E-2</v>
      </c>
      <c r="K21" s="24">
        <v>-3.5413325000000002E-2</v>
      </c>
      <c r="L21" s="24">
        <v>-3.0060053E-2</v>
      </c>
      <c r="M21" s="24">
        <v>-3.5153746999999999E-2</v>
      </c>
      <c r="N21" s="24">
        <v>-4.2285085E-2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42398</v>
      </c>
      <c r="B22" s="24">
        <v>-6.4300956999999992E-2</v>
      </c>
      <c r="C22" s="24">
        <v>-6.9620249999999995E-2</v>
      </c>
      <c r="D22" s="24">
        <v>-2.7441859999999998E-2</v>
      </c>
      <c r="E22" s="24">
        <v>-7.1019470000000001E-2</v>
      </c>
      <c r="F22" s="24">
        <v>-5.115509E-2</v>
      </c>
      <c r="G22" s="24">
        <v>-6.0567019999999999E-2</v>
      </c>
      <c r="H22" s="24">
        <v>-4.8327150000000006E-2</v>
      </c>
      <c r="I22" s="24">
        <v>-6.9104250000000006E-2</v>
      </c>
      <c r="J22" s="24">
        <v>-4.9782696000000001E-2</v>
      </c>
      <c r="K22" s="24">
        <v>-3.8000762E-2</v>
      </c>
      <c r="L22" s="24">
        <v>-1.9714712999999998E-2</v>
      </c>
      <c r="M22" s="24">
        <v>-6.2028765999999999E-2</v>
      </c>
      <c r="N22" s="24">
        <v>-0.12154292999999999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42429</v>
      </c>
      <c r="B23" s="24">
        <v>3.0225276999999998E-2</v>
      </c>
      <c r="C23" s="24">
        <v>-2.0408094000000002E-2</v>
      </c>
      <c r="D23" s="24">
        <v>3.4433246000000001E-2</v>
      </c>
      <c r="E23" s="24">
        <v>-3.9868474000000001E-2</v>
      </c>
      <c r="F23" s="24">
        <v>-5.3043422999999999E-2</v>
      </c>
      <c r="G23" s="24">
        <v>-2.8463661999999997E-2</v>
      </c>
      <c r="H23" s="24">
        <v>-3.125E-2</v>
      </c>
      <c r="I23" s="24">
        <v>-1.5653490999999999E-2</v>
      </c>
      <c r="J23" s="24">
        <v>-8.3005430000000009E-4</v>
      </c>
      <c r="K23" s="24">
        <v>-2.5332750000000001E-2</v>
      </c>
      <c r="L23" s="24">
        <v>-2.6957689999999999E-2</v>
      </c>
      <c r="M23" s="24">
        <v>2.5575160000000001E-3</v>
      </c>
      <c r="N23" s="24">
        <v>-6.5451503000000008E-2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42460</v>
      </c>
      <c r="B24" s="24">
        <v>0.13838910999999998</v>
      </c>
      <c r="C24" s="24">
        <v>0.11805546</v>
      </c>
      <c r="D24" s="24">
        <v>9.6162799999999993E-2</v>
      </c>
      <c r="E24" s="24">
        <v>0.10145545</v>
      </c>
      <c r="F24" s="24">
        <v>4.7750234999999995E-2</v>
      </c>
      <c r="G24" s="24">
        <v>4.9417614999999998E-2</v>
      </c>
      <c r="H24" s="24">
        <v>5.3763509999999994E-2</v>
      </c>
      <c r="I24" s="24">
        <v>6.8519115000000005E-2</v>
      </c>
      <c r="J24" s="24">
        <v>6.7242502999999995E-2</v>
      </c>
      <c r="K24" s="24">
        <v>6.5198182999999993E-2</v>
      </c>
      <c r="L24" s="24">
        <v>8.1794259999999994E-2</v>
      </c>
      <c r="M24" s="24">
        <v>7.3250770000000007E-2</v>
      </c>
      <c r="N24" s="24">
        <v>8.1560250000000001E-2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42489</v>
      </c>
      <c r="B25" s="24">
        <v>1.6776085E-2</v>
      </c>
      <c r="C25" s="24">
        <v>3.1573534E-2</v>
      </c>
      <c r="D25" s="24">
        <v>7.1277976000000007E-2</v>
      </c>
      <c r="E25" s="24">
        <v>1.9432545000000002E-2</v>
      </c>
      <c r="F25" s="24">
        <v>8.7642670000000005E-4</v>
      </c>
      <c r="G25" s="24">
        <v>2.9599785999999999E-2</v>
      </c>
      <c r="H25" s="24">
        <v>4.0178537E-2</v>
      </c>
      <c r="I25" s="24">
        <v>-3.1868099999999996E-2</v>
      </c>
      <c r="J25" s="24">
        <v>3.9451121999999998E-3</v>
      </c>
      <c r="K25" s="24">
        <v>2.3573159999999999E-2</v>
      </c>
      <c r="L25" s="24">
        <v>4.8780440000000007E-3</v>
      </c>
      <c r="M25" s="24">
        <v>2.6485561999999997E-2</v>
      </c>
      <c r="N25" s="24">
        <v>4.1803239999999998E-2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42521</v>
      </c>
      <c r="B26" s="24">
        <v>3.5868883E-3</v>
      </c>
      <c r="C26" s="24">
        <v>-2.4084270000000001E-2</v>
      </c>
      <c r="D26" s="24">
        <v>-3.6220490000000001E-2</v>
      </c>
      <c r="E26" s="24">
        <v>-1.1437236999999999E-2</v>
      </c>
      <c r="F26" s="24">
        <v>3.2399297000000001E-2</v>
      </c>
      <c r="G26" s="24">
        <v>-2.2868514E-3</v>
      </c>
      <c r="H26" s="24">
        <v>-1.1649191000000001E-2</v>
      </c>
      <c r="I26" s="24">
        <v>4.3700336999999999E-2</v>
      </c>
      <c r="J26" s="24">
        <v>1.7007589E-2</v>
      </c>
      <c r="K26" s="24">
        <v>-2.0201802E-3</v>
      </c>
      <c r="L26" s="24">
        <v>7.6861380000000003E-3</v>
      </c>
      <c r="M26" s="24">
        <v>-2.2494196999999997E-2</v>
      </c>
      <c r="N26" s="24">
        <v>-4.4059809999999998E-2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42551</v>
      </c>
      <c r="B27" s="24">
        <v>3.8282155999999998E-2</v>
      </c>
      <c r="C27" s="24">
        <v>1.4178395E-2</v>
      </c>
      <c r="D27" s="24">
        <v>9.1763734999999996E-3</v>
      </c>
      <c r="E27" s="24">
        <v>-4.9965023999999997E-2</v>
      </c>
      <c r="F27" s="24">
        <v>-1.6857206999999999E-2</v>
      </c>
      <c r="G27" s="24">
        <v>-3.2966137000000001E-3</v>
      </c>
      <c r="H27" s="24">
        <v>-2.2998035E-2</v>
      </c>
      <c r="I27" s="24">
        <v>-2.2752523E-2</v>
      </c>
      <c r="J27" s="24">
        <v>3.4735202999999996E-3</v>
      </c>
      <c r="K27" s="24">
        <v>-5.0216255000000001E-2</v>
      </c>
      <c r="L27" s="24">
        <v>-5.7217120000000003E-2</v>
      </c>
      <c r="M27" s="24">
        <v>-3.7806869E-2</v>
      </c>
      <c r="N27" s="24">
        <v>-8.1552620000000006E-2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42580</v>
      </c>
      <c r="B28" s="24">
        <v>8.1156489999999998E-2</v>
      </c>
      <c r="C28" s="24">
        <v>7.4035882999999997E-2</v>
      </c>
      <c r="D28" s="24">
        <v>2.9783726E-2</v>
      </c>
      <c r="E28" s="24">
        <v>6.6528080000000003E-2</v>
      </c>
      <c r="F28" s="24">
        <v>4.8695683000000003E-2</v>
      </c>
      <c r="G28" s="24">
        <v>1.8887042999999999E-2</v>
      </c>
      <c r="H28" s="24">
        <v>1.4964223E-2</v>
      </c>
      <c r="I28" s="24">
        <v>7.1508290000000002E-2</v>
      </c>
      <c r="J28" s="24">
        <v>3.6495923999999999E-2</v>
      </c>
      <c r="K28" s="24">
        <v>4.722345E-2</v>
      </c>
      <c r="L28" s="24">
        <v>4.0172815000000001E-2</v>
      </c>
      <c r="M28" s="24">
        <v>2.4862885000000001E-2</v>
      </c>
      <c r="N28" s="24">
        <v>3.1336308E-2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42613</v>
      </c>
      <c r="B29" s="24">
        <v>6.4488650000000007E-3</v>
      </c>
      <c r="C29" s="24">
        <v>-3.2072783000000001E-2</v>
      </c>
      <c r="D29" s="24">
        <v>2.7734039999999997E-3</v>
      </c>
      <c r="E29" s="24">
        <v>2.1832346999999998E-2</v>
      </c>
      <c r="F29" s="24">
        <v>1.8242121E-2</v>
      </c>
      <c r="G29" s="24">
        <v>-9.9301339999999997E-4</v>
      </c>
      <c r="H29" s="24">
        <v>1.0897398000000001E-2</v>
      </c>
      <c r="I29" s="24">
        <v>1.0500789E-2</v>
      </c>
      <c r="J29" s="24">
        <v>1.1975764999999998E-3</v>
      </c>
      <c r="K29" s="24">
        <v>-3.3403040000000001E-3</v>
      </c>
      <c r="L29" s="24">
        <v>3.1561493999999995E-2</v>
      </c>
      <c r="M29" s="24">
        <v>1.8908261999999999E-2</v>
      </c>
      <c r="N29" s="24">
        <v>8.9366436000000004E-3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42643</v>
      </c>
      <c r="B30" s="24">
        <v>6.6220760000000004E-4</v>
      </c>
      <c r="C30" s="24">
        <v>3.3630133E-2</v>
      </c>
      <c r="D30" s="24">
        <v>1.5013814E-2</v>
      </c>
      <c r="E30" s="24">
        <v>2.2892951999999999E-3</v>
      </c>
      <c r="F30" s="24">
        <v>2.1172643000000001E-2</v>
      </c>
      <c r="G30" s="24">
        <v>1.2259721999999999E-2</v>
      </c>
      <c r="H30" s="24">
        <v>4.4387580000000001E-3</v>
      </c>
      <c r="I30" s="24">
        <v>2.2135495999999998E-2</v>
      </c>
      <c r="J30" s="24">
        <v>7.7962874999999997E-5</v>
      </c>
      <c r="K30" s="24">
        <v>1.2149096E-2</v>
      </c>
      <c r="L30" s="24">
        <v>8.8566540000000003E-3</v>
      </c>
      <c r="M30" s="24">
        <v>1.7857194E-2</v>
      </c>
      <c r="N30" s="24">
        <v>-2.3914932999999999E-2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42674</v>
      </c>
      <c r="B31" s="24">
        <v>-8.4544659999999994E-2</v>
      </c>
      <c r="C31" s="24">
        <v>-2.9664993000000001E-2</v>
      </c>
      <c r="D31" s="24">
        <v>-1.3234734999999999E-2</v>
      </c>
      <c r="E31" s="24">
        <v>-1.3703882999999998E-2</v>
      </c>
      <c r="F31" s="24">
        <v>7.1769950000000002E-3</v>
      </c>
      <c r="G31" s="24">
        <v>-5.0409135999999993E-2</v>
      </c>
      <c r="H31" s="24">
        <v>-5.3030309999999997E-2</v>
      </c>
      <c r="I31" s="24">
        <v>-1.4572144E-2</v>
      </c>
      <c r="J31" s="24">
        <v>-1.7337023999999999E-2</v>
      </c>
      <c r="K31" s="24">
        <v>-4.5530199999999996E-3</v>
      </c>
      <c r="L31" s="24">
        <v>-2.3144424E-2</v>
      </c>
      <c r="M31" s="24">
        <v>-5.2631560000000001E-2</v>
      </c>
      <c r="N31" s="24">
        <v>2.3593426000000001E-2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42704</v>
      </c>
      <c r="B32" s="24">
        <v>-1.5155017E-2</v>
      </c>
      <c r="C32" s="24">
        <v>7.8895089999999994E-3</v>
      </c>
      <c r="D32" s="24">
        <v>2.6035547000000003E-2</v>
      </c>
      <c r="E32" s="24">
        <v>-4.1682719999999999E-2</v>
      </c>
      <c r="F32" s="24">
        <v>-1.2470304999999999E-2</v>
      </c>
      <c r="G32" s="24">
        <v>-2.2750795000000001E-2</v>
      </c>
      <c r="H32" s="24">
        <v>1.9999743E-3</v>
      </c>
      <c r="I32" s="24">
        <v>4.3593644999999999E-3</v>
      </c>
      <c r="J32" s="24">
        <v>3.6838412000000001E-2</v>
      </c>
      <c r="K32" s="24">
        <v>-2.4947941000000001E-2</v>
      </c>
      <c r="L32" s="24">
        <v>-3.8807154000000003E-2</v>
      </c>
      <c r="M32" s="24">
        <v>-1.8155574999999999E-3</v>
      </c>
      <c r="N32" s="24">
        <v>-3.5904229000000003E-2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42734</v>
      </c>
      <c r="B33" s="24">
        <v>-2.6928662999999999E-2</v>
      </c>
      <c r="C33" s="24">
        <v>1.619029E-2</v>
      </c>
      <c r="D33" s="24">
        <v>1.5428066000000001E-2</v>
      </c>
      <c r="E33" s="24">
        <v>6.6818356999999995E-2</v>
      </c>
      <c r="F33" s="24">
        <v>-9.1589093000000003E-3</v>
      </c>
      <c r="G33" s="24">
        <v>3.9801717E-2</v>
      </c>
      <c r="H33" s="24">
        <v>3.5095930000000004E-2</v>
      </c>
      <c r="I33" s="24">
        <v>1.1332989E-2</v>
      </c>
      <c r="J33" s="24">
        <v>2.0283222E-2</v>
      </c>
      <c r="K33" s="24">
        <v>5.5806636999999999E-2</v>
      </c>
      <c r="L33" s="24">
        <v>3.9574384999999997E-2</v>
      </c>
      <c r="M33" s="24">
        <v>4.5285583000000004E-2</v>
      </c>
      <c r="N33" s="24">
        <v>0.12337422000000001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42766</v>
      </c>
      <c r="B34" s="24">
        <v>9.4135399999999994E-2</v>
      </c>
      <c r="C34" s="24">
        <v>4.9925923000000004E-2</v>
      </c>
      <c r="D34" s="24">
        <v>3.9388180000000002E-2</v>
      </c>
      <c r="E34" s="24">
        <v>3.8897276000000001E-2</v>
      </c>
      <c r="F34" s="24">
        <v>3.4997939999999998E-2</v>
      </c>
      <c r="G34" s="24">
        <v>4.3109299999999996E-2</v>
      </c>
      <c r="H34" s="24">
        <v>2.4763823000000001E-2</v>
      </c>
      <c r="I34" s="24">
        <v>5.1401019999999999E-2</v>
      </c>
      <c r="J34" s="24">
        <v>1.7894745E-2</v>
      </c>
      <c r="K34" s="24">
        <v>1.3781905000000001E-2</v>
      </c>
      <c r="L34" s="24">
        <v>2.4430633E-2</v>
      </c>
      <c r="M34" s="24">
        <v>6.1608075999999998E-2</v>
      </c>
      <c r="N34" s="24">
        <v>-1.9413412000000001E-2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42794</v>
      </c>
      <c r="B35" s="24">
        <v>-7.5914859999999997E-3</v>
      </c>
      <c r="C35" s="24">
        <v>3.3427595999999997E-2</v>
      </c>
      <c r="D35" s="24">
        <v>-1.8027960999999999E-2</v>
      </c>
      <c r="E35" s="24">
        <v>3.6346912000000001E-4</v>
      </c>
      <c r="F35" s="24">
        <v>1.3051271E-2</v>
      </c>
      <c r="G35" s="24">
        <v>1.0087848E-2</v>
      </c>
      <c r="H35" s="24">
        <v>1.4626383999999999E-2</v>
      </c>
      <c r="I35" s="24">
        <v>4.3750524999999998E-2</v>
      </c>
      <c r="J35" s="24">
        <v>3.92915E-2</v>
      </c>
      <c r="K35" s="24">
        <v>-3.9983987999999996E-3</v>
      </c>
      <c r="L35" s="24">
        <v>2.8698564000000003E-2</v>
      </c>
      <c r="M35" s="24">
        <v>-6.2295199999999997E-3</v>
      </c>
      <c r="N35" s="24">
        <v>-3.7910938E-3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42825</v>
      </c>
      <c r="B36" s="24">
        <v>-2.1325886000000002E-2</v>
      </c>
      <c r="C36" s="24">
        <v>3.0068278E-2</v>
      </c>
      <c r="D36" s="24">
        <v>7.1187020000000002E-3</v>
      </c>
      <c r="E36" s="24">
        <v>4.4694779999999996E-2</v>
      </c>
      <c r="F36" s="24">
        <v>5.2703619999999998E-3</v>
      </c>
      <c r="G36" s="24">
        <v>3.028345E-2</v>
      </c>
      <c r="H36" s="24">
        <v>2.0056367000000002E-2</v>
      </c>
      <c r="I36" s="24">
        <v>2.0270705000000003E-2</v>
      </c>
      <c r="J36" s="24">
        <v>1.2581348E-3</v>
      </c>
      <c r="K36" s="24">
        <v>6.4231277000000003E-2</v>
      </c>
      <c r="L36" s="24">
        <v>5.3438066999999999E-2</v>
      </c>
      <c r="M36" s="24">
        <v>4.1570425000000001E-2</v>
      </c>
      <c r="N36" s="24">
        <v>8.8372119999999998E-2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42853</v>
      </c>
      <c r="B37" s="24">
        <v>8.526802E-3</v>
      </c>
      <c r="C37" s="24">
        <v>-6.6342950000000001E-3</v>
      </c>
      <c r="D37" s="24">
        <v>-2.3065448000000002E-2</v>
      </c>
      <c r="E37" s="24">
        <v>3.2347798000000004E-2</v>
      </c>
      <c r="F37" s="24">
        <v>6.9903135000000003E-3</v>
      </c>
      <c r="G37" s="24">
        <v>3.9399743000000001E-2</v>
      </c>
      <c r="H37" s="24">
        <v>1.6897082000000001E-2</v>
      </c>
      <c r="I37" s="24">
        <v>2.7269960000000003E-2</v>
      </c>
      <c r="J37" s="24">
        <v>9.9261999999999996E-3</v>
      </c>
      <c r="K37" s="24">
        <v>5.6959629999999997E-2</v>
      </c>
      <c r="L37" s="24">
        <v>4.7370434000000003E-2</v>
      </c>
      <c r="M37" s="24">
        <v>4.8780560000000001E-2</v>
      </c>
      <c r="N37" s="24">
        <v>2.75836E-2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42886</v>
      </c>
      <c r="B38" s="24">
        <v>3.6871790000000002E-2</v>
      </c>
      <c r="C38" s="24">
        <v>-4.3187857000000003E-2</v>
      </c>
      <c r="D38" s="24">
        <v>-3.8080812000000001E-3</v>
      </c>
      <c r="E38" s="24">
        <v>4.5148252999999999E-2</v>
      </c>
      <c r="F38" s="24">
        <v>2.75743E-2</v>
      </c>
      <c r="G38" s="24">
        <v>5.0842285000000001E-2</v>
      </c>
      <c r="H38" s="24">
        <v>4.5619370000000006E-2</v>
      </c>
      <c r="I38" s="24">
        <v>3.8973331E-2</v>
      </c>
      <c r="J38" s="24">
        <v>1.4112949E-2</v>
      </c>
      <c r="K38" s="24">
        <v>4.8893570000000004E-2</v>
      </c>
      <c r="L38" s="24">
        <v>4.8789262999999999E-2</v>
      </c>
      <c r="M38" s="24">
        <v>2.8390170000000003E-2</v>
      </c>
      <c r="N38" s="24">
        <v>5.368626E-2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42916</v>
      </c>
      <c r="B39" s="24">
        <v>6.7359686000000002E-2</v>
      </c>
      <c r="C39" s="24">
        <v>3.1023025999999999E-2</v>
      </c>
      <c r="D39" s="24">
        <v>3.1372428000000001E-2</v>
      </c>
      <c r="E39" s="24">
        <v>-5.1738024000000001E-3</v>
      </c>
      <c r="F39" s="24">
        <v>1.3241053000000001E-2</v>
      </c>
      <c r="G39" s="24">
        <v>3.2516718000000001E-3</v>
      </c>
      <c r="H39" s="24">
        <v>-1.5382707000000001E-2</v>
      </c>
      <c r="I39" s="24">
        <v>-2.3164927999999998E-2</v>
      </c>
      <c r="J39" s="24">
        <v>6.3743590000000004E-3</v>
      </c>
      <c r="K39" s="24">
        <v>-4.5173168000000007E-3</v>
      </c>
      <c r="L39" s="24">
        <v>-5.6136846999999997E-3</v>
      </c>
      <c r="M39" s="24">
        <v>1.8807054E-2</v>
      </c>
      <c r="N39" s="24">
        <v>1.5643358E-2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42947</v>
      </c>
      <c r="B40" s="24">
        <v>2.9831409999999999E-2</v>
      </c>
      <c r="C40" s="24">
        <v>4.7047973E-2</v>
      </c>
      <c r="D40" s="24">
        <v>4.2600870000000006E-2</v>
      </c>
      <c r="E40" s="24">
        <v>1.4535785000000001E-2</v>
      </c>
      <c r="F40" s="24">
        <v>2.0689606999999999E-2</v>
      </c>
      <c r="G40" s="24">
        <v>4.6633481999999995E-3</v>
      </c>
      <c r="H40" s="24">
        <v>2.3702264000000001E-2</v>
      </c>
      <c r="I40" s="24">
        <v>4.0613174000000002E-2</v>
      </c>
      <c r="J40" s="24">
        <v>2.0554184999999999E-2</v>
      </c>
      <c r="K40" s="24">
        <v>2.364397E-2</v>
      </c>
      <c r="L40" s="24">
        <v>6.2564849999999991E-2</v>
      </c>
      <c r="M40" s="24">
        <v>6.7807435999999999E-3</v>
      </c>
      <c r="N40" s="24">
        <v>7.0503592000000004E-2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42978</v>
      </c>
      <c r="B41" s="24">
        <v>-2.2040307999999998E-2</v>
      </c>
      <c r="C41" s="24">
        <v>-2.2026896000000001E-3</v>
      </c>
      <c r="D41" s="24">
        <v>-1.0752082000000001E-3</v>
      </c>
      <c r="E41" s="24">
        <v>1.6281605E-3</v>
      </c>
      <c r="F41" s="24">
        <v>-9.1308354999999994E-4</v>
      </c>
      <c r="G41" s="24">
        <v>-4.6417117000000004E-3</v>
      </c>
      <c r="H41" s="24">
        <v>-8.2063080000000007E-3</v>
      </c>
      <c r="I41" s="24">
        <v>2.0735860000000002E-2</v>
      </c>
      <c r="J41" s="24">
        <v>2.9176474000000003E-3</v>
      </c>
      <c r="K41" s="24">
        <v>8.8315010000000003E-3</v>
      </c>
      <c r="L41" s="24">
        <v>-3.2531022999999996E-3</v>
      </c>
      <c r="M41" s="24">
        <v>1.6691088999999999E-2</v>
      </c>
      <c r="N41" s="24">
        <v>1.7809153000000001E-2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43007</v>
      </c>
      <c r="B42" s="24">
        <v>1.1375785000000001E-2</v>
      </c>
      <c r="C42" s="24">
        <v>-9.2715024999999989E-3</v>
      </c>
      <c r="D42" s="24">
        <v>3.8392544000000001E-2</v>
      </c>
      <c r="E42" s="24">
        <v>5.4291249999999999E-2</v>
      </c>
      <c r="F42" s="24">
        <v>1.8278241000000001E-2</v>
      </c>
      <c r="G42" s="24">
        <v>2.0985007000000003E-2</v>
      </c>
      <c r="H42" s="24">
        <v>2.9846309999999997E-2</v>
      </c>
      <c r="I42" s="24">
        <v>-2.9468535999999999E-3</v>
      </c>
      <c r="J42" s="24">
        <v>2.0140886E-2</v>
      </c>
      <c r="K42" s="24">
        <v>4.0403960000000003E-2</v>
      </c>
      <c r="L42" s="24">
        <v>2.4477840000000001E-2</v>
      </c>
      <c r="M42" s="24">
        <v>3.3410191999999998E-2</v>
      </c>
      <c r="N42" s="24">
        <v>3.5325169999999996E-2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43039</v>
      </c>
      <c r="B43" s="24">
        <v>-3.2894730000000004E-2</v>
      </c>
      <c r="C43" s="24">
        <v>1.1586427999999999E-2</v>
      </c>
      <c r="D43" s="24">
        <v>-5.1831006999999993E-3</v>
      </c>
      <c r="E43" s="24">
        <v>1.9734740000000001E-2</v>
      </c>
      <c r="F43" s="24">
        <v>5.2773356E-2</v>
      </c>
      <c r="G43" s="24">
        <v>-1.4273465000000001E-2</v>
      </c>
      <c r="H43" s="24">
        <v>6.0259103999999999E-3</v>
      </c>
      <c r="I43" s="24">
        <v>4.6063900000000005E-2</v>
      </c>
      <c r="J43" s="24">
        <v>2.3564099999999998E-2</v>
      </c>
      <c r="K43" s="24">
        <v>1.5857577000000001E-2</v>
      </c>
      <c r="L43" s="24">
        <v>9.8757744000000005E-3</v>
      </c>
      <c r="M43" s="24">
        <v>-8.3611610000000006E-3</v>
      </c>
      <c r="N43" s="24">
        <v>-1.2755156E-2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43069</v>
      </c>
      <c r="B44" s="24">
        <v>-1.0972022999999999E-3</v>
      </c>
      <c r="C44" s="24">
        <v>3.0837059999999999E-3</v>
      </c>
      <c r="D44" s="24">
        <v>5.2101609999999996E-3</v>
      </c>
      <c r="E44" s="24">
        <v>5.1406620000000007E-3</v>
      </c>
      <c r="F44" s="24">
        <v>2.1483302000000003E-2</v>
      </c>
      <c r="G44" s="24">
        <v>1.3032198E-2</v>
      </c>
      <c r="H44" s="24">
        <v>-1.1409521E-3</v>
      </c>
      <c r="I44" s="24">
        <v>1.9717336000000002E-2</v>
      </c>
      <c r="J44" s="24">
        <v>3.0565858000000001E-2</v>
      </c>
      <c r="K44" s="24">
        <v>-9.5570089999999996E-4</v>
      </c>
      <c r="L44" s="24">
        <v>-5.362749E-3</v>
      </c>
      <c r="M44" s="24">
        <v>-3.6537467999999997E-2</v>
      </c>
      <c r="N44" s="24">
        <v>1.6150475000000001E-3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43098</v>
      </c>
      <c r="B45" s="24">
        <v>6.2870264000000009E-2</v>
      </c>
      <c r="C45" s="24">
        <v>4.2622447000000001E-2</v>
      </c>
      <c r="D45" s="24">
        <v>3.7305116999999999E-2</v>
      </c>
      <c r="E45" s="24">
        <v>-4.1112900000000001E-3</v>
      </c>
      <c r="F45" s="24">
        <v>7.0364475000000001E-3</v>
      </c>
      <c r="G45" s="24">
        <v>1.7152667E-2</v>
      </c>
      <c r="H45" s="24">
        <v>4.2170880000000001E-2</v>
      </c>
      <c r="I45" s="24">
        <v>6.0163736000000004E-3</v>
      </c>
      <c r="J45" s="24">
        <v>1.2086749000000001E-2</v>
      </c>
      <c r="K45" s="24">
        <v>-1.4382005000000001E-3</v>
      </c>
      <c r="L45" s="24">
        <v>1.203835E-2</v>
      </c>
      <c r="M45" s="24">
        <v>-1.18625164E-3</v>
      </c>
      <c r="N45" s="24">
        <v>-1.2965440999999999E-2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43131</v>
      </c>
      <c r="B46" s="24">
        <v>4.5291659999999997E-2</v>
      </c>
      <c r="C46" s="24">
        <v>2.5895596E-2</v>
      </c>
      <c r="D46" s="24">
        <v>8.0971719999999997E-3</v>
      </c>
      <c r="E46" s="24">
        <v>6.0266495000000003E-2</v>
      </c>
      <c r="F46" s="24">
        <v>5.0225260000000001E-2</v>
      </c>
      <c r="G46" s="24">
        <v>4.4687866999999999E-2</v>
      </c>
      <c r="H46" s="24">
        <v>3.7409306000000003E-2</v>
      </c>
      <c r="I46" s="24">
        <v>8.7570669999999989E-2</v>
      </c>
      <c r="J46" s="24">
        <v>5.635917E-2</v>
      </c>
      <c r="K46" s="24">
        <v>6.7584989999999998E-2</v>
      </c>
      <c r="L46" s="24">
        <v>5.7989240000000004E-2</v>
      </c>
      <c r="M46" s="24">
        <v>6.2536835999999998E-2</v>
      </c>
      <c r="N46" s="24">
        <v>0.10972404499999999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43159</v>
      </c>
      <c r="B47" s="24">
        <v>-2.8214395E-2</v>
      </c>
      <c r="C47" s="24">
        <v>-3.9966403999999997E-2</v>
      </c>
      <c r="D47" s="24">
        <v>-6.9946410000000001E-2</v>
      </c>
      <c r="E47" s="24">
        <v>-7.3693155999999996E-2</v>
      </c>
      <c r="F47" s="24">
        <v>-2.9710830000000001E-2</v>
      </c>
      <c r="G47" s="24">
        <v>-6.053269E-2</v>
      </c>
      <c r="H47" s="24">
        <v>-6.70076E-2</v>
      </c>
      <c r="I47" s="24">
        <v>-1.2927889999999999E-2</v>
      </c>
      <c r="J47" s="24">
        <v>-3.6360383000000003E-2</v>
      </c>
      <c r="K47" s="24">
        <v>-5.1005180000000004E-2</v>
      </c>
      <c r="L47" s="24">
        <v>-5.2427770000000005E-2</v>
      </c>
      <c r="M47" s="24">
        <v>-5.8301030000000004E-2</v>
      </c>
      <c r="N47" s="24">
        <v>-6.1278876999999995E-2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43188</v>
      </c>
      <c r="B48" s="24">
        <v>1.2028217000000001E-2</v>
      </c>
      <c r="C48" s="24">
        <v>-3.5056948999999997E-2</v>
      </c>
      <c r="D48" s="24">
        <v>-8.2764029999999999E-3</v>
      </c>
      <c r="E48" s="24">
        <v>-1.2025893000000001E-2</v>
      </c>
      <c r="F48" s="24">
        <v>-6.3861009999999999E-3</v>
      </c>
      <c r="G48" s="24">
        <v>-1.5750289000000001E-2</v>
      </c>
      <c r="H48" s="24">
        <v>2.3075342E-3</v>
      </c>
      <c r="I48" s="24">
        <v>-4.0757060000000005E-2</v>
      </c>
      <c r="J48" s="24">
        <v>-2.7415514000000002E-2</v>
      </c>
      <c r="K48" s="24">
        <v>-7.2715879999999998E-3</v>
      </c>
      <c r="L48" s="24">
        <v>5.0299170000000001E-3</v>
      </c>
      <c r="M48" s="24">
        <v>-1.297164E-2</v>
      </c>
      <c r="N48" s="24">
        <v>1.3875842000000001E-2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43220</v>
      </c>
      <c r="B49" s="24">
        <v>-2.5819660000000001E-2</v>
      </c>
      <c r="C49" s="24">
        <v>7.7202320000000005E-3</v>
      </c>
      <c r="D49" s="24">
        <v>2.0682095999999997E-2</v>
      </c>
      <c r="E49" s="24">
        <v>1.3108610999999999E-2</v>
      </c>
      <c r="F49" s="24">
        <v>-6.5922739999999989E-4</v>
      </c>
      <c r="G49" s="24">
        <v>-9.6013546000000005E-3</v>
      </c>
      <c r="H49" s="24">
        <v>4.3165444999999997E-2</v>
      </c>
      <c r="I49" s="24">
        <v>5.0584079999999995E-3</v>
      </c>
      <c r="J49" s="24">
        <v>5.1681995000000007E-3</v>
      </c>
      <c r="K49" s="24">
        <v>4.0764329999999994E-2</v>
      </c>
      <c r="L49" s="24">
        <v>5.0047636E-3</v>
      </c>
      <c r="M49" s="24">
        <v>-1.8817245999999999E-2</v>
      </c>
      <c r="N49" s="24">
        <v>4.4167876000000002E-2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43251</v>
      </c>
      <c r="B50" s="24">
        <v>2.650392E-2</v>
      </c>
      <c r="C50" s="24">
        <v>1.7124772E-2</v>
      </c>
      <c r="D50" s="24">
        <v>2.1685004000000001E-2</v>
      </c>
      <c r="E50" s="24">
        <v>-2.526188E-2</v>
      </c>
      <c r="F50" s="24">
        <v>-1.4841676E-2</v>
      </c>
      <c r="G50" s="24">
        <v>-2.2620439999999999E-2</v>
      </c>
      <c r="H50" s="24">
        <v>-6.0690045E-3</v>
      </c>
      <c r="I50" s="24">
        <v>5.6729198000000002E-2</v>
      </c>
      <c r="J50" s="24">
        <v>2.4309040000000001E-2</v>
      </c>
      <c r="K50" s="24">
        <v>-2.6315808E-2</v>
      </c>
      <c r="L50" s="24">
        <v>-2.4276376000000002E-2</v>
      </c>
      <c r="M50" s="24">
        <v>-1.3394177E-2</v>
      </c>
      <c r="N50" s="24">
        <v>-9.7706260000000003E-2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43280</v>
      </c>
      <c r="B51" s="24">
        <v>7.4565409999999997E-3</v>
      </c>
      <c r="C51" s="24">
        <v>2.1366238999999999E-2</v>
      </c>
      <c r="D51" s="24">
        <v>-1.2671947500000002E-4</v>
      </c>
      <c r="E51" s="24">
        <v>-2.9587447999999999E-2</v>
      </c>
      <c r="F51" s="24">
        <v>-2.304113E-2</v>
      </c>
      <c r="G51" s="24">
        <v>3.8169621999999998E-3</v>
      </c>
      <c r="H51" s="24">
        <v>-1.1732638E-2</v>
      </c>
      <c r="I51" s="24">
        <v>1.1453867E-2</v>
      </c>
      <c r="J51" s="24">
        <v>5.755067E-3</v>
      </c>
      <c r="K51" s="24">
        <v>-2.0818055000000002E-2</v>
      </c>
      <c r="L51" s="24">
        <v>-1.0966837E-2</v>
      </c>
      <c r="M51" s="24">
        <v>-1.4758289000000001E-2</v>
      </c>
      <c r="N51" s="24">
        <v>-1.9493341000000001E-2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43312</v>
      </c>
      <c r="B52" s="24">
        <v>-1.6545652999999999E-3</v>
      </c>
      <c r="C52" s="24">
        <v>1.3710736999999999E-2</v>
      </c>
      <c r="D52" s="24">
        <v>2.4552702999999999E-2</v>
      </c>
      <c r="E52" s="24">
        <v>4.4362902999999995E-2</v>
      </c>
      <c r="F52" s="24">
        <v>1.0706306000000001E-2</v>
      </c>
      <c r="G52" s="24">
        <v>6.5070509999999998E-2</v>
      </c>
      <c r="H52" s="24">
        <v>9.4882249999999994E-3</v>
      </c>
      <c r="I52" s="24">
        <v>2.7963876999999998E-2</v>
      </c>
      <c r="J52" s="24">
        <v>3.7046551999999996E-2</v>
      </c>
      <c r="K52" s="24">
        <v>3.9318442000000002E-2</v>
      </c>
      <c r="L52" s="24">
        <v>3.9659142000000001E-2</v>
      </c>
      <c r="M52" s="24">
        <v>5.9652567000000004E-2</v>
      </c>
      <c r="N52" s="24">
        <v>3.3921838000000003E-2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43343</v>
      </c>
      <c r="B53" s="24">
        <v>1.6159058E-2</v>
      </c>
      <c r="C53" s="24">
        <v>-1.876092E-2</v>
      </c>
      <c r="D53" s="24">
        <v>-1.4036298000000001E-2</v>
      </c>
      <c r="E53" s="24">
        <v>-3.4493744E-2</v>
      </c>
      <c r="F53" s="24">
        <v>-5.2964089999999993E-3</v>
      </c>
      <c r="G53" s="24">
        <v>2.0172596000000002E-3</v>
      </c>
      <c r="H53" s="24">
        <v>-4.3862160000000004E-2</v>
      </c>
      <c r="I53" s="24">
        <v>5.7806730000000001E-2</v>
      </c>
      <c r="J53" s="24">
        <v>3.1919837E-2</v>
      </c>
      <c r="K53" s="24">
        <v>-2.2068083000000002E-2</v>
      </c>
      <c r="L53" s="24">
        <v>-2.1437525999999998E-2</v>
      </c>
      <c r="M53" s="24">
        <v>-1.4228284000000001E-2</v>
      </c>
      <c r="N53" s="24">
        <v>-9.2735179999999987E-2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43371</v>
      </c>
      <c r="B54" s="24">
        <v>-9.1743470000000011E-3</v>
      </c>
      <c r="C54" s="24">
        <v>-1.6451716000000002E-2</v>
      </c>
      <c r="D54" s="24">
        <v>-6.943940999999999E-4</v>
      </c>
      <c r="E54" s="24">
        <v>-1.6209066000000001E-2</v>
      </c>
      <c r="F54" s="24">
        <v>3.4524202000000004E-2</v>
      </c>
      <c r="G54" s="24">
        <v>-2.3008585E-3</v>
      </c>
      <c r="H54" s="24">
        <v>1.6383648000000001E-2</v>
      </c>
      <c r="I54" s="24">
        <v>-2.8226375999999996E-3</v>
      </c>
      <c r="J54" s="24">
        <v>5.9483050000000001E-3</v>
      </c>
      <c r="K54" s="24">
        <v>1.1927723999999999E-2</v>
      </c>
      <c r="L54" s="24">
        <v>-2.7384043E-2</v>
      </c>
      <c r="M54" s="24">
        <v>2.9808520999999998E-2</v>
      </c>
      <c r="N54" s="24">
        <v>2.0664215E-2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43404</v>
      </c>
      <c r="B55" s="24">
        <v>-6.7489679999999996E-2</v>
      </c>
      <c r="C55" s="24">
        <v>-6.8716105999999999E-2</v>
      </c>
      <c r="D55" s="24">
        <v>-7.8874230000000004E-2</v>
      </c>
      <c r="E55" s="24">
        <v>-8.3725629999999995E-2</v>
      </c>
      <c r="F55" s="24">
        <v>-8.9490300000000009E-2</v>
      </c>
      <c r="G55" s="24">
        <v>-4.583454E-2</v>
      </c>
      <c r="H55" s="24">
        <v>-6.7702235999999999E-2</v>
      </c>
      <c r="I55" s="24">
        <v>-8.5957159999999991E-2</v>
      </c>
      <c r="J55" s="24">
        <v>-6.9104250000000006E-2</v>
      </c>
      <c r="K55" s="24">
        <v>-9.4934699999999997E-2</v>
      </c>
      <c r="L55" s="24">
        <v>-7.982773E-2</v>
      </c>
      <c r="M55" s="24">
        <v>-0.10542351</v>
      </c>
      <c r="N55" s="24">
        <v>-9.4360110000000011E-2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43434</v>
      </c>
      <c r="B56" s="24">
        <v>6.5423609999999993E-2</v>
      </c>
      <c r="C56" s="24">
        <v>9.7086429999999994E-3</v>
      </c>
      <c r="D56" s="24">
        <v>4.9037932999999997E-3</v>
      </c>
      <c r="E56" s="24">
        <v>-1.5045881000000001E-2</v>
      </c>
      <c r="F56" s="24">
        <v>9.1174840000000004E-3</v>
      </c>
      <c r="G56" s="24">
        <v>3.3233165999999995E-3</v>
      </c>
      <c r="H56" s="24">
        <v>-1.1945903000000001E-2</v>
      </c>
      <c r="I56" s="24">
        <v>-2.649963E-3</v>
      </c>
      <c r="J56" s="24">
        <v>1.8549323E-2</v>
      </c>
      <c r="K56" s="24">
        <v>-1.1615634E-2</v>
      </c>
      <c r="L56" s="24">
        <v>2.3398159999999998E-2</v>
      </c>
      <c r="M56" s="24">
        <v>-6.8120360000000005E-3</v>
      </c>
      <c r="N56" s="24">
        <v>1.3572812E-2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43465</v>
      </c>
      <c r="B57" s="24">
        <v>-2.9766499999999998E-2</v>
      </c>
      <c r="C57" s="24">
        <v>-3.8801312000000004E-2</v>
      </c>
      <c r="D57" s="24">
        <v>-8.5541430000000002E-2</v>
      </c>
      <c r="E57" s="24">
        <v>-5.5514153999999996E-2</v>
      </c>
      <c r="F57" s="24">
        <v>-7.6921939999999994E-2</v>
      </c>
      <c r="G57" s="24">
        <v>-5.0888243E-2</v>
      </c>
      <c r="H57" s="24">
        <v>-4.5764627000000002E-2</v>
      </c>
      <c r="I57" s="24">
        <v>-8.6543379999999989E-2</v>
      </c>
      <c r="J57" s="24">
        <v>-8.7936159999999999E-2</v>
      </c>
      <c r="K57" s="24">
        <v>-5.1212189999999998E-2</v>
      </c>
      <c r="L57" s="24">
        <v>-7.0465859999999991E-2</v>
      </c>
      <c r="M57" s="24">
        <v>-3.0971527000000002E-2</v>
      </c>
      <c r="N57" s="24">
        <v>-3.4290433000000002E-2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43496</v>
      </c>
      <c r="B58" s="24">
        <v>5.6062580000000001E-2</v>
      </c>
      <c r="C58" s="24">
        <v>6.9610356999999998E-2</v>
      </c>
      <c r="D58" s="24">
        <v>0.12896489999999999</v>
      </c>
      <c r="E58" s="24">
        <v>5.6804775999999994E-2</v>
      </c>
      <c r="F58" s="24">
        <v>7.0822597000000001E-2</v>
      </c>
      <c r="G58" s="24">
        <v>5.7106614E-2</v>
      </c>
      <c r="H58" s="24">
        <v>7.2913050000000007E-2</v>
      </c>
      <c r="I58" s="24">
        <v>9.0107680000000009E-2</v>
      </c>
      <c r="J58" s="24">
        <v>8.0065609999999995E-2</v>
      </c>
      <c r="K58" s="24">
        <v>6.1463000000000004E-2</v>
      </c>
      <c r="L58" s="24">
        <v>7.7186346000000003E-2</v>
      </c>
      <c r="M58" s="24">
        <v>5.5948973000000006E-2</v>
      </c>
      <c r="N58" s="24">
        <v>8.0958370000000002E-2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43524</v>
      </c>
      <c r="B59" s="24">
        <v>1.7283916E-2</v>
      </c>
      <c r="C59" s="24">
        <v>3.3511399999999997E-2</v>
      </c>
      <c r="D59" s="24">
        <v>2.957487E-2</v>
      </c>
      <c r="E59" s="24">
        <v>1.9036888999999998E-2</v>
      </c>
      <c r="F59" s="24">
        <v>1.4739037E-3</v>
      </c>
      <c r="G59" s="24">
        <v>3.7515043999999997E-2</v>
      </c>
      <c r="H59" s="24">
        <v>3.4296632000000001E-2</v>
      </c>
      <c r="I59" s="24">
        <v>2.9911995E-2</v>
      </c>
      <c r="J59" s="24">
        <v>3.2415867000000001E-2</v>
      </c>
      <c r="K59" s="24">
        <v>4.2628764999999999E-2</v>
      </c>
      <c r="L59" s="24">
        <v>4.6240686999999996E-2</v>
      </c>
      <c r="M59" s="24">
        <v>1.1401771999999999E-2</v>
      </c>
      <c r="N59" s="24">
        <v>3.7447452999999999E-2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43553</v>
      </c>
      <c r="B60" s="24">
        <v>5.7645679999999998E-2</v>
      </c>
      <c r="C60" s="24">
        <v>1.1278152E-2</v>
      </c>
      <c r="D60" s="24">
        <v>-7.540405E-3</v>
      </c>
      <c r="E60" s="24">
        <v>-1.3919413E-2</v>
      </c>
      <c r="F60" s="24">
        <v>6.6225529999999998E-3</v>
      </c>
      <c r="G60" s="24">
        <v>2.3141384000000001E-2</v>
      </c>
      <c r="H60" s="24">
        <v>1.3509274E-2</v>
      </c>
      <c r="I60" s="24">
        <v>3.9242387000000004E-2</v>
      </c>
      <c r="J60" s="24">
        <v>1.8079042E-2</v>
      </c>
      <c r="K60" s="24">
        <v>4.0885210000000003E-3</v>
      </c>
      <c r="L60" s="24">
        <v>8.4345340000000005E-3</v>
      </c>
      <c r="M60" s="24">
        <v>1.9893646000000002E-3</v>
      </c>
      <c r="N60" s="24">
        <v>2.3572803000000003E-2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43585</v>
      </c>
      <c r="B61" s="24">
        <v>7.6496599999999995E-4</v>
      </c>
      <c r="C61" s="24">
        <v>1.1617064E-2</v>
      </c>
      <c r="D61" s="24">
        <v>3.2923339999999995E-2</v>
      </c>
      <c r="E61" s="24">
        <v>6.9836496999999997E-2</v>
      </c>
      <c r="F61" s="24">
        <v>1.2792349000000001E-2</v>
      </c>
      <c r="G61" s="24">
        <v>2.3466230000000001E-2</v>
      </c>
      <c r="H61" s="24">
        <v>2.2720337E-2</v>
      </c>
      <c r="I61" s="24">
        <v>5.4992675999999997E-2</v>
      </c>
      <c r="J61" s="24">
        <v>4.0852427000000004E-2</v>
      </c>
      <c r="K61" s="24">
        <v>4.8184633000000004E-2</v>
      </c>
      <c r="L61" s="24">
        <v>6.1893580000000004E-2</v>
      </c>
      <c r="M61" s="24">
        <v>6.5850377000000002E-2</v>
      </c>
      <c r="N61" s="24">
        <v>1.7992139000000001E-2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43616</v>
      </c>
      <c r="B62" s="24">
        <v>-2.3504733999999999E-2</v>
      </c>
      <c r="C62" s="24">
        <v>1.3779401999999999E-3</v>
      </c>
      <c r="D62" s="24">
        <v>-4.2731999999999999E-2</v>
      </c>
      <c r="E62" s="24">
        <v>-6.5277760000000004E-2</v>
      </c>
      <c r="F62" s="24">
        <v>-4.8718810000000001E-2</v>
      </c>
      <c r="G62" s="24">
        <v>-6.629884E-3</v>
      </c>
      <c r="H62" s="24">
        <v>-6.1315117000000002E-2</v>
      </c>
      <c r="I62" s="24">
        <v>-8.2251729999999995E-2</v>
      </c>
      <c r="J62" s="24">
        <v>-6.3771190000000005E-2</v>
      </c>
      <c r="K62" s="24">
        <v>-6.1184825999999998E-2</v>
      </c>
      <c r="L62" s="24">
        <v>-6.5847515999999995E-2</v>
      </c>
      <c r="M62" s="24">
        <v>-9.4070139999999997E-2</v>
      </c>
      <c r="N62" s="24">
        <v>-8.3068259999999991E-2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43644</v>
      </c>
      <c r="B63" s="24">
        <v>6.0411571999999997E-2</v>
      </c>
      <c r="C63" s="24">
        <v>5.5066705000000001E-2</v>
      </c>
      <c r="D63" s="24">
        <v>5.6715846E-2</v>
      </c>
      <c r="E63" s="24">
        <v>7.0533869999999999E-2</v>
      </c>
      <c r="F63" s="24">
        <v>4.4680476000000004E-2</v>
      </c>
      <c r="G63" s="24">
        <v>6.5958023000000005E-2</v>
      </c>
      <c r="H63" s="24">
        <v>4.6052813999999997E-2</v>
      </c>
      <c r="I63" s="24">
        <v>7.5897930000000002E-2</v>
      </c>
      <c r="J63" s="24">
        <v>6.9592714E-2</v>
      </c>
      <c r="K63" s="24">
        <v>8.3103070000000001E-2</v>
      </c>
      <c r="L63" s="24">
        <v>6.5732239999999997E-2</v>
      </c>
      <c r="M63" s="24">
        <v>9.0725180000000002E-2</v>
      </c>
      <c r="N63" s="24">
        <v>9.9025250000000009E-2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43677</v>
      </c>
      <c r="B64" s="24">
        <v>1.8452644000000001E-2</v>
      </c>
      <c r="C64" s="24">
        <v>-5.7675840000000001E-3</v>
      </c>
      <c r="D64" s="24">
        <v>-8.0363750000000001E-3</v>
      </c>
      <c r="E64" s="24">
        <v>-4.3850239999999999E-2</v>
      </c>
      <c r="F64" s="24">
        <v>-4.2140483999999999E-3</v>
      </c>
      <c r="G64" s="24">
        <v>-1.0383487E-2</v>
      </c>
      <c r="H64" s="24">
        <v>-2.4133623000000003E-2</v>
      </c>
      <c r="I64" s="24">
        <v>2.3347973999999997E-2</v>
      </c>
      <c r="J64" s="24">
        <v>1.5119433E-2</v>
      </c>
      <c r="K64" s="24">
        <v>-2.8058708000000002E-2</v>
      </c>
      <c r="L64" s="24">
        <v>-3.2424926999999998E-4</v>
      </c>
      <c r="M64" s="24">
        <v>-5.2853465000000002E-2</v>
      </c>
      <c r="N64" s="24">
        <v>-1.8874705000000002E-2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43707</v>
      </c>
      <c r="B65" s="24">
        <v>-5.1411809999999995E-2</v>
      </c>
      <c r="C65" s="24">
        <v>-3.2574713000000005E-2</v>
      </c>
      <c r="D65" s="24">
        <v>-7.0446730000000004E-3</v>
      </c>
      <c r="E65" s="24">
        <v>-2.125281E-2</v>
      </c>
      <c r="F65" s="24">
        <v>-7.9116819999999997E-3</v>
      </c>
      <c r="G65" s="24">
        <v>8.0710649999999988E-3</v>
      </c>
      <c r="H65" s="24">
        <v>-3.8046956E-2</v>
      </c>
      <c r="I65" s="24">
        <v>-1.8995345E-2</v>
      </c>
      <c r="J65" s="24">
        <v>-1.6743361999999998E-2</v>
      </c>
      <c r="K65" s="24">
        <v>-1.0070503E-2</v>
      </c>
      <c r="L65" s="24">
        <v>-7.4602365E-3</v>
      </c>
      <c r="M65" s="24">
        <v>-3.0469E-2</v>
      </c>
      <c r="N65" s="24">
        <v>-4.4395327999999998E-3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43738</v>
      </c>
      <c r="B66" s="24">
        <v>5.8172939999999998E-3</v>
      </c>
      <c r="C66" s="24">
        <v>2.6291490000000001E-2</v>
      </c>
      <c r="D66" s="24">
        <v>2.5186179999999999E-2</v>
      </c>
      <c r="E66" s="24">
        <v>2.5142907999999999E-2</v>
      </c>
      <c r="F66" s="24">
        <v>5.2299740000000004E-2</v>
      </c>
      <c r="G66" s="24">
        <v>6.1382055000000005E-3</v>
      </c>
      <c r="H66" s="24">
        <v>3.5926223E-2</v>
      </c>
      <c r="I66" s="24">
        <v>9.1788770000000002E-3</v>
      </c>
      <c r="J66" s="24">
        <v>1.9478916999999998E-2</v>
      </c>
      <c r="K66" s="24">
        <v>2.204132E-2</v>
      </c>
      <c r="L66" s="24">
        <v>2.483666E-2</v>
      </c>
      <c r="M66" s="24">
        <v>3.9901137000000003E-2</v>
      </c>
      <c r="N66" s="24">
        <v>2.4526237999999999E-2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43769</v>
      </c>
      <c r="B67" s="24">
        <v>1.1760235000000001E-2</v>
      </c>
      <c r="C67" s="24">
        <v>1.2584329E-2</v>
      </c>
      <c r="D67" s="24">
        <v>-4.1522384000000001E-3</v>
      </c>
      <c r="E67" s="24">
        <v>6.0943839999999999E-2</v>
      </c>
      <c r="F67" s="24">
        <v>3.4191012E-2</v>
      </c>
      <c r="G67" s="24">
        <v>2.3342252000000001E-2</v>
      </c>
      <c r="H67" s="24">
        <v>3.4998417000000004E-2</v>
      </c>
      <c r="I67" s="24">
        <v>4.380071E-2</v>
      </c>
      <c r="J67" s="24">
        <v>2.2104620000000002E-2</v>
      </c>
      <c r="K67" s="24">
        <v>3.6164521999999998E-2</v>
      </c>
      <c r="L67" s="24">
        <v>1.9770384000000002E-2</v>
      </c>
      <c r="M67" s="24">
        <v>7.0288660000000003E-2</v>
      </c>
      <c r="N67" s="24">
        <v>4.7152760000000002E-2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43798</v>
      </c>
      <c r="B68" s="24">
        <v>6.4786673000000003E-2</v>
      </c>
      <c r="C68" s="24">
        <v>1.3315558E-2</v>
      </c>
      <c r="D68" s="24">
        <v>2.9534340000000003E-2</v>
      </c>
      <c r="E68" s="24">
        <v>1.3660311999999999E-2</v>
      </c>
      <c r="F68" s="24">
        <v>1.2781143E-2</v>
      </c>
      <c r="G68" s="24">
        <v>8.2944630000000002E-3</v>
      </c>
      <c r="H68" s="24">
        <v>1.2296438E-2</v>
      </c>
      <c r="I68" s="24">
        <v>4.0694118000000001E-2</v>
      </c>
      <c r="J68" s="24">
        <v>3.6198258000000004E-2</v>
      </c>
      <c r="K68" s="24">
        <v>1.3768792E-2</v>
      </c>
      <c r="L68" s="24">
        <v>1.9387125999999998E-2</v>
      </c>
      <c r="M68" s="24">
        <v>6.3451530000000001E-3</v>
      </c>
      <c r="N68" s="24">
        <v>6.9272520000000001E-4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43830</v>
      </c>
      <c r="B69" s="24">
        <v>5.5488943999999998E-2</v>
      </c>
      <c r="C69" s="24">
        <v>1.1503577000000001E-2</v>
      </c>
      <c r="D69" s="24">
        <v>2.224052E-2</v>
      </c>
      <c r="E69" s="24">
        <v>1.5894889999999998E-2</v>
      </c>
      <c r="F69" s="24">
        <v>8.6407659999999994E-3</v>
      </c>
      <c r="G69" s="24">
        <v>4.4730066999999998E-2</v>
      </c>
      <c r="H69" s="24">
        <v>5.3659916000000002E-2</v>
      </c>
      <c r="I69" s="24">
        <v>3.885603E-2</v>
      </c>
      <c r="J69" s="24">
        <v>2.9033541999999999E-2</v>
      </c>
      <c r="K69" s="24">
        <v>3.5365105000000001E-2</v>
      </c>
      <c r="L69" s="24">
        <v>4.2917490000000003E-2</v>
      </c>
      <c r="M69" s="24">
        <v>5.0202129999999998E-2</v>
      </c>
      <c r="N69" s="24">
        <v>2.8223991E-2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43861</v>
      </c>
      <c r="B70" s="24">
        <v>-2.7532458000000003E-2</v>
      </c>
      <c r="C70" s="24">
        <v>-1.6784429999999999E-2</v>
      </c>
      <c r="D70" s="24">
        <v>-7.3602796000000002E-3</v>
      </c>
      <c r="E70" s="24">
        <v>-2.9591799000000002E-2</v>
      </c>
      <c r="F70" s="24">
        <v>-2.5151968E-2</v>
      </c>
      <c r="G70" s="24">
        <v>2.4607181999999998E-3</v>
      </c>
      <c r="H70" s="24">
        <v>-4.2815209999999999E-2</v>
      </c>
      <c r="I70" s="24">
        <v>3.0384302000000002E-2</v>
      </c>
      <c r="J70" s="24">
        <v>-4.0382147000000003E-4</v>
      </c>
      <c r="K70" s="24">
        <v>-4.0048895000000001E-2</v>
      </c>
      <c r="L70" s="24">
        <v>-3.4554123999999999E-2</v>
      </c>
      <c r="M70" s="24">
        <v>-2.7051747000000001E-2</v>
      </c>
      <c r="N70" s="24">
        <v>-2.4406729999999998E-2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43889</v>
      </c>
      <c r="B71" s="24">
        <v>-5.8582664E-2</v>
      </c>
      <c r="C71" s="24">
        <v>-9.6136510000000008E-2</v>
      </c>
      <c r="D71" s="24">
        <v>-7.0104479999999997E-2</v>
      </c>
      <c r="E71" s="24">
        <v>-8.0967430000000007E-2</v>
      </c>
      <c r="F71" s="24">
        <v>-8.2943735000000005E-2</v>
      </c>
      <c r="G71" s="24">
        <v>-7.0201279999999991E-2</v>
      </c>
      <c r="H71" s="24">
        <v>-0.10232841499999999</v>
      </c>
      <c r="I71" s="24">
        <v>-6.0574235999999997E-2</v>
      </c>
      <c r="J71" s="24">
        <v>-7.9165754000000005E-2</v>
      </c>
      <c r="K71" s="24">
        <v>-7.8662394999999996E-2</v>
      </c>
      <c r="L71" s="24">
        <v>-6.8828344E-2</v>
      </c>
      <c r="M71" s="24">
        <v>-5.0921560000000005E-2</v>
      </c>
      <c r="N71" s="24">
        <v>-5.3509416999999997E-2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43921</v>
      </c>
      <c r="B72" s="24">
        <v>-0.15698880000000001</v>
      </c>
      <c r="C72" s="24">
        <v>-0.22763425999999998</v>
      </c>
      <c r="D72" s="24">
        <v>-0.20804638</v>
      </c>
      <c r="E72" s="24">
        <v>-0.18077803000000001</v>
      </c>
      <c r="F72" s="24">
        <v>-6.7409334000000001E-2</v>
      </c>
      <c r="G72" s="24">
        <v>-6.6525879999999996E-2</v>
      </c>
      <c r="H72" s="24">
        <v>-0.18498294999999998</v>
      </c>
      <c r="I72" s="24">
        <v>-7.2861490000000001E-2</v>
      </c>
      <c r="J72" s="24">
        <v>-0.12464254999999999</v>
      </c>
      <c r="K72" s="24">
        <v>-0.18976836999999999</v>
      </c>
      <c r="L72" s="24">
        <v>-0.14618926999999998</v>
      </c>
      <c r="M72" s="24">
        <v>-0.15766949</v>
      </c>
      <c r="N72" s="24">
        <v>-0.23751830999999998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43951</v>
      </c>
      <c r="B73" s="24">
        <v>9.1653590000000007E-2</v>
      </c>
      <c r="C73" s="24">
        <v>9.6525189999999997E-2</v>
      </c>
      <c r="D73" s="24">
        <v>0.111212845</v>
      </c>
      <c r="E73" s="24">
        <v>9.7765330000000011E-2</v>
      </c>
      <c r="F73" s="24">
        <v>4.7985435E-2</v>
      </c>
      <c r="G73" s="24">
        <v>4.2986392999999998E-2</v>
      </c>
      <c r="H73" s="24">
        <v>5.7370185999999997E-2</v>
      </c>
      <c r="I73" s="24">
        <v>0.14973746999999998</v>
      </c>
      <c r="J73" s="24">
        <v>0.12698353000000001</v>
      </c>
      <c r="K73" s="24">
        <v>4.4368505000000003E-2</v>
      </c>
      <c r="L73" s="24">
        <v>9.5036509999999991E-2</v>
      </c>
      <c r="M73" s="24">
        <v>7.2293877999999992E-2</v>
      </c>
      <c r="N73" s="24">
        <v>1.8295526999999999E-2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43980</v>
      </c>
      <c r="B74" s="24">
        <v>5.5801033999999999E-2</v>
      </c>
      <c r="C74" s="24">
        <v>5.9859036999999997E-2</v>
      </c>
      <c r="D74" s="24">
        <v>3.5420060000000003E-2</v>
      </c>
      <c r="E74" s="24">
        <v>9.3723539999999994E-2</v>
      </c>
      <c r="F74" s="24">
        <v>7.0517780000000002E-2</v>
      </c>
      <c r="G74" s="24">
        <v>3.8774370000000002E-2</v>
      </c>
      <c r="H74" s="24">
        <v>1.9009828999999999E-2</v>
      </c>
      <c r="I74" s="24">
        <v>6.6008806000000003E-2</v>
      </c>
      <c r="J74" s="24">
        <v>4.764521E-2</v>
      </c>
      <c r="K74" s="24">
        <v>5.9232116000000001E-2</v>
      </c>
      <c r="L74" s="24">
        <v>7.9409720000000003E-2</v>
      </c>
      <c r="M74" s="24">
        <v>0.10021865999999999</v>
      </c>
      <c r="N74" s="24">
        <v>6.1938524000000002E-2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44012</v>
      </c>
      <c r="B75" s="24">
        <v>0.11065602000000001</v>
      </c>
      <c r="C75" s="24">
        <v>8.2816959999999995E-2</v>
      </c>
      <c r="D75" s="24">
        <v>3.9797068000000005E-2</v>
      </c>
      <c r="E75" s="24">
        <v>6.2144876000000002E-2</v>
      </c>
      <c r="F75" s="24">
        <v>-8.9687109999999997E-4</v>
      </c>
      <c r="G75" s="24">
        <v>3.3503056000000003E-2</v>
      </c>
      <c r="H75" s="24">
        <v>1.6341805000000001E-2</v>
      </c>
      <c r="I75" s="24">
        <v>6.2845945E-2</v>
      </c>
      <c r="J75" s="24">
        <v>1.7760754E-2</v>
      </c>
      <c r="K75" s="24">
        <v>6.4371467000000002E-2</v>
      </c>
      <c r="L75" s="24">
        <v>7.1173310000000004E-2</v>
      </c>
      <c r="M75" s="24">
        <v>3.2384515000000003E-2</v>
      </c>
      <c r="N75" s="24">
        <v>8.334482E-2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44043</v>
      </c>
      <c r="B76" s="24">
        <v>3.6527275999999997E-2</v>
      </c>
      <c r="C76" s="24">
        <v>3.3212184999999998E-2</v>
      </c>
      <c r="D76" s="24">
        <v>5.5255055000000004E-2</v>
      </c>
      <c r="E76" s="24">
        <v>4.2050840000000006E-2</v>
      </c>
      <c r="F76" s="24">
        <v>-1.0742843E-2</v>
      </c>
      <c r="G76" s="24">
        <v>4.0297747000000002E-2</v>
      </c>
      <c r="H76" s="24">
        <v>6.5994260000000003E-3</v>
      </c>
      <c r="I76" s="24">
        <v>7.3465230000000006E-2</v>
      </c>
      <c r="J76" s="24">
        <v>5.889225E-2</v>
      </c>
      <c r="K76" s="24">
        <v>1.9328952E-2</v>
      </c>
      <c r="L76" s="24">
        <v>3.8214563999999999E-2</v>
      </c>
      <c r="M76" s="24">
        <v>8.979725999999999E-2</v>
      </c>
      <c r="N76" s="24">
        <v>2.6993394E-2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44074</v>
      </c>
      <c r="B77" s="24">
        <v>3.1835198000000002E-2</v>
      </c>
      <c r="C77" s="24">
        <v>4.419899E-2</v>
      </c>
      <c r="D77" s="24">
        <v>5.1263213000000002E-2</v>
      </c>
      <c r="E77" s="24">
        <v>6.5486790000000003E-2</v>
      </c>
      <c r="F77" s="24">
        <v>6.7918300000000001E-2</v>
      </c>
      <c r="G77" s="24">
        <v>2.9607773E-2</v>
      </c>
      <c r="H77" s="24">
        <v>2.738142E-2</v>
      </c>
      <c r="I77" s="24">
        <v>0.10944724</v>
      </c>
      <c r="J77" s="24">
        <v>6.979668E-2</v>
      </c>
      <c r="K77" s="24">
        <v>4.6869397E-2</v>
      </c>
      <c r="L77" s="24">
        <v>4.0636063E-2</v>
      </c>
      <c r="M77" s="24">
        <v>5.4046035000000006E-2</v>
      </c>
      <c r="N77" s="24">
        <v>4.0841102999999997E-2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44104</v>
      </c>
      <c r="B78" s="24">
        <v>-5.0651729999999999E-2</v>
      </c>
      <c r="C78" s="24">
        <v>-5.1467122999999997E-2</v>
      </c>
      <c r="D78" s="24">
        <v>-4.5280336999999997E-2</v>
      </c>
      <c r="E78" s="24">
        <v>-3.2225966000000002E-2</v>
      </c>
      <c r="F78" s="24">
        <v>1.8097162E-2</v>
      </c>
      <c r="G78" s="24">
        <v>-1.5815973000000001E-2</v>
      </c>
      <c r="H78" s="24">
        <v>-4.3168125000000002E-2</v>
      </c>
      <c r="I78" s="24">
        <v>-5.6418839999999998E-2</v>
      </c>
      <c r="J78" s="24">
        <v>-3.7398220000000003E-2</v>
      </c>
      <c r="K78" s="24">
        <v>-4.511279E-2</v>
      </c>
      <c r="L78" s="24">
        <v>-1.4431179000000001E-2</v>
      </c>
      <c r="M78" s="24">
        <v>-1.0647178E-2</v>
      </c>
      <c r="N78" s="24">
        <v>-5.2836059999999997E-2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44134</v>
      </c>
      <c r="B79" s="24">
        <v>3.1803965999999996E-2</v>
      </c>
      <c r="C79" s="24">
        <v>2.5355815999999996E-3</v>
      </c>
      <c r="D79" s="24">
        <v>-3.4294069999999996E-2</v>
      </c>
      <c r="E79" s="24">
        <v>-9.7837209999999994E-2</v>
      </c>
      <c r="F79" s="24">
        <v>-1.4051080000000001E-2</v>
      </c>
      <c r="G79" s="24">
        <v>-5.2106139999999995E-2</v>
      </c>
      <c r="H79" s="24">
        <v>-4.5115710000000003E-2</v>
      </c>
      <c r="I79" s="24">
        <v>-3.0449152E-2</v>
      </c>
      <c r="J79" s="24">
        <v>-2.4933576999999998E-2</v>
      </c>
      <c r="K79" s="24">
        <v>-4.5454559999999998E-2</v>
      </c>
      <c r="L79" s="24">
        <v>-2.4978517999999998E-2</v>
      </c>
      <c r="M79" s="24">
        <v>-4.3330549999999995E-2</v>
      </c>
      <c r="N79" s="24">
        <v>-6.4397040000000003E-2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44165</v>
      </c>
      <c r="B80" s="24">
        <v>0.11891531999999999</v>
      </c>
      <c r="C80" s="24">
        <v>0.14921594000000002</v>
      </c>
      <c r="D80" s="24">
        <v>0.14393663000000001</v>
      </c>
      <c r="E80" s="24">
        <v>0.16286145999999999</v>
      </c>
      <c r="F80" s="24">
        <v>0.1055975</v>
      </c>
      <c r="G80" s="24">
        <v>9.2473620000000006E-2</v>
      </c>
      <c r="H80" s="24">
        <v>0.16105174999999999</v>
      </c>
      <c r="I80" s="24">
        <v>0.11225771999999999</v>
      </c>
      <c r="J80" s="24">
        <v>0.10877681</v>
      </c>
      <c r="K80" s="24">
        <v>0.21822273</v>
      </c>
      <c r="L80" s="24">
        <v>0.14575969999999999</v>
      </c>
      <c r="M80" s="24">
        <v>0.15186500999999999</v>
      </c>
      <c r="N80" s="24">
        <v>0.25208246000000001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44196</v>
      </c>
      <c r="B81" s="24">
        <v>3.6521195999999999E-2</v>
      </c>
      <c r="C81" s="24">
        <v>6.3082932999999994E-2</v>
      </c>
      <c r="D81" s="24">
        <v>3.1240819999999999E-2</v>
      </c>
      <c r="E81" s="24">
        <v>5.2691817000000002E-2</v>
      </c>
      <c r="F81" s="24">
        <v>5.33427E-2</v>
      </c>
      <c r="G81" s="24">
        <v>5.1101565000000002E-2</v>
      </c>
      <c r="H81" s="24">
        <v>4.8322440000000001E-2</v>
      </c>
      <c r="I81" s="24">
        <v>4.9029109999999994E-2</v>
      </c>
      <c r="J81" s="24">
        <v>3.7065982999999997E-2</v>
      </c>
      <c r="K81" s="24">
        <v>2.8766632E-2</v>
      </c>
      <c r="L81" s="24">
        <v>6.5925479999999995E-2</v>
      </c>
      <c r="M81" s="24">
        <v>3.0528545000000001E-2</v>
      </c>
      <c r="N81" s="24">
        <v>3.9326430000000002E-2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44225</v>
      </c>
      <c r="B82" s="24">
        <v>-5.4356455999999996E-3</v>
      </c>
      <c r="C82" s="24">
        <v>-8.3507895000000006E-3</v>
      </c>
      <c r="D82" s="24">
        <v>-7.7821015999999998E-3</v>
      </c>
      <c r="E82" s="24">
        <v>-9.7576976000000003E-3</v>
      </c>
      <c r="F82" s="24">
        <v>-8.4369179999999998E-3</v>
      </c>
      <c r="G82" s="24">
        <v>-1.4547944E-2</v>
      </c>
      <c r="H82" s="24">
        <v>-2.3899673999999999E-3</v>
      </c>
      <c r="I82" s="24">
        <v>2.6136637000000002E-3</v>
      </c>
      <c r="J82" s="24">
        <v>-1.0190427E-2</v>
      </c>
      <c r="K82" s="24">
        <v>-2.6157498000000001E-2</v>
      </c>
      <c r="L82" s="24">
        <v>2.3705839999999999E-2</v>
      </c>
      <c r="M82" s="24">
        <v>2.2361754999999997E-2</v>
      </c>
      <c r="N82" s="24">
        <v>-3.7024438E-2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44253</v>
      </c>
      <c r="B83" s="24">
        <v>-7.6366304999999995E-2</v>
      </c>
      <c r="C83" s="24">
        <v>3.2000065000000001E-2</v>
      </c>
      <c r="D83" s="24">
        <v>5.1307080000000005E-2</v>
      </c>
      <c r="E83" s="24">
        <v>1.7482519000000002E-2</v>
      </c>
      <c r="F83" s="24">
        <v>1.8360972E-2</v>
      </c>
      <c r="G83" s="24">
        <v>-1.8169403000000001E-2</v>
      </c>
      <c r="H83" s="24">
        <v>3.9356708999999997E-2</v>
      </c>
      <c r="I83" s="24">
        <v>-1.3351440000000001E-3</v>
      </c>
      <c r="J83" s="24">
        <v>2.7805448E-2</v>
      </c>
      <c r="K83" s="24">
        <v>4.5693159999999997E-2</v>
      </c>
      <c r="L83" s="24">
        <v>4.0170193E-2</v>
      </c>
      <c r="M83" s="24">
        <v>3.2686234000000002E-2</v>
      </c>
      <c r="N83" s="24">
        <v>5.5379150000000002E-2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44286</v>
      </c>
      <c r="B84" s="24">
        <v>-4.3179393000000003E-3</v>
      </c>
      <c r="C84" s="24">
        <v>1.1423945E-2</v>
      </c>
      <c r="D84" s="24">
        <v>5.8439612000000002E-2</v>
      </c>
      <c r="E84" s="24">
        <v>4.4673559999999994E-2</v>
      </c>
      <c r="F84" s="24">
        <v>4.3975114999999995E-3</v>
      </c>
      <c r="G84" s="24">
        <v>2.2669435000000002E-2</v>
      </c>
      <c r="H84" s="24">
        <v>3.09515E-2</v>
      </c>
      <c r="I84" s="24">
        <v>1.7142892E-2</v>
      </c>
      <c r="J84" s="24">
        <v>4.5405149999999998E-2</v>
      </c>
      <c r="K84" s="24">
        <v>2.8343797E-2</v>
      </c>
      <c r="L84" s="24">
        <v>4.838717E-2</v>
      </c>
      <c r="M84" s="24">
        <v>6.0447453999999998E-2</v>
      </c>
      <c r="N84" s="24">
        <v>5.3141713E-2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44316</v>
      </c>
      <c r="B85" s="24">
        <v>3.7102460000000004E-2</v>
      </c>
      <c r="C85" s="24">
        <v>4.3969274000000003E-2</v>
      </c>
      <c r="D85" s="24">
        <v>4.581499E-2</v>
      </c>
      <c r="E85" s="24">
        <v>3.5287142000000001E-2</v>
      </c>
      <c r="F85" s="24">
        <v>-1.6053676999999999E-2</v>
      </c>
      <c r="G85" s="24">
        <v>4.704821E-2</v>
      </c>
      <c r="H85" s="24">
        <v>3.8965105999999999E-2</v>
      </c>
      <c r="I85" s="24">
        <v>5.9098125000000001E-2</v>
      </c>
      <c r="J85" s="24">
        <v>5.2910446999999999E-2</v>
      </c>
      <c r="K85" s="24">
        <v>6.1728360000000003E-2</v>
      </c>
      <c r="L85" s="24">
        <v>4.1603446000000002E-2</v>
      </c>
      <c r="M85" s="24">
        <v>4.174137E-2</v>
      </c>
      <c r="N85" s="24">
        <v>3.1735897000000003E-3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44344</v>
      </c>
      <c r="B86" s="24">
        <v>-4.5609416999999999E-2</v>
      </c>
      <c r="C86" s="24">
        <v>3.3230305000000002E-2</v>
      </c>
      <c r="D86" s="24">
        <v>6.3465239999999992E-2</v>
      </c>
      <c r="E86" s="24">
        <v>3.3506632000000001E-2</v>
      </c>
      <c r="F86" s="24">
        <v>1.7205596E-2</v>
      </c>
      <c r="G86" s="24">
        <v>5.2711129999999995E-2</v>
      </c>
      <c r="H86" s="24">
        <v>3.8733601999999999E-2</v>
      </c>
      <c r="I86" s="24">
        <v>-1.2012183999999999E-2</v>
      </c>
      <c r="J86" s="24">
        <v>6.5660476999999991E-3</v>
      </c>
      <c r="K86" s="24">
        <v>5.4083347000000004E-2</v>
      </c>
      <c r="L86" s="24">
        <v>2.9748320000000002E-2</v>
      </c>
      <c r="M86" s="24">
        <v>4.4162035000000002E-2</v>
      </c>
      <c r="N86" s="24">
        <v>6.0107470000000003E-2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44377</v>
      </c>
      <c r="B87" s="24">
        <v>-5.7684182999999997E-3</v>
      </c>
      <c r="C87" s="24">
        <v>-1.4880061E-2</v>
      </c>
      <c r="D87" s="24">
        <v>-9.7858905999999996E-3</v>
      </c>
      <c r="E87" s="24">
        <v>-1.6548514E-2</v>
      </c>
      <c r="F87" s="24">
        <v>-7.9359410000000002E-3</v>
      </c>
      <c r="G87" s="24">
        <v>1.6354799E-2</v>
      </c>
      <c r="H87" s="24">
        <v>-1.5906334000000001E-2</v>
      </c>
      <c r="I87" s="24">
        <v>6.2613009999999997E-2</v>
      </c>
      <c r="J87" s="24">
        <v>2.2472620000000002E-2</v>
      </c>
      <c r="K87" s="24">
        <v>-1.8142760000000001E-2</v>
      </c>
      <c r="L87" s="24">
        <v>-1.4730096E-2</v>
      </c>
      <c r="M87" s="24">
        <v>-2.0414293E-2</v>
      </c>
      <c r="N87" s="24">
        <v>-2.1637619E-2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44407</v>
      </c>
      <c r="B88" s="24">
        <v>-4.6113730000000002E-3</v>
      </c>
      <c r="C88" s="24">
        <v>-8.0831050000000002E-3</v>
      </c>
      <c r="D88" s="24">
        <v>1.6099215E-3</v>
      </c>
      <c r="E88" s="24">
        <v>-2.3120642E-3</v>
      </c>
      <c r="F88" s="24">
        <v>-6.3666104999999997E-3</v>
      </c>
      <c r="G88" s="24">
        <v>3.3107161999999996E-2</v>
      </c>
      <c r="H88" s="24">
        <v>2.7523039999999997E-3</v>
      </c>
      <c r="I88" s="24">
        <v>2.8609395000000003E-2</v>
      </c>
      <c r="J88" s="24">
        <v>2.4412512999999997E-2</v>
      </c>
      <c r="K88" s="24">
        <v>1.294589E-2</v>
      </c>
      <c r="L88" s="24">
        <v>3.1166077E-2</v>
      </c>
      <c r="M88" s="24">
        <v>4.3318987000000003E-2</v>
      </c>
      <c r="N88" s="24">
        <v>3.0874014000000002E-3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44439</v>
      </c>
      <c r="B89" s="24">
        <v>4.9801469999999994E-2</v>
      </c>
      <c r="C89" s="24">
        <v>5.8207509999999999E-3</v>
      </c>
      <c r="D89" s="24">
        <v>2.6786326999999997E-4</v>
      </c>
      <c r="E89" s="24">
        <v>1.2456536000000001E-2</v>
      </c>
      <c r="F89" s="24">
        <v>1.9222140000000002E-2</v>
      </c>
      <c r="G89" s="24">
        <v>1.1942625E-2</v>
      </c>
      <c r="H89" s="24">
        <v>6.7093369999999992E-3</v>
      </c>
      <c r="I89" s="24">
        <v>4.2186737000000002E-2</v>
      </c>
      <c r="J89" s="24">
        <v>2.9759884E-2</v>
      </c>
      <c r="K89" s="24">
        <v>8.6071489999999997E-3</v>
      </c>
      <c r="L89" s="24">
        <v>5.9847950000000004E-2</v>
      </c>
      <c r="M89" s="24">
        <v>-1.0328472E-2</v>
      </c>
      <c r="N89" s="24">
        <v>1.415813E-2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44469</v>
      </c>
      <c r="B90" s="24">
        <v>-2.6792765E-2</v>
      </c>
      <c r="C90" s="24">
        <v>-4.2438269999999993E-2</v>
      </c>
      <c r="D90" s="24">
        <v>-2.7852177999999998E-2</v>
      </c>
      <c r="E90" s="24">
        <v>-5.8083057E-2</v>
      </c>
      <c r="F90" s="24">
        <v>2.7046800000000003E-2</v>
      </c>
      <c r="G90" s="24">
        <v>-8.3792270000000002E-2</v>
      </c>
      <c r="H90" s="24">
        <v>-2.3023248E-2</v>
      </c>
      <c r="I90" s="24">
        <v>-5.6809719999999994E-2</v>
      </c>
      <c r="J90" s="24">
        <v>-4.6575309999999995E-2</v>
      </c>
      <c r="K90" s="24">
        <v>-3.6979496000000001E-2</v>
      </c>
      <c r="L90" s="24">
        <v>-6.9877266999999993E-2</v>
      </c>
      <c r="M90" s="24">
        <v>-6.3869769999999992E-2</v>
      </c>
      <c r="N90" s="24">
        <v>-3.9453744999999998E-2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44498</v>
      </c>
      <c r="B91" s="24">
        <v>3.3846139999999997E-2</v>
      </c>
      <c r="C91" s="24">
        <v>6.6075682999999996E-2</v>
      </c>
      <c r="D91" s="24">
        <v>7.9338909999999999E-2</v>
      </c>
      <c r="E91" s="24">
        <v>2.5820255E-2</v>
      </c>
      <c r="F91" s="24">
        <v>-2.6334523999999998E-2</v>
      </c>
      <c r="G91" s="24">
        <v>6.9772479999999998E-2</v>
      </c>
      <c r="H91" s="24">
        <v>4.4341087000000001E-2</v>
      </c>
      <c r="I91" s="24">
        <v>7.8640103000000003E-2</v>
      </c>
      <c r="J91" s="24">
        <v>7.0163489999999995E-2</v>
      </c>
      <c r="K91" s="24">
        <v>5.5585383999999995E-2</v>
      </c>
      <c r="L91" s="24">
        <v>5.7868004000000001E-2</v>
      </c>
      <c r="M91" s="24">
        <v>6.8227410000000002E-2</v>
      </c>
      <c r="N91" s="24">
        <v>5.7819963000000002E-2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44530</v>
      </c>
      <c r="B92" s="24">
        <v>-8.1296979999999991E-2</v>
      </c>
      <c r="C92" s="24">
        <v>-7.5585785000000003E-2</v>
      </c>
      <c r="D92" s="24">
        <v>-4.5941771999999999E-2</v>
      </c>
      <c r="E92" s="24">
        <v>-5.8039721999999995E-2</v>
      </c>
      <c r="F92" s="24">
        <v>-3.0263125999999998E-2</v>
      </c>
      <c r="G92" s="24">
        <v>-9.0307000000000009E-3</v>
      </c>
      <c r="H92" s="24">
        <v>-4.8693600000000004E-2</v>
      </c>
      <c r="I92" s="24">
        <v>1.9968509999999998E-2</v>
      </c>
      <c r="J92" s="24">
        <v>-8.0348252999999994E-3</v>
      </c>
      <c r="K92" s="24">
        <v>-3.8667023000000002E-2</v>
      </c>
      <c r="L92" s="24">
        <v>-5.6237993E-2</v>
      </c>
      <c r="M92" s="24">
        <v>-5.9486509999999999E-2</v>
      </c>
      <c r="N92" s="24">
        <v>-6.0334563000000001E-2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44561</v>
      </c>
      <c r="B93" s="24">
        <v>1.9298077E-2</v>
      </c>
      <c r="C93" s="24">
        <v>5.2122710000000003E-2</v>
      </c>
      <c r="D93" s="24">
        <v>4.1397449999999995E-2</v>
      </c>
      <c r="E93" s="24">
        <v>3.9409159999999999E-2</v>
      </c>
      <c r="F93" s="24">
        <v>2.2901653999999997E-2</v>
      </c>
      <c r="G93" s="24">
        <v>6.7841170000000006E-2</v>
      </c>
      <c r="H93" s="24">
        <v>6.2806249999999994E-2</v>
      </c>
      <c r="I93" s="24">
        <v>1.1537075000000001E-2</v>
      </c>
      <c r="J93" s="24">
        <v>4.6295046999999999E-2</v>
      </c>
      <c r="K93" s="24">
        <v>5.7305216999999999E-2</v>
      </c>
      <c r="L93" s="24">
        <v>2.5156855999999998E-2</v>
      </c>
      <c r="M93" s="24">
        <v>6.0512066000000003E-2</v>
      </c>
      <c r="N93" s="24">
        <v>5.776179E-2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44592</v>
      </c>
      <c r="B94" s="24">
        <v>-0.11695486000000001</v>
      </c>
      <c r="C94" s="24">
        <v>-8.0144999999999994E-2</v>
      </c>
      <c r="D94" s="24">
        <v>-6.2451360000000001E-3</v>
      </c>
      <c r="E94" s="24">
        <v>-2.3489952000000001E-2</v>
      </c>
      <c r="F94" s="24">
        <v>-4.3010710000000001E-2</v>
      </c>
      <c r="G94" s="24">
        <v>-6.4479350000000005E-2</v>
      </c>
      <c r="H94" s="24">
        <v>2.2631287999999999E-2</v>
      </c>
      <c r="I94" s="24">
        <v>-8.747017E-2</v>
      </c>
      <c r="J94" s="24">
        <v>-5.274123E-2</v>
      </c>
      <c r="K94" s="24">
        <v>-2.5462984999999997E-2</v>
      </c>
      <c r="L94" s="24">
        <v>-7.6065300000000002E-2</v>
      </c>
      <c r="M94" s="24">
        <v>-8.8927329999999999E-2</v>
      </c>
      <c r="N94" s="24">
        <v>-1.1581838000000001E-2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44620</v>
      </c>
      <c r="B95" s="24">
        <v>4.6280621999999993E-2</v>
      </c>
      <c r="C95" s="24">
        <v>5.2977204E-2</v>
      </c>
      <c r="D95" s="24">
        <v>7.8558920000000002E-4</v>
      </c>
      <c r="E95" s="24">
        <v>-9.1533840000000005E-2</v>
      </c>
      <c r="F95" s="24">
        <v>-1.7790317999999999E-2</v>
      </c>
      <c r="G95" s="24">
        <v>-2.817762E-2</v>
      </c>
      <c r="H95" s="24">
        <v>-1.1802851999999999E-2</v>
      </c>
      <c r="I95" s="24">
        <v>-4.4759693000000003E-2</v>
      </c>
      <c r="J95" s="24">
        <v>-2.9516995000000001E-2</v>
      </c>
      <c r="K95" s="24">
        <v>-6.756395300000001E-2</v>
      </c>
      <c r="L95" s="24">
        <v>-7.6939640000000004E-2</v>
      </c>
      <c r="M95" s="24">
        <v>-0.10400378999999998</v>
      </c>
      <c r="N95" s="24">
        <v>-6.7221699999999995E-2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44651</v>
      </c>
      <c r="B96" s="24">
        <v>1.1121273000000001E-2</v>
      </c>
      <c r="C96" s="24">
        <v>9.8960510000000002E-2</v>
      </c>
      <c r="D96" s="24">
        <v>5.2066920000000003E-2</v>
      </c>
      <c r="E96" s="24">
        <v>-2.3727655E-2</v>
      </c>
      <c r="F96" s="24">
        <v>-2.1131217000000001E-2</v>
      </c>
      <c r="G96" s="24">
        <v>2.4196862999999999E-2</v>
      </c>
      <c r="H96" s="24">
        <v>4.4789314000000004E-3</v>
      </c>
      <c r="I96" s="24">
        <v>4.6681643000000002E-2</v>
      </c>
      <c r="J96" s="24">
        <v>3.7555575000000001E-2</v>
      </c>
      <c r="K96" s="24">
        <v>0</v>
      </c>
      <c r="L96" s="24">
        <v>-1.1674047E-2</v>
      </c>
      <c r="M96" s="24">
        <v>2.7234197000000002E-2</v>
      </c>
      <c r="N96" s="24">
        <v>-2.3801625E-2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44680</v>
      </c>
      <c r="B97" s="24">
        <v>-9.1718969999999997E-2</v>
      </c>
      <c r="C97" s="24">
        <v>-6.9996240000000001E-2</v>
      </c>
      <c r="D97" s="24">
        <v>-7.8587412999999995E-2</v>
      </c>
      <c r="E97" s="24">
        <v>-8.3832320000000002E-2</v>
      </c>
      <c r="F97" s="24">
        <v>-8.0993359999999986E-2</v>
      </c>
      <c r="G97" s="24">
        <v>-5.4989758E-2</v>
      </c>
      <c r="H97" s="24">
        <v>-3.9833546000000004E-2</v>
      </c>
      <c r="I97" s="24">
        <v>-0.13595742</v>
      </c>
      <c r="J97" s="24">
        <v>-8.7769030000000012E-2</v>
      </c>
      <c r="K97" s="24">
        <v>-6.7364873999999991E-2</v>
      </c>
      <c r="L97" s="24">
        <v>-9.2133280000000012E-2</v>
      </c>
      <c r="M97" s="24">
        <v>-7.567567E-2</v>
      </c>
      <c r="N97" s="24">
        <v>-7.1114120000000003E-2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44712</v>
      </c>
      <c r="B98" s="24">
        <v>-3.2225787999999998E-2</v>
      </c>
      <c r="C98" s="24">
        <v>4.0683745999999998E-3</v>
      </c>
      <c r="D98" s="24">
        <v>2.1052718000000002E-2</v>
      </c>
      <c r="E98" s="24">
        <v>5.0749660000000002E-2</v>
      </c>
      <c r="F98" s="24">
        <v>1.7308353999999998E-2</v>
      </c>
      <c r="G98" s="24">
        <v>-1.8319011E-2</v>
      </c>
      <c r="H98" s="24">
        <v>2.6934980999999997E-2</v>
      </c>
      <c r="I98" s="24">
        <v>-1.5865921999999998E-2</v>
      </c>
      <c r="J98" s="24">
        <v>2.2572279E-3</v>
      </c>
      <c r="K98" s="24">
        <v>4.097116E-2</v>
      </c>
      <c r="L98" s="24">
        <v>2.7582645000000003E-2</v>
      </c>
      <c r="M98" s="24">
        <v>1.643002E-2</v>
      </c>
      <c r="N98" s="24">
        <v>5.1038979999999998E-2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44742</v>
      </c>
      <c r="B99" s="24">
        <v>-6.9456396000000004E-2</v>
      </c>
      <c r="C99" s="24">
        <v>-0.11241685999999999</v>
      </c>
      <c r="D99" s="24">
        <v>-0.10306478000000001</v>
      </c>
      <c r="E99" s="24">
        <v>-0.13203525999999999</v>
      </c>
      <c r="F99" s="24">
        <v>-7.3839482999999997E-2</v>
      </c>
      <c r="G99" s="24">
        <v>-6.9652557000000004E-2</v>
      </c>
      <c r="H99" s="24">
        <v>-8.019132000000001E-2</v>
      </c>
      <c r="I99" s="24">
        <v>-8.912057000000001E-2</v>
      </c>
      <c r="J99" s="24">
        <v>-8.2469225000000007E-2</v>
      </c>
      <c r="K99" s="24">
        <v>-9.9265629999999994E-2</v>
      </c>
      <c r="L99" s="24">
        <v>-0.10055744000000001</v>
      </c>
      <c r="M99" s="24">
        <v>-0.14160574000000001</v>
      </c>
      <c r="N99" s="24">
        <v>-0.13912171000000001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44771</v>
      </c>
      <c r="B100" s="24">
        <v>8.1627959999999999E-2</v>
      </c>
      <c r="C100" s="24">
        <v>7.1630597000000004E-2</v>
      </c>
      <c r="D100" s="24">
        <v>4.8396707000000004E-2</v>
      </c>
      <c r="E100" s="24">
        <v>2.4771809999999998E-2</v>
      </c>
      <c r="F100" s="24">
        <v>6.2843083999999994E-2</v>
      </c>
      <c r="G100" s="24">
        <v>4.7194839999999995E-2</v>
      </c>
      <c r="H100" s="24">
        <v>3.1708956000000003E-2</v>
      </c>
      <c r="I100" s="24">
        <v>0.12551736999999999</v>
      </c>
      <c r="J100" s="24">
        <v>9.2087509999999997E-2</v>
      </c>
      <c r="K100" s="24">
        <v>6.5311549999999996E-2</v>
      </c>
      <c r="L100" s="24">
        <v>8.5282330000000003E-2</v>
      </c>
      <c r="M100" s="24">
        <v>0.11691283999999999</v>
      </c>
      <c r="N100" s="24">
        <v>2.3255824999999997E-2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44804</v>
      </c>
      <c r="B101" s="24">
        <v>-2.9937624999999999E-2</v>
      </c>
      <c r="C101" s="24">
        <v>-3.649956E-2</v>
      </c>
      <c r="D101" s="24">
        <v>-4.5879419999999997E-2</v>
      </c>
      <c r="E101" s="24">
        <v>-7.3791323000000006E-2</v>
      </c>
      <c r="F101" s="24">
        <v>-4.5592189999999998E-2</v>
      </c>
      <c r="G101" s="24">
        <v>-6.6222134000000002E-2</v>
      </c>
      <c r="H101" s="24">
        <v>-6.4703999999999998E-2</v>
      </c>
      <c r="I101" s="24">
        <v>-5.1321864000000002E-2</v>
      </c>
      <c r="J101" s="24">
        <v>-4.0801944999999999E-2</v>
      </c>
      <c r="K101" s="24">
        <v>-7.2880799999999996E-2</v>
      </c>
      <c r="L101" s="24">
        <v>-9.9605800000000008E-2</v>
      </c>
      <c r="M101" s="24">
        <v>-0.11555422</v>
      </c>
      <c r="N101" s="24">
        <v>-6.0876609999999998E-2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44834</v>
      </c>
      <c r="B102" s="24">
        <v>-0.11744535</v>
      </c>
      <c r="C102" s="24">
        <v>-0.10451841000000001</v>
      </c>
      <c r="D102" s="24">
        <v>-8.6969379999999999E-2</v>
      </c>
      <c r="E102" s="24">
        <v>-9.6153849999999999E-2</v>
      </c>
      <c r="F102" s="24">
        <v>-8.8449360000000005E-2</v>
      </c>
      <c r="G102" s="24">
        <v>-7.781333E-2</v>
      </c>
      <c r="H102" s="24">
        <v>-9.3393329999999997E-2</v>
      </c>
      <c r="I102" s="24">
        <v>-0.10536909</v>
      </c>
      <c r="J102" s="24">
        <v>-9.241634E-2</v>
      </c>
      <c r="K102" s="24">
        <v>-9.5816499999999999E-2</v>
      </c>
      <c r="L102" s="24">
        <v>-0.10770576999999999</v>
      </c>
      <c r="M102" s="24">
        <v>-9.4082410000000005E-2</v>
      </c>
      <c r="N102" s="24">
        <v>-7.0872903000000001E-2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44865</v>
      </c>
      <c r="B103" s="24">
        <v>5.9009194000000001E-2</v>
      </c>
      <c r="C103" s="24">
        <v>5.6065199999999996E-2</v>
      </c>
      <c r="D103" s="24">
        <v>7.3797107000000001E-2</v>
      </c>
      <c r="E103" s="24">
        <v>0.10536981000000001</v>
      </c>
      <c r="F103" s="24">
        <v>2.3336768000000001E-2</v>
      </c>
      <c r="G103" s="24">
        <v>4.4325710000000004E-2</v>
      </c>
      <c r="H103" s="24">
        <v>6.9820759999999996E-2</v>
      </c>
      <c r="I103" s="24">
        <v>3.9998531000000004E-2</v>
      </c>
      <c r="J103" s="24">
        <v>8.127558E-2</v>
      </c>
      <c r="K103" s="24">
        <v>0.10783588</v>
      </c>
      <c r="L103" s="24">
        <v>7.131171E-2</v>
      </c>
      <c r="M103" s="24">
        <v>8.1100939999999996E-2</v>
      </c>
      <c r="N103" s="24">
        <v>0.12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44895</v>
      </c>
      <c r="B104" s="24">
        <v>0.11832152999999999</v>
      </c>
      <c r="C104" s="24">
        <v>0.14333987000000001</v>
      </c>
      <c r="D104" s="24">
        <v>6.5395117000000003E-2</v>
      </c>
      <c r="E104" s="24">
        <v>0.16361141000000001</v>
      </c>
      <c r="F104" s="24">
        <v>0.11622322</v>
      </c>
      <c r="G104" s="24">
        <v>9.6650489999999992E-2</v>
      </c>
      <c r="H104" s="24">
        <v>0.12446499</v>
      </c>
      <c r="I104" s="24">
        <v>5.5441500000000005E-2</v>
      </c>
      <c r="J104" s="24">
        <v>5.5591464000000007E-2</v>
      </c>
      <c r="K104" s="24">
        <v>0.13775671</v>
      </c>
      <c r="L104" s="24">
        <v>0.19022894000000001</v>
      </c>
      <c r="M104" s="24">
        <v>0.13679576000000002</v>
      </c>
      <c r="N104" s="24">
        <v>0.15531564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44925</v>
      </c>
      <c r="B105" s="24">
        <v>3.1578540000000004E-4</v>
      </c>
      <c r="C105" s="24">
        <v>-4.4155600000000003E-2</v>
      </c>
      <c r="D105" s="24">
        <v>-5.6353449999999999E-2</v>
      </c>
      <c r="E105" s="24">
        <v>-2.5667189999999999E-2</v>
      </c>
      <c r="F105" s="24">
        <v>-2.2204458999999999E-2</v>
      </c>
      <c r="G105" s="24">
        <v>-2.2382795999999996E-2</v>
      </c>
      <c r="H105" s="24">
        <v>-1.3042807999999999E-2</v>
      </c>
      <c r="I105" s="24">
        <v>-9.0104340000000005E-2</v>
      </c>
      <c r="J105" s="24">
        <v>-5.757582E-2</v>
      </c>
      <c r="K105" s="24">
        <v>-1.600182E-2</v>
      </c>
      <c r="L105" s="24">
        <v>-3.8705408999999996E-2</v>
      </c>
      <c r="M105" s="24">
        <v>-2.9118179999999997E-2</v>
      </c>
      <c r="N105" s="24">
        <v>-1.7070591E-2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44957</v>
      </c>
      <c r="B106" s="24">
        <v>7.363546E-2</v>
      </c>
      <c r="C106" s="24">
        <v>0.11830866000000001</v>
      </c>
      <c r="D106" s="24">
        <v>9.471439999999999E-2</v>
      </c>
      <c r="E106" s="24">
        <v>0.13384557</v>
      </c>
      <c r="F106" s="24">
        <v>7.7700256999999995E-2</v>
      </c>
      <c r="G106" s="24">
        <v>7.9179525000000001E-2</v>
      </c>
      <c r="H106" s="24">
        <v>6.2296150000000002E-2</v>
      </c>
      <c r="I106" s="24">
        <v>0.10642934</v>
      </c>
      <c r="J106" s="24">
        <v>6.2887430000000008E-2</v>
      </c>
      <c r="K106" s="24">
        <v>0.115942</v>
      </c>
      <c r="L106" s="24">
        <v>0.13319004000000001</v>
      </c>
      <c r="M106" s="24">
        <v>8.1039189999999997E-2</v>
      </c>
      <c r="N106" s="24">
        <v>0.123608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44985</v>
      </c>
      <c r="B107" s="24">
        <v>-6.0911236000000007E-2</v>
      </c>
      <c r="C107" s="24">
        <v>-7.9646052999999994E-2</v>
      </c>
      <c r="D107" s="24">
        <v>-4.9679099999999997E-2</v>
      </c>
      <c r="E107" s="24">
        <v>-2.6747524999999998E-2</v>
      </c>
      <c r="F107" s="24">
        <v>-4.653144E-2</v>
      </c>
      <c r="G107" s="24">
        <v>-4.1547002999999999E-2</v>
      </c>
      <c r="H107" s="24">
        <v>-8.9039206999999999E-3</v>
      </c>
      <c r="I107" s="24">
        <v>-3.5978555999999998E-3</v>
      </c>
      <c r="J107" s="24">
        <v>-2.5142669999999999E-2</v>
      </c>
      <c r="K107" s="24">
        <v>-1.1904715999999999E-2</v>
      </c>
      <c r="L107" s="24">
        <v>-3.3175409999999995E-2</v>
      </c>
      <c r="M107" s="24">
        <v>1.05865E-2</v>
      </c>
      <c r="N107" s="24">
        <v>-8.5893870000000004E-3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45016</v>
      </c>
      <c r="B108" s="24">
        <v>2.0020365999999998E-2</v>
      </c>
      <c r="C108" s="24">
        <v>2.6224852E-3</v>
      </c>
      <c r="D108" s="24">
        <v>3.8179160000000002E-3</v>
      </c>
      <c r="E108" s="24">
        <v>4.2872786999999996E-2</v>
      </c>
      <c r="F108" s="24">
        <v>4.9159765000000001E-2</v>
      </c>
      <c r="G108" s="24">
        <v>4.4961929999999997E-2</v>
      </c>
      <c r="H108" s="24">
        <v>-6.1959029999999994E-4</v>
      </c>
      <c r="I108" s="24">
        <v>9.4922070000000011E-2</v>
      </c>
      <c r="J108" s="24">
        <v>3.7124991000000003E-2</v>
      </c>
      <c r="K108" s="24">
        <v>3.5049199999999996E-2</v>
      </c>
      <c r="L108" s="24">
        <v>3.4313798E-2</v>
      </c>
      <c r="M108" s="24">
        <v>6.2288045999999994E-3</v>
      </c>
      <c r="N108" s="24">
        <v>1.3995290000000001E-2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45044</v>
      </c>
      <c r="B109" s="24">
        <v>-2.0033121000000002E-4</v>
      </c>
      <c r="C109" s="24">
        <v>8.7183714000000009E-3</v>
      </c>
      <c r="D109" s="24">
        <v>2.9842019999999997E-2</v>
      </c>
      <c r="E109" s="24">
        <v>3.3380269999999997E-2</v>
      </c>
      <c r="F109" s="24">
        <v>2.5558472E-3</v>
      </c>
      <c r="G109" s="24">
        <v>6.1120986999999995E-2</v>
      </c>
      <c r="H109" s="24">
        <v>5.1766989999999999E-2</v>
      </c>
      <c r="I109" s="24">
        <v>5.0790310000000003E-3</v>
      </c>
      <c r="J109" s="24">
        <v>1.5974879000000001E-2</v>
      </c>
      <c r="K109" s="24">
        <v>4.6825409999999998E-2</v>
      </c>
      <c r="L109" s="24">
        <v>2.8436183999999997E-3</v>
      </c>
      <c r="M109" s="24">
        <v>4.6989202000000001E-2</v>
      </c>
      <c r="N109" s="24">
        <v>4.0420650000000002E-2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45077</v>
      </c>
      <c r="B110" s="24">
        <v>-4.4871749999999995E-2</v>
      </c>
      <c r="C110" s="24">
        <v>-5.4883240000000007E-2</v>
      </c>
      <c r="D110" s="24">
        <v>-5.5113735000000004E-2</v>
      </c>
      <c r="E110" s="24">
        <v>-4.8622904000000002E-2</v>
      </c>
      <c r="F110" s="24">
        <v>8.4975959999999996E-3</v>
      </c>
      <c r="G110" s="24">
        <v>-3.7845669999999998E-2</v>
      </c>
      <c r="H110" s="24">
        <v>-5.9829054E-2</v>
      </c>
      <c r="I110" s="24">
        <v>7.8837989999999997E-2</v>
      </c>
      <c r="J110" s="24">
        <v>4.6161413000000004E-3</v>
      </c>
      <c r="K110" s="24">
        <v>-6.4948199999999998E-2</v>
      </c>
      <c r="L110" s="24">
        <v>-1.063329E-2</v>
      </c>
      <c r="M110" s="24">
        <v>-7.7129783999999993E-2</v>
      </c>
      <c r="N110" s="24">
        <v>-6.2539460000000005E-2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45107</v>
      </c>
      <c r="B111" s="24">
        <v>3.7548183999999998E-2</v>
      </c>
      <c r="C111" s="24">
        <v>5.0582170000000003E-2</v>
      </c>
      <c r="D111" s="24">
        <v>6.2673449999999992E-2</v>
      </c>
      <c r="E111" s="24">
        <v>4.9124359999999999E-2</v>
      </c>
      <c r="F111" s="24">
        <v>5.0505519999999998E-2</v>
      </c>
      <c r="G111" s="24">
        <v>2.1123647999999998E-2</v>
      </c>
      <c r="H111" s="24">
        <v>3.3806204999999999E-2</v>
      </c>
      <c r="I111" s="24">
        <v>6.3040257000000002E-2</v>
      </c>
      <c r="J111" s="24">
        <v>6.4814090000000005E-2</v>
      </c>
      <c r="K111" s="24">
        <v>6.4632176999999999E-2</v>
      </c>
      <c r="L111" s="24">
        <v>4.5256615E-2</v>
      </c>
      <c r="M111" s="24">
        <v>3.1450152000000002E-2</v>
      </c>
      <c r="N111" s="24">
        <v>9.8754040000000001E-2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45138</v>
      </c>
      <c r="B112" s="24">
        <v>2.0824790000000003E-2</v>
      </c>
      <c r="C112" s="24">
        <v>3.5920262000000001E-2</v>
      </c>
      <c r="D112" s="24">
        <v>3.1151772000000001E-2</v>
      </c>
      <c r="E112" s="24">
        <v>2.6251316E-2</v>
      </c>
      <c r="F112" s="24">
        <v>2.4555682999999998E-2</v>
      </c>
      <c r="G112" s="24">
        <v>3.2460450000000002E-2</v>
      </c>
      <c r="H112" s="24">
        <v>2.9366374000000001E-2</v>
      </c>
      <c r="I112" s="24">
        <v>3.8601040000000003E-2</v>
      </c>
      <c r="J112" s="24">
        <v>3.2733319999999996E-2</v>
      </c>
      <c r="K112" s="24">
        <v>1.6091466000000002E-2</v>
      </c>
      <c r="L112" s="24">
        <v>3.2347559999999997E-2</v>
      </c>
      <c r="M112" s="24">
        <v>9.599089600000001E-3</v>
      </c>
      <c r="N112" s="24">
        <v>5.2466273000000001E-2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45169</v>
      </c>
      <c r="B113" s="24">
        <v>-9.4800049999999997E-2</v>
      </c>
      <c r="C113" s="24">
        <v>-4.9229503000000001E-2</v>
      </c>
      <c r="D113" s="24">
        <v>-3.8525581000000003E-2</v>
      </c>
      <c r="E113" s="24">
        <v>-4.7748985000000001E-2</v>
      </c>
      <c r="F113" s="24">
        <v>-2.8066813999999999E-2</v>
      </c>
      <c r="G113" s="24">
        <v>-3.3116698E-2</v>
      </c>
      <c r="H113" s="24">
        <v>-3.9039016000000003E-2</v>
      </c>
      <c r="I113" s="24">
        <v>-1.4830053000000001E-2</v>
      </c>
      <c r="J113" s="24">
        <v>-1.6251980999999999E-2</v>
      </c>
      <c r="K113" s="24">
        <v>-3.8058817000000002E-2</v>
      </c>
      <c r="L113" s="24">
        <v>-7.6768160000000002E-2</v>
      </c>
      <c r="M113" s="24">
        <v>-6.8232656000000003E-2</v>
      </c>
      <c r="N113" s="24">
        <v>-4.1791080000000001E-2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45198</v>
      </c>
      <c r="B114" s="24">
        <v>-2.1431683999999999E-2</v>
      </c>
      <c r="C114" s="24">
        <v>-3.1517267000000002E-2</v>
      </c>
      <c r="D114" s="24">
        <v>-3.5456896000000002E-2</v>
      </c>
      <c r="E114" s="24">
        <v>-6.1604556999999997E-2</v>
      </c>
      <c r="F114" s="24">
        <v>-2.190131E-2</v>
      </c>
      <c r="G114" s="24">
        <v>-5.5495380000000004E-2</v>
      </c>
      <c r="H114" s="24">
        <v>-1.1250019E-2</v>
      </c>
      <c r="I114" s="24">
        <v>-5.0801220000000001E-2</v>
      </c>
      <c r="J114" s="24">
        <v>-4.7393264999999997E-2</v>
      </c>
      <c r="K114" s="24">
        <v>-5.4965495999999996E-2</v>
      </c>
      <c r="L114" s="24">
        <v>-7.8303040000000004E-2</v>
      </c>
      <c r="M114" s="24">
        <v>-1.0504127E-2</v>
      </c>
      <c r="N114" s="24">
        <v>-5.2336397000000007E-2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45230</v>
      </c>
      <c r="B115" s="24">
        <v>-5.9832929999999999E-2</v>
      </c>
      <c r="C115" s="24">
        <v>-3.5797297999999998E-2</v>
      </c>
      <c r="D115" s="24">
        <v>-5.1404656999999999E-2</v>
      </c>
      <c r="E115" s="24">
        <v>-3.8931309999999997E-2</v>
      </c>
      <c r="F115" s="24">
        <v>-2.2060095999999998E-2</v>
      </c>
      <c r="G115" s="24">
        <v>-3.7870109999999998E-2</v>
      </c>
      <c r="H115" s="24">
        <v>-3.6030352000000002E-2</v>
      </c>
      <c r="I115" s="24">
        <v>-2.0654797999999999E-2</v>
      </c>
      <c r="J115" s="24">
        <v>-2.1708607999999997E-2</v>
      </c>
      <c r="K115" s="24">
        <v>-3.2031475999999996E-2</v>
      </c>
      <c r="L115" s="24">
        <v>-1.4992118E-2</v>
      </c>
      <c r="M115" s="24">
        <v>-4.5799254999999997E-2</v>
      </c>
      <c r="N115" s="24">
        <v>-1.7094016E-2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45260</v>
      </c>
      <c r="B116" s="24">
        <v>0.11635446999999999</v>
      </c>
      <c r="C116" s="24">
        <v>8.2449439999999999E-2</v>
      </c>
      <c r="D116" s="24">
        <v>0.10207938999999999</v>
      </c>
      <c r="E116" s="24">
        <v>0.12827635000000001</v>
      </c>
      <c r="F116" s="24">
        <v>6.1906456999999998E-2</v>
      </c>
      <c r="G116" s="24">
        <v>8.3492390000000014E-2</v>
      </c>
      <c r="H116" s="24">
        <v>6.1967134E-2</v>
      </c>
      <c r="I116" s="24">
        <v>0.10818815000000001</v>
      </c>
      <c r="J116" s="24">
        <v>9.1343770000000005E-2</v>
      </c>
      <c r="K116" s="24">
        <v>9.056604E-2</v>
      </c>
      <c r="L116" s="24">
        <v>0.12630177000000001</v>
      </c>
      <c r="M116" s="24">
        <v>0.14462805000000001</v>
      </c>
      <c r="N116" s="24">
        <v>0.10301005999999999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45289</v>
      </c>
      <c r="B117" s="24">
        <v>6.4949630000000008E-2</v>
      </c>
      <c r="C117" s="24">
        <v>0.10652506</v>
      </c>
      <c r="D117" s="24">
        <v>6.2886476999999996E-2</v>
      </c>
      <c r="E117" s="24">
        <v>4.510927E-2</v>
      </c>
      <c r="F117" s="24">
        <v>3.8876294999999998E-2</v>
      </c>
      <c r="G117" s="24">
        <v>6.2747716999999995E-2</v>
      </c>
      <c r="H117" s="24">
        <v>4.3867349999999999E-2</v>
      </c>
      <c r="I117" s="24">
        <v>5.5855512999999996E-2</v>
      </c>
      <c r="J117" s="24">
        <v>4.5662520000000005E-2</v>
      </c>
      <c r="K117" s="24">
        <v>4.9645424E-2</v>
      </c>
      <c r="L117" s="24">
        <v>6.606722000000001E-2</v>
      </c>
      <c r="M117" s="24">
        <v>0.12315154</v>
      </c>
      <c r="N117" s="24">
        <v>4.1784762999999996E-2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45322</v>
      </c>
      <c r="B118" s="24">
        <v>-5.0417541999999996E-2</v>
      </c>
      <c r="C118" s="24">
        <v>-2.9580890000000002E-2</v>
      </c>
      <c r="D118" s="24">
        <v>-8.9967846999999997E-3</v>
      </c>
      <c r="E118" s="24">
        <v>-2.0882486999999998E-2</v>
      </c>
      <c r="F118" s="24">
        <v>3.2273173000000002E-2</v>
      </c>
      <c r="G118" s="24">
        <v>-1.5744805000000001E-2</v>
      </c>
      <c r="H118" s="24">
        <v>-1.8759430000000001E-2</v>
      </c>
      <c r="I118" s="24">
        <v>1.8192053E-2</v>
      </c>
      <c r="J118" s="24">
        <v>1.592648E-2</v>
      </c>
      <c r="K118" s="24">
        <v>-1.046449E-2</v>
      </c>
      <c r="L118" s="24">
        <v>2.0389914999999998E-2</v>
      </c>
      <c r="M118" s="24">
        <v>-5.396509E-2</v>
      </c>
      <c r="N118" s="24">
        <v>-1.2967824999999999E-2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45351</v>
      </c>
      <c r="B119" s="24">
        <v>-2.1932662000000002E-2</v>
      </c>
      <c r="C119" s="24">
        <v>1.2701035000000001E-2</v>
      </c>
      <c r="D119" s="24">
        <v>1.155436E-2</v>
      </c>
      <c r="E119" s="24">
        <v>5.4007529999999998E-2</v>
      </c>
      <c r="F119" s="24">
        <v>4.3951153999999999E-2</v>
      </c>
      <c r="G119" s="24">
        <v>-1.4523208000000001E-2</v>
      </c>
      <c r="H119" s="24">
        <v>9.86743E-3</v>
      </c>
      <c r="I119" s="24">
        <v>5.2833557000000003E-2</v>
      </c>
      <c r="J119" s="24">
        <v>5.2186847000000001E-2</v>
      </c>
      <c r="K119" s="24">
        <v>3.7142038000000002E-2</v>
      </c>
      <c r="L119" s="24">
        <v>4.8309207E-2</v>
      </c>
      <c r="M119" s="24">
        <v>5.8918119999999997E-2</v>
      </c>
      <c r="N119" s="24">
        <v>6.3899635999999996E-2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45379</v>
      </c>
      <c r="B120" s="24">
        <v>9.9911689999999994E-3</v>
      </c>
      <c r="C120" s="24">
        <v>3.0936479999999999E-2</v>
      </c>
      <c r="D120" s="24">
        <v>4.106605E-2</v>
      </c>
      <c r="E120" s="24">
        <v>3.6227226000000001E-2</v>
      </c>
      <c r="F120" s="24">
        <v>3.2262683E-2</v>
      </c>
      <c r="G120" s="24">
        <v>1.6659497999999998E-2</v>
      </c>
      <c r="H120" s="24">
        <v>4.4580099999999998E-2</v>
      </c>
      <c r="I120" s="24">
        <v>1.2738108999999999E-2</v>
      </c>
      <c r="J120" s="24">
        <v>3.2723903999999998E-2</v>
      </c>
      <c r="K120" s="24">
        <v>2.9843329999999998E-2</v>
      </c>
      <c r="L120" s="24">
        <v>3.6447406000000002E-2</v>
      </c>
      <c r="M120" s="24">
        <v>1.0622144E-2</v>
      </c>
      <c r="N120" s="24">
        <v>5.8658479999999999E-2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45412</v>
      </c>
      <c r="B121" s="24">
        <v>-2.6159644000000003E-2</v>
      </c>
      <c r="C121" s="24">
        <v>-5.3527950000000005E-2</v>
      </c>
      <c r="D121" s="24">
        <v>-3.5527705999999999E-2</v>
      </c>
      <c r="E121" s="24">
        <v>-4.0629920000000007E-2</v>
      </c>
      <c r="F121" s="24">
        <v>-5.7182909999999997E-2</v>
      </c>
      <c r="G121" s="24">
        <v>-4.7058764000000003E-2</v>
      </c>
      <c r="H121" s="24">
        <v>1.4323354E-2</v>
      </c>
      <c r="I121" s="24">
        <v>-4.3737769999999995E-2</v>
      </c>
      <c r="J121" s="24">
        <v>-4.0319624000000005E-2</v>
      </c>
      <c r="K121" s="24">
        <v>-3.3083796999999998E-2</v>
      </c>
      <c r="L121" s="24">
        <v>-3.4559429000000003E-2</v>
      </c>
      <c r="M121" s="24">
        <v>-3.9289296000000001E-2</v>
      </c>
      <c r="N121" s="24">
        <v>-3.1018078000000001E-2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45443</v>
      </c>
      <c r="B122" s="24">
        <v>5.3047419999999998E-2</v>
      </c>
      <c r="C122" s="24">
        <v>5.6126832999999994E-2</v>
      </c>
      <c r="D122" s="24">
        <v>3.6294699E-2</v>
      </c>
      <c r="E122" s="24">
        <v>5.2528024E-2</v>
      </c>
      <c r="F122" s="24">
        <v>2.5271416000000001E-2</v>
      </c>
      <c r="G122" s="24">
        <v>8.3774200000000007E-2</v>
      </c>
      <c r="H122" s="24">
        <v>4.6685814999999999E-2</v>
      </c>
      <c r="I122" s="24">
        <v>6.151819E-2</v>
      </c>
      <c r="J122" s="24">
        <v>5.0579666999999995E-2</v>
      </c>
      <c r="K122" s="24">
        <v>4.1458487999999995E-2</v>
      </c>
      <c r="L122" s="24">
        <v>7.1593045999999994E-2</v>
      </c>
      <c r="M122" s="24">
        <v>9.2211484999999996E-2</v>
      </c>
      <c r="N122" s="50">
        <v>6.2380313999999999E-2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0.13838910999999998</v>
      </c>
      <c r="C126" s="24" cm="1">
        <f t="array" ref="C126">MAX(_xlfn._xlws.FILTER(C1:C122, ISNUMBER(C1:C122)))</f>
        <v>0.14921594000000002</v>
      </c>
      <c r="D126" s="24" cm="1">
        <f t="array" ref="D126">MAX(_xlfn._xlws.FILTER(D1:D122, ISNUMBER(D1:D122)))</f>
        <v>0.14393663000000001</v>
      </c>
      <c r="E126" s="24" cm="1">
        <f t="array" ref="E126">MAX(_xlfn._xlws.FILTER(E1:E122, ISNUMBER(E1:E122)))</f>
        <v>0.16361141000000001</v>
      </c>
      <c r="F126" s="24" cm="1">
        <f t="array" ref="F126">MAX(_xlfn._xlws.FILTER(F1:F122, ISNUMBER(F1:F122)))</f>
        <v>0.11622322</v>
      </c>
      <c r="G126" s="24" cm="1">
        <f t="array" ref="G126">MAX(_xlfn._xlws.FILTER(G1:G122, ISNUMBER(G1:G122)))</f>
        <v>9.6650489999999992E-2</v>
      </c>
      <c r="H126" s="24" cm="1">
        <f t="array" ref="H126">MAX(_xlfn._xlws.FILTER(H1:H122, ISNUMBER(H1:H122)))</f>
        <v>0.16105174999999999</v>
      </c>
      <c r="I126" s="24" cm="1">
        <f t="array" ref="I126">MAX(_xlfn._xlws.FILTER(I1:I122, ISNUMBER(I1:I122)))</f>
        <v>0.14973746999999998</v>
      </c>
      <c r="J126" s="24" cm="1">
        <f t="array" ref="J126">MAX(_xlfn._xlws.FILTER(J1:J122, ISNUMBER(J1:J122)))</f>
        <v>0.12698353000000001</v>
      </c>
      <c r="K126" s="24" cm="1">
        <f t="array" ref="K126">MAX(_xlfn._xlws.FILTER(K1:K122, ISNUMBER(K1:K122)))</f>
        <v>0.21822273</v>
      </c>
      <c r="L126" s="24" cm="1">
        <f t="array" ref="L126">MAX(_xlfn._xlws.FILTER(L1:L122, ISNUMBER(L1:L122)))</f>
        <v>0.19022894000000001</v>
      </c>
      <c r="M126" s="24" cm="1">
        <f t="array" ref="M126">MAX(_xlfn._xlws.FILTER(M1:M122, ISNUMBER(M1:M122)))</f>
        <v>0.15186500999999999</v>
      </c>
      <c r="N126" s="24" cm="1">
        <f t="array" ref="N126">MAX(_xlfn._xlws.FILTER(N1:N122, ISNUMBER(N1:N122)))</f>
        <v>0.25208246000000001</v>
      </c>
    </row>
    <row r="127" spans="1:26" x14ac:dyDescent="0.35">
      <c r="A127" t="s">
        <v>85</v>
      </c>
      <c r="B127" s="24" cm="1">
        <f t="array" ref="B127">MIN(_xlfn._xlws.FILTER(B2:B122, ISNUMBER(B2:B122)))</f>
        <v>-0.15698880000000001</v>
      </c>
      <c r="C127" s="24" cm="1">
        <f t="array" ref="C127">MIN(_xlfn._xlws.FILTER(C2:C122, ISNUMBER(C2:C122)))</f>
        <v>-0.22763425999999998</v>
      </c>
      <c r="D127" s="24" cm="1">
        <f t="array" ref="D127">MIN(_xlfn._xlws.FILTER(D2:D122, ISNUMBER(D2:D122)))</f>
        <v>-0.20804638</v>
      </c>
      <c r="E127" s="24" cm="1">
        <f t="array" ref="E127">MIN(_xlfn._xlws.FILTER(E2:E122, ISNUMBER(E2:E122)))</f>
        <v>-0.18077803000000001</v>
      </c>
      <c r="F127" s="24" cm="1">
        <f t="array" ref="F127">MIN(_xlfn._xlws.FILTER(F2:F122, ISNUMBER(F2:F122)))</f>
        <v>-8.9490300000000009E-2</v>
      </c>
      <c r="G127" s="24" cm="1">
        <f t="array" ref="G127">MIN(_xlfn._xlws.FILTER(G2:G122, ISNUMBER(G2:G122)))</f>
        <v>-8.3792270000000002E-2</v>
      </c>
      <c r="H127" s="24" cm="1">
        <f t="array" ref="H127">MIN(_xlfn._xlws.FILTER(H2:H122, ISNUMBER(H2:H122)))</f>
        <v>-0.18498294999999998</v>
      </c>
      <c r="I127" s="24" cm="1">
        <f t="array" ref="I127">MIN(_xlfn._xlws.FILTER(I2:I122, ISNUMBER(I2:I122)))</f>
        <v>-0.13595742</v>
      </c>
      <c r="J127" s="24" cm="1">
        <f t="array" ref="J127">MIN(_xlfn._xlws.FILTER(J2:J122, ISNUMBER(J2:J122)))</f>
        <v>-0.12464254999999999</v>
      </c>
      <c r="K127" s="24" cm="1">
        <f t="array" ref="K127">MIN(_xlfn._xlws.FILTER(K2:K122, ISNUMBER(K2:K122)))</f>
        <v>-0.18976836999999999</v>
      </c>
      <c r="L127" s="24" cm="1">
        <f t="array" ref="L127">MIN(_xlfn._xlws.FILTER(L2:L122, ISNUMBER(L2:L122)))</f>
        <v>-0.14618926999999998</v>
      </c>
      <c r="M127" s="24" cm="1">
        <f t="array" ref="M127">MIN(_xlfn._xlws.FILTER(M2:M122, ISNUMBER(M2:M122)))</f>
        <v>-0.15766949</v>
      </c>
      <c r="N127" s="24" cm="1">
        <f t="array" ref="N127">MIN(_xlfn._xlws.FILTER(N2:N122, ISNUMBER(N2:N122)))</f>
        <v>-0.23751830999999998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21</v>
      </c>
      <c r="C129">
        <f>COUNTIF(C2:C122, "&lt;"&amp;Assumption!$E$50)</f>
        <v>16</v>
      </c>
      <c r="D129">
        <f>COUNTIF(D2:D122, "&lt;"&amp;Assumption!$E$50)</f>
        <v>16</v>
      </c>
      <c r="E129">
        <f>COUNTIF(E2:E122, "&lt;"&amp;Assumption!$E$50)</f>
        <v>19</v>
      </c>
      <c r="F129">
        <f>COUNTIF(F2:F122, "&lt;"&amp;Assumption!$E$50)</f>
        <v>12</v>
      </c>
      <c r="G129">
        <f>COUNTIF(G2:G122, "&lt;"&amp;Assumption!$E$50)</f>
        <v>16</v>
      </c>
      <c r="H129">
        <f>COUNTIF(H2:H122, "&lt;"&amp;Assumption!$E$50)</f>
        <v>13</v>
      </c>
      <c r="I129">
        <f>COUNTIF(I2:I122, "&lt;"&amp;Assumption!$E$50)</f>
        <v>16</v>
      </c>
      <c r="J129">
        <f>COUNTIF(J2:J122, "&lt;"&amp;Assumption!$E$50)</f>
        <v>11</v>
      </c>
      <c r="K129">
        <f>COUNTIF(K2:K122, "&lt;"&amp;Assumption!$E$50)</f>
        <v>17</v>
      </c>
      <c r="L129">
        <f>COUNTIF(L2:L122, "&lt;"&amp;Assumption!$E$50)</f>
        <v>19</v>
      </c>
      <c r="M129">
        <f>COUNTIF(M2:M122, "&lt;"&amp;Assumption!$E$50)</f>
        <v>20</v>
      </c>
      <c r="N129">
        <f>COUNTIF(N2:N122, "&lt;"&amp;Assumption!$E$50)</f>
        <v>23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0.17355371900826447</v>
      </c>
      <c r="C132" s="9">
        <f t="shared" si="2"/>
        <v>0.13223140495867769</v>
      </c>
      <c r="D132" s="9">
        <f t="shared" si="2"/>
        <v>0.13223140495867769</v>
      </c>
      <c r="E132" s="9">
        <f t="shared" si="2"/>
        <v>0.15702479338842976</v>
      </c>
      <c r="F132" s="9">
        <f t="shared" si="2"/>
        <v>9.9173553719008267E-2</v>
      </c>
      <c r="G132" s="9">
        <f t="shared" si="2"/>
        <v>0.13223140495867769</v>
      </c>
      <c r="H132" s="9">
        <f t="shared" si="2"/>
        <v>0.10743801652892562</v>
      </c>
      <c r="I132" s="9">
        <f t="shared" si="2"/>
        <v>0.13223140495867769</v>
      </c>
      <c r="J132" s="9">
        <f t="shared" si="2"/>
        <v>9.0909090909090912E-2</v>
      </c>
      <c r="K132" s="9">
        <f t="shared" ref="K132:N132" si="3">K129/K130</f>
        <v>0.14049586776859505</v>
      </c>
      <c r="L132" s="9">
        <f t="shared" si="3"/>
        <v>0.15702479338842976</v>
      </c>
      <c r="M132" s="9">
        <f t="shared" si="3"/>
        <v>0.16528925619834711</v>
      </c>
      <c r="N132" s="9">
        <f t="shared" si="3"/>
        <v>0.19008264462809918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0.79500000000000004</v>
      </c>
      <c r="C134" s="9" cm="1">
        <f t="array" ref="C134">_xlfn.PERCENTRANK.EXC(_xlfn._xlws.FILTER(C2:C122, ISNUMBER(C2:C122)),C122)</f>
        <v>0.85199999999999998</v>
      </c>
      <c r="D134" s="9" cm="1">
        <f t="array" ref="D134">_xlfn.PERCENTRANK.EXC(_xlfn._xlws.FILTER(D2:D122, ISNUMBER(D2:D122)),D122)</f>
        <v>0.73699999999999999</v>
      </c>
      <c r="E134" s="9" cm="1">
        <f t="array" ref="E134">_xlfn.PERCENTRANK.EXC(_xlfn._xlws.FILTER(E2:E122, ISNUMBER(E2:E122)),E122)</f>
        <v>0.80300000000000005</v>
      </c>
      <c r="F134" s="9" cm="1">
        <f t="array" ref="F134">_xlfn.PERCENTRANK.EXC(_xlfn._xlws.FILTER(F2:F122, ISNUMBER(F2:F122)),F122)</f>
        <v>0.72099999999999997</v>
      </c>
      <c r="G134" s="9" cm="1">
        <f t="array" ref="G134">_xlfn.PERCENTRANK.EXC(_xlfn._xlws.FILTER(G2:G122, ISNUMBER(G2:G122)),G122)</f>
        <v>0.97499999999999998</v>
      </c>
      <c r="H134" s="9" cm="1">
        <f t="array" ref="H134">_xlfn.PERCENTRANK.EXC(_xlfn._xlws.FILTER(H2:H122, ISNUMBER(H2:H122)),H122)</f>
        <v>0.86799999999999999</v>
      </c>
      <c r="I134" s="9" cm="1">
        <f t="array" ref="I134">_xlfn.PERCENTRANK.EXC(_xlfn._xlws.FILTER(I2:I122, ISNUMBER(I2:I122)),I122)</f>
        <v>0.81899999999999995</v>
      </c>
      <c r="J134" s="9" cm="1">
        <f t="array" ref="J134">_xlfn.PERCENTRANK.EXC(_xlfn._xlws.FILTER(J2:J122, ISNUMBER(J2:J122)),J122)</f>
        <v>0.83599999999999997</v>
      </c>
      <c r="K134" s="9" cm="1">
        <f t="array" ref="K134">_xlfn.PERCENTRANK.EXC(_xlfn._xlws.FILTER(K2:K122, ISNUMBER(K2:K122)),K122)</f>
        <v>0.72899999999999998</v>
      </c>
      <c r="L134" s="9" cm="1">
        <f t="array" ref="L134">_xlfn.PERCENTRANK.EXC(_xlfn._xlws.FILTER(L2:L122, ISNUMBER(L2:L122)),L122)</f>
        <v>0.91800000000000004</v>
      </c>
      <c r="M134" s="9" cm="1">
        <f t="array" ref="M134">_xlfn.PERCENTRANK.EXC(_xlfn._xlws.FILTER(M2:M122, ISNUMBER(M2:M122)),M122)</f>
        <v>0.94199999999999995</v>
      </c>
      <c r="N134" s="9" cm="1">
        <f t="array" ref="N134">_xlfn.PERCENTRANK.EXC(_xlfn._xlws.FILTER(N2:N122, ISNUMBER(N2:N122)),N122)</f>
        <v>0.86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3.3000000000000002E-2</v>
      </c>
      <c r="C136" s="9" cm="1">
        <f t="array" ref="C136">_xlfn.PERCENTRANK.EXC(_xlfn._xlws.FILTER(C4:C125, ISNUMBER(C4:C125)),C113)</f>
        <v>0.14099999999999999</v>
      </c>
      <c r="D136" s="9" cm="1">
        <f t="array" ref="D136">_xlfn.PERCENTRANK.EXC(_xlfn._xlws.FILTER(D4:D125, ISNUMBER(D4:D125)),D113)</f>
        <v>0.2</v>
      </c>
      <c r="E136" s="9" cm="1">
        <f t="array" ref="E136">_xlfn.PERCENTRANK.EXC(_xlfn._xlws.FILTER(E4:E125, ISNUMBER(E4:E125)),E113)</f>
        <v>0.191</v>
      </c>
      <c r="F136" s="9" cm="1">
        <f t="array" ref="F136">_xlfn.PERCENTRANK.EXC(_xlfn._xlws.FILTER(F4:F125, ISNUMBER(F4:F125)),F113)</f>
        <v>0.16600000000000001</v>
      </c>
      <c r="G136" s="9" cm="1">
        <f t="array" ref="G136">_xlfn.PERCENTRANK.EXC(_xlfn._xlws.FILTER(G4:G125, ISNUMBER(G4:G125)),G113)</f>
        <v>0.216</v>
      </c>
      <c r="H136" s="9" cm="1">
        <f t="array" ref="H136">_xlfn.PERCENTRANK.EXC(_xlfn._xlws.FILTER(H4:H125, ISNUMBER(H4:H125)),H113)</f>
        <v>0.2</v>
      </c>
      <c r="I136" s="9" cm="1">
        <f t="array" ref="I136">_xlfn.PERCENTRANK.EXC(_xlfn._xlws.FILTER(I4:I125, ISNUMBER(I4:I125)),I113)</f>
        <v>0.28299999999999997</v>
      </c>
      <c r="J136" s="9" cm="1">
        <f t="array" ref="J136">_xlfn.PERCENTRANK.EXC(_xlfn._xlws.FILTER(J4:J125, ISNUMBER(J4:J125)),J113)</f>
        <v>0.25</v>
      </c>
      <c r="K136" s="9" cm="1">
        <f t="array" ref="K136">_xlfn.PERCENTRANK.EXC(_xlfn._xlws.FILTER(K4:K125, ISNUMBER(K4:K125)),K113)</f>
        <v>0.183</v>
      </c>
      <c r="L136" s="9" cm="1">
        <f t="array" ref="L136">_xlfn.PERCENTRANK.EXC(_xlfn._xlws.FILTER(L4:L125, ISNUMBER(L4:L125)),L113)</f>
        <v>7.4999999999999997E-2</v>
      </c>
      <c r="M136" s="9" cm="1">
        <f t="array" ref="M136">_xlfn.PERCENTRANK.EXC(_xlfn._xlws.FILTER(M4:M125, ISNUMBER(M4:M125)),M113)</f>
        <v>9.0999999999999998E-2</v>
      </c>
      <c r="N136" s="9" cm="1">
        <f t="array" ref="N136">_xlfn.PERCENTRANK.EXC(_xlfn._xlws.FILTER(N4:N125, ISNUMBER(N4:N125)),N113)</f>
        <v>0.22500000000000001</v>
      </c>
    </row>
    <row r="138" spans="1:17" x14ac:dyDescent="0.35">
      <c r="A138" t="s">
        <v>829</v>
      </c>
      <c r="B138">
        <f t="shared" ref="B138:J138" si="4">STDEV(B40:B122)</f>
        <v>5.5849917584725545E-2</v>
      </c>
      <c r="C138">
        <f t="shared" si="4"/>
        <v>5.9814432311037044E-2</v>
      </c>
      <c r="D138">
        <f t="shared" si="4"/>
        <v>5.5513724002564338E-2</v>
      </c>
      <c r="E138">
        <f t="shared" si="4"/>
        <v>6.3105426208319243E-2</v>
      </c>
      <c r="F138">
        <f t="shared" si="4"/>
        <v>4.2802466647892078E-2</v>
      </c>
      <c r="G138">
        <f t="shared" si="4"/>
        <v>4.4413332760720237E-2</v>
      </c>
      <c r="H138">
        <f t="shared" si="4"/>
        <v>5.0162187294386006E-2</v>
      </c>
      <c r="I138">
        <f t="shared" si="4"/>
        <v>5.8745907426488442E-2</v>
      </c>
      <c r="J138">
        <f t="shared" si="4"/>
        <v>4.9274822546002232E-2</v>
      </c>
      <c r="K138">
        <f t="shared" ref="K138:N138" si="5">STDEV(K40:K122)</f>
        <v>5.9482612519111668E-2</v>
      </c>
      <c r="L138">
        <f t="shared" si="5"/>
        <v>6.1672436135484322E-2</v>
      </c>
      <c r="M138">
        <f t="shared" si="5"/>
        <v>6.5565739975285753E-2</v>
      </c>
      <c r="N138">
        <f t="shared" si="5"/>
        <v>6.9006249945414641E-2</v>
      </c>
    </row>
    <row r="139" spans="1:17" x14ac:dyDescent="0.35">
      <c r="A139" t="s">
        <v>830</v>
      </c>
      <c r="B139" s="74">
        <f t="shared" ref="B139:J139" si="6">B138*SQRT(12)</f>
        <v>0.19346978971055823</v>
      </c>
      <c r="C139" s="74">
        <f t="shared" si="6"/>
        <v>0.2072032715772113</v>
      </c>
      <c r="D139" s="74">
        <f t="shared" si="6"/>
        <v>0.19230518097959465</v>
      </c>
      <c r="E139" s="74">
        <f t="shared" si="6"/>
        <v>0.21860360885219507</v>
      </c>
      <c r="F139" s="74">
        <f t="shared" si="6"/>
        <v>0.14827209384684281</v>
      </c>
      <c r="G139" s="74">
        <f t="shared" si="6"/>
        <v>0.15385229775006151</v>
      </c>
      <c r="H139" s="74">
        <f t="shared" si="6"/>
        <v>0.1737669140253251</v>
      </c>
      <c r="I139" s="74">
        <f t="shared" si="6"/>
        <v>0.2035017927988316</v>
      </c>
      <c r="J139" s="74">
        <f t="shared" si="6"/>
        <v>0.17069299236723257</v>
      </c>
      <c r="K139" s="74">
        <f t="shared" ref="K139:N139" si="7">K138*SQRT(12)</f>
        <v>0.20605381410006793</v>
      </c>
      <c r="L139" s="74">
        <f t="shared" si="7"/>
        <v>0.21363958562641125</v>
      </c>
      <c r="M139" s="74">
        <f t="shared" si="7"/>
        <v>0.2271263857460894</v>
      </c>
      <c r="N139" s="74">
        <f t="shared" si="7"/>
        <v>0.23904466189051043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41789</v>
      </c>
      <c r="B2" s="7" cm="1">
        <f t="array" ref="B2:B122">_xll.FDS(B1,"P_PRICE_RETURNS_PR('52W',2,-10AY,0,AM)")</f>
        <v>23.286246999999999</v>
      </c>
      <c r="C2" s="7" cm="1">
        <f t="array" ref="C2:C122">_xll.FDS(C1,"P_PRICE_RETURNS_PR('52W',2,-10AY,0,AM)")</f>
        <v>11.27342</v>
      </c>
      <c r="D2" s="7" cm="1">
        <f t="array" ref="D2:D122">_xll.FDS(D1,"P_PRICE_RETURNS_PR('52W',2,-10AY,0,AM)")</f>
        <v>11.285913000000001</v>
      </c>
      <c r="E2" s="7" cm="1">
        <f t="array" ref="E2:E122">_xll.FDS(E1,"P_PRICE_RETURNS_PR('52W',2,-10AY,0,AM)")</f>
        <v>23.311674</v>
      </c>
      <c r="F2" s="7" cm="1">
        <f t="array" ref="F2:F122">_xll.FDS(F1,"P_PRICE_RETURNS_PR('52W',2,-10AY,0,AM)")</f>
        <v>5.6366443999999998</v>
      </c>
      <c r="G2" s="7" cm="1">
        <f t="array" ref="G2:G122">_xll.FDS(G1,"P_PRICE_RETURNS_PR('52W',2,-10AY,0,AM)")</f>
        <v>18.788623999999999</v>
      </c>
      <c r="H2" s="7" cm="1">
        <f t="array" ref="H2:H122">_xll.FDS(H1,"P_PRICE_RETURNS_PR('52W',2,-10AY,0,AM)")</f>
        <v>16.814458999999999</v>
      </c>
      <c r="I2" s="7" cm="1">
        <f t="array" ref="I2:I122">_xll.FDS(I1,"P_PRICE_RETURNS_PR('52W',2,-10AY,0,AM)")</f>
        <v>25.469280000000001</v>
      </c>
      <c r="J2" s="7" cm="1">
        <f t="array" ref="J2:J122">_xll.FDS(J1,"P_PRICE_RETURNS_PR('52W',2,-10AY,0,AM)")</f>
        <v>18.533861000000002</v>
      </c>
      <c r="K2" s="158" cm="1">
        <f t="array" ref="K2:K122">_xll.FDS(K1,"P_PRICE_RETURNS_PR('52W',2,-10AY,0,AM)")</f>
        <v>21.696197999999999</v>
      </c>
      <c r="L2" s="158" cm="1">
        <f t="array" ref="L2:L122">_xll.FDS(L1,"P_PRICE_RETURNS_PR('52W',2,-10AY,0,AM)")</f>
        <v>18.229030000000002</v>
      </c>
      <c r="M2" s="158" cm="1">
        <f t="array" ref="M2:M122">_xll.FDS(M1,"P_PRICE_RETURNS_PR('52W',2,-10AY,0,AM)")</f>
        <v>14.442992</v>
      </c>
      <c r="N2" s="158" cm="1">
        <f t="array" ref="N2:N122">_xll.FDS(N1,"P_PRICE_RETURNS_PR('52W',2,-10AY,0,AM)")</f>
        <v>32.939053000000001</v>
      </c>
    </row>
    <row r="3" spans="1:14" x14ac:dyDescent="0.35">
      <c r="A3" s="2">
        <v>41820</v>
      </c>
      <c r="B3" s="40">
        <v>31.105340000000002</v>
      </c>
      <c r="C3" s="40">
        <v>20.494185999999999</v>
      </c>
      <c r="D3" s="40">
        <v>25.788806999999998</v>
      </c>
      <c r="E3" s="40">
        <v>29.194365999999999</v>
      </c>
      <c r="F3" s="40">
        <v>8.8413240000000002</v>
      </c>
      <c r="G3" s="40">
        <v>22.543537000000001</v>
      </c>
      <c r="H3" s="40">
        <v>25.512909000000001</v>
      </c>
      <c r="I3" s="40">
        <v>33.792805000000001</v>
      </c>
      <c r="J3" s="40">
        <v>24.403309</v>
      </c>
      <c r="K3" s="47">
        <v>28.241467</v>
      </c>
      <c r="L3" s="47">
        <v>25.758790999999999</v>
      </c>
      <c r="M3" s="47">
        <v>22.53604</v>
      </c>
      <c r="N3" s="47">
        <v>50.19256</v>
      </c>
    </row>
    <row r="4" spans="1:14" x14ac:dyDescent="0.35">
      <c r="A4" s="2">
        <v>41851</v>
      </c>
      <c r="B4" s="40">
        <v>20.490169999999999</v>
      </c>
      <c r="C4" s="40">
        <v>19.030785000000002</v>
      </c>
      <c r="D4" s="40">
        <v>18.866146000000001</v>
      </c>
      <c r="E4" s="40">
        <v>12.986469</v>
      </c>
      <c r="F4" s="40">
        <v>8.4314110000000007</v>
      </c>
      <c r="G4" s="40">
        <v>12.408018</v>
      </c>
      <c r="H4" s="40">
        <v>15.170586</v>
      </c>
      <c r="I4" s="40">
        <v>27.334285999999999</v>
      </c>
      <c r="J4" s="40">
        <v>16.700876000000001</v>
      </c>
      <c r="K4" s="47">
        <v>9.6784829999999999</v>
      </c>
      <c r="L4" s="47">
        <v>7.6249957000000004</v>
      </c>
      <c r="M4" s="47">
        <v>6.6966890000000001</v>
      </c>
      <c r="N4" s="47">
        <v>28.279506999999999</v>
      </c>
    </row>
    <row r="5" spans="1:14" x14ac:dyDescent="0.35">
      <c r="A5" s="2">
        <v>41880</v>
      </c>
      <c r="B5" s="40">
        <v>25.006830000000001</v>
      </c>
      <c r="C5" s="40">
        <v>20.751774000000001</v>
      </c>
      <c r="D5" s="40">
        <v>22.249817</v>
      </c>
      <c r="E5" s="40">
        <v>13.956749</v>
      </c>
      <c r="F5" s="40">
        <v>7.9221605999999998</v>
      </c>
      <c r="G5" s="40">
        <v>16.857576000000002</v>
      </c>
      <c r="H5" s="40">
        <v>15.797376999999999</v>
      </c>
      <c r="I5" s="40">
        <v>33.378599999999999</v>
      </c>
      <c r="J5" s="40">
        <v>24.660957</v>
      </c>
      <c r="K5" s="47">
        <v>11.927187</v>
      </c>
      <c r="L5" s="47">
        <v>10.342561999999999</v>
      </c>
      <c r="M5" s="47">
        <v>8.6934930000000001</v>
      </c>
      <c r="N5" s="47">
        <v>23.475147</v>
      </c>
    </row>
    <row r="6" spans="1:14" x14ac:dyDescent="0.35">
      <c r="A6" s="2">
        <v>41912</v>
      </c>
      <c r="B6" s="40">
        <v>4.4864892999999997</v>
      </c>
      <c r="C6" s="40">
        <v>-1.35625</v>
      </c>
      <c r="D6" s="40">
        <v>10.708261</v>
      </c>
      <c r="E6" s="40">
        <v>1.6137838</v>
      </c>
      <c r="F6" s="40">
        <v>0.15218258000000001</v>
      </c>
      <c r="G6" s="40">
        <v>6.3207389999999997</v>
      </c>
      <c r="H6" s="40">
        <v>4.8584223</v>
      </c>
      <c r="I6" s="40">
        <v>27.086781999999999</v>
      </c>
      <c r="J6" s="40">
        <v>19.545030000000001</v>
      </c>
      <c r="K6" s="47">
        <v>1.2902141</v>
      </c>
      <c r="L6" s="47">
        <v>3.6387204999999998</v>
      </c>
      <c r="M6" s="47">
        <v>3.0720233999999999E-2</v>
      </c>
      <c r="N6" s="47">
        <v>13.406205</v>
      </c>
    </row>
    <row r="7" spans="1:14" x14ac:dyDescent="0.35">
      <c r="A7" s="2">
        <v>41943</v>
      </c>
      <c r="B7" s="40">
        <v>5.0650715999999996</v>
      </c>
      <c r="C7" s="40">
        <v>-0.71719885000000005</v>
      </c>
      <c r="D7" s="40">
        <v>4.0884495000000003</v>
      </c>
      <c r="E7" s="40">
        <v>-5.3193330000000003</v>
      </c>
      <c r="F7" s="40">
        <v>2.7491211999999998</v>
      </c>
      <c r="G7" s="40">
        <v>2.8222559999999999</v>
      </c>
      <c r="H7" s="40">
        <v>-0.83319544999999995</v>
      </c>
      <c r="I7" s="40">
        <v>24.283767999999998</v>
      </c>
      <c r="J7" s="40">
        <v>16.945076</v>
      </c>
      <c r="K7" s="47">
        <v>-6.0716390000000002</v>
      </c>
      <c r="L7" s="47">
        <v>-2.9666722000000001</v>
      </c>
      <c r="M7" s="47">
        <v>-0.30854344</v>
      </c>
      <c r="N7" s="47">
        <v>-2.9256641999999999</v>
      </c>
    </row>
    <row r="8" spans="1:14" x14ac:dyDescent="0.35">
      <c r="A8" s="2">
        <v>41971</v>
      </c>
      <c r="B8" s="40">
        <v>9.2090239999999994</v>
      </c>
      <c r="C8" s="40">
        <v>-3.4360647000000002</v>
      </c>
      <c r="D8" s="40">
        <v>5.5058119999999997</v>
      </c>
      <c r="E8" s="40">
        <v>-3.3219813999999999</v>
      </c>
      <c r="F8" s="40">
        <v>-2.3529648999999999</v>
      </c>
      <c r="G8" s="40">
        <v>5.4105996999999997</v>
      </c>
      <c r="H8" s="40">
        <v>-0.92360973000000002</v>
      </c>
      <c r="I8" s="40">
        <v>26.229132</v>
      </c>
      <c r="J8" s="40">
        <v>16.621780000000001</v>
      </c>
      <c r="K8" s="47">
        <v>-3.2256423999999999</v>
      </c>
      <c r="L8" s="47">
        <v>0.87025165999999998</v>
      </c>
      <c r="M8" s="47">
        <v>0.86021422999999997</v>
      </c>
      <c r="N8" s="47">
        <v>-0.22152662000000001</v>
      </c>
    </row>
    <row r="9" spans="1:14" x14ac:dyDescent="0.35">
      <c r="A9" s="2">
        <v>42004</v>
      </c>
      <c r="B9" s="40">
        <v>12.599717999999999</v>
      </c>
      <c r="C9" s="40">
        <v>-4.6569529999999997</v>
      </c>
      <c r="D9" s="40">
        <v>1.0822176999999999</v>
      </c>
      <c r="E9" s="40">
        <v>-11.955476000000001</v>
      </c>
      <c r="F9" s="40">
        <v>-6.2235300000000002</v>
      </c>
      <c r="G9" s="40">
        <v>-1.7329991</v>
      </c>
      <c r="H9" s="40">
        <v>-7.6141833999999999</v>
      </c>
      <c r="I9" s="40">
        <v>19.179333</v>
      </c>
      <c r="J9" s="40">
        <v>13.462114</v>
      </c>
      <c r="K9" s="47">
        <v>-10.757172000000001</v>
      </c>
      <c r="L9" s="47">
        <v>-5.7940125</v>
      </c>
      <c r="M9" s="47">
        <v>-8.4119379999999992</v>
      </c>
      <c r="N9" s="47">
        <v>-10.927879000000001</v>
      </c>
    </row>
    <row r="10" spans="1:14" x14ac:dyDescent="0.35">
      <c r="A10" s="2">
        <v>42034</v>
      </c>
      <c r="B10" s="40">
        <v>6.8862914999999996</v>
      </c>
      <c r="C10" s="40">
        <v>-1.3607144</v>
      </c>
      <c r="D10" s="40">
        <v>-3.384763</v>
      </c>
      <c r="E10" s="40">
        <v>-5.8379354000000001</v>
      </c>
      <c r="F10" s="40">
        <v>1.475811E-2</v>
      </c>
      <c r="G10" s="40">
        <v>0.52510500000000004</v>
      </c>
      <c r="H10" s="40">
        <v>-4.1665372999999999</v>
      </c>
      <c r="I10" s="40">
        <v>18.667316</v>
      </c>
      <c r="J10" s="40">
        <v>13.454378</v>
      </c>
      <c r="K10" s="47">
        <v>-5.9693040000000002</v>
      </c>
      <c r="L10" s="47">
        <v>-0.9115875</v>
      </c>
      <c r="M10" s="47">
        <v>-2.5402545999999999</v>
      </c>
      <c r="N10" s="47">
        <v>-10.893326999999999</v>
      </c>
    </row>
    <row r="11" spans="1:14" x14ac:dyDescent="0.35">
      <c r="A11" s="2">
        <v>42062</v>
      </c>
      <c r="B11" s="40">
        <v>8.312106</v>
      </c>
      <c r="C11" s="40">
        <v>-0.88799596000000003</v>
      </c>
      <c r="D11" s="40">
        <v>-1.3864278999999999</v>
      </c>
      <c r="E11" s="40">
        <v>-3.5980344</v>
      </c>
      <c r="F11" s="40">
        <v>8.2917690000000004</v>
      </c>
      <c r="G11" s="40">
        <v>0.13437271000000001</v>
      </c>
      <c r="H11" s="40">
        <v>-3.8355708000000002</v>
      </c>
      <c r="I11" s="40">
        <v>21.192778000000001</v>
      </c>
      <c r="J11" s="40">
        <v>15.581284999999999</v>
      </c>
      <c r="K11" s="47">
        <v>-5.8140219999999996</v>
      </c>
      <c r="L11" s="47">
        <v>2.1462916999999999</v>
      </c>
      <c r="M11" s="47">
        <v>-0.61775446000000001</v>
      </c>
      <c r="N11" s="47">
        <v>-7.9752026000000003</v>
      </c>
    </row>
    <row r="12" spans="1:14" x14ac:dyDescent="0.35">
      <c r="A12" s="2">
        <v>42094</v>
      </c>
      <c r="B12" s="40">
        <v>-1.9092023</v>
      </c>
      <c r="C12" s="40">
        <v>-7.3898260000000002</v>
      </c>
      <c r="D12" s="40">
        <v>-6.0584009999999999</v>
      </c>
      <c r="E12" s="40">
        <v>-2.896452</v>
      </c>
      <c r="F12" s="40">
        <v>12.003506</v>
      </c>
      <c r="G12" s="40">
        <v>-1.0680974000000001</v>
      </c>
      <c r="H12" s="40">
        <v>-6.4168987</v>
      </c>
      <c r="I12" s="40">
        <v>21.789014999999999</v>
      </c>
      <c r="J12" s="40">
        <v>12.539196</v>
      </c>
      <c r="K12" s="47">
        <v>-8.3579120000000007</v>
      </c>
      <c r="L12" s="47">
        <v>-1.1000216</v>
      </c>
      <c r="M12" s="47">
        <v>-5.2662490000000002</v>
      </c>
      <c r="N12" s="47">
        <v>-14.671886000000001</v>
      </c>
    </row>
    <row r="13" spans="1:14" x14ac:dyDescent="0.35">
      <c r="A13" s="2">
        <v>42124</v>
      </c>
      <c r="B13" s="40">
        <v>-1.7613053000000001</v>
      </c>
      <c r="C13" s="40">
        <v>-7.5979232999999997</v>
      </c>
      <c r="D13" s="40">
        <v>-2.6158570999999999</v>
      </c>
      <c r="E13" s="40">
        <v>-4.6163980000000002</v>
      </c>
      <c r="F13" s="40">
        <v>17.547035000000001</v>
      </c>
      <c r="G13" s="40">
        <v>0.86721179999999998</v>
      </c>
      <c r="H13" s="40">
        <v>-4.4952154000000002</v>
      </c>
      <c r="I13" s="40">
        <v>24.527943</v>
      </c>
      <c r="J13" s="40">
        <v>12.861323000000001</v>
      </c>
      <c r="K13" s="47">
        <v>-6.8745193000000002</v>
      </c>
      <c r="L13" s="47">
        <v>3.8164139000000001</v>
      </c>
      <c r="M13" s="47">
        <v>-4.3909969999999996</v>
      </c>
      <c r="N13" s="47">
        <v>-13.572592</v>
      </c>
    </row>
    <row r="14" spans="1:14" x14ac:dyDescent="0.35">
      <c r="A14" s="2">
        <v>42153</v>
      </c>
      <c r="B14" s="40">
        <v>-5.0462666</v>
      </c>
      <c r="C14" s="40">
        <v>-11.657154</v>
      </c>
      <c r="D14" s="40">
        <v>-7.4305477</v>
      </c>
      <c r="E14" s="40">
        <v>-7.4564219999999999</v>
      </c>
      <c r="F14" s="40">
        <v>14.330780000000001</v>
      </c>
      <c r="G14" s="40">
        <v>2.6751995000000002</v>
      </c>
      <c r="H14" s="40">
        <v>-4.958558</v>
      </c>
      <c r="I14" s="40">
        <v>21.874952</v>
      </c>
      <c r="J14" s="40">
        <v>11.899710000000001</v>
      </c>
      <c r="K14" s="47">
        <v>-7.9083860000000001</v>
      </c>
      <c r="L14" s="47">
        <v>4.9106480000000001</v>
      </c>
      <c r="M14" s="47">
        <v>-4.9719930000000003</v>
      </c>
      <c r="N14" s="47">
        <v>-9.6781670000000002</v>
      </c>
    </row>
    <row r="15" spans="1:14" x14ac:dyDescent="0.35">
      <c r="A15" s="2">
        <v>42185</v>
      </c>
      <c r="B15" s="40">
        <v>-13.184566</v>
      </c>
      <c r="C15" s="40">
        <v>-14.888782000000001</v>
      </c>
      <c r="D15" s="40">
        <v>-15.409993999999999</v>
      </c>
      <c r="E15" s="40">
        <v>-9.3227440000000001</v>
      </c>
      <c r="F15" s="40">
        <v>7.5614094999999999</v>
      </c>
      <c r="G15" s="40">
        <v>-2.2954583</v>
      </c>
      <c r="H15" s="40">
        <v>-9.2462359999999997</v>
      </c>
      <c r="I15" s="40">
        <v>15.236449</v>
      </c>
      <c r="J15" s="40">
        <v>7.2401046999999998</v>
      </c>
      <c r="K15" s="47">
        <v>-9.4417279999999995</v>
      </c>
      <c r="L15" s="47">
        <v>1.8809795</v>
      </c>
      <c r="M15" s="47">
        <v>-6.0960590000000003</v>
      </c>
      <c r="N15" s="47">
        <v>-12.211532</v>
      </c>
    </row>
    <row r="16" spans="1:14" x14ac:dyDescent="0.35">
      <c r="A16" s="2">
        <v>42216</v>
      </c>
      <c r="B16" s="40">
        <v>-9.4453700000000005</v>
      </c>
      <c r="C16" s="40">
        <v>-16.798670000000001</v>
      </c>
      <c r="D16" s="40">
        <v>-18.836344</v>
      </c>
      <c r="E16" s="40">
        <v>-1.1263966999999999</v>
      </c>
      <c r="F16" s="40">
        <v>8.9309100000000008</v>
      </c>
      <c r="G16" s="40">
        <v>6.4464689999999996</v>
      </c>
      <c r="H16" s="40">
        <v>-5.5421950000000004</v>
      </c>
      <c r="I16" s="40">
        <v>19.081151999999999</v>
      </c>
      <c r="J16" s="40">
        <v>11.156249000000001</v>
      </c>
      <c r="K16" s="47">
        <v>0.89969635000000003</v>
      </c>
      <c r="L16" s="47">
        <v>11.588025</v>
      </c>
      <c r="M16" s="47">
        <v>-2.0496547000000001</v>
      </c>
      <c r="N16" s="47">
        <v>-2.9241025</v>
      </c>
    </row>
    <row r="17" spans="1:14" x14ac:dyDescent="0.35">
      <c r="A17" s="2">
        <v>42247</v>
      </c>
      <c r="B17" s="40">
        <v>-16.774685000000002</v>
      </c>
      <c r="C17" s="40">
        <v>-27.383386999999999</v>
      </c>
      <c r="D17" s="40">
        <v>-24.544841999999999</v>
      </c>
      <c r="E17" s="40">
        <v>-7.3405209999999999</v>
      </c>
      <c r="F17" s="40">
        <v>3.8375496999999998</v>
      </c>
      <c r="G17" s="40">
        <v>-3.1222582000000001</v>
      </c>
      <c r="H17" s="40">
        <v>-13.759589</v>
      </c>
      <c r="I17" s="40">
        <v>5.6614040000000001</v>
      </c>
      <c r="J17" s="40">
        <v>0.41838883999999998</v>
      </c>
      <c r="K17" s="47">
        <v>-6.8940520000000003</v>
      </c>
      <c r="L17" s="47">
        <v>0.98752974999999998</v>
      </c>
      <c r="M17" s="47">
        <v>-7.0849953000000001</v>
      </c>
      <c r="N17" s="47">
        <v>-5.0381125999999998</v>
      </c>
    </row>
    <row r="18" spans="1:14" x14ac:dyDescent="0.35">
      <c r="A18" s="2">
        <v>42277</v>
      </c>
      <c r="B18" s="40">
        <v>-12.372619</v>
      </c>
      <c r="C18" s="40">
        <v>-20.840920000000001</v>
      </c>
      <c r="D18" s="40">
        <v>-23.43722</v>
      </c>
      <c r="E18" s="40">
        <v>-9.1359200000000005</v>
      </c>
      <c r="F18" s="40">
        <v>-1.8243967999999999</v>
      </c>
      <c r="G18" s="40">
        <v>-3.6585329999999998</v>
      </c>
      <c r="H18" s="40">
        <v>-12.187279</v>
      </c>
      <c r="I18" s="40">
        <v>4.12066</v>
      </c>
      <c r="J18" s="40">
        <v>-0.76670050000000001</v>
      </c>
      <c r="K18" s="47">
        <v>-6.9881080000000004</v>
      </c>
      <c r="L18" s="47">
        <v>-1.5881240000000001</v>
      </c>
      <c r="M18" s="47">
        <v>-8.5159300000000009</v>
      </c>
      <c r="N18" s="47">
        <v>-6.478256</v>
      </c>
    </row>
    <row r="19" spans="1:14" x14ac:dyDescent="0.35">
      <c r="A19" s="2">
        <v>42307</v>
      </c>
      <c r="B19" s="40">
        <v>-3.9097548</v>
      </c>
      <c r="C19" s="40">
        <v>-20.916193</v>
      </c>
      <c r="D19" s="40">
        <v>-18.298362999999998</v>
      </c>
      <c r="E19" s="40">
        <v>2.7588724999999998</v>
      </c>
      <c r="F19" s="40">
        <v>8.3988080000000007</v>
      </c>
      <c r="G19" s="40">
        <v>0.89576244000000005</v>
      </c>
      <c r="H19" s="40">
        <v>-3.4619868</v>
      </c>
      <c r="I19" s="40">
        <v>14.533042999999999</v>
      </c>
      <c r="J19" s="40">
        <v>6.3995600000000001</v>
      </c>
      <c r="K19" s="47">
        <v>4.9971940000000004</v>
      </c>
      <c r="L19" s="47">
        <v>8.1884619999999995</v>
      </c>
      <c r="M19" s="47">
        <v>-3.794384</v>
      </c>
      <c r="N19" s="47">
        <v>4.2284369999999996</v>
      </c>
    </row>
    <row r="20" spans="1:14" x14ac:dyDescent="0.35">
      <c r="A20" s="2">
        <v>42338</v>
      </c>
      <c r="B20" s="40">
        <v>-5.7112875000000001</v>
      </c>
      <c r="C20" s="40">
        <v>-14.566307999999999</v>
      </c>
      <c r="D20" s="40">
        <v>-20.598019000000001</v>
      </c>
      <c r="E20" s="40">
        <v>-3.7064612000000001</v>
      </c>
      <c r="F20" s="40">
        <v>7.7080964999999999</v>
      </c>
      <c r="G20" s="40">
        <v>-4.7069254000000003</v>
      </c>
      <c r="H20" s="40">
        <v>-6.2618017000000004</v>
      </c>
      <c r="I20" s="40">
        <v>8.7193729999999992</v>
      </c>
      <c r="J20" s="40">
        <v>2.7581215000000001</v>
      </c>
      <c r="K20" s="47">
        <v>-1.7722427999999999</v>
      </c>
      <c r="L20" s="47">
        <v>0.7904291</v>
      </c>
      <c r="M20" s="47">
        <v>-5.8600307000000003</v>
      </c>
      <c r="N20" s="47">
        <v>-0.90531110000000004</v>
      </c>
    </row>
    <row r="21" spans="1:14" x14ac:dyDescent="0.35">
      <c r="A21" s="2">
        <v>42369</v>
      </c>
      <c r="B21" s="40">
        <v>-1.9886672000000001</v>
      </c>
      <c r="C21" s="40">
        <v>-9.9603710000000003</v>
      </c>
      <c r="D21" s="40">
        <v>-23.909348000000001</v>
      </c>
      <c r="E21" s="40">
        <v>-2.79271</v>
      </c>
      <c r="F21" s="40">
        <v>9.1621640000000006</v>
      </c>
      <c r="G21" s="40">
        <v>0.28828382000000002</v>
      </c>
      <c r="H21" s="40">
        <v>-7.0310116000000003</v>
      </c>
      <c r="I21" s="40">
        <v>9.4464539999999992</v>
      </c>
      <c r="J21" s="40">
        <v>1.2520194</v>
      </c>
      <c r="K21" s="47">
        <v>0.23943186</v>
      </c>
      <c r="L21" s="47">
        <v>1.5233635999999999</v>
      </c>
      <c r="M21" s="47">
        <v>-4.5358840000000002</v>
      </c>
      <c r="N21" s="47">
        <v>3.1199813000000001</v>
      </c>
    </row>
    <row r="22" spans="1:14" x14ac:dyDescent="0.35">
      <c r="A22" s="2">
        <v>42398</v>
      </c>
      <c r="B22" s="40">
        <v>-5.6719723000000002</v>
      </c>
      <c r="C22" s="40">
        <v>-15.7730465</v>
      </c>
      <c r="D22" s="40">
        <v>-19.649559</v>
      </c>
      <c r="E22" s="40">
        <v>-13.271772</v>
      </c>
      <c r="F22" s="40">
        <v>-0.40921570000000002</v>
      </c>
      <c r="G22" s="40">
        <v>-6.8441333999999996</v>
      </c>
      <c r="H22" s="40">
        <v>-13.161498</v>
      </c>
      <c r="I22" s="40">
        <v>3.2431483000000001</v>
      </c>
      <c r="J22" s="40">
        <v>-2.0977497000000001</v>
      </c>
      <c r="K22" s="47">
        <v>-6.5642414000000002</v>
      </c>
      <c r="L22" s="47">
        <v>-2.1361590000000001</v>
      </c>
      <c r="M22" s="47">
        <v>-13.091820999999999</v>
      </c>
      <c r="N22" s="47">
        <v>-11.686301</v>
      </c>
    </row>
    <row r="23" spans="1:14" x14ac:dyDescent="0.35">
      <c r="A23" s="2">
        <v>42429</v>
      </c>
      <c r="B23" s="40">
        <v>-7.7569666000000002</v>
      </c>
      <c r="C23" s="40">
        <v>-23.17136</v>
      </c>
      <c r="D23" s="40">
        <v>-21.154387</v>
      </c>
      <c r="E23" s="40">
        <v>-19.981808000000001</v>
      </c>
      <c r="F23" s="40">
        <v>-10.731804</v>
      </c>
      <c r="G23" s="40">
        <v>-12.945294000000001</v>
      </c>
      <c r="H23" s="40">
        <v>-19.090430999999999</v>
      </c>
      <c r="I23" s="40">
        <v>-4.4762076999999998</v>
      </c>
      <c r="J23" s="40">
        <v>-6.2048674000000004</v>
      </c>
      <c r="K23" s="47">
        <v>-12.573981</v>
      </c>
      <c r="L23" s="47">
        <v>-9.5374770000000009</v>
      </c>
      <c r="M23" s="47">
        <v>-18.114439999999998</v>
      </c>
      <c r="N23" s="47">
        <v>-22.62491</v>
      </c>
    </row>
    <row r="24" spans="1:14" x14ac:dyDescent="0.35">
      <c r="A24" s="2">
        <v>42460</v>
      </c>
      <c r="B24" s="40">
        <v>7.3414086999999997</v>
      </c>
      <c r="C24" s="40">
        <v>-11.020087999999999</v>
      </c>
      <c r="D24" s="40">
        <v>-10.901325999999999</v>
      </c>
      <c r="E24" s="40">
        <v>-12.277037</v>
      </c>
      <c r="F24" s="40">
        <v>-7.8128520000000004</v>
      </c>
      <c r="G24" s="40">
        <v>-8.3406509999999994</v>
      </c>
      <c r="H24" s="40">
        <v>-9.5803794999999994</v>
      </c>
      <c r="I24" s="40">
        <v>4.5364380000000004</v>
      </c>
      <c r="J24" s="40">
        <v>1.7034411</v>
      </c>
      <c r="K24" s="47">
        <v>-5.0100030000000002</v>
      </c>
      <c r="L24" s="47">
        <v>-0.9381294</v>
      </c>
      <c r="M24" s="47">
        <v>-8.8613090000000003</v>
      </c>
      <c r="N24" s="47">
        <v>-15.861821000000001</v>
      </c>
    </row>
    <row r="25" spans="1:14" x14ac:dyDescent="0.35">
      <c r="A25" s="2">
        <v>42489</v>
      </c>
      <c r="B25" s="40">
        <v>7.6375127000000003</v>
      </c>
      <c r="C25" s="40">
        <v>-11.872995</v>
      </c>
      <c r="D25" s="40">
        <v>-12.176168000000001</v>
      </c>
      <c r="E25" s="40">
        <v>-9.9385379999999994</v>
      </c>
      <c r="F25" s="40">
        <v>-12.41535</v>
      </c>
      <c r="G25" s="40">
        <v>-9.4188209999999994</v>
      </c>
      <c r="H25" s="40">
        <v>-12.776184000000001</v>
      </c>
      <c r="I25" s="40">
        <v>-2.2656261999999998</v>
      </c>
      <c r="J25" s="40">
        <v>9.7203255000000002E-2</v>
      </c>
      <c r="K25" s="47">
        <v>-6.7202687000000001</v>
      </c>
      <c r="L25" s="47">
        <v>-3.7667215000000001</v>
      </c>
      <c r="M25" s="47">
        <v>-8.6839790000000008</v>
      </c>
      <c r="N25" s="47">
        <v>-14.819402</v>
      </c>
    </row>
    <row r="26" spans="1:14" x14ac:dyDescent="0.35">
      <c r="A26" s="2">
        <v>42521</v>
      </c>
      <c r="B26" s="40">
        <v>15.108036999999999</v>
      </c>
      <c r="C26" s="40">
        <v>-9.1496104999999996</v>
      </c>
      <c r="D26" s="40">
        <v>-9.99465</v>
      </c>
      <c r="E26" s="40">
        <v>-9.3782060000000005</v>
      </c>
      <c r="F26" s="40">
        <v>-8.5383359999999993</v>
      </c>
      <c r="G26" s="40">
        <v>-11.668319</v>
      </c>
      <c r="H26" s="40">
        <v>-13.390893</v>
      </c>
      <c r="I26" s="40">
        <v>1.3565659999999999</v>
      </c>
      <c r="J26" s="40">
        <v>1.5248060000000001</v>
      </c>
      <c r="K26" s="47">
        <v>-6.3901899999999996</v>
      </c>
      <c r="L26" s="47">
        <v>-4.5599340000000002</v>
      </c>
      <c r="M26" s="47">
        <v>-9.8443930000000002</v>
      </c>
      <c r="N26" s="47">
        <v>-20.299386999999999</v>
      </c>
    </row>
    <row r="27" spans="1:14" x14ac:dyDescent="0.35">
      <c r="A27" s="2">
        <v>42551</v>
      </c>
      <c r="B27" s="40">
        <v>28.056263000000001</v>
      </c>
      <c r="C27" s="40">
        <v>-3.5823345</v>
      </c>
      <c r="D27" s="40">
        <v>-6.1111329999999997</v>
      </c>
      <c r="E27" s="40">
        <v>-11.641299999999999</v>
      </c>
      <c r="F27" s="40">
        <v>-8.8552949999999999</v>
      </c>
      <c r="G27" s="40">
        <v>-7.0555089999999998</v>
      </c>
      <c r="H27" s="40">
        <v>-11.979437000000001</v>
      </c>
      <c r="I27" s="40">
        <v>1.5723228</v>
      </c>
      <c r="J27" s="40">
        <v>3.9874315</v>
      </c>
      <c r="K27" s="47">
        <v>-8.4925289999999993</v>
      </c>
      <c r="L27" s="47">
        <v>-8.0219930000000002</v>
      </c>
      <c r="M27" s="47">
        <v>-10.424804999999999</v>
      </c>
      <c r="N27" s="47">
        <v>-24.829716000000001</v>
      </c>
    </row>
    <row r="28" spans="1:14" x14ac:dyDescent="0.35">
      <c r="A28" s="2">
        <v>42580</v>
      </c>
      <c r="B28" s="40">
        <v>37.026440000000001</v>
      </c>
      <c r="C28" s="40">
        <v>4.7514915000000002</v>
      </c>
      <c r="D28" s="40">
        <v>1.121378</v>
      </c>
      <c r="E28" s="40">
        <v>-6.8983374</v>
      </c>
      <c r="F28" s="40">
        <v>-4.4169369999999999</v>
      </c>
      <c r="G28" s="40">
        <v>-8.5126039999999996</v>
      </c>
      <c r="H28" s="40">
        <v>-11.29415</v>
      </c>
      <c r="I28" s="40">
        <v>4.4645904999999999</v>
      </c>
      <c r="J28" s="40">
        <v>5.2665829999999998</v>
      </c>
      <c r="K28" s="47">
        <v>-7.0959272000000002</v>
      </c>
      <c r="L28" s="47">
        <v>-6.7587320000000002</v>
      </c>
      <c r="M28" s="47">
        <v>-7.9949855999999997</v>
      </c>
      <c r="N28" s="47">
        <v>-24.699294999999999</v>
      </c>
    </row>
    <row r="29" spans="1:14" x14ac:dyDescent="0.35">
      <c r="A29" s="2">
        <v>42613</v>
      </c>
      <c r="B29" s="40">
        <v>49.980440000000002</v>
      </c>
      <c r="C29" s="40">
        <v>13.026058000000001</v>
      </c>
      <c r="D29" s="40">
        <v>6.5408587000000002</v>
      </c>
      <c r="E29" s="40">
        <v>1.9244193999999999</v>
      </c>
      <c r="F29" s="40">
        <v>2.8675795000000002</v>
      </c>
      <c r="G29" s="40">
        <v>-2.6290654999999998</v>
      </c>
      <c r="H29" s="40">
        <v>-3.3891618000000001</v>
      </c>
      <c r="I29" s="40">
        <v>12.88842</v>
      </c>
      <c r="J29" s="40">
        <v>12.377238</v>
      </c>
      <c r="K29" s="47">
        <v>-1.7810463999999999</v>
      </c>
      <c r="L29" s="47">
        <v>3.6131262999999998</v>
      </c>
      <c r="M29" s="47">
        <v>-2.0370482999999999</v>
      </c>
      <c r="N29" s="47">
        <v>-21.305686999999999</v>
      </c>
    </row>
    <row r="30" spans="1:14" x14ac:dyDescent="0.35">
      <c r="A30" s="2">
        <v>42643</v>
      </c>
      <c r="B30" s="40">
        <v>51.206062000000003</v>
      </c>
      <c r="C30" s="40">
        <v>21.586275000000001</v>
      </c>
      <c r="D30" s="40">
        <v>14.111673</v>
      </c>
      <c r="E30" s="40">
        <v>8.7645769999999992</v>
      </c>
      <c r="F30" s="40">
        <v>11.386882999999999</v>
      </c>
      <c r="G30" s="40">
        <v>2.5278925999999999</v>
      </c>
      <c r="H30" s="40">
        <v>1.0065198</v>
      </c>
      <c r="I30" s="40">
        <v>17.987537</v>
      </c>
      <c r="J30" s="40">
        <v>15.318548</v>
      </c>
      <c r="K30" s="47">
        <v>3.3358574000000001</v>
      </c>
      <c r="L30" s="47">
        <v>9.3106159999999996</v>
      </c>
      <c r="M30" s="47">
        <v>4.1947007000000003</v>
      </c>
      <c r="N30" s="47">
        <v>-20.612938</v>
      </c>
    </row>
    <row r="31" spans="1:14" x14ac:dyDescent="0.35">
      <c r="A31" s="2">
        <v>42674</v>
      </c>
      <c r="B31" s="40">
        <v>21.831524000000002</v>
      </c>
      <c r="C31" s="40">
        <v>11.743725</v>
      </c>
      <c r="D31" s="40">
        <v>8.8165279999999999</v>
      </c>
      <c r="E31" s="40">
        <v>-2.1040082</v>
      </c>
      <c r="F31" s="40">
        <v>4.0819526000000002</v>
      </c>
      <c r="G31" s="40">
        <v>-6.2565860000000004</v>
      </c>
      <c r="H31" s="40">
        <v>-10.263002</v>
      </c>
      <c r="I31" s="40">
        <v>4.3982387000000003</v>
      </c>
      <c r="J31" s="40">
        <v>4.4359684000000001</v>
      </c>
      <c r="K31" s="47">
        <v>-3.9949894000000001</v>
      </c>
      <c r="L31" s="47">
        <v>-5.3286552000000001E-2</v>
      </c>
      <c r="M31" s="47">
        <v>-4.9560905000000002</v>
      </c>
      <c r="N31" s="47">
        <v>-21.428477999999998</v>
      </c>
    </row>
    <row r="32" spans="1:14" x14ac:dyDescent="0.35">
      <c r="A32" s="2">
        <v>42704</v>
      </c>
      <c r="B32" s="40">
        <v>21.880362999999999</v>
      </c>
      <c r="C32" s="40">
        <v>11.622381000000001</v>
      </c>
      <c r="D32" s="40">
        <v>14.192545000000001</v>
      </c>
      <c r="E32" s="40">
        <v>-6.6665650000000003</v>
      </c>
      <c r="F32" s="40">
        <v>2.2858740000000002</v>
      </c>
      <c r="G32" s="40">
        <v>-5.7794990000000004</v>
      </c>
      <c r="H32" s="40">
        <v>-8.5657359999999994</v>
      </c>
      <c r="I32" s="40">
        <v>4.2188287000000004</v>
      </c>
      <c r="J32" s="40">
        <v>7.8888774000000002</v>
      </c>
      <c r="K32" s="47">
        <v>-4.1604340000000004</v>
      </c>
      <c r="L32" s="47">
        <v>-2.8830646999999998</v>
      </c>
      <c r="M32" s="47">
        <v>-5.5047569999999997</v>
      </c>
      <c r="N32" s="47">
        <v>-22.038602999999998</v>
      </c>
    </row>
    <row r="33" spans="1:14" x14ac:dyDescent="0.35">
      <c r="A33" s="2">
        <v>42734</v>
      </c>
      <c r="B33" s="40">
        <v>10.709274000000001</v>
      </c>
      <c r="C33" s="40">
        <v>9.94482</v>
      </c>
      <c r="D33" s="40">
        <v>22.904050000000002</v>
      </c>
      <c r="E33" s="40">
        <v>1.9262790999999999</v>
      </c>
      <c r="F33" s="40">
        <v>1.7673969</v>
      </c>
      <c r="G33" s="40">
        <v>-4.4724345000000003</v>
      </c>
      <c r="H33" s="40">
        <v>-2.2000492</v>
      </c>
      <c r="I33" s="40">
        <v>5.7681560000000003</v>
      </c>
      <c r="J33" s="40">
        <v>10.880922999999999</v>
      </c>
      <c r="K33" s="47">
        <v>3.4080743999999998</v>
      </c>
      <c r="L33" s="47">
        <v>2.3715614999999999</v>
      </c>
      <c r="M33" s="47">
        <v>0.92072487000000003</v>
      </c>
      <c r="N33" s="47">
        <v>-9.9944889999999997</v>
      </c>
    </row>
    <row r="34" spans="1:14" x14ac:dyDescent="0.35">
      <c r="A34" s="2">
        <v>42766</v>
      </c>
      <c r="B34" s="40">
        <v>29.869496999999999</v>
      </c>
      <c r="C34" s="40">
        <v>25.380600000000001</v>
      </c>
      <c r="D34" s="40">
        <v>32.326973000000002</v>
      </c>
      <c r="E34" s="40">
        <v>15.857649</v>
      </c>
      <c r="F34" s="40">
        <v>12.106741</v>
      </c>
      <c r="G34" s="40">
        <v>8.2570440000000005</v>
      </c>
      <c r="H34" s="40">
        <v>6.3552140000000001</v>
      </c>
      <c r="I34" s="40">
        <v>20.965744000000001</v>
      </c>
      <c r="J34" s="40">
        <v>19.978391999999999</v>
      </c>
      <c r="K34" s="47">
        <v>10.549759999999999</v>
      </c>
      <c r="L34" s="47">
        <v>8.7766889999999993</v>
      </c>
      <c r="M34" s="47">
        <v>15.867459999999999</v>
      </c>
      <c r="N34" s="47">
        <v>2.0782590000000001</v>
      </c>
    </row>
    <row r="35" spans="1:14" x14ac:dyDescent="0.35">
      <c r="A35" s="2">
        <v>42794</v>
      </c>
      <c r="B35" s="40">
        <v>23.936032999999998</v>
      </c>
      <c r="C35" s="40">
        <v>32.118270000000003</v>
      </c>
      <c r="D35" s="40">
        <v>25.616014</v>
      </c>
      <c r="E35" s="40">
        <v>19.232199999999999</v>
      </c>
      <c r="F35" s="40">
        <v>18.088018000000002</v>
      </c>
      <c r="G35" s="40">
        <v>11.724615</v>
      </c>
      <c r="H35" s="40">
        <v>11.167657999999999</v>
      </c>
      <c r="I35" s="40">
        <v>27.112542999999999</v>
      </c>
      <c r="J35" s="40">
        <v>23.817910000000001</v>
      </c>
      <c r="K35" s="47">
        <v>12.671756999999999</v>
      </c>
      <c r="L35" s="47">
        <v>15.049099999999999</v>
      </c>
      <c r="M35" s="47">
        <v>14.393352999999999</v>
      </c>
      <c r="N35" s="47">
        <v>8.4287639999999993</v>
      </c>
    </row>
    <row r="36" spans="1:14" x14ac:dyDescent="0.35">
      <c r="A36" s="2">
        <v>42825</v>
      </c>
      <c r="B36" s="40">
        <v>7.5505852999999998</v>
      </c>
      <c r="C36" s="40">
        <v>21.861886999999999</v>
      </c>
      <c r="D36" s="40">
        <v>15.411925</v>
      </c>
      <c r="E36" s="40">
        <v>14.491785</v>
      </c>
      <c r="F36" s="40">
        <v>15.068984</v>
      </c>
      <c r="G36" s="40">
        <v>10.500622</v>
      </c>
      <c r="H36" s="40">
        <v>7.828665</v>
      </c>
      <c r="I36" s="40">
        <v>22.474062</v>
      </c>
      <c r="J36" s="40">
        <v>17.08033</v>
      </c>
      <c r="K36" s="47">
        <v>12.867022</v>
      </c>
      <c r="L36" s="47">
        <v>11.984146000000001</v>
      </c>
      <c r="M36" s="47">
        <v>11.461710999999999</v>
      </c>
      <c r="N36" s="47">
        <v>9.4985850000000003</v>
      </c>
    </row>
    <row r="37" spans="1:14" x14ac:dyDescent="0.35">
      <c r="A37" s="2">
        <v>42853</v>
      </c>
      <c r="B37" s="40">
        <v>7.6562405</v>
      </c>
      <c r="C37" s="40">
        <v>17.702663000000001</v>
      </c>
      <c r="D37" s="40">
        <v>5.8313490000000003</v>
      </c>
      <c r="E37" s="40">
        <v>15.283023999999999</v>
      </c>
      <c r="F37" s="40">
        <v>14.766895</v>
      </c>
      <c r="G37" s="40">
        <v>11.479545</v>
      </c>
      <c r="H37" s="40">
        <v>5.2861213999999999</v>
      </c>
      <c r="I37" s="40">
        <v>29.270626</v>
      </c>
      <c r="J37" s="40">
        <v>17.143844999999999</v>
      </c>
      <c r="K37" s="47">
        <v>16.032768000000001</v>
      </c>
      <c r="L37" s="47">
        <v>16.296112000000001</v>
      </c>
      <c r="M37" s="47">
        <v>13.02272</v>
      </c>
      <c r="N37" s="47">
        <v>8.4305760000000003</v>
      </c>
    </row>
    <row r="38" spans="1:14" x14ac:dyDescent="0.35">
      <c r="A38" s="2">
        <v>42886</v>
      </c>
      <c r="B38" s="40">
        <v>10.216093000000001</v>
      </c>
      <c r="C38" s="40">
        <v>15.051221999999999</v>
      </c>
      <c r="D38" s="40">
        <v>8.7875730000000001</v>
      </c>
      <c r="E38" s="40">
        <v>22.578848000000001</v>
      </c>
      <c r="F38" s="40">
        <v>15.230798999999999</v>
      </c>
      <c r="G38" s="40">
        <v>17.492653000000001</v>
      </c>
      <c r="H38" s="40">
        <v>11.523365999999999</v>
      </c>
      <c r="I38" s="40">
        <v>29.366790000000002</v>
      </c>
      <c r="J38" s="40">
        <v>17.442608</v>
      </c>
      <c r="K38" s="47">
        <v>22.494399999999999</v>
      </c>
      <c r="L38" s="47">
        <v>21.480453000000001</v>
      </c>
      <c r="M38" s="47">
        <v>19.810831</v>
      </c>
      <c r="N38" s="47">
        <v>19.047557999999999</v>
      </c>
    </row>
    <row r="39" spans="1:14" x14ac:dyDescent="0.35">
      <c r="A39" s="2">
        <v>42916</v>
      </c>
      <c r="B39" s="40">
        <v>13.302744000000001</v>
      </c>
      <c r="C39" s="40">
        <v>16.962109999999999</v>
      </c>
      <c r="D39" s="40">
        <v>11.180282</v>
      </c>
      <c r="E39" s="40">
        <v>28.358066999999998</v>
      </c>
      <c r="F39" s="40">
        <v>18.758500000000002</v>
      </c>
      <c r="G39" s="40">
        <v>18.264568000000001</v>
      </c>
      <c r="H39" s="40">
        <v>12.39264</v>
      </c>
      <c r="I39" s="40">
        <v>29.312193000000001</v>
      </c>
      <c r="J39" s="40">
        <v>17.782104</v>
      </c>
      <c r="K39" s="47">
        <v>28.388237</v>
      </c>
      <c r="L39" s="47">
        <v>28.129732000000001</v>
      </c>
      <c r="M39" s="47">
        <v>26.860296000000002</v>
      </c>
      <c r="N39" s="47">
        <v>31.645918000000002</v>
      </c>
    </row>
    <row r="40" spans="1:14" x14ac:dyDescent="0.35">
      <c r="A40" s="2">
        <v>42947</v>
      </c>
      <c r="B40" s="40">
        <v>7.9239845000000004</v>
      </c>
      <c r="C40" s="40">
        <v>14.023137</v>
      </c>
      <c r="D40" s="40">
        <v>12.564063000000001</v>
      </c>
      <c r="E40" s="40">
        <v>22.100712000000001</v>
      </c>
      <c r="F40" s="40">
        <v>15.586971999999999</v>
      </c>
      <c r="G40" s="40">
        <v>16.613614999999999</v>
      </c>
      <c r="H40" s="40">
        <v>13.360238000000001</v>
      </c>
      <c r="I40" s="40">
        <v>25.583696</v>
      </c>
      <c r="J40" s="40">
        <v>15.970575</v>
      </c>
      <c r="K40" s="47">
        <v>25.497413999999999</v>
      </c>
      <c r="L40" s="47">
        <v>30.887996999999999</v>
      </c>
      <c r="M40" s="47">
        <v>24.622046999999998</v>
      </c>
      <c r="N40" s="47">
        <v>36.645473000000003</v>
      </c>
    </row>
    <row r="41" spans="1:14" x14ac:dyDescent="0.35">
      <c r="A41" s="2">
        <v>42978</v>
      </c>
      <c r="B41" s="40">
        <v>4.8690439999999997</v>
      </c>
      <c r="C41" s="40">
        <v>17.541861999999998</v>
      </c>
      <c r="D41" s="40">
        <v>12.132061</v>
      </c>
      <c r="E41" s="40">
        <v>19.686485000000001</v>
      </c>
      <c r="F41" s="40">
        <v>13.412571</v>
      </c>
      <c r="G41" s="40">
        <v>16.18769</v>
      </c>
      <c r="H41" s="40">
        <v>11.217987000000001</v>
      </c>
      <c r="I41" s="40">
        <v>26.855719000000001</v>
      </c>
      <c r="J41" s="40">
        <v>16.169823000000001</v>
      </c>
      <c r="K41" s="47">
        <v>27.030075</v>
      </c>
      <c r="L41" s="47">
        <v>26.470589</v>
      </c>
      <c r="M41" s="47">
        <v>24.350857000000001</v>
      </c>
      <c r="N41" s="47">
        <v>37.847126000000003</v>
      </c>
    </row>
    <row r="42" spans="1:14" x14ac:dyDescent="0.35">
      <c r="A42" s="2">
        <v>43007</v>
      </c>
      <c r="B42" s="40">
        <v>7.3923706999999999</v>
      </c>
      <c r="C42" s="40">
        <v>13.532351999999999</v>
      </c>
      <c r="D42" s="40">
        <v>15.073109000000001</v>
      </c>
      <c r="E42" s="40">
        <v>28.738545999999999</v>
      </c>
      <c r="F42" s="40">
        <v>12.911022000000001</v>
      </c>
      <c r="G42" s="40">
        <v>17.535447999999999</v>
      </c>
      <c r="H42" s="40">
        <v>14.755737</v>
      </c>
      <c r="I42" s="40">
        <v>24.666858999999999</v>
      </c>
      <c r="J42" s="40">
        <v>19.394566000000001</v>
      </c>
      <c r="K42" s="47">
        <v>32.551310000000001</v>
      </c>
      <c r="L42" s="47">
        <v>30.671036000000001</v>
      </c>
      <c r="M42" s="47">
        <v>27.700603000000001</v>
      </c>
      <c r="N42" s="47">
        <v>49.053669999999997</v>
      </c>
    </row>
    <row r="43" spans="1:14" x14ac:dyDescent="0.35">
      <c r="A43" s="2">
        <v>43039</v>
      </c>
      <c r="B43" s="40">
        <v>11.971867</v>
      </c>
      <c r="C43" s="40">
        <v>17.452824</v>
      </c>
      <c r="D43" s="40">
        <v>15.650808</v>
      </c>
      <c r="E43" s="40">
        <v>30.164504999999998</v>
      </c>
      <c r="F43" s="40">
        <v>18.210888000000001</v>
      </c>
      <c r="G43" s="40">
        <v>21.648693000000002</v>
      </c>
      <c r="H43" s="40">
        <v>21.142637000000001</v>
      </c>
      <c r="I43" s="40">
        <v>31.357013999999999</v>
      </c>
      <c r="J43" s="40">
        <v>23.432648</v>
      </c>
      <c r="K43" s="47">
        <v>33.253549999999997</v>
      </c>
      <c r="L43" s="47">
        <v>32.770110000000003</v>
      </c>
      <c r="M43" s="47">
        <v>32.150649999999999</v>
      </c>
      <c r="N43" s="47">
        <v>41.021155999999998</v>
      </c>
    </row>
    <row r="44" spans="1:14" x14ac:dyDescent="0.35">
      <c r="A44" s="2">
        <v>43069</v>
      </c>
      <c r="B44" s="40">
        <v>13.570176999999999</v>
      </c>
      <c r="C44" s="40">
        <v>16.892778</v>
      </c>
      <c r="D44" s="40">
        <v>13.303447</v>
      </c>
      <c r="E44" s="40">
        <v>36.524344999999997</v>
      </c>
      <c r="F44" s="40">
        <v>22.275269000000002</v>
      </c>
      <c r="G44" s="40">
        <v>26.102982999999998</v>
      </c>
      <c r="H44" s="40">
        <v>20.762909000000001</v>
      </c>
      <c r="I44" s="40">
        <v>33.36562</v>
      </c>
      <c r="J44" s="40">
        <v>22.685932000000001</v>
      </c>
      <c r="K44" s="47">
        <v>36.532389999999999</v>
      </c>
      <c r="L44" s="47">
        <v>37.389789999999998</v>
      </c>
      <c r="M44" s="47">
        <v>27.553785000000001</v>
      </c>
      <c r="N44" s="47">
        <v>46.509182000000003</v>
      </c>
    </row>
    <row r="45" spans="1:14" x14ac:dyDescent="0.35">
      <c r="A45" s="2">
        <v>43098</v>
      </c>
      <c r="B45" s="40">
        <v>22.99831</v>
      </c>
      <c r="C45" s="40">
        <v>19.050550000000001</v>
      </c>
      <c r="D45" s="40">
        <v>15.656078000000001</v>
      </c>
      <c r="E45" s="40">
        <v>28.124655000000001</v>
      </c>
      <c r="F45" s="40">
        <v>24.223019000000001</v>
      </c>
      <c r="G45" s="40">
        <v>23.987507000000001</v>
      </c>
      <c r="H45" s="40">
        <v>22.385905999999999</v>
      </c>
      <c r="I45" s="40">
        <v>31.301425999999999</v>
      </c>
      <c r="J45" s="40">
        <v>21.255516</v>
      </c>
      <c r="K45" s="47">
        <v>30.07884</v>
      </c>
      <c r="L45" s="47">
        <v>34.362614000000001</v>
      </c>
      <c r="M45" s="47">
        <v>22.180641000000001</v>
      </c>
      <c r="N45" s="47">
        <v>29.315483</v>
      </c>
    </row>
    <row r="46" spans="1:14" x14ac:dyDescent="0.35">
      <c r="A46" s="2">
        <v>43131</v>
      </c>
      <c r="B46" s="40">
        <v>18.513083999999999</v>
      </c>
      <c r="C46" s="40">
        <v>17.188286000000002</v>
      </c>
      <c r="D46" s="40">
        <v>12.260019</v>
      </c>
      <c r="E46" s="40">
        <v>30.068719999999999</v>
      </c>
      <c r="F46" s="40">
        <v>26.102209999999999</v>
      </c>
      <c r="G46" s="40">
        <v>23.542881000000001</v>
      </c>
      <c r="H46" s="40">
        <v>23.088740999999999</v>
      </c>
      <c r="I46" s="40">
        <v>37.228360000000002</v>
      </c>
      <c r="J46" s="40">
        <v>26.29918</v>
      </c>
      <c r="K46" s="47">
        <v>35.982860000000002</v>
      </c>
      <c r="L46" s="47">
        <v>38.132072000000001</v>
      </c>
      <c r="M46" s="47">
        <v>21.989584000000001</v>
      </c>
      <c r="N46" s="47">
        <v>45.680630000000001</v>
      </c>
    </row>
    <row r="47" spans="1:14" x14ac:dyDescent="0.35">
      <c r="A47" s="2">
        <v>43159</v>
      </c>
      <c r="B47" s="40">
        <v>16.050315999999999</v>
      </c>
      <c r="C47" s="40">
        <v>8.8655950000000008</v>
      </c>
      <c r="D47" s="40">
        <v>6.324649</v>
      </c>
      <c r="E47" s="40">
        <v>20.439768000000001</v>
      </c>
      <c r="F47" s="40">
        <v>20.779312000000001</v>
      </c>
      <c r="G47" s="40">
        <v>14.905346</v>
      </c>
      <c r="H47" s="40">
        <v>13.1853695</v>
      </c>
      <c r="I47" s="40">
        <v>29.776489999999999</v>
      </c>
      <c r="J47" s="40">
        <v>17.105639</v>
      </c>
      <c r="K47" s="47">
        <v>29.565083999999999</v>
      </c>
      <c r="L47" s="47">
        <v>27.238571</v>
      </c>
      <c r="M47" s="47">
        <v>15.597581999999999</v>
      </c>
      <c r="N47" s="47">
        <v>37.273919999999997</v>
      </c>
    </row>
    <row r="48" spans="1:14" x14ac:dyDescent="0.35">
      <c r="A48" s="2">
        <v>43188</v>
      </c>
      <c r="B48" s="40">
        <v>21.153248000000001</v>
      </c>
      <c r="C48" s="40">
        <v>1.3550639</v>
      </c>
      <c r="D48" s="40">
        <v>4.0798069999999997</v>
      </c>
      <c r="E48" s="40">
        <v>13.781881</v>
      </c>
      <c r="F48" s="40">
        <v>17.620241</v>
      </c>
      <c r="G48" s="40">
        <v>9.2248439999999992</v>
      </c>
      <c r="H48" s="40">
        <v>11.250126</v>
      </c>
      <c r="I48" s="40">
        <v>22.133815999999999</v>
      </c>
      <c r="J48" s="40">
        <v>13.848591000000001</v>
      </c>
      <c r="K48" s="47">
        <v>20.996893</v>
      </c>
      <c r="L48" s="47">
        <v>20.895588</v>
      </c>
      <c r="M48" s="47">
        <v>9.3364949999999993</v>
      </c>
      <c r="N48" s="47">
        <v>27.778578</v>
      </c>
    </row>
    <row r="49" spans="1:14" x14ac:dyDescent="0.35">
      <c r="A49" s="2">
        <v>43220</v>
      </c>
      <c r="B49" s="40">
        <v>15.918505</v>
      </c>
      <c r="C49" s="40">
        <v>3.4563421999999999</v>
      </c>
      <c r="D49" s="40">
        <v>9.3878269999999997</v>
      </c>
      <c r="E49" s="40">
        <v>11.777914000000001</v>
      </c>
      <c r="F49" s="40">
        <v>18.471981</v>
      </c>
      <c r="G49" s="40">
        <v>4.5962810000000003</v>
      </c>
      <c r="H49" s="40">
        <v>14.088869000000001</v>
      </c>
      <c r="I49" s="40">
        <v>19.375706000000001</v>
      </c>
      <c r="J49" s="40">
        <v>13.216103</v>
      </c>
      <c r="K49" s="47">
        <v>19.008075999999999</v>
      </c>
      <c r="L49" s="47">
        <v>16.481400000000001</v>
      </c>
      <c r="M49" s="47">
        <v>2.4837375000000002</v>
      </c>
      <c r="N49" s="47">
        <v>29.941701999999999</v>
      </c>
    </row>
    <row r="50" spans="1:14" x14ac:dyDescent="0.35">
      <c r="A50" s="2">
        <v>43251</v>
      </c>
      <c r="B50" s="40">
        <v>14.759421</v>
      </c>
      <c r="C50" s="40">
        <v>9.9777109999999993</v>
      </c>
      <c r="D50" s="40">
        <v>12.187123</v>
      </c>
      <c r="E50" s="40">
        <v>4.2475940000000003</v>
      </c>
      <c r="F50" s="40">
        <v>13.581728999999999</v>
      </c>
      <c r="G50" s="40">
        <v>-2.7158796999999999</v>
      </c>
      <c r="H50" s="40">
        <v>8.4490890000000007</v>
      </c>
      <c r="I50" s="40">
        <v>21.415806</v>
      </c>
      <c r="J50" s="40">
        <v>14.354407999999999</v>
      </c>
      <c r="K50" s="47">
        <v>10.474777</v>
      </c>
      <c r="L50" s="47">
        <v>8.3665129999999994</v>
      </c>
      <c r="M50" s="47">
        <v>-1.6802490000000001</v>
      </c>
      <c r="N50" s="47">
        <v>11.271834</v>
      </c>
    </row>
    <row r="51" spans="1:14" x14ac:dyDescent="0.35">
      <c r="A51" s="2">
        <v>43280</v>
      </c>
      <c r="B51" s="40">
        <v>8.7419150000000005</v>
      </c>
      <c r="C51" s="40">
        <v>8.3479290000000006</v>
      </c>
      <c r="D51" s="40">
        <v>8.6390130000000003</v>
      </c>
      <c r="E51" s="40">
        <v>1.3211012</v>
      </c>
      <c r="F51" s="40">
        <v>9.8832609999999992</v>
      </c>
      <c r="G51" s="40">
        <v>-2.717781</v>
      </c>
      <c r="H51" s="40">
        <v>8.9164729999999999</v>
      </c>
      <c r="I51" s="40">
        <v>25.764441999999999</v>
      </c>
      <c r="J51" s="40">
        <v>14.497126</v>
      </c>
      <c r="K51" s="47">
        <v>8.5525400000000005</v>
      </c>
      <c r="L51" s="47">
        <v>8.1945305000000008</v>
      </c>
      <c r="M51" s="47">
        <v>-4.4122399999999997</v>
      </c>
      <c r="N51" s="47">
        <v>7.4223160000000004</v>
      </c>
    </row>
    <row r="52" spans="1:14" x14ac:dyDescent="0.35">
      <c r="A52" s="2">
        <v>43312</v>
      </c>
      <c r="B52" s="40">
        <v>5.0070642999999997</v>
      </c>
      <c r="C52" s="40">
        <v>5.4788230000000002</v>
      </c>
      <c r="D52" s="40">
        <v>6.8781020000000002</v>
      </c>
      <c r="E52" s="40">
        <v>4.678941</v>
      </c>
      <c r="F52" s="40">
        <v>8.4434395000000002</v>
      </c>
      <c r="G52" s="40">
        <v>3.1916022000000002</v>
      </c>
      <c r="H52" s="40">
        <v>7.339728</v>
      </c>
      <c r="I52" s="40">
        <v>24.190569</v>
      </c>
      <c r="J52" s="40">
        <v>16.130901000000001</v>
      </c>
      <c r="K52" s="47">
        <v>10.329712000000001</v>
      </c>
      <c r="L52" s="47">
        <v>5.4596663000000003</v>
      </c>
      <c r="M52" s="47">
        <v>7.3754790000000001E-2</v>
      </c>
      <c r="N52" s="47">
        <v>3.751433</v>
      </c>
    </row>
    <row r="53" spans="1:14" x14ac:dyDescent="0.35">
      <c r="A53" s="2">
        <v>43343</v>
      </c>
      <c r="B53" s="40">
        <v>9.1086749999999999</v>
      </c>
      <c r="C53" s="40">
        <v>3.7284255000000002</v>
      </c>
      <c r="D53" s="40">
        <v>5.491352</v>
      </c>
      <c r="E53" s="40">
        <v>0.90388060000000003</v>
      </c>
      <c r="F53" s="40">
        <v>7.9676629999999999</v>
      </c>
      <c r="G53" s="40">
        <v>3.8819669999999999</v>
      </c>
      <c r="H53" s="40">
        <v>3.4807682</v>
      </c>
      <c r="I53" s="40">
        <v>28.700887999999999</v>
      </c>
      <c r="J53" s="40">
        <v>19.489134</v>
      </c>
      <c r="K53" s="47">
        <v>6.9504260000000002</v>
      </c>
      <c r="L53" s="47">
        <v>3.5356879999999999</v>
      </c>
      <c r="M53" s="47">
        <v>-2.9696642999999998</v>
      </c>
      <c r="N53" s="47">
        <v>-7.5170279999999998</v>
      </c>
    </row>
    <row r="54" spans="1:14" x14ac:dyDescent="0.35">
      <c r="A54" s="2">
        <v>43371</v>
      </c>
      <c r="B54" s="40">
        <v>6.7557573</v>
      </c>
      <c r="C54" s="40">
        <v>3.3913373999999998</v>
      </c>
      <c r="D54" s="40">
        <v>1.5204667999999999</v>
      </c>
      <c r="E54" s="40">
        <v>-4.6081304999999997</v>
      </c>
      <c r="F54" s="40">
        <v>9.7099069999999994</v>
      </c>
      <c r="G54" s="40">
        <v>2.537191</v>
      </c>
      <c r="H54" s="40">
        <v>2.6582599</v>
      </c>
      <c r="I54" s="40">
        <v>29.643906000000001</v>
      </c>
      <c r="J54" s="40">
        <v>18.240929000000001</v>
      </c>
      <c r="K54" s="47">
        <v>5.1460623999999999</v>
      </c>
      <c r="L54" s="47">
        <v>-0.69320199999999998</v>
      </c>
      <c r="M54" s="47">
        <v>-2.5199413000000002</v>
      </c>
      <c r="N54" s="47">
        <v>-8.0644369999999999</v>
      </c>
    </row>
    <row r="55" spans="1:14" x14ac:dyDescent="0.35">
      <c r="A55" s="2">
        <v>43404</v>
      </c>
      <c r="B55" s="40">
        <v>3.0679940000000001</v>
      </c>
      <c r="C55" s="40">
        <v>-5.1979119999999996</v>
      </c>
      <c r="D55" s="40">
        <v>-5.9996660000000004</v>
      </c>
      <c r="E55" s="40">
        <v>-15.396494000000001</v>
      </c>
      <c r="F55" s="40">
        <v>-5.1324662999999999</v>
      </c>
      <c r="G55" s="40">
        <v>-1.7375468999999999</v>
      </c>
      <c r="H55" s="40">
        <v>-5.3565860000000001</v>
      </c>
      <c r="I55" s="40">
        <v>12.47189</v>
      </c>
      <c r="J55" s="40">
        <v>7.1593045999999996</v>
      </c>
      <c r="K55" s="47">
        <v>-7.3219120000000002</v>
      </c>
      <c r="L55" s="47">
        <v>-10.436707500000001</v>
      </c>
      <c r="M55" s="47">
        <v>-12.772125000000001</v>
      </c>
      <c r="N55" s="47">
        <v>-16.362976</v>
      </c>
    </row>
    <row r="56" spans="1:14" x14ac:dyDescent="0.35">
      <c r="A56" s="2">
        <v>43434</v>
      </c>
      <c r="B56" s="40">
        <v>9.9316960000000005</v>
      </c>
      <c r="C56" s="40">
        <v>-4.5717772999999999</v>
      </c>
      <c r="D56" s="40">
        <v>-6.0283126999999999</v>
      </c>
      <c r="E56" s="40">
        <v>-17.095613</v>
      </c>
      <c r="F56" s="40">
        <v>-6.2809169999999996</v>
      </c>
      <c r="G56" s="40">
        <v>-2.6792883999999999</v>
      </c>
      <c r="H56" s="40">
        <v>-6.3803729999999996</v>
      </c>
      <c r="I56" s="40">
        <v>10.00483</v>
      </c>
      <c r="J56" s="40">
        <v>5.9098125000000001</v>
      </c>
      <c r="K56" s="47">
        <v>-8.3107950000000006</v>
      </c>
      <c r="L56" s="47">
        <v>-7.8468920000000004</v>
      </c>
      <c r="M56" s="47">
        <v>-10.080904</v>
      </c>
      <c r="N56" s="47">
        <v>-15.364474</v>
      </c>
    </row>
    <row r="57" spans="1:14" x14ac:dyDescent="0.35">
      <c r="A57" s="2">
        <v>43465</v>
      </c>
      <c r="B57" s="40">
        <v>0.3503561</v>
      </c>
      <c r="C57" s="40">
        <v>-12.024254000000001</v>
      </c>
      <c r="D57" s="40">
        <v>-17.157238</v>
      </c>
      <c r="E57" s="40">
        <v>-21.374732999999999</v>
      </c>
      <c r="F57" s="40">
        <v>-14.094436999999999</v>
      </c>
      <c r="G57" s="40">
        <v>-9.1894209999999994</v>
      </c>
      <c r="H57" s="40">
        <v>-14.279747</v>
      </c>
      <c r="I57" s="40">
        <v>-0.11628866</v>
      </c>
      <c r="J57" s="40">
        <v>-4.5570729999999999</v>
      </c>
      <c r="K57" s="47">
        <v>-12.881112</v>
      </c>
      <c r="L57" s="47">
        <v>-15.359479</v>
      </c>
      <c r="M57" s="47">
        <v>-12.76235</v>
      </c>
      <c r="N57" s="47">
        <v>-17.193031000000001</v>
      </c>
    </row>
    <row r="58" spans="1:14" x14ac:dyDescent="0.35">
      <c r="A58" s="2">
        <v>43496</v>
      </c>
      <c r="B58" s="40">
        <v>1.3843656</v>
      </c>
      <c r="C58" s="40">
        <v>-8.2754849999999998</v>
      </c>
      <c r="D58" s="40">
        <v>-7.2246370000000004</v>
      </c>
      <c r="E58" s="40">
        <v>-21.631443000000001</v>
      </c>
      <c r="F58" s="40">
        <v>-12.409628</v>
      </c>
      <c r="G58" s="40">
        <v>-8.1099150000000009</v>
      </c>
      <c r="H58" s="40">
        <v>-11.346095999999999</v>
      </c>
      <c r="I58" s="40">
        <v>0.11672974</v>
      </c>
      <c r="J58" s="40">
        <v>-2.4151802</v>
      </c>
      <c r="K58" s="47">
        <v>-13.380682</v>
      </c>
      <c r="L58" s="47">
        <v>-13.823682</v>
      </c>
      <c r="M58" s="47">
        <v>-13.303243999999999</v>
      </c>
      <c r="N58" s="47">
        <v>-19.339514000000001</v>
      </c>
    </row>
    <row r="59" spans="1:14" x14ac:dyDescent="0.35">
      <c r="A59" s="2">
        <v>43524</v>
      </c>
      <c r="B59" s="40">
        <v>6.1311363999999999</v>
      </c>
      <c r="C59" s="40">
        <v>-1.2551844000000001</v>
      </c>
      <c r="D59" s="40">
        <v>2.7028799999999999</v>
      </c>
      <c r="E59" s="40">
        <v>-13.786173</v>
      </c>
      <c r="F59" s="40">
        <v>-9.5945060000000009</v>
      </c>
      <c r="G59" s="40">
        <v>1.4801979000000001</v>
      </c>
      <c r="H59" s="40">
        <v>-1.7200588999999999</v>
      </c>
      <c r="I59" s="40">
        <v>4.4618845</v>
      </c>
      <c r="J59" s="40">
        <v>4.5495749999999999</v>
      </c>
      <c r="K59" s="47">
        <v>-4.8342586000000001</v>
      </c>
      <c r="L59" s="47">
        <v>-4.850352</v>
      </c>
      <c r="M59" s="47">
        <v>-6.8861127</v>
      </c>
      <c r="N59" s="47">
        <v>-10.856366</v>
      </c>
    </row>
    <row r="60" spans="1:14" x14ac:dyDescent="0.35">
      <c r="A60" s="2">
        <v>43553</v>
      </c>
      <c r="B60" s="40">
        <v>10.915017000000001</v>
      </c>
      <c r="C60" s="40">
        <v>3.486383</v>
      </c>
      <c r="D60" s="40">
        <v>2.7791022999999999</v>
      </c>
      <c r="E60" s="40">
        <v>-13.951403000000001</v>
      </c>
      <c r="F60" s="40">
        <v>-8.4108940000000008</v>
      </c>
      <c r="G60" s="40">
        <v>5.4901004000000002</v>
      </c>
      <c r="H60" s="40">
        <v>-0.62168239999999997</v>
      </c>
      <c r="I60" s="40">
        <v>13.173866</v>
      </c>
      <c r="J60" s="40">
        <v>9.4400999999999993</v>
      </c>
      <c r="K60" s="47">
        <v>-3.7452459999999999</v>
      </c>
      <c r="L60" s="47">
        <v>-4.528016</v>
      </c>
      <c r="M60" s="47">
        <v>-5.4747224000000001</v>
      </c>
      <c r="N60" s="47">
        <v>-10.003762999999999</v>
      </c>
    </row>
    <row r="61" spans="1:14" x14ac:dyDescent="0.35">
      <c r="A61" s="2">
        <v>43585</v>
      </c>
      <c r="B61" s="40">
        <v>13.941801</v>
      </c>
      <c r="C61" s="40">
        <v>3.8865685000000001</v>
      </c>
      <c r="D61" s="40">
        <v>4.0117263999999997</v>
      </c>
      <c r="E61" s="40">
        <v>-9.1332020000000007</v>
      </c>
      <c r="F61" s="40">
        <v>-7.1780624</v>
      </c>
      <c r="G61" s="40">
        <v>9.0122219999999995</v>
      </c>
      <c r="H61" s="40">
        <v>-2.5694191000000002</v>
      </c>
      <c r="I61" s="40">
        <v>18.796682000000001</v>
      </c>
      <c r="J61" s="40">
        <v>13.325298</v>
      </c>
      <c r="K61" s="47">
        <v>-3.0589879</v>
      </c>
      <c r="L61" s="47">
        <v>0.87623596000000004</v>
      </c>
      <c r="M61" s="47">
        <v>2.6819943999999998</v>
      </c>
      <c r="N61" s="47">
        <v>-12.259853</v>
      </c>
    </row>
    <row r="62" spans="1:14" x14ac:dyDescent="0.35">
      <c r="A62" s="2">
        <v>43616</v>
      </c>
      <c r="B62" s="40">
        <v>8.3908439999999995</v>
      </c>
      <c r="C62" s="40">
        <v>2.2782206999999999</v>
      </c>
      <c r="D62" s="40">
        <v>-2.5461852999999999</v>
      </c>
      <c r="E62" s="40">
        <v>-12.863559</v>
      </c>
      <c r="F62" s="40">
        <v>-10.369987</v>
      </c>
      <c r="G62" s="40">
        <v>10.795748</v>
      </c>
      <c r="H62" s="40">
        <v>-7.9849424000000004</v>
      </c>
      <c r="I62" s="40">
        <v>3.1725525999999999</v>
      </c>
      <c r="J62" s="40">
        <v>3.5804510000000001</v>
      </c>
      <c r="K62" s="47">
        <v>-6.530583</v>
      </c>
      <c r="L62" s="47">
        <v>-3.4216403999999998</v>
      </c>
      <c r="M62" s="47">
        <v>-5.7144345999999997</v>
      </c>
      <c r="N62" s="47">
        <v>-10.836429000000001</v>
      </c>
    </row>
    <row r="63" spans="1:14" x14ac:dyDescent="0.35">
      <c r="A63" s="2">
        <v>43644</v>
      </c>
      <c r="B63" s="40">
        <v>13.758813999999999</v>
      </c>
      <c r="C63" s="40">
        <v>6.2166930000000002</v>
      </c>
      <c r="D63" s="40">
        <v>4.4224620000000003</v>
      </c>
      <c r="E63" s="40">
        <v>-2.4084984999999999</v>
      </c>
      <c r="F63" s="40">
        <v>-4.4703720000000002</v>
      </c>
      <c r="G63" s="40">
        <v>19.376681999999999</v>
      </c>
      <c r="H63" s="40">
        <v>-1.8142223</v>
      </c>
      <c r="I63" s="40">
        <v>10.041022</v>
      </c>
      <c r="J63" s="40">
        <v>10.313547</v>
      </c>
      <c r="K63" s="47">
        <v>4.5194983000000004</v>
      </c>
      <c r="L63" s="47">
        <v>5.1014065999999998</v>
      </c>
      <c r="M63" s="47">
        <v>5.9779406000000002</v>
      </c>
      <c r="N63" s="47">
        <v>1.1313915000000001</v>
      </c>
    </row>
    <row r="64" spans="1:14" x14ac:dyDescent="0.35">
      <c r="A64" s="2">
        <v>43677</v>
      </c>
      <c r="B64" s="40">
        <v>16.385995999999999</v>
      </c>
      <c r="C64" s="40">
        <v>3.6228417999999998</v>
      </c>
      <c r="D64" s="40">
        <v>-0.28201937999999999</v>
      </c>
      <c r="E64" s="40">
        <v>-11.992782999999999</v>
      </c>
      <c r="F64" s="40">
        <v>-5.5718063999999998</v>
      </c>
      <c r="G64" s="40">
        <v>9.3194009999999992</v>
      </c>
      <c r="H64" s="40">
        <v>-5.848509</v>
      </c>
      <c r="I64" s="40">
        <v>9.2533349999999999</v>
      </c>
      <c r="J64" s="40">
        <v>7.8258752999999999</v>
      </c>
      <c r="K64" s="47">
        <v>-3.3131718999999999</v>
      </c>
      <c r="L64" s="47">
        <v>6.5696240000000003E-2</v>
      </c>
      <c r="M64" s="47">
        <v>-6.7022029999999999</v>
      </c>
      <c r="N64" s="47">
        <v>-5.1622333999999999</v>
      </c>
    </row>
    <row r="65" spans="1:14" x14ac:dyDescent="0.35">
      <c r="A65" s="2">
        <v>43707</v>
      </c>
      <c r="B65" s="40">
        <v>8.1835985000000004</v>
      </c>
      <c r="C65" s="40">
        <v>1.1743425999999999</v>
      </c>
      <c r="D65" s="40">
        <v>-0.84872245999999996</v>
      </c>
      <c r="E65" s="40">
        <v>-12.065733</v>
      </c>
      <c r="F65" s="40">
        <v>-5.6255519999999999</v>
      </c>
      <c r="G65" s="40">
        <v>9.4134445000000007</v>
      </c>
      <c r="H65" s="40">
        <v>-6.363696</v>
      </c>
      <c r="I65" s="40">
        <v>1.4514327</v>
      </c>
      <c r="J65" s="40">
        <v>2.7445555000000001</v>
      </c>
      <c r="K65" s="47">
        <v>-3.6489785000000001</v>
      </c>
      <c r="L65" s="47">
        <v>0.55551530000000005</v>
      </c>
      <c r="M65" s="47">
        <v>-8.8967620000000007</v>
      </c>
      <c r="N65" s="47">
        <v>2.5537372</v>
      </c>
    </row>
    <row r="66" spans="1:14" x14ac:dyDescent="0.35">
      <c r="A66" s="2">
        <v>43738</v>
      </c>
      <c r="B66" s="40">
        <v>10.290634000000001</v>
      </c>
      <c r="C66" s="40">
        <v>6.6039085000000002</v>
      </c>
      <c r="D66" s="40">
        <v>3.0259727999999999</v>
      </c>
      <c r="E66" s="40">
        <v>-7.0358809999999998</v>
      </c>
      <c r="F66" s="40">
        <v>-4.2018414000000002</v>
      </c>
      <c r="G66" s="40">
        <v>10.910140999999999</v>
      </c>
      <c r="H66" s="40">
        <v>-3.4545720000000002</v>
      </c>
      <c r="I66" s="40">
        <v>2.5404214999999999</v>
      </c>
      <c r="J66" s="40">
        <v>4.1229367000000003</v>
      </c>
      <c r="K66" s="47">
        <v>-1.148814</v>
      </c>
      <c r="L66" s="47">
        <v>6.9443463999999997</v>
      </c>
      <c r="M66" s="47">
        <v>-7.3399963000000001</v>
      </c>
      <c r="N66" s="47">
        <v>4.4612170000000004</v>
      </c>
    </row>
    <row r="67" spans="1:14" x14ac:dyDescent="0.35">
      <c r="A67" s="2">
        <v>43769</v>
      </c>
      <c r="B67" s="40">
        <v>19.663751999999999</v>
      </c>
      <c r="C67" s="40">
        <v>15.910351</v>
      </c>
      <c r="D67" s="40">
        <v>11.383462</v>
      </c>
      <c r="E67" s="40">
        <v>7.6421022000000001</v>
      </c>
      <c r="F67" s="40">
        <v>8.8111289999999993</v>
      </c>
      <c r="G67" s="40">
        <v>18.951107</v>
      </c>
      <c r="H67" s="40">
        <v>7.1807384000000001</v>
      </c>
      <c r="I67" s="40">
        <v>17.097092</v>
      </c>
      <c r="J67" s="40">
        <v>14.324866999999999</v>
      </c>
      <c r="K67" s="47">
        <v>13.169836999999999</v>
      </c>
      <c r="L67" s="47">
        <v>18.519842000000001</v>
      </c>
      <c r="M67" s="47">
        <v>10.860215999999999</v>
      </c>
      <c r="N67" s="47">
        <v>20.784056</v>
      </c>
    </row>
    <row r="68" spans="1:14" x14ac:dyDescent="0.35">
      <c r="A68" s="2">
        <v>43798</v>
      </c>
      <c r="B68" s="40">
        <v>20.654178999999999</v>
      </c>
      <c r="C68" s="40">
        <v>15.106928</v>
      </c>
      <c r="D68" s="40">
        <v>14.156378</v>
      </c>
      <c r="E68" s="40">
        <v>9.7975139999999996</v>
      </c>
      <c r="F68" s="40">
        <v>9.3049409999999995</v>
      </c>
      <c r="G68" s="40">
        <v>19.468520999999999</v>
      </c>
      <c r="H68" s="40">
        <v>8.943892</v>
      </c>
      <c r="I68" s="40">
        <v>23.072565000000001</v>
      </c>
      <c r="J68" s="40">
        <v>17.014766999999999</v>
      </c>
      <c r="K68" s="47">
        <v>15.377844</v>
      </c>
      <c r="L68" s="47">
        <v>17.682780000000001</v>
      </c>
      <c r="M68" s="47">
        <v>12.098169</v>
      </c>
      <c r="N68" s="47">
        <v>18.874609</v>
      </c>
    </row>
    <row r="69" spans="1:14" x14ac:dyDescent="0.35">
      <c r="A69" s="2">
        <v>43830</v>
      </c>
      <c r="B69" s="40">
        <v>30.100859</v>
      </c>
      <c r="C69" s="40">
        <v>22.412299999999998</v>
      </c>
      <c r="D69" s="40">
        <v>27.563403999999998</v>
      </c>
      <c r="E69" s="40">
        <v>19.154919</v>
      </c>
      <c r="F69" s="40">
        <v>19.328807999999999</v>
      </c>
      <c r="G69" s="40">
        <v>31.583559000000001</v>
      </c>
      <c r="H69" s="40">
        <v>21.251916999999999</v>
      </c>
      <c r="I69" s="40">
        <v>38.959766000000002</v>
      </c>
      <c r="J69" s="40">
        <v>31.221748000000002</v>
      </c>
      <c r="K69" s="47">
        <v>26.668369999999999</v>
      </c>
      <c r="L69" s="47">
        <v>32.455550000000002</v>
      </c>
      <c r="M69" s="47">
        <v>21.738409999999998</v>
      </c>
      <c r="N69" s="47">
        <v>26.968658000000001</v>
      </c>
    </row>
    <row r="70" spans="1:14" x14ac:dyDescent="0.35">
      <c r="A70" s="2">
        <v>43861</v>
      </c>
      <c r="B70" s="40">
        <v>19.802451999999999</v>
      </c>
      <c r="C70" s="40">
        <v>12.524784</v>
      </c>
      <c r="D70" s="40">
        <v>12.159813</v>
      </c>
      <c r="E70" s="40">
        <v>9.4136830000000007</v>
      </c>
      <c r="F70" s="40">
        <v>8.6337329999999994</v>
      </c>
      <c r="G70" s="40">
        <v>24.781502</v>
      </c>
      <c r="H70" s="40">
        <v>8.1732390000000006</v>
      </c>
      <c r="I70" s="40">
        <v>31.346619</v>
      </c>
      <c r="J70" s="40">
        <v>21.445179</v>
      </c>
      <c r="K70" s="47">
        <v>14.554572</v>
      </c>
      <c r="L70" s="47">
        <v>18.715454000000001</v>
      </c>
      <c r="M70" s="47">
        <v>12.169397</v>
      </c>
      <c r="N70" s="47">
        <v>14.592541000000001</v>
      </c>
    </row>
    <row r="71" spans="1:14" x14ac:dyDescent="0.35">
      <c r="A71" s="2">
        <v>43889</v>
      </c>
      <c r="B71" s="40">
        <v>10.86787</v>
      </c>
      <c r="C71" s="40">
        <v>-1.5908062000000001</v>
      </c>
      <c r="D71" s="40">
        <v>1.3009428999999999</v>
      </c>
      <c r="E71" s="40">
        <v>-1.3237475999999999</v>
      </c>
      <c r="F71" s="40">
        <v>-0.52337049999999996</v>
      </c>
      <c r="G71" s="40">
        <v>11.826515000000001</v>
      </c>
      <c r="H71" s="40">
        <v>-6.1158656999999996</v>
      </c>
      <c r="I71" s="40">
        <v>19.806743999999998</v>
      </c>
      <c r="J71" s="40">
        <v>8.3196049999999993</v>
      </c>
      <c r="K71" s="47">
        <v>1.2282014000000001</v>
      </c>
      <c r="L71" s="47">
        <v>5.6587459999999998</v>
      </c>
      <c r="M71" s="47">
        <v>5.2574395999999997</v>
      </c>
      <c r="N71" s="47">
        <v>4.5457840000000003</v>
      </c>
    </row>
    <row r="72" spans="1:14" x14ac:dyDescent="0.35">
      <c r="A72" s="2">
        <v>43921</v>
      </c>
      <c r="B72" s="40">
        <v>-11.631227000000001</v>
      </c>
      <c r="C72" s="40">
        <v>-24.839770999999999</v>
      </c>
      <c r="D72" s="40">
        <v>-19.164825</v>
      </c>
      <c r="E72" s="40">
        <v>-18.021149000000001</v>
      </c>
      <c r="F72" s="40">
        <v>-7.8393639999999998</v>
      </c>
      <c r="G72" s="40">
        <v>2.0261288</v>
      </c>
      <c r="H72" s="40">
        <v>-24.502748</v>
      </c>
      <c r="I72" s="40">
        <v>6.8830730000000004</v>
      </c>
      <c r="J72" s="40">
        <v>-6.8654060000000001</v>
      </c>
      <c r="K72" s="47">
        <v>-18.315684999999998</v>
      </c>
      <c r="L72" s="47">
        <v>-10.541969</v>
      </c>
      <c r="M72" s="47">
        <v>-11.514483999999999</v>
      </c>
      <c r="N72" s="47">
        <v>-22.121566999999999</v>
      </c>
    </row>
    <row r="73" spans="1:14" x14ac:dyDescent="0.35">
      <c r="A73" s="2">
        <v>43951</v>
      </c>
      <c r="B73" s="40">
        <v>-3.6056577999999999</v>
      </c>
      <c r="C73" s="40">
        <v>-18.531345000000002</v>
      </c>
      <c r="D73" s="40">
        <v>-13.037986</v>
      </c>
      <c r="E73" s="40">
        <v>-15.881031999999999</v>
      </c>
      <c r="F73" s="40">
        <v>-4.6369195000000003</v>
      </c>
      <c r="G73" s="40">
        <v>3.9720297000000002</v>
      </c>
      <c r="H73" s="40">
        <v>-21.944893</v>
      </c>
      <c r="I73" s="40">
        <v>16.481829000000001</v>
      </c>
      <c r="J73" s="40">
        <v>0.84153414000000004</v>
      </c>
      <c r="K73" s="47">
        <v>-18.61307</v>
      </c>
      <c r="L73" s="47">
        <v>-7.7498855999999998</v>
      </c>
      <c r="M73" s="47">
        <v>-10.979551000000001</v>
      </c>
      <c r="N73" s="47">
        <v>-22.098344999999998</v>
      </c>
    </row>
    <row r="74" spans="1:14" x14ac:dyDescent="0.35">
      <c r="A74" s="2">
        <v>43980</v>
      </c>
      <c r="B74" s="40">
        <v>5.2528499999999996</v>
      </c>
      <c r="C74" s="40">
        <v>-13.654709</v>
      </c>
      <c r="D74" s="40">
        <v>-6.5877495000000001</v>
      </c>
      <c r="E74" s="40">
        <v>-2.3698092000000002</v>
      </c>
      <c r="F74" s="40">
        <v>6.6486359999999998</v>
      </c>
      <c r="G74" s="40">
        <v>8.9060190000000006</v>
      </c>
      <c r="H74" s="40">
        <v>-15.611762000000001</v>
      </c>
      <c r="I74" s="40">
        <v>33.700539999999997</v>
      </c>
      <c r="J74" s="40">
        <v>11.625695</v>
      </c>
      <c r="K74" s="47">
        <v>-8.2688869999999994</v>
      </c>
      <c r="L74" s="47">
        <v>6.3257099999999999</v>
      </c>
      <c r="M74" s="47">
        <v>6.6501140000000003</v>
      </c>
      <c r="N74" s="47">
        <v>-11.148809999999999</v>
      </c>
    </row>
    <row r="75" spans="1:14" x14ac:dyDescent="0.35">
      <c r="A75" s="2">
        <v>44012</v>
      </c>
      <c r="B75" s="40">
        <v>9.1612930000000006</v>
      </c>
      <c r="C75" s="40">
        <v>-11.505604</v>
      </c>
      <c r="D75" s="40">
        <v>-7.4443339999999996</v>
      </c>
      <c r="E75" s="40">
        <v>-2.3432434</v>
      </c>
      <c r="F75" s="40">
        <v>2.6342034000000001</v>
      </c>
      <c r="G75" s="40">
        <v>5.4140090000000001</v>
      </c>
      <c r="H75" s="40">
        <v>-17.672294999999998</v>
      </c>
      <c r="I75" s="40">
        <v>33.657919999999997</v>
      </c>
      <c r="J75" s="40">
        <v>7.3739767000000001</v>
      </c>
      <c r="K75" s="47">
        <v>-9.762067</v>
      </c>
      <c r="L75" s="47">
        <v>7.1388959999999999</v>
      </c>
      <c r="M75" s="47">
        <v>2.3293853000000002</v>
      </c>
      <c r="N75" s="47">
        <v>-11.065942</v>
      </c>
    </row>
    <row r="76" spans="1:14" x14ac:dyDescent="0.35">
      <c r="A76" s="2">
        <v>44043</v>
      </c>
      <c r="B76" s="40">
        <v>11.098611999999999</v>
      </c>
      <c r="C76" s="40">
        <v>-8.0361069999999994</v>
      </c>
      <c r="D76" s="40">
        <v>-1.5388965999999999</v>
      </c>
      <c r="E76" s="40">
        <v>6.4303160000000004</v>
      </c>
      <c r="F76" s="40">
        <v>1.9612908</v>
      </c>
      <c r="G76" s="40">
        <v>10.812580000000001</v>
      </c>
      <c r="H76" s="40">
        <v>-15.07954</v>
      </c>
      <c r="I76" s="40">
        <v>40.203667000000003</v>
      </c>
      <c r="J76" s="40">
        <v>12.00403</v>
      </c>
      <c r="K76" s="47">
        <v>-5.3624510000000001</v>
      </c>
      <c r="L76" s="47">
        <v>11.269247</v>
      </c>
      <c r="M76" s="47">
        <v>17.741309999999999</v>
      </c>
      <c r="N76" s="47">
        <v>-6.9082379999999999</v>
      </c>
    </row>
    <row r="77" spans="1:14" x14ac:dyDescent="0.35">
      <c r="A77" s="2">
        <v>44074</v>
      </c>
      <c r="B77" s="40">
        <v>20.848488</v>
      </c>
      <c r="C77" s="40">
        <v>-0.73797106999999995</v>
      </c>
      <c r="D77" s="40">
        <v>4.242909</v>
      </c>
      <c r="E77" s="40">
        <v>15.862475999999999</v>
      </c>
      <c r="F77" s="40">
        <v>9.7546689999999998</v>
      </c>
      <c r="G77" s="40">
        <v>13.180006000000001</v>
      </c>
      <c r="H77" s="40">
        <v>-9.3035809999999994</v>
      </c>
      <c r="I77" s="40">
        <v>58.560490000000001</v>
      </c>
      <c r="J77" s="40">
        <v>21.861912</v>
      </c>
      <c r="K77" s="47">
        <v>8.1026554000000001E-2</v>
      </c>
      <c r="L77" s="47">
        <v>16.661107999999999</v>
      </c>
      <c r="M77" s="47">
        <v>28.004943999999998</v>
      </c>
      <c r="N77" s="47">
        <v>-2.6741921999999998</v>
      </c>
    </row>
    <row r="78" spans="1:14" x14ac:dyDescent="0.35">
      <c r="A78" s="2">
        <v>44104</v>
      </c>
      <c r="B78" s="40">
        <v>14.063764000000001</v>
      </c>
      <c r="C78" s="40">
        <v>-8.2587130000000002</v>
      </c>
      <c r="D78" s="40">
        <v>-2.9222608000000001</v>
      </c>
      <c r="E78" s="40">
        <v>9.3786240000000003</v>
      </c>
      <c r="F78" s="40">
        <v>6.1873436000000002</v>
      </c>
      <c r="G78" s="40">
        <v>10.710381999999999</v>
      </c>
      <c r="H78" s="40">
        <v>-16.228366999999999</v>
      </c>
      <c r="I78" s="40">
        <v>48.253917999999999</v>
      </c>
      <c r="J78" s="40">
        <v>15.063190000000001</v>
      </c>
      <c r="K78" s="47">
        <v>-6.4948915999999999</v>
      </c>
      <c r="L78" s="47">
        <v>12.191115999999999</v>
      </c>
      <c r="M78" s="47">
        <v>21.782779999999999</v>
      </c>
      <c r="N78" s="47">
        <v>-10.023284</v>
      </c>
    </row>
    <row r="79" spans="1:14" x14ac:dyDescent="0.35">
      <c r="A79" s="2">
        <v>44134</v>
      </c>
      <c r="B79" s="40">
        <v>16.567791</v>
      </c>
      <c r="C79" s="40">
        <v>-9.9287150000000004</v>
      </c>
      <c r="D79" s="40">
        <v>-6.0238360000000002</v>
      </c>
      <c r="E79" s="40">
        <v>-7.2185040000000003</v>
      </c>
      <c r="F79" s="40">
        <v>1.2512684000000001</v>
      </c>
      <c r="G79" s="40">
        <v>2.5479913000000001</v>
      </c>
      <c r="H79" s="40">
        <v>-23.161511999999998</v>
      </c>
      <c r="I79" s="40">
        <v>37.770927</v>
      </c>
      <c r="J79" s="40">
        <v>9.475517</v>
      </c>
      <c r="K79" s="47">
        <v>-14.244759</v>
      </c>
      <c r="L79" s="47">
        <v>6.9336295000000003</v>
      </c>
      <c r="M79" s="47">
        <v>8.1682919999999992</v>
      </c>
      <c r="N79" s="47">
        <v>-19.328779999999998</v>
      </c>
    </row>
    <row r="80" spans="1:14" x14ac:dyDescent="0.35">
      <c r="A80" s="2">
        <v>44165</v>
      </c>
      <c r="B80" s="40">
        <v>22.236788000000001</v>
      </c>
      <c r="C80" s="40">
        <v>3.0126094999999999</v>
      </c>
      <c r="D80" s="40">
        <v>4.6002390000000002</v>
      </c>
      <c r="E80" s="40">
        <v>6.6990255999999997</v>
      </c>
      <c r="F80" s="40">
        <v>10.511589000000001</v>
      </c>
      <c r="G80" s="40">
        <v>11.109400000000001</v>
      </c>
      <c r="H80" s="40">
        <v>-11.355459</v>
      </c>
      <c r="I80" s="40">
        <v>47.177517000000002</v>
      </c>
      <c r="J80" s="40">
        <v>17.456351999999999</v>
      </c>
      <c r="K80" s="47">
        <v>3.5120726000000002</v>
      </c>
      <c r="L80" s="47">
        <v>20.565950000000001</v>
      </c>
      <c r="M80" s="47">
        <v>24.595272000000001</v>
      </c>
      <c r="N80" s="47">
        <v>0.58746339999999997</v>
      </c>
    </row>
    <row r="81" spans="1:14" x14ac:dyDescent="0.35">
      <c r="A81" s="2">
        <v>44196</v>
      </c>
      <c r="B81" s="40">
        <v>20.040130000000001</v>
      </c>
      <c r="C81" s="40">
        <v>8.2654949999999996</v>
      </c>
      <c r="D81" s="40">
        <v>5.5211781999999996</v>
      </c>
      <c r="E81" s="40">
        <v>10.563791</v>
      </c>
      <c r="F81" s="40">
        <v>15.40935</v>
      </c>
      <c r="G81" s="40">
        <v>11.787022</v>
      </c>
      <c r="H81" s="40">
        <v>-11.804508999999999</v>
      </c>
      <c r="I81" s="40">
        <v>48.618769999999998</v>
      </c>
      <c r="J81" s="40">
        <v>18.373214999999998</v>
      </c>
      <c r="K81" s="47">
        <v>2.8523922000000002</v>
      </c>
      <c r="L81" s="47">
        <v>23.225773</v>
      </c>
      <c r="M81" s="47">
        <v>22.261215</v>
      </c>
      <c r="N81" s="47">
        <v>1.6735792</v>
      </c>
    </row>
    <row r="82" spans="1:14" x14ac:dyDescent="0.35">
      <c r="A82" s="2">
        <v>44225</v>
      </c>
      <c r="B82" s="40">
        <v>20.325232</v>
      </c>
      <c r="C82" s="40">
        <v>6.4212800000000003</v>
      </c>
      <c r="D82" s="40">
        <v>3.9695382000000001</v>
      </c>
      <c r="E82" s="40">
        <v>10.423923</v>
      </c>
      <c r="F82" s="40">
        <v>15.311586</v>
      </c>
      <c r="G82" s="40">
        <v>8.6106890000000007</v>
      </c>
      <c r="H82" s="40">
        <v>-9.5211620000000003</v>
      </c>
      <c r="I82" s="40">
        <v>42.826842999999997</v>
      </c>
      <c r="J82" s="40">
        <v>15.459394</v>
      </c>
      <c r="K82" s="47">
        <v>2.5445937999999999</v>
      </c>
      <c r="L82" s="47">
        <v>28.461217999999999</v>
      </c>
      <c r="M82" s="47">
        <v>27.317083</v>
      </c>
      <c r="N82" s="47">
        <v>-2.4545729999999999</v>
      </c>
    </row>
    <row r="83" spans="1:14" x14ac:dyDescent="0.35">
      <c r="A83" s="2">
        <v>44253</v>
      </c>
      <c r="B83" s="40">
        <v>15.762924999999999</v>
      </c>
      <c r="C83" s="40">
        <v>18.378640000000001</v>
      </c>
      <c r="D83" s="40">
        <v>13.449930999999999</v>
      </c>
      <c r="E83" s="40">
        <v>20.497834999999998</v>
      </c>
      <c r="F83" s="40">
        <v>25.749361</v>
      </c>
      <c r="G83" s="40">
        <v>11.961019500000001</v>
      </c>
      <c r="H83" s="40">
        <v>1.8073558999999999</v>
      </c>
      <c r="I83" s="40">
        <v>46.148014000000003</v>
      </c>
      <c r="J83" s="40">
        <v>24.429953000000001</v>
      </c>
      <c r="K83" s="47">
        <v>14.276338000000001</v>
      </c>
      <c r="L83" s="47">
        <v>40.022551999999997</v>
      </c>
      <c r="M83" s="47">
        <v>35.032069999999997</v>
      </c>
      <c r="N83" s="47">
        <v>9.4925639999999998</v>
      </c>
    </row>
    <row r="84" spans="1:14" x14ac:dyDescent="0.35">
      <c r="A84" s="2">
        <v>44286</v>
      </c>
      <c r="B84" s="40">
        <v>42.262090000000001</v>
      </c>
      <c r="C84" s="40">
        <v>63.262523999999999</v>
      </c>
      <c r="D84" s="40">
        <v>59.37377</v>
      </c>
      <c r="E84" s="40">
        <v>59.285069999999997</v>
      </c>
      <c r="F84" s="40">
        <v>40.392757000000003</v>
      </c>
      <c r="G84" s="40">
        <v>27.127694999999999</v>
      </c>
      <c r="H84" s="40">
        <v>34.626365999999997</v>
      </c>
      <c r="I84" s="40">
        <v>68.656363999999996</v>
      </c>
      <c r="J84" s="40">
        <v>56.246090000000002</v>
      </c>
      <c r="K84" s="47">
        <v>50.303339999999999</v>
      </c>
      <c r="L84" s="47">
        <v>79.218760000000003</v>
      </c>
      <c r="M84" s="47">
        <v>75.985309999999998</v>
      </c>
      <c r="N84" s="47">
        <v>54.562508000000001</v>
      </c>
    </row>
    <row r="85" spans="1:14" x14ac:dyDescent="0.35">
      <c r="A85" s="2">
        <v>44316</v>
      </c>
      <c r="B85" s="40">
        <v>35.153103000000002</v>
      </c>
      <c r="C85" s="40">
        <v>55.437446999999999</v>
      </c>
      <c r="D85" s="40">
        <v>49.994205000000001</v>
      </c>
      <c r="E85" s="40">
        <v>50.21949</v>
      </c>
      <c r="F85" s="40">
        <v>31.813824</v>
      </c>
      <c r="G85" s="40">
        <v>27.622772000000001</v>
      </c>
      <c r="H85" s="40">
        <v>32.282997000000002</v>
      </c>
      <c r="I85" s="40">
        <v>55.360390000000002</v>
      </c>
      <c r="J85" s="40">
        <v>45.976520000000001</v>
      </c>
      <c r="K85" s="47">
        <v>52.801704000000001</v>
      </c>
      <c r="L85" s="47">
        <v>70.473656000000005</v>
      </c>
      <c r="M85" s="47">
        <v>70.971019999999996</v>
      </c>
      <c r="N85" s="47">
        <v>52.267220000000002</v>
      </c>
    </row>
    <row r="86" spans="1:14" x14ac:dyDescent="0.35">
      <c r="A86" s="2">
        <v>44344</v>
      </c>
      <c r="B86" s="40">
        <v>23.299658000000001</v>
      </c>
      <c r="C86" s="40">
        <v>48.008094999999997</v>
      </c>
      <c r="D86" s="40">
        <v>52.600119999999997</v>
      </c>
      <c r="E86" s="40">
        <v>42.224648000000002</v>
      </c>
      <c r="F86" s="40">
        <v>24.195969000000002</v>
      </c>
      <c r="G86" s="40">
        <v>30.047905</v>
      </c>
      <c r="H86" s="40">
        <v>33.289337000000003</v>
      </c>
      <c r="I86" s="40">
        <v>46.099426000000001</v>
      </c>
      <c r="J86" s="40">
        <v>40.877594000000002</v>
      </c>
      <c r="K86" s="47">
        <v>52.235092000000002</v>
      </c>
      <c r="L86" s="47">
        <v>64.342410000000001</v>
      </c>
      <c r="M86" s="47">
        <v>62.799239999999998</v>
      </c>
      <c r="N86" s="47">
        <v>52.548026999999998</v>
      </c>
    </row>
    <row r="87" spans="1:14" x14ac:dyDescent="0.35">
      <c r="A87" s="2">
        <v>44377</v>
      </c>
      <c r="B87" s="40">
        <v>9.3649024999999995</v>
      </c>
      <c r="C87" s="40">
        <v>37.860120000000002</v>
      </c>
      <c r="D87" s="40">
        <v>46.710681999999998</v>
      </c>
      <c r="E87" s="40">
        <v>31.431996999999999</v>
      </c>
      <c r="F87" s="40">
        <v>24.367010000000001</v>
      </c>
      <c r="G87" s="40">
        <v>27.189041</v>
      </c>
      <c r="H87" s="40">
        <v>30.564892</v>
      </c>
      <c r="I87" s="40">
        <v>43.958008</v>
      </c>
      <c r="J87" s="40">
        <v>40.901947</v>
      </c>
      <c r="K87" s="47">
        <v>40.270760000000003</v>
      </c>
      <c r="L87" s="47">
        <v>49.588225999999999</v>
      </c>
      <c r="M87" s="47">
        <v>53.961596999999998</v>
      </c>
      <c r="N87" s="47">
        <v>37.274529999999999</v>
      </c>
    </row>
    <row r="88" spans="1:14" x14ac:dyDescent="0.35">
      <c r="A88" s="2">
        <v>44407</v>
      </c>
      <c r="B88" s="40">
        <v>4.8636556000000004</v>
      </c>
      <c r="C88" s="40">
        <v>29.807459999999999</v>
      </c>
      <c r="D88" s="40">
        <v>38.592753999999999</v>
      </c>
      <c r="E88" s="40">
        <v>23.347795000000001</v>
      </c>
      <c r="F88" s="40">
        <v>21.691776000000001</v>
      </c>
      <c r="G88" s="40">
        <v>23.595858</v>
      </c>
      <c r="H88" s="40">
        <v>27.412486999999999</v>
      </c>
      <c r="I88" s="40">
        <v>40.404235999999997</v>
      </c>
      <c r="J88" s="40">
        <v>37.391089999999998</v>
      </c>
      <c r="K88" s="47">
        <v>36.081634999999999</v>
      </c>
      <c r="L88" s="47">
        <v>46.16245</v>
      </c>
      <c r="M88" s="47">
        <v>43.661667000000001</v>
      </c>
      <c r="N88" s="47">
        <v>31.162034999999999</v>
      </c>
    </row>
    <row r="89" spans="1:14" x14ac:dyDescent="0.35">
      <c r="A89" s="2">
        <v>44439</v>
      </c>
      <c r="B89" s="40">
        <v>6.8530082999999999</v>
      </c>
      <c r="C89" s="40">
        <v>27.485787999999999</v>
      </c>
      <c r="D89" s="40">
        <v>32.497523999999999</v>
      </c>
      <c r="E89" s="40">
        <v>19.573581999999998</v>
      </c>
      <c r="F89" s="40">
        <v>19.221067000000001</v>
      </c>
      <c r="G89" s="40">
        <v>24.142790000000002</v>
      </c>
      <c r="H89" s="40">
        <v>27.448809000000001</v>
      </c>
      <c r="I89" s="40">
        <v>29.579771000000001</v>
      </c>
      <c r="J89" s="40">
        <v>31.212402000000001</v>
      </c>
      <c r="K89" s="47">
        <v>34.297718000000003</v>
      </c>
      <c r="L89" s="47">
        <v>51.315559999999998</v>
      </c>
      <c r="M89" s="47">
        <v>38.393368000000002</v>
      </c>
      <c r="N89" s="47">
        <v>30.641864999999999</v>
      </c>
    </row>
    <row r="90" spans="1:14" x14ac:dyDescent="0.35">
      <c r="A90" s="2">
        <v>44469</v>
      </c>
      <c r="B90" s="40">
        <v>9.5384360000000008</v>
      </c>
      <c r="C90" s="40">
        <v>28.699280000000002</v>
      </c>
      <c r="D90" s="40">
        <v>34.916232999999998</v>
      </c>
      <c r="E90" s="40">
        <v>16.378820000000001</v>
      </c>
      <c r="F90" s="40">
        <v>20.269085</v>
      </c>
      <c r="G90" s="40">
        <v>15.568422999999999</v>
      </c>
      <c r="H90" s="40">
        <v>30.132092</v>
      </c>
      <c r="I90" s="40">
        <v>29.52609</v>
      </c>
      <c r="J90" s="40">
        <v>29.961480000000002</v>
      </c>
      <c r="K90" s="47">
        <v>35.441589999999998</v>
      </c>
      <c r="L90" s="47">
        <v>42.802855999999998</v>
      </c>
      <c r="M90" s="47">
        <v>30.948447999999999</v>
      </c>
      <c r="N90" s="47">
        <v>32.487690000000001</v>
      </c>
    </row>
    <row r="91" spans="1:14" x14ac:dyDescent="0.35">
      <c r="A91" s="2">
        <v>44498</v>
      </c>
      <c r="B91" s="40">
        <v>7.7408669999999997</v>
      </c>
      <c r="C91" s="40">
        <v>36.167408000000002</v>
      </c>
      <c r="D91" s="40">
        <v>49.941887000000001</v>
      </c>
      <c r="E91" s="40">
        <v>31.331135</v>
      </c>
      <c r="F91" s="40">
        <v>18.081356</v>
      </c>
      <c r="G91" s="40">
        <v>29.993915999999999</v>
      </c>
      <c r="H91" s="40">
        <v>41.97334</v>
      </c>
      <c r="I91" s="40">
        <v>40.444980000000001</v>
      </c>
      <c r="J91" s="40">
        <v>41.149509999999999</v>
      </c>
      <c r="K91" s="47">
        <v>49.834454000000001</v>
      </c>
      <c r="L91" s="47">
        <v>53.177570000000003</v>
      </c>
      <c r="M91" s="47">
        <v>46.175170000000001</v>
      </c>
      <c r="N91" s="47">
        <v>49.466799999999999</v>
      </c>
    </row>
    <row r="92" spans="1:14" x14ac:dyDescent="0.35">
      <c r="A92" s="2">
        <v>44530</v>
      </c>
      <c r="B92" s="40">
        <v>-9.8837430000000008</v>
      </c>
      <c r="C92" s="40">
        <v>10.085307999999999</v>
      </c>
      <c r="D92" s="40">
        <v>25.762177000000001</v>
      </c>
      <c r="E92" s="40">
        <v>7.1926236000000001</v>
      </c>
      <c r="F92" s="40">
        <v>4.1756510000000002</v>
      </c>
      <c r="G92" s="40">
        <v>18.309629999999999</v>
      </c>
      <c r="H92" s="40">
        <v>16.612434</v>
      </c>
      <c r="I92" s="40">
        <v>32.143093</v>
      </c>
      <c r="J92" s="40">
        <v>27.609455000000001</v>
      </c>
      <c r="K92" s="47">
        <v>18.194140000000001</v>
      </c>
      <c r="L92" s="47">
        <v>27.621292</v>
      </c>
      <c r="M92" s="47">
        <v>19.389354999999998</v>
      </c>
      <c r="N92" s="47">
        <v>12.418043000000001</v>
      </c>
    </row>
    <row r="93" spans="1:14" x14ac:dyDescent="0.35">
      <c r="A93" s="2">
        <v>44561</v>
      </c>
      <c r="B93" s="40">
        <v>-11.381138</v>
      </c>
      <c r="C93" s="40">
        <v>8.9503529999999998</v>
      </c>
      <c r="D93" s="40">
        <v>27.000809</v>
      </c>
      <c r="E93" s="40">
        <v>5.8400749999999997</v>
      </c>
      <c r="F93" s="40">
        <v>1.1650205</v>
      </c>
      <c r="G93" s="40">
        <v>20.193804</v>
      </c>
      <c r="H93" s="40">
        <v>18.223583000000001</v>
      </c>
      <c r="I93" s="40">
        <v>27.420341000000001</v>
      </c>
      <c r="J93" s="40">
        <v>28.745068</v>
      </c>
      <c r="K93" s="47">
        <v>21.472895000000001</v>
      </c>
      <c r="L93" s="47">
        <v>22.740162000000002</v>
      </c>
      <c r="M93" s="47">
        <v>22.863029999999998</v>
      </c>
      <c r="N93" s="47">
        <v>14.412093</v>
      </c>
    </row>
    <row r="94" spans="1:14" x14ac:dyDescent="0.35">
      <c r="A94" s="2">
        <v>44592</v>
      </c>
      <c r="B94" s="40">
        <v>-21.317858000000001</v>
      </c>
      <c r="C94" s="40">
        <v>1.0624886</v>
      </c>
      <c r="D94" s="40">
        <v>27.197528999999999</v>
      </c>
      <c r="E94" s="40">
        <v>4.3723226000000004</v>
      </c>
      <c r="F94" s="40">
        <v>-2.3624003</v>
      </c>
      <c r="G94" s="40">
        <v>14.103757999999999</v>
      </c>
      <c r="H94" s="40">
        <v>21.188759000000001</v>
      </c>
      <c r="I94" s="40">
        <v>15.971755999999999</v>
      </c>
      <c r="J94" s="40">
        <v>23.210453000000001</v>
      </c>
      <c r="K94" s="47">
        <v>21.559525000000001</v>
      </c>
      <c r="L94" s="47">
        <v>10.777806999999999</v>
      </c>
      <c r="M94" s="47">
        <v>9.4887969999999999</v>
      </c>
      <c r="N94" s="47">
        <v>17.434941999999999</v>
      </c>
    </row>
    <row r="95" spans="1:14" x14ac:dyDescent="0.35">
      <c r="A95" s="2">
        <v>44620</v>
      </c>
      <c r="B95" s="40">
        <v>-10.869854999999999</v>
      </c>
      <c r="C95" s="40">
        <v>3.1167506999999999</v>
      </c>
      <c r="D95" s="40">
        <v>21.08494</v>
      </c>
      <c r="E95" s="40">
        <v>-6.8104624999999999</v>
      </c>
      <c r="F95" s="40">
        <v>-5.8284817000000002</v>
      </c>
      <c r="G95" s="40">
        <v>12.940645</v>
      </c>
      <c r="H95" s="40">
        <v>15.223575</v>
      </c>
      <c r="I95" s="40">
        <v>10.929001</v>
      </c>
      <c r="J95" s="40">
        <v>16.338802000000001</v>
      </c>
      <c r="K95" s="47">
        <v>8.3936449999999994</v>
      </c>
      <c r="L95" s="47">
        <v>-1.6943455000000001</v>
      </c>
      <c r="M95" s="47">
        <v>-5.0035295</v>
      </c>
      <c r="N95" s="47">
        <v>3.7928223999999999</v>
      </c>
    </row>
    <row r="96" spans="1:14" x14ac:dyDescent="0.35">
      <c r="A96" s="2">
        <v>44651</v>
      </c>
      <c r="B96" s="40">
        <v>-9.4877830000000003</v>
      </c>
      <c r="C96" s="40">
        <v>12.041283</v>
      </c>
      <c r="D96" s="40">
        <v>20.355915</v>
      </c>
      <c r="E96" s="40">
        <v>-12.912153999999999</v>
      </c>
      <c r="F96" s="40">
        <v>-8.2220370000000003</v>
      </c>
      <c r="G96" s="40">
        <v>13.109339</v>
      </c>
      <c r="H96" s="40">
        <v>12.264882999999999</v>
      </c>
      <c r="I96" s="40">
        <v>14.150465000000001</v>
      </c>
      <c r="J96" s="40">
        <v>15.465248000000001</v>
      </c>
      <c r="K96" s="47">
        <v>5.406034</v>
      </c>
      <c r="L96" s="47">
        <v>-7.3261919999999998</v>
      </c>
      <c r="M96" s="47">
        <v>-7.9788265000000003</v>
      </c>
      <c r="N96" s="47">
        <v>-3.7903666</v>
      </c>
    </row>
    <row r="97" spans="1:14" x14ac:dyDescent="0.35">
      <c r="A97" s="2">
        <v>44680</v>
      </c>
      <c r="B97" s="40">
        <v>-21.676349999999999</v>
      </c>
      <c r="C97" s="40">
        <v>-1.8955945999999999</v>
      </c>
      <c r="D97" s="40">
        <v>4.8905015000000001</v>
      </c>
      <c r="E97" s="40">
        <v>-23.921309999999998</v>
      </c>
      <c r="F97" s="40">
        <v>-15.060425</v>
      </c>
      <c r="G97" s="40">
        <v>0.95244645999999999</v>
      </c>
      <c r="H97" s="40">
        <v>2.7083993</v>
      </c>
      <c r="I97" s="40">
        <v>-7.4832020000000004</v>
      </c>
      <c r="J97" s="40">
        <v>-0.61937569999999997</v>
      </c>
      <c r="K97" s="47">
        <v>-8.9852150000000002</v>
      </c>
      <c r="L97" s="47">
        <v>-20.709579999999999</v>
      </c>
      <c r="M97" s="47">
        <v>-20.257550999999999</v>
      </c>
      <c r="N97" s="47">
        <v>-12.383991</v>
      </c>
    </row>
    <row r="98" spans="1:14" x14ac:dyDescent="0.35">
      <c r="A98" s="2">
        <v>44712</v>
      </c>
      <c r="B98" s="40">
        <v>-19.618952</v>
      </c>
      <c r="C98" s="40">
        <v>-3.0068100000000002</v>
      </c>
      <c r="D98" s="40">
        <v>1.8102526999999999</v>
      </c>
      <c r="E98" s="40">
        <v>-21.646618</v>
      </c>
      <c r="F98" s="40">
        <v>-14.270651000000001</v>
      </c>
      <c r="G98" s="40">
        <v>-4.8016430000000003</v>
      </c>
      <c r="H98" s="40">
        <v>2.5718570000000001</v>
      </c>
      <c r="I98" s="40">
        <v>-7.2360515999999997</v>
      </c>
      <c r="J98" s="40">
        <v>-0.39030910000000002</v>
      </c>
      <c r="K98" s="47">
        <v>-8.5618200000000009</v>
      </c>
      <c r="L98" s="47">
        <v>-19.394928</v>
      </c>
      <c r="M98" s="47">
        <v>-20.519273999999999</v>
      </c>
      <c r="N98" s="47">
        <v>-11.677009</v>
      </c>
    </row>
    <row r="99" spans="1:14" x14ac:dyDescent="0.35">
      <c r="A99" s="2">
        <v>44742</v>
      </c>
      <c r="B99" s="40">
        <v>-24.767965</v>
      </c>
      <c r="C99" s="40">
        <v>-12.610106999999999</v>
      </c>
      <c r="D99" s="40">
        <v>-7.7803493000000001</v>
      </c>
      <c r="E99" s="40">
        <v>-30.847656000000001</v>
      </c>
      <c r="F99" s="40">
        <v>-19.965707999999999</v>
      </c>
      <c r="G99" s="40">
        <v>-12.857652</v>
      </c>
      <c r="H99" s="40">
        <v>-4.1285458000000004</v>
      </c>
      <c r="I99" s="40">
        <v>-20.482085999999999</v>
      </c>
      <c r="J99" s="40">
        <v>-10.613799</v>
      </c>
      <c r="K99" s="47">
        <v>-16.116613000000001</v>
      </c>
      <c r="L99" s="47">
        <v>-26.416474999999998</v>
      </c>
      <c r="M99" s="47">
        <v>-30.352395999999999</v>
      </c>
      <c r="N99" s="47">
        <v>-22.283035000000002</v>
      </c>
    </row>
    <row r="100" spans="1:14" x14ac:dyDescent="0.35">
      <c r="A100" s="2">
        <v>44771</v>
      </c>
      <c r="B100" s="40">
        <v>-19.619762000000001</v>
      </c>
      <c r="C100" s="40">
        <v>-6.4942956000000001</v>
      </c>
      <c r="D100" s="40">
        <v>-3.7562131999999999</v>
      </c>
      <c r="E100" s="40">
        <v>-29.562145000000001</v>
      </c>
      <c r="F100" s="40">
        <v>-15.324754</v>
      </c>
      <c r="G100" s="40">
        <v>-11.298579</v>
      </c>
      <c r="H100" s="40">
        <v>-2.1952212000000002</v>
      </c>
      <c r="I100" s="40">
        <v>-13.443970999999999</v>
      </c>
      <c r="J100" s="40">
        <v>-5.1715192999999999</v>
      </c>
      <c r="K100" s="47">
        <v>-11.986751</v>
      </c>
      <c r="L100" s="47">
        <v>-22.940372</v>
      </c>
      <c r="M100" s="47">
        <v>-26.111149000000001</v>
      </c>
      <c r="N100" s="47">
        <v>-21.229569999999999</v>
      </c>
    </row>
    <row r="101" spans="1:14" x14ac:dyDescent="0.35">
      <c r="A101" s="2">
        <v>44804</v>
      </c>
      <c r="B101" s="40">
        <v>-24.459379999999999</v>
      </c>
      <c r="C101" s="40">
        <v>-9.5596309999999995</v>
      </c>
      <c r="D101" s="40">
        <v>-7.92591</v>
      </c>
      <c r="E101" s="40">
        <v>-35.021186999999998</v>
      </c>
      <c r="F101" s="40">
        <v>-19.835121000000001</v>
      </c>
      <c r="G101" s="40">
        <v>-18.492215999999999</v>
      </c>
      <c r="H101" s="40">
        <v>-8.3572980000000001</v>
      </c>
      <c r="I101" s="40">
        <v>-20.797294999999998</v>
      </c>
      <c r="J101" s="40">
        <v>-11.238348</v>
      </c>
      <c r="K101" s="47">
        <v>-18.907654000000001</v>
      </c>
      <c r="L101" s="47">
        <v>-34.20637</v>
      </c>
      <c r="M101" s="47">
        <v>-33.367125999999999</v>
      </c>
      <c r="N101" s="47">
        <v>-26.586114999999999</v>
      </c>
    </row>
    <row r="102" spans="1:14" x14ac:dyDescent="0.35">
      <c r="A102" s="2">
        <v>44834</v>
      </c>
      <c r="B102" s="40">
        <v>-31.495863</v>
      </c>
      <c r="C102" s="40">
        <v>-15.423012</v>
      </c>
      <c r="D102" s="40">
        <v>-13.525009000000001</v>
      </c>
      <c r="E102" s="40">
        <v>-37.647525999999999</v>
      </c>
      <c r="F102" s="40">
        <v>-28.85003</v>
      </c>
      <c r="G102" s="40">
        <v>-17.960315999999999</v>
      </c>
      <c r="H102" s="40">
        <v>-14.958173</v>
      </c>
      <c r="I102" s="40">
        <v>-24.874979</v>
      </c>
      <c r="J102" s="40">
        <v>-15.506047000000001</v>
      </c>
      <c r="K102" s="47">
        <v>-23.862099000000001</v>
      </c>
      <c r="L102" s="47">
        <v>-36.88223</v>
      </c>
      <c r="M102" s="47">
        <v>-35.51764</v>
      </c>
      <c r="N102" s="47">
        <v>-28.987461</v>
      </c>
    </row>
    <row r="103" spans="1:14" x14ac:dyDescent="0.35">
      <c r="A103" s="2">
        <v>44865</v>
      </c>
      <c r="B103" s="40">
        <v>-29.828517999999999</v>
      </c>
      <c r="C103" s="40">
        <v>-16.217200999999999</v>
      </c>
      <c r="D103" s="40">
        <v>-13.969016</v>
      </c>
      <c r="E103" s="40">
        <v>-32.812263000000002</v>
      </c>
      <c r="F103" s="40">
        <v>-25.220330000000001</v>
      </c>
      <c r="G103" s="40">
        <v>-19.911797</v>
      </c>
      <c r="H103" s="40">
        <v>-12.883341</v>
      </c>
      <c r="I103" s="40">
        <v>-27.566278000000001</v>
      </c>
      <c r="J103" s="40">
        <v>-14.628708</v>
      </c>
      <c r="K103" s="47">
        <v>-20.093340000000001</v>
      </c>
      <c r="L103" s="47">
        <v>-36.080109999999998</v>
      </c>
      <c r="M103" s="47">
        <v>-34.740549999999999</v>
      </c>
      <c r="N103" s="47">
        <v>-24.813248000000002</v>
      </c>
    </row>
    <row r="104" spans="1:14" x14ac:dyDescent="0.35">
      <c r="A104" s="2">
        <v>44895</v>
      </c>
      <c r="B104" s="40">
        <v>-14.581453</v>
      </c>
      <c r="C104" s="40">
        <v>3.6247609999999999</v>
      </c>
      <c r="D104" s="40">
        <v>-3.9293528000000002</v>
      </c>
      <c r="E104" s="40">
        <v>-17.002421999999999</v>
      </c>
      <c r="F104" s="40">
        <v>-13.924265</v>
      </c>
      <c r="G104" s="40">
        <v>-11.370850000000001</v>
      </c>
      <c r="H104" s="40">
        <v>2.9738069</v>
      </c>
      <c r="I104" s="40">
        <v>-25.047134</v>
      </c>
      <c r="J104" s="40">
        <v>-9.1528419999999997</v>
      </c>
      <c r="K104" s="47">
        <v>-5.4288745</v>
      </c>
      <c r="L104" s="47">
        <v>-19.387191999999999</v>
      </c>
      <c r="M104" s="47">
        <v>-21.121103000000002</v>
      </c>
      <c r="N104" s="47">
        <v>-7.5581310000000004</v>
      </c>
    </row>
    <row r="105" spans="1:14" x14ac:dyDescent="0.35">
      <c r="A105" s="2">
        <v>44925</v>
      </c>
      <c r="B105" s="40">
        <v>-16.554832000000001</v>
      </c>
      <c r="C105" s="40">
        <v>-6.4979553000000001</v>
      </c>
      <c r="D105" s="40">
        <v>-12.537366</v>
      </c>
      <c r="E105" s="40">
        <v>-22.198813999999999</v>
      </c>
      <c r="F105" s="40">
        <v>-17.658394000000001</v>
      </c>
      <c r="G105" s="40">
        <v>-18.951529000000001</v>
      </c>
      <c r="H105" s="40">
        <v>-4.3751119999999997</v>
      </c>
      <c r="I105" s="40">
        <v>-32.999577000000002</v>
      </c>
      <c r="J105" s="40">
        <v>-18.377907</v>
      </c>
      <c r="K105" s="47">
        <v>-11.827093</v>
      </c>
      <c r="L105" s="47">
        <v>-24.333632000000001</v>
      </c>
      <c r="M105" s="47">
        <v>-27.927637000000001</v>
      </c>
      <c r="N105" s="47">
        <v>-13.940644000000001</v>
      </c>
    </row>
    <row r="106" spans="1:14" x14ac:dyDescent="0.35">
      <c r="A106" s="2">
        <v>44957</v>
      </c>
      <c r="B106" s="40">
        <v>1.9206285000000001</v>
      </c>
      <c r="C106" s="40">
        <v>14.452875000000001</v>
      </c>
      <c r="D106" s="40">
        <v>-4.1029689999999999</v>
      </c>
      <c r="E106" s="40">
        <v>-9.6634679999999999</v>
      </c>
      <c r="F106" s="40">
        <v>-7.3413789999999999</v>
      </c>
      <c r="G106" s="40">
        <v>-6.3993034</v>
      </c>
      <c r="H106" s="40">
        <v>-0.66609379999999996</v>
      </c>
      <c r="I106" s="40">
        <v>-18.252473999999999</v>
      </c>
      <c r="J106" s="40">
        <v>-8.1831875000000007</v>
      </c>
      <c r="K106" s="47">
        <v>0.78498124999999996</v>
      </c>
      <c r="L106" s="47">
        <v>-7.2888970000000004</v>
      </c>
      <c r="M106" s="47">
        <v>-14.315944999999999</v>
      </c>
      <c r="N106" s="47">
        <v>-2.3488699999999998</v>
      </c>
    </row>
    <row r="107" spans="1:14" x14ac:dyDescent="0.35">
      <c r="A107" s="2">
        <v>44985</v>
      </c>
      <c r="B107" s="40">
        <v>-8.5211935000000008</v>
      </c>
      <c r="C107" s="40">
        <v>3.7443638000000001E-2</v>
      </c>
      <c r="D107" s="40">
        <v>-8.9385805000000005</v>
      </c>
      <c r="E107" s="40">
        <v>-3.2212138000000001</v>
      </c>
      <c r="F107" s="40">
        <v>-10.052728999999999</v>
      </c>
      <c r="G107" s="40">
        <v>-7.6869670000000001</v>
      </c>
      <c r="H107" s="40">
        <v>-0.37469864000000003</v>
      </c>
      <c r="I107" s="40">
        <v>-14.729929</v>
      </c>
      <c r="J107" s="40">
        <v>-7.7693224000000001</v>
      </c>
      <c r="K107" s="47">
        <v>6.801069</v>
      </c>
      <c r="L107" s="47">
        <v>-2.8932630000000001</v>
      </c>
      <c r="M107" s="47">
        <v>-3.3576787000000001</v>
      </c>
      <c r="N107" s="47">
        <v>3.7892579999999998</v>
      </c>
    </row>
    <row r="108" spans="1:14" x14ac:dyDescent="0.35">
      <c r="A108" s="2">
        <v>45016</v>
      </c>
      <c r="B108" s="40">
        <v>-7.7160653999999997</v>
      </c>
      <c r="C108" s="40">
        <v>-8.7321279999999994</v>
      </c>
      <c r="D108" s="40">
        <v>-13.114768</v>
      </c>
      <c r="E108" s="40">
        <v>3.3809423000000001</v>
      </c>
      <c r="F108" s="40">
        <v>-3.5937606999999998</v>
      </c>
      <c r="G108" s="40">
        <v>-5.8153686999999996</v>
      </c>
      <c r="H108" s="40">
        <v>-0.88037849999999995</v>
      </c>
      <c r="I108" s="40">
        <v>-10.799913999999999</v>
      </c>
      <c r="J108" s="40">
        <v>-7.8076067</v>
      </c>
      <c r="K108" s="47">
        <v>10.544371999999999</v>
      </c>
      <c r="L108" s="47">
        <v>1.6252040999999999</v>
      </c>
      <c r="M108" s="47">
        <v>-5.3338823</v>
      </c>
      <c r="N108" s="47">
        <v>7.8078269999999996</v>
      </c>
    </row>
    <row r="109" spans="1:14" x14ac:dyDescent="0.35">
      <c r="A109" s="2">
        <v>45044</v>
      </c>
      <c r="B109" s="40">
        <v>0.11956691999999999</v>
      </c>
      <c r="C109" s="40">
        <v>-2.5924623000000002</v>
      </c>
      <c r="D109" s="40">
        <v>-5.0181509999999996</v>
      </c>
      <c r="E109" s="40">
        <v>15.233874</v>
      </c>
      <c r="F109" s="40">
        <v>3.9226770000000002</v>
      </c>
      <c r="G109" s="40">
        <v>4.4067382999999998</v>
      </c>
      <c r="H109" s="40">
        <v>8.0405119999999997</v>
      </c>
      <c r="I109" s="40">
        <v>-0.90897083000000001</v>
      </c>
      <c r="J109" s="40">
        <v>-1.1174797999999999</v>
      </c>
      <c r="K109" s="47">
        <v>22.224544999999999</v>
      </c>
      <c r="L109" s="47">
        <v>10.616099999999999</v>
      </c>
      <c r="M109" s="47">
        <v>6.2526107</v>
      </c>
      <c r="N109" s="47">
        <v>19.618880999999998</v>
      </c>
    </row>
    <row r="110" spans="1:14" x14ac:dyDescent="0.35">
      <c r="A110" s="2">
        <v>45077</v>
      </c>
      <c r="B110" s="40">
        <v>0.25509596000000001</v>
      </c>
      <c r="C110" s="40">
        <v>-6.819439</v>
      </c>
      <c r="D110" s="40">
        <v>-10.134327000000001</v>
      </c>
      <c r="E110" s="40">
        <v>5.5793759999999999</v>
      </c>
      <c r="F110" s="40">
        <v>4.2598963000000003</v>
      </c>
      <c r="G110" s="40">
        <v>3.6532043999999999</v>
      </c>
      <c r="H110" s="40">
        <v>-0.59767959999999998</v>
      </c>
      <c r="I110" s="40">
        <v>13.744998000000001</v>
      </c>
      <c r="J110" s="40">
        <v>2.9186725999999998</v>
      </c>
      <c r="K110" s="47">
        <v>11.454117</v>
      </c>
      <c r="L110" s="47">
        <v>8.0819240000000008</v>
      </c>
      <c r="M110" s="47">
        <v>-2.6411175999999998</v>
      </c>
      <c r="N110" s="47">
        <v>7.703805</v>
      </c>
    </row>
    <row r="111" spans="1:14" x14ac:dyDescent="0.35">
      <c r="A111" s="2">
        <v>45107</v>
      </c>
      <c r="B111" s="40">
        <v>11.783588</v>
      </c>
      <c r="C111" s="40">
        <v>10.292578000000001</v>
      </c>
      <c r="D111" s="40">
        <v>6.4713120000000002</v>
      </c>
      <c r="E111" s="40">
        <v>27.615653999999999</v>
      </c>
      <c r="F111" s="40">
        <v>18.257701999999998</v>
      </c>
      <c r="G111" s="40">
        <v>13.766885</v>
      </c>
      <c r="H111" s="40">
        <v>11.721849000000001</v>
      </c>
      <c r="I111" s="40">
        <v>32.745910000000002</v>
      </c>
      <c r="J111" s="40">
        <v>19.439352</v>
      </c>
      <c r="K111" s="47">
        <v>31.734324000000001</v>
      </c>
      <c r="L111" s="47">
        <v>25.603724</v>
      </c>
      <c r="M111" s="47">
        <v>16.986834999999999</v>
      </c>
      <c r="N111" s="47">
        <v>37.464260000000003</v>
      </c>
    </row>
    <row r="112" spans="1:14" x14ac:dyDescent="0.35">
      <c r="A112" s="2">
        <v>45138</v>
      </c>
      <c r="B112" s="40">
        <v>5.4997325000000004</v>
      </c>
      <c r="C112" s="40">
        <v>6.617248</v>
      </c>
      <c r="D112" s="40">
        <v>4.7199726000000002</v>
      </c>
      <c r="E112" s="40">
        <v>27.799892</v>
      </c>
      <c r="F112" s="40">
        <v>13.997638999999999</v>
      </c>
      <c r="G112" s="40">
        <v>12.166155</v>
      </c>
      <c r="H112" s="40">
        <v>11.468171999999999</v>
      </c>
      <c r="I112" s="40">
        <v>22.494816</v>
      </c>
      <c r="J112" s="40">
        <v>12.947905</v>
      </c>
      <c r="K112" s="47">
        <v>25.647867000000002</v>
      </c>
      <c r="L112" s="47">
        <v>19.477404</v>
      </c>
      <c r="M112" s="47">
        <v>5.7466625999999996</v>
      </c>
      <c r="N112" s="47">
        <v>41.388382</v>
      </c>
    </row>
    <row r="113" spans="1:14" x14ac:dyDescent="0.35">
      <c r="A113" s="2">
        <v>45169</v>
      </c>
      <c r="B113" s="40">
        <v>-1.5544236</v>
      </c>
      <c r="C113" s="40">
        <v>5.2086233999999996</v>
      </c>
      <c r="D113" s="40">
        <v>5.5271030000000003</v>
      </c>
      <c r="E113" s="40">
        <v>31.393277999999999</v>
      </c>
      <c r="F113" s="40">
        <v>16.090928999999999</v>
      </c>
      <c r="G113" s="40">
        <v>16.142797000000002</v>
      </c>
      <c r="H113" s="40">
        <v>14.526903000000001</v>
      </c>
      <c r="I113" s="40">
        <v>27.206707000000002</v>
      </c>
      <c r="J113" s="40">
        <v>15.838718</v>
      </c>
      <c r="K113" s="47">
        <v>30.367125000000001</v>
      </c>
      <c r="L113" s="47">
        <v>22.507822000000001</v>
      </c>
      <c r="M113" s="47">
        <v>11.404551</v>
      </c>
      <c r="N113" s="47">
        <v>44.261775999999998</v>
      </c>
    </row>
    <row r="114" spans="1:14" x14ac:dyDescent="0.35">
      <c r="A114" s="2">
        <v>45198</v>
      </c>
      <c r="B114" s="40">
        <v>6.8717240000000004</v>
      </c>
      <c r="C114" s="40">
        <v>11.623466499999999</v>
      </c>
      <c r="D114" s="40">
        <v>10.333061000000001</v>
      </c>
      <c r="E114" s="40">
        <v>36.277664000000001</v>
      </c>
      <c r="F114" s="40">
        <v>23.529387</v>
      </c>
      <c r="G114" s="40">
        <v>18.447541999999999</v>
      </c>
      <c r="H114" s="40">
        <v>25.046766000000002</v>
      </c>
      <c r="I114" s="40">
        <v>32.677100000000003</v>
      </c>
      <c r="J114" s="40">
        <v>19.705069000000002</v>
      </c>
      <c r="K114" s="47">
        <v>36.307969999999997</v>
      </c>
      <c r="L114" s="47">
        <v>26.503312999999999</v>
      </c>
      <c r="M114" s="47">
        <v>23.174189999999999</v>
      </c>
      <c r="N114" s="47">
        <v>47.208331999999999</v>
      </c>
    </row>
    <row r="115" spans="1:14" x14ac:dyDescent="0.35">
      <c r="A115" s="2">
        <v>45230</v>
      </c>
      <c r="B115" s="40">
        <v>-3.0939161999999998</v>
      </c>
      <c r="C115" s="40">
        <v>3.8877009999999999</v>
      </c>
      <c r="D115" s="40">
        <v>-1.5174985000000001</v>
      </c>
      <c r="E115" s="40">
        <v>18.607271000000001</v>
      </c>
      <c r="F115" s="40">
        <v>19.040215</v>
      </c>
      <c r="G115" s="40">
        <v>9.5910910000000005</v>
      </c>
      <c r="H115" s="40">
        <v>12.545311</v>
      </c>
      <c r="I115" s="40">
        <v>27.094387000000001</v>
      </c>
      <c r="J115" s="40">
        <v>10.0050335</v>
      </c>
      <c r="K115" s="47">
        <v>19.054269999999999</v>
      </c>
      <c r="L115" s="47">
        <v>16.350365</v>
      </c>
      <c r="M115" s="47">
        <v>7.3993799999999998</v>
      </c>
      <c r="N115" s="47">
        <v>29.129159999999999</v>
      </c>
    </row>
    <row r="116" spans="1:14" x14ac:dyDescent="0.35">
      <c r="A116" s="2">
        <v>45260</v>
      </c>
      <c r="B116" s="40">
        <v>-3.2643616</v>
      </c>
      <c r="C116" s="40">
        <v>-1.6450107</v>
      </c>
      <c r="D116" s="40">
        <v>1.8735051</v>
      </c>
      <c r="E116" s="40">
        <v>15.005565000000001</v>
      </c>
      <c r="F116" s="40">
        <v>13.247574</v>
      </c>
      <c r="G116" s="40">
        <v>8.2761759999999995</v>
      </c>
      <c r="H116" s="40">
        <v>6.2900423999999999</v>
      </c>
      <c r="I116" s="40">
        <v>33.446036999999997</v>
      </c>
      <c r="J116" s="40">
        <v>13.730848</v>
      </c>
      <c r="K116" s="47">
        <v>14.116251</v>
      </c>
      <c r="L116" s="47">
        <v>10.101164000000001</v>
      </c>
      <c r="M116" s="47">
        <v>8.139348</v>
      </c>
      <c r="N116" s="47">
        <v>23.282982000000001</v>
      </c>
    </row>
    <row r="117" spans="1:14" x14ac:dyDescent="0.35">
      <c r="A117" s="2">
        <v>45289</v>
      </c>
      <c r="B117" s="40">
        <v>1.6126632999999999</v>
      </c>
      <c r="C117" s="40">
        <v>13.248480000000001</v>
      </c>
      <c r="D117" s="40">
        <v>13.87651</v>
      </c>
      <c r="E117" s="40">
        <v>21.783829000000001</v>
      </c>
      <c r="F117" s="40">
        <v>19.378971</v>
      </c>
      <c r="G117" s="40">
        <v>15.962481500000001</v>
      </c>
      <c r="H117" s="40">
        <v>11.871648</v>
      </c>
      <c r="I117" s="40">
        <v>54.759644000000002</v>
      </c>
      <c r="J117" s="40">
        <v>25.857161999999999</v>
      </c>
      <c r="K117" s="47">
        <v>20.348692</v>
      </c>
      <c r="L117" s="47">
        <v>20.292355000000001</v>
      </c>
      <c r="M117" s="47">
        <v>23.231815000000001</v>
      </c>
      <c r="N117" s="47">
        <v>28.84742</v>
      </c>
    </row>
    <row r="118" spans="1:14" x14ac:dyDescent="0.35">
      <c r="A118" s="2">
        <v>45322</v>
      </c>
      <c r="B118" s="40">
        <v>-8.9134399999999996</v>
      </c>
      <c r="C118" s="40">
        <v>-1.1974692</v>
      </c>
      <c r="D118" s="40">
        <v>3.8754819999999999</v>
      </c>
      <c r="E118" s="40">
        <v>6.5256356999999996</v>
      </c>
      <c r="F118" s="40">
        <v>15.250121999999999</v>
      </c>
      <c r="G118" s="40">
        <v>7.3515414999999997</v>
      </c>
      <c r="H118" s="40">
        <v>3.8411498000000002</v>
      </c>
      <c r="I118" s="40">
        <v>42.5032</v>
      </c>
      <c r="J118" s="40">
        <v>20.614194999999999</v>
      </c>
      <c r="K118" s="47">
        <v>7.9407810000000003</v>
      </c>
      <c r="L118" s="47">
        <v>9.947025</v>
      </c>
      <c r="M118" s="47">
        <v>9.4766379999999995</v>
      </c>
      <c r="N118" s="47">
        <v>14.782405000000001</v>
      </c>
    </row>
    <row r="119" spans="1:14" x14ac:dyDescent="0.35">
      <c r="A119" s="2">
        <v>45351</v>
      </c>
      <c r="B119" s="40">
        <v>-5.1327230000000004</v>
      </c>
      <c r="C119" s="40">
        <v>8.7162609999999994</v>
      </c>
      <c r="D119" s="40">
        <v>10.568655</v>
      </c>
      <c r="E119" s="40">
        <v>15.364552</v>
      </c>
      <c r="F119" s="40">
        <v>26.187156999999999</v>
      </c>
      <c r="G119" s="40">
        <v>10.378337</v>
      </c>
      <c r="H119" s="40">
        <v>5.8078884999999998</v>
      </c>
      <c r="I119" s="40">
        <v>50.573900000000002</v>
      </c>
      <c r="J119" s="40">
        <v>30.181789999999999</v>
      </c>
      <c r="K119" s="47">
        <v>13.298714</v>
      </c>
      <c r="L119" s="47">
        <v>19.213438</v>
      </c>
      <c r="M119" s="47">
        <v>14.712393</v>
      </c>
      <c r="N119" s="47">
        <v>23.174942000000001</v>
      </c>
    </row>
    <row r="120" spans="1:14" x14ac:dyDescent="0.35">
      <c r="A120" s="2">
        <v>45379</v>
      </c>
      <c r="B120" s="40">
        <v>-4.6717643999999998</v>
      </c>
      <c r="C120" s="40">
        <v>14.737356</v>
      </c>
      <c r="D120" s="40">
        <v>18.091916999999999</v>
      </c>
      <c r="E120" s="40">
        <v>18.630993</v>
      </c>
      <c r="F120" s="40">
        <v>26.746368</v>
      </c>
      <c r="G120" s="40">
        <v>10.912919</v>
      </c>
      <c r="H120" s="40">
        <v>13.225675000000001</v>
      </c>
      <c r="I120" s="40">
        <v>45.534480000000002</v>
      </c>
      <c r="J120" s="40">
        <v>34.148049999999998</v>
      </c>
      <c r="K120" s="47">
        <v>16.743874000000002</v>
      </c>
      <c r="L120" s="47">
        <v>24.658382</v>
      </c>
      <c r="M120" s="47">
        <v>21.216059000000001</v>
      </c>
      <c r="N120" s="47">
        <v>31.894515999999999</v>
      </c>
    </row>
    <row r="121" spans="1:14" x14ac:dyDescent="0.35">
      <c r="A121" s="2">
        <v>45412</v>
      </c>
      <c r="B121" s="40">
        <v>-8.5044679999999993</v>
      </c>
      <c r="C121" s="40">
        <v>4.8882484000000002</v>
      </c>
      <c r="D121" s="40">
        <v>7.392633</v>
      </c>
      <c r="E121" s="40">
        <v>6.4196944</v>
      </c>
      <c r="F121" s="40">
        <v>16.756905</v>
      </c>
      <c r="G121" s="40">
        <v>-3.5593509999999999</v>
      </c>
      <c r="H121" s="40">
        <v>6.6561459999999997</v>
      </c>
      <c r="I121" s="40">
        <v>32.507491999999999</v>
      </c>
      <c r="J121" s="40">
        <v>22.446680000000001</v>
      </c>
      <c r="K121" s="47">
        <v>4.1237472999999998</v>
      </c>
      <c r="L121" s="47">
        <v>15.003895999999999</v>
      </c>
      <c r="M121" s="47">
        <v>5.7189344999999996</v>
      </c>
      <c r="N121" s="47">
        <v>19.770251999999999</v>
      </c>
    </row>
    <row r="122" spans="1:14" x14ac:dyDescent="0.35">
      <c r="A122" s="2">
        <v>45443</v>
      </c>
      <c r="B122">
        <v>0.87560415000000003</v>
      </c>
      <c r="C122">
        <v>17.20804</v>
      </c>
      <c r="D122">
        <v>17.781807000000001</v>
      </c>
      <c r="E122">
        <v>17.734300000000001</v>
      </c>
      <c r="F122">
        <v>18.69886</v>
      </c>
      <c r="G122">
        <v>8.6311099999999996</v>
      </c>
      <c r="H122">
        <v>18.739557000000001</v>
      </c>
      <c r="I122">
        <v>30.380201</v>
      </c>
      <c r="J122">
        <v>28.048897</v>
      </c>
      <c r="K122" s="47">
        <v>15.972780999999999</v>
      </c>
      <c r="L122" s="47">
        <v>24.561859999999999</v>
      </c>
      <c r="M122" s="47">
        <v>25.117730999999999</v>
      </c>
      <c r="N122" s="47">
        <v>35.730063999999999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-31.495863</v>
      </c>
      <c r="C126" s="40" cm="1">
        <f t="array" ref="C126">MIN(_xlfn._xlws.FILTER(C2:C122, ISNUMBER(C2:C122)))</f>
        <v>-27.383386999999999</v>
      </c>
      <c r="D126" s="40" cm="1">
        <f t="array" ref="D126">MIN(_xlfn._xlws.FILTER(D2:D122, ISNUMBER(D2:D122)))</f>
        <v>-24.544841999999999</v>
      </c>
      <c r="E126" s="40" cm="1">
        <f t="array" ref="E126">MIN(_xlfn._xlws.FILTER(E2:E122, ISNUMBER(E2:E122)))</f>
        <v>-37.647525999999999</v>
      </c>
      <c r="F126" s="40" cm="1">
        <f t="array" ref="F126">MIN(_xlfn._xlws.FILTER(F2:F122, ISNUMBER(F2:F122)))</f>
        <v>-28.85003</v>
      </c>
      <c r="G126" s="40" cm="1">
        <f t="array" ref="G126">MIN(_xlfn._xlws.FILTER(G2:G122, ISNUMBER(G2:G122)))</f>
        <v>-19.911797</v>
      </c>
      <c r="H126" s="40" cm="1">
        <f t="array" ref="H126">MIN(_xlfn._xlws.FILTER(H2:H122, ISNUMBER(H2:H122)))</f>
        <v>-24.502748</v>
      </c>
      <c r="I126" s="40" cm="1">
        <f t="array" ref="I126">MIN(_xlfn._xlws.FILTER(I2:I122, ISNUMBER(I2:I122)))</f>
        <v>-32.999577000000002</v>
      </c>
      <c r="J126" s="40" cm="1">
        <f t="array" ref="J126">MIN(_xlfn._xlws.FILTER(J2:J122, ISNUMBER(J2:J122)))</f>
        <v>-18.377907</v>
      </c>
      <c r="K126" s="40" cm="1">
        <f t="array" ref="K126">MIN(_xlfn._xlws.FILTER(K2:K122, ISNUMBER(K2:K122)))</f>
        <v>-23.862099000000001</v>
      </c>
      <c r="L126" s="40" cm="1">
        <f t="array" ref="L126">MIN(_xlfn._xlws.FILTER(L2:L122, ISNUMBER(L2:L122)))</f>
        <v>-36.88223</v>
      </c>
      <c r="M126" s="40" cm="1">
        <f t="array" ref="M126">MIN(_xlfn._xlws.FILTER(M2:M122, ISNUMBER(M2:M122)))</f>
        <v>-35.51764</v>
      </c>
      <c r="N126" s="40" cm="1">
        <f t="array" ref="N126">MIN(_xlfn._xlws.FILTER(N2:N122, ISNUMBER(N2:N122)))</f>
        <v>-28.987461</v>
      </c>
    </row>
    <row r="127" spans="1:14" x14ac:dyDescent="0.35">
      <c r="A127" s="2" t="s">
        <v>393</v>
      </c>
      <c r="B127" s="42" cm="1">
        <f t="array" ref="B127">MAX(_xlfn._xlws.FILTER(B1:B122, ISNUMBER(B1:B122)))</f>
        <v>51.206062000000003</v>
      </c>
      <c r="C127" s="42" cm="1">
        <f t="array" ref="C127">MAX(_xlfn._xlws.FILTER(C1:C122, ISNUMBER(C1:C122)))</f>
        <v>63.262523999999999</v>
      </c>
      <c r="D127" s="42" cm="1">
        <f t="array" ref="D127">MAX(_xlfn._xlws.FILTER(D1:D122, ISNUMBER(D1:D122)))</f>
        <v>59.37377</v>
      </c>
      <c r="E127" s="42" cm="1">
        <f t="array" ref="E127">MAX(_xlfn._xlws.FILTER(E1:E122, ISNUMBER(E1:E122)))</f>
        <v>59.285069999999997</v>
      </c>
      <c r="F127" s="42" cm="1">
        <f t="array" ref="F127">MAX(_xlfn._xlws.FILTER(F1:F122, ISNUMBER(F1:F122)))</f>
        <v>40.392757000000003</v>
      </c>
      <c r="G127" s="42" cm="1">
        <f t="array" ref="G127">MAX(_xlfn._xlws.FILTER(G1:G122, ISNUMBER(G1:G122)))</f>
        <v>31.583559000000001</v>
      </c>
      <c r="H127" s="42" cm="1">
        <f t="array" ref="H127">MAX(_xlfn._xlws.FILTER(H1:H122, ISNUMBER(H1:H122)))</f>
        <v>41.97334</v>
      </c>
      <c r="I127" s="42" cm="1">
        <f t="array" ref="I127">MAX(_xlfn._xlws.FILTER(I1:I122, ISNUMBER(I1:I122)))</f>
        <v>68.656363999999996</v>
      </c>
      <c r="J127" s="42" cm="1">
        <f t="array" ref="J127">MAX(_xlfn._xlws.FILTER(J1:J122, ISNUMBER(J1:J122)))</f>
        <v>56.246090000000002</v>
      </c>
      <c r="K127" s="42" cm="1">
        <f t="array" ref="K127">MAX(_xlfn._xlws.FILTER(K1:K122, ISNUMBER(K1:K122)))</f>
        <v>52.801704000000001</v>
      </c>
      <c r="L127" s="42" cm="1">
        <f t="array" ref="L127">MAX(_xlfn._xlws.FILTER(L1:L122, ISNUMBER(L1:L122)))</f>
        <v>79.218760000000003</v>
      </c>
      <c r="M127" s="42" cm="1">
        <f t="array" ref="M127">MAX(_xlfn._xlws.FILTER(M1:M122, ISNUMBER(M1:M122)))</f>
        <v>75.985309999999998</v>
      </c>
      <c r="N127" s="42" cm="1">
        <f t="array" ref="N127">MAX(_xlfn._xlws.FILTER(N1:N122, ISNUMBER(N1:N122)))</f>
        <v>54.562508000000001</v>
      </c>
    </row>
    <row r="128" spans="1:14" x14ac:dyDescent="0.35">
      <c r="A128" s="2" t="s">
        <v>394</v>
      </c>
      <c r="B128" s="40" cm="1">
        <f t="array" ref="B128">MEDIAN(_xlfn._xlws.FILTER(B1:B122, ISNUMBER(B1:B122)))</f>
        <v>7.6375127000000003</v>
      </c>
      <c r="C128" s="40" cm="1">
        <f t="array" ref="C128">MEDIAN(_xlfn._xlws.FILTER(C1:C122, ISNUMBER(C1:C122)))</f>
        <v>3.6247609999999999</v>
      </c>
      <c r="D128" s="40" cm="1">
        <f t="array" ref="D128">MEDIAN(_xlfn._xlws.FILTER(D1:D122, ISNUMBER(D1:D122)))</f>
        <v>4.4224620000000003</v>
      </c>
      <c r="E128" s="40" cm="1">
        <f t="array" ref="E128">MEDIAN(_xlfn._xlws.FILTER(E1:E122, ISNUMBER(E1:E122)))</f>
        <v>2.7588724999999998</v>
      </c>
      <c r="F128" s="40" cm="1">
        <f t="array" ref="F128">MEDIAN(_xlfn._xlws.FILTER(F1:F122, ISNUMBER(F1:F122)))</f>
        <v>7.9221605999999998</v>
      </c>
      <c r="G128" s="40" cm="1">
        <f t="array" ref="G128">MEDIAN(_xlfn._xlws.FILTER(G1:G122, ISNUMBER(G1:G122)))</f>
        <v>8.2570440000000005</v>
      </c>
      <c r="H128" s="40" cm="1">
        <f t="array" ref="H128">MEDIAN(_xlfn._xlws.FILTER(H1:H122, ISNUMBER(H1:H122)))</f>
        <v>1.0065198</v>
      </c>
      <c r="I128" s="40" cm="1">
        <f t="array" ref="I128">MEDIAN(_xlfn._xlws.FILTER(I1:I122, ISNUMBER(I1:I122)))</f>
        <v>22.133815999999999</v>
      </c>
      <c r="J128" s="40" cm="1">
        <f t="array" ref="J128">MEDIAN(_xlfn._xlws.FILTER(J1:J122, ISNUMBER(J1:J122)))</f>
        <v>13.848591000000001</v>
      </c>
      <c r="K128" s="40" cm="1">
        <f t="array" ref="K128">MEDIAN(_xlfn._xlws.FILTER(K1:K122, ISNUMBER(K1:K122)))</f>
        <v>4.1237472999999998</v>
      </c>
      <c r="L128" s="40" cm="1">
        <f t="array" ref="L128">MEDIAN(_xlfn._xlws.FILTER(L1:L122, ISNUMBER(L1:L122)))</f>
        <v>7.6249957000000004</v>
      </c>
      <c r="M128" s="40" cm="1">
        <f t="array" ref="M128">MEDIAN(_xlfn._xlws.FILTER(M1:M122, ISNUMBER(M1:M122)))</f>
        <v>2.4837375000000002</v>
      </c>
      <c r="N128" s="40" cm="1">
        <f t="array" ref="N128">MEDIAN(_xlfn._xlws.FILTER(N1:N122, ISNUMBER(N1:N122)))</f>
        <v>2.5537372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16</v>
      </c>
      <c r="C130">
        <f>COUNTIF(C2:C122, "&lt;"&amp;Assumption!$F$50)</f>
        <v>19</v>
      </c>
      <c r="D130">
        <f>COUNTIF(D2:D122, "&lt;"&amp;Assumption!$F$50)</f>
        <v>19</v>
      </c>
      <c r="E130">
        <f>COUNTIF(E2:E122, "&lt;"&amp;Assumption!$F$50)</f>
        <v>26</v>
      </c>
      <c r="F130">
        <f>COUNTIF(F2:F122, "&lt;"&amp;Assumption!$F$50)</f>
        <v>15</v>
      </c>
      <c r="G130">
        <f>COUNTIF(G2:G122, "&lt;"&amp;Assumption!$F$50)</f>
        <v>9</v>
      </c>
      <c r="H130">
        <f>COUNTIF(H2:H122, "&lt;"&amp;Assumption!$F$50)</f>
        <v>22</v>
      </c>
      <c r="I130">
        <f>COUNTIF(I2:I122, "&lt;"&amp;Assumption!$F$50)</f>
        <v>10</v>
      </c>
      <c r="J130">
        <f>COUNTIF(J2:J122, "&lt;"&amp;Assumption!$F$50)</f>
        <v>5</v>
      </c>
      <c r="K130">
        <f>COUNTIF(K2:K122, "&lt;"&amp;Assumption!$F$50)</f>
        <v>13</v>
      </c>
      <c r="L130">
        <f>COUNTIF(L2:L122, "&lt;"&amp;Assumption!$F$50)</f>
        <v>13</v>
      </c>
      <c r="M130">
        <f>COUNTIF(M2:M122, "&lt;"&amp;Assumption!$F$50)</f>
        <v>19</v>
      </c>
      <c r="N130">
        <f>COUNTIF(N2:N122, "&lt;"&amp;Assumption!$F$50)</f>
        <v>38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0.13223140495867769</v>
      </c>
      <c r="C133" s="9">
        <f t="shared" si="2"/>
        <v>0.15702479338842976</v>
      </c>
      <c r="D133" s="9">
        <f t="shared" si="2"/>
        <v>0.15702479338842976</v>
      </c>
      <c r="E133" s="9">
        <f t="shared" si="2"/>
        <v>0.21487603305785125</v>
      </c>
      <c r="F133" s="9">
        <f t="shared" si="2"/>
        <v>0.12396694214876033</v>
      </c>
      <c r="G133" s="9">
        <f t="shared" si="2"/>
        <v>7.43801652892562E-2</v>
      </c>
      <c r="H133" s="9">
        <f t="shared" si="2"/>
        <v>0.18181818181818182</v>
      </c>
      <c r="I133" s="9">
        <f t="shared" si="2"/>
        <v>8.2644628099173556E-2</v>
      </c>
      <c r="J133" s="9">
        <f t="shared" si="2"/>
        <v>4.1322314049586778E-2</v>
      </c>
      <c r="K133" s="9">
        <f t="shared" ref="K133:N133" si="3">K130/K131</f>
        <v>0.10743801652892562</v>
      </c>
      <c r="L133" s="9">
        <f t="shared" si="3"/>
        <v>0.10743801652892562</v>
      </c>
      <c r="M133" s="9">
        <f t="shared" si="3"/>
        <v>0.15702479338842976</v>
      </c>
      <c r="N133" s="9">
        <f t="shared" si="3"/>
        <v>0.31404958677685951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0.23699999999999999</v>
      </c>
      <c r="C136" s="40" cm="1">
        <f t="array" ref="C136">_xlfn.PERCENTRANK.EXC(_xlfn._xlws.FILTER(C2:C122, ISNUMBER(C2:C122)),C120)</f>
        <v>0.76200000000000001</v>
      </c>
      <c r="D136" s="40" cm="1">
        <f t="array" ref="D136">_xlfn.PERCENTRANK.EXC(_xlfn._xlws.FILTER(D2:D122, ISNUMBER(D2:D122)),D120)</f>
        <v>0.82699999999999996</v>
      </c>
      <c r="E136" s="40" cm="1">
        <f t="array" ref="E136">_xlfn.PERCENTRANK.EXC(_xlfn._xlws.FILTER(E2:E122, ISNUMBER(E2:E122)),E120)</f>
        <v>0.77</v>
      </c>
      <c r="F136" s="40" cm="1">
        <f t="array" ref="F136">_xlfn.PERCENTRANK.EXC(_xlfn._xlws.FILTER(F2:F122, ISNUMBER(F2:F122)),F120)</f>
        <v>0.97499999999999998</v>
      </c>
      <c r="G136" s="40" cm="1">
        <f t="array" ref="G136">_xlfn.PERCENTRANK.EXC(_xlfn._xlws.FILTER(G2:G122, ISNUMBER(G2:G122)),G120)</f>
        <v>0.63100000000000001</v>
      </c>
      <c r="H136" s="40" cm="1">
        <f t="array" ref="H136">_xlfn.PERCENTRANK.EXC(_xlfn._xlws.FILTER(H2:H122, ISNUMBER(H2:H122)),H120)</f>
        <v>0.77</v>
      </c>
      <c r="I136" s="40" cm="1">
        <f t="array" ref="I136">_xlfn.PERCENTRANK.EXC(_xlfn._xlws.FILTER(I2:I122, ISNUMBER(I2:I122)),I120)</f>
        <v>0.90900000000000003</v>
      </c>
      <c r="J136" s="40" cm="1">
        <f t="array" ref="J136">_xlfn.PERCENTRANK.EXC(_xlfn._xlws.FILTER(J2:J122, ISNUMBER(J2:J122)),J120)</f>
        <v>0.94199999999999995</v>
      </c>
      <c r="K136" s="40" cm="1">
        <f t="array" ref="K136">_xlfn.PERCENTRANK.EXC(_xlfn._xlws.FILTER(K2:K122, ISNUMBER(K2:K122)),K120)</f>
        <v>0.72099999999999997</v>
      </c>
      <c r="L136" s="40" cm="1">
        <f t="array" ref="L136">_xlfn.PERCENTRANK.EXC(_xlfn._xlws.FILTER(L2:L122, ISNUMBER(L2:L122)),L120)</f>
        <v>0.79500000000000004</v>
      </c>
      <c r="M136" s="40" cm="1">
        <f t="array" ref="M136">_xlfn.PERCENTRANK.EXC(_xlfn._xlws.FILTER(M2:M122, ISNUMBER(M2:M122)),M120)</f>
        <v>0.76200000000000001</v>
      </c>
      <c r="N136" s="40" cm="1">
        <f t="array" ref="N136">_xlfn.PERCENTRANK.EXC(_xlfn._xlws.FILTER(N2:N122, ISNUMBER(N2:N122)),N120)</f>
        <v>0.82699999999999996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0.18</v>
      </c>
      <c r="C137" s="40" cm="1">
        <f t="array" ref="C137">_xlfn.PERCENTRANK.EXC(_xlfn._xlws.FILTER(C2:C122, ISNUMBER(C2:C122)),C121)</f>
        <v>0.54</v>
      </c>
      <c r="D137" s="40" cm="1">
        <f t="array" ref="D137">_xlfn.PERCENTRANK.EXC(_xlfn._xlws.FILTER(D2:D122, ISNUMBER(D2:D122)),D121)</f>
        <v>0.60599999999999998</v>
      </c>
      <c r="E137" s="40" cm="1">
        <f t="array" ref="E137">_xlfn.PERCENTRANK.EXC(_xlfn._xlws.FILTER(E2:E122, ISNUMBER(E2:E122)),E121)</f>
        <v>0.55700000000000005</v>
      </c>
      <c r="F137" s="40" cm="1">
        <f t="array" ref="F137">_xlfn.PERCENTRANK.EXC(_xlfn._xlws.FILTER(F2:F122, ISNUMBER(F2:F122)),F121)</f>
        <v>0.77</v>
      </c>
      <c r="G137" s="40" cm="1">
        <f t="array" ref="G137">_xlfn.PERCENTRANK.EXC(_xlfn._xlws.FILTER(G2:G122, ISNUMBER(G2:G122)),G121)</f>
        <v>0.21299999999999999</v>
      </c>
      <c r="H137" s="40" cm="1">
        <f t="array" ref="H137">_xlfn.PERCENTRANK.EXC(_xlfn._xlws.FILTER(H2:H122, ISNUMBER(H2:H122)),H121)</f>
        <v>0.60599999999999998</v>
      </c>
      <c r="I137" s="40" cm="1">
        <f t="array" ref="I137">_xlfn.PERCENTRANK.EXC(_xlfn._xlws.FILTER(I2:I122, ISNUMBER(I2:I122)),I121)</f>
        <v>0.76200000000000001</v>
      </c>
      <c r="J137" s="40" cm="1">
        <f t="array" ref="J137">_xlfn.PERCENTRANK.EXC(_xlfn._xlws.FILTER(J2:J122, ISNUMBER(J2:J122)),J121)</f>
        <v>0.80300000000000005</v>
      </c>
      <c r="K137" s="40" cm="1">
        <f t="array" ref="K137">_xlfn.PERCENTRANK.EXC(_xlfn._xlws.FILTER(K2:K122, ISNUMBER(K2:K122)),K121)</f>
        <v>0.5</v>
      </c>
      <c r="L137" s="40" cm="1">
        <f t="array" ref="L137">_xlfn.PERCENTRANK.EXC(_xlfn._xlws.FILTER(L2:L122, ISNUMBER(L2:L122)),L121)</f>
        <v>0.63100000000000001</v>
      </c>
      <c r="M137" s="40" cm="1">
        <f t="array" ref="M137">_xlfn.PERCENTRANK.EXC(_xlfn._xlws.FILTER(M2:M122, ISNUMBER(M2:M122)),M121)</f>
        <v>0.53200000000000003</v>
      </c>
      <c r="N137" s="40" cm="1">
        <f t="array" ref="N137">_xlfn.PERCENTRANK.EXC(_xlfn._xlws.FILTER(N2:N122, ISNUMBER(N2:N122)),N121)</f>
        <v>0.70399999999999996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0.33600000000000002</v>
      </c>
      <c r="C138" s="40" cm="1">
        <f t="array" ref="C138">_xlfn.PERCENTRANK.EXC(_xlfn._xlws.FILTER(C2:C122, ISNUMBER(C2:C122)),C122)</f>
        <v>0.81899999999999995</v>
      </c>
      <c r="D138" s="40" cm="1">
        <f t="array" ref="D138">_xlfn.PERCENTRANK.EXC(_xlfn._xlws.FILTER(D2:D122, ISNUMBER(D2:D122)),D122)</f>
        <v>0.81899999999999995</v>
      </c>
      <c r="E138" s="40" cm="1">
        <f t="array" ref="E138">_xlfn.PERCENTRANK.EXC(_xlfn._xlws.FILTER(E2:E122, ISNUMBER(E2:E122)),E122)</f>
        <v>0.754</v>
      </c>
      <c r="F138" s="40" cm="1">
        <f t="array" ref="F138">_xlfn.PERCENTRANK.EXC(_xlfn._xlws.FILTER(F2:F122, ISNUMBER(F2:F122)),F122)</f>
        <v>0.83599999999999997</v>
      </c>
      <c r="G138" s="40" cm="1">
        <f t="array" ref="G138">_xlfn.PERCENTRANK.EXC(_xlfn._xlws.FILTER(G2:G122, ISNUMBER(G2:G122)),G122)</f>
        <v>0.52400000000000002</v>
      </c>
      <c r="H138" s="40" cm="1">
        <f t="array" ref="H138">_xlfn.PERCENTRANK.EXC(_xlfn._xlws.FILTER(H2:H122, ISNUMBER(H2:H122)),H122)</f>
        <v>0.86</v>
      </c>
      <c r="I138" s="40" cm="1">
        <f t="array" ref="I138">_xlfn.PERCENTRANK.EXC(_xlfn._xlws.FILTER(I2:I122, ISNUMBER(I2:I122)),I122)</f>
        <v>0.72099999999999997</v>
      </c>
      <c r="J138" s="40" cm="1">
        <f t="array" ref="J138">_xlfn.PERCENTRANK.EXC(_xlfn._xlws.FILTER(J2:J122, ISNUMBER(J2:J122)),J122)</f>
        <v>0.89300000000000002</v>
      </c>
      <c r="K138" s="40" cm="1">
        <f t="array" ref="K138">_xlfn.PERCENTRANK.EXC(_xlfn._xlws.FILTER(K2:K122, ISNUMBER(K2:K122)),K122)</f>
        <v>0.70399999999999996</v>
      </c>
      <c r="L138" s="40" cm="1">
        <f t="array" ref="L138">_xlfn.PERCENTRANK.EXC(_xlfn._xlws.FILTER(L2:L122, ISNUMBER(L2:L122)),L122)</f>
        <v>0.78600000000000003</v>
      </c>
      <c r="M138" s="40" cm="1">
        <f t="array" ref="M138">_xlfn.PERCENTRANK.EXC(_xlfn._xlws.FILTER(M2:M122, ISNUMBER(M2:M122)),M122)</f>
        <v>0.86799999999999999</v>
      </c>
      <c r="N138" s="40" cm="1">
        <f t="array" ref="N138">_xlfn.PERCENTRANK.EXC(_xlfn._xlws.FILTER(N2:N122, ISNUMBER(N2:N122)),N122)</f>
        <v>0.85199999999999998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0.251</v>
      </c>
      <c r="C140" s="40">
        <f t="shared" si="4"/>
        <v>0.70699999999999996</v>
      </c>
      <c r="D140" s="40">
        <f t="shared" si="4"/>
        <v>0.75066666666666659</v>
      </c>
      <c r="E140" s="40">
        <f t="shared" si="4"/>
        <v>0.69366666666666665</v>
      </c>
      <c r="F140" s="40">
        <f t="shared" si="4"/>
        <v>0.86033333333333328</v>
      </c>
      <c r="G140" s="40">
        <f t="shared" si="4"/>
        <v>0.45599999999999996</v>
      </c>
      <c r="H140" s="40">
        <f t="shared" si="4"/>
        <v>0.74533333333333329</v>
      </c>
      <c r="I140" s="40">
        <f t="shared" si="4"/>
        <v>0.79733333333333334</v>
      </c>
      <c r="J140" s="40">
        <f t="shared" si="4"/>
        <v>0.8793333333333333</v>
      </c>
      <c r="K140" s="40">
        <f t="shared" ref="K140:N140" si="5">AVERAGE(K136:K138)</f>
        <v>0.64166666666666672</v>
      </c>
      <c r="L140" s="40">
        <f t="shared" si="5"/>
        <v>0.7373333333333334</v>
      </c>
      <c r="M140" s="40">
        <f t="shared" si="5"/>
        <v>0.72066666666666668</v>
      </c>
      <c r="N140" s="40">
        <f t="shared" si="5"/>
        <v>0.79433333333333334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2.5316598819110698</v>
      </c>
      <c r="I17">
        <v>9.3523184569568798</v>
      </c>
      <c r="J17">
        <v>17.729435430702701</v>
      </c>
      <c r="K17">
        <v>2.1970597171427402</v>
      </c>
      <c r="L17">
        <v>1.9908579954138399</v>
      </c>
      <c r="M17">
        <v>2.0450009255916499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3.67789542177964</v>
      </c>
      <c r="G18">
        <v>2.3686407868237098</v>
      </c>
      <c r="H18">
        <v>2.0317515841460301</v>
      </c>
      <c r="I18">
        <v>10.4260783076313</v>
      </c>
      <c r="J18">
        <v>16.661770333783501</v>
      </c>
      <c r="K18">
        <v>1.8510975088086301</v>
      </c>
      <c r="L18">
        <v>2.0089294605542301</v>
      </c>
      <c r="M18">
        <v>2.2132505368103099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2.7108869277649901</v>
      </c>
      <c r="I19">
        <v>13.6402697494705</v>
      </c>
      <c r="J19">
        <v>22.276707388058099</v>
      </c>
      <c r="K19">
        <v>2.4608174691400801</v>
      </c>
      <c r="L19">
        <v>2.4360180794544801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3.12397902102839</v>
      </c>
      <c r="I20">
        <v>12.7503134568906</v>
      </c>
      <c r="J20">
        <v>22.968710470643401</v>
      </c>
      <c r="K20">
        <v>2.8026651893863601</v>
      </c>
      <c r="L20">
        <v>2.4294142632387001</v>
      </c>
      <c r="M20">
        <v>2.56381617157873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4.5665392599762997</v>
      </c>
      <c r="G21">
        <v>2.8642965748709601</v>
      </c>
      <c r="H21">
        <v>3.0028044332351</v>
      </c>
      <c r="I21">
        <v>16.324300193822801</v>
      </c>
      <c r="J21">
        <v>24.344986801425499</v>
      </c>
      <c r="K21">
        <v>2.9207046805667498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2.4109021785172935E-2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3.7127108177381629E-3</v>
      </c>
      <c r="I25" s="48" cm="1">
        <f t="array" ref="I25">(I21/INDEX(I2:I21,MATCH(TRUE,INDEX(ISNUMBER(I2:I21),0),0)))^(1/I23)-1</f>
        <v>0.12988959959643998</v>
      </c>
      <c r="J25" s="48" cm="1">
        <f t="array" ref="J25">(J21/INDEX(J2:J21,MATCH(TRUE,INDEX(ISNUMBER(J2:J21),0),0)))^(1/J23)-1</f>
        <v>5.9884631689594459E-2</v>
      </c>
      <c r="K25" s="48" cm="1">
        <f t="array" ref="K25">(K21/INDEX(K2:K21,MATCH(TRUE,INDEX(ISNUMBER(K2:K21),0),0)))^(1/K23)-1</f>
        <v>1.8533351270464848E-2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1.6276041000000001</v>
      </c>
      <c r="E3" cm="1">
        <f t="array" ref="E3">_xll.FDSB(B3,"FG_PRICE_CHANGE(0,-1AY)")</f>
        <v>-2.4495482000000002</v>
      </c>
      <c r="F3" cm="1">
        <f t="array" ref="F3">_xll.FDSB(B3,"FG_PRICE_CHANGE(0,-1AM)")</f>
        <v>-3.6865234</v>
      </c>
      <c r="G3" cm="1">
        <f t="array" ref="G3">_xll.FDSB(B3,"FG_PRICE_CHANGE(0,-3AM)")</f>
        <v>-0.83822010000000002</v>
      </c>
      <c r="H3" cm="1">
        <f t="array" ref="H3">_xll.FDSB(B3,"FG_PRICE_CHANGE(0,-6AM)")</f>
        <v>0.52896739999999998</v>
      </c>
      <c r="I3" cm="1">
        <f t="array" ref="I3">_xll.FDS(B3,"STD(FG_PRICE_CHANGE(0,-1AY,AM))")</f>
        <v>3.1077017986997002</v>
      </c>
      <c r="J3" cm="1">
        <f t="array" ref="J3">_xll.FDS(B3,"STD(FG_PRICE_CHANGE(0,-3AY,M))")*SQRT(12)</f>
        <v>12.067334687441848</v>
      </c>
      <c r="L3">
        <f>(1-(_xlfn.PERCENTRANK.EXC($F$3:$F$15,F3)))*100</f>
        <v>85.8</v>
      </c>
      <c r="M3">
        <f>(1-(_xlfn.PERCENTRANK.EXC($G$3:$G$15,G3)))*100</f>
        <v>85.8</v>
      </c>
      <c r="N3">
        <f>(1-(_xlfn.PERCENTRANK.EXC($H$3:$H$15,H3)))*100</f>
        <v>35.799999999999997</v>
      </c>
      <c r="O3">
        <f>SUMPRODUCT($L$1:$N$1,L3:N3)</f>
        <v>65.800000000000011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36.480000000000004</v>
      </c>
      <c r="U3" cm="1">
        <f t="array" ref="U3">_xlfn.PERCENTRANK.EXC(_xlfn._xlws.FILTER(S$3:S$15, ISNUMBER(S$3:S$15)),S3)*100</f>
        <v>21.4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1.5036464</v>
      </c>
      <c r="E4" cm="1">
        <f t="array" ref="E4">_xll.FDSB(B4,"FG_PRICE_CHANGE(0,-1AY)")</f>
        <v>-2.6915252000000001</v>
      </c>
      <c r="F4" cm="1">
        <f t="array" ref="F4">_xll.FDSB(B4,"FG_PRICE_CHANGE(0,-1AM)")</f>
        <v>-2.3607193999999998</v>
      </c>
      <c r="G4" cm="1">
        <f t="array" ref="G4">_xll.FDSB(B4,"FG_PRICE_CHANGE(0,-3AM)")</f>
        <v>-2.0900666999999999</v>
      </c>
      <c r="H4" cm="1">
        <f t="array" ref="H4">_xll.FDSB(B4,"FG_PRICE_CHANGE(0,-6AM)")</f>
        <v>-0.30072926999999999</v>
      </c>
      <c r="I4" cm="1">
        <f t="array" ref="I4">_xll.FDS(B4,"STD(FG_PRICE_CHANGE(0,-1AY,AM))")</f>
        <v>2.5944348856634498</v>
      </c>
      <c r="J4" cm="1">
        <f t="array" ref="J4">_xll.FDS(B4,"STD(FG_PRICE_CHANGE(0,-3AY,M))")*SQRT(12)</f>
        <v>10.566396361424816</v>
      </c>
      <c r="L4">
        <f t="shared" ref="L4:L15" si="1">(1-(_xlfn.PERCENTRANK.EXC($F$3:$F$15,F4)))*100</f>
        <v>78.600000000000009</v>
      </c>
      <c r="M4">
        <f t="shared" ref="M4:M15" si="2">(1-(_xlfn.PERCENTRANK.EXC($G$3:$G$15,G4)))*100</f>
        <v>92.9</v>
      </c>
      <c r="N4">
        <f t="shared" ref="N4:N15" si="3">(1-(_xlfn.PERCENTRANK.EXC($H$3:$H$15,H4)))*100</f>
        <v>85.8</v>
      </c>
      <c r="O4">
        <f t="shared" ref="O4:O11" si="4">SUMPRODUCT($L$1:$N$1,L4:N4)</f>
        <v>87.200000000000017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57.890000000000008</v>
      </c>
      <c r="U4" cm="1">
        <f t="array" ref="U4">_xlfn.PERCENTRANK.EXC(_xlfn._xlws.FILTER(S$3:S$15, ISNUMBER(S$3:S$15)),S4)*100</f>
        <v>50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1.3631500000000001</v>
      </c>
      <c r="E5" cm="1">
        <f t="array" ref="E5">_xll.FDSB(B5,"FG_PRICE_CHANGE(0,-1AY)")</f>
        <v>0.28322934999999999</v>
      </c>
      <c r="F5" cm="1">
        <f t="array" ref="F5">_xll.FDSB(B5,"FG_PRICE_CHANGE(0,-1AM)")</f>
        <v>-0.77883005000000005</v>
      </c>
      <c r="G5" cm="1">
        <f t="array" ref="G5">_xll.FDSB(B5,"FG_PRICE_CHANGE(0,-3AM)")</f>
        <v>0.50134659999999998</v>
      </c>
      <c r="H5" cm="1">
        <f t="array" ref="H5">_xll.FDSB(B5,"FG_PRICE_CHANGE(0,-6AM)")</f>
        <v>0.53840876000000004</v>
      </c>
      <c r="I5" cm="1">
        <f t="array" ref="I5">_xll.FDS(B5,"STD(FG_PRICE_CHANGE(0,-1AY,AM))")</f>
        <v>1.87795070595889</v>
      </c>
      <c r="J5" cm="1">
        <f t="array" ref="J5">_xll.FDS(B5,"STD(FG_PRICE_CHANGE(0,-3AY,M))")*SQRT(12)</f>
        <v>6.3390984707664577</v>
      </c>
      <c r="L5">
        <f t="shared" si="1"/>
        <v>35.799999999999997</v>
      </c>
      <c r="M5">
        <f t="shared" si="2"/>
        <v>35.799999999999997</v>
      </c>
      <c r="N5">
        <f t="shared" si="3"/>
        <v>28.6</v>
      </c>
      <c r="O5">
        <f t="shared" si="4"/>
        <v>32.92</v>
      </c>
      <c r="P5">
        <f t="shared" si="5"/>
        <v>71.5</v>
      </c>
      <c r="Q5">
        <f>VLOOKUP(A5,CAD!$A$3:$J$15, 10, FALSE)</f>
        <v>35.699999999999996</v>
      </c>
      <c r="S5">
        <f t="shared" si="0"/>
        <v>45.05</v>
      </c>
      <c r="U5" cm="1">
        <f t="array" ref="U5">_xlfn.PERCENTRANK.EXC(_xlfn._xlws.FILTER(S$3:S$15, ISNUMBER(S$3:S$15)),S5)*100</f>
        <v>35.699999999999996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0.92114960000000001</v>
      </c>
      <c r="E6" cm="1">
        <f t="array" ref="E6">_xll.FDSB(B6,"FG_PRICE_CHANGE(0,-1AY)")</f>
        <v>-1.7962396</v>
      </c>
      <c r="F6" cm="1">
        <f t="array" ref="F6">_xll.FDSB(B6,"FG_PRICE_CHANGE(0,-1AM)")</f>
        <v>-1.5060781999999999</v>
      </c>
      <c r="G6" cm="1">
        <f t="array" ref="G6">_xll.FDSB(B6,"FG_PRICE_CHANGE(0,-3AM)")</f>
        <v>-0.31780005</v>
      </c>
      <c r="H6" cm="1">
        <f t="array" ref="H6">_xll.FDSB(B6,"FG_PRICE_CHANGE(0,-6AM)")</f>
        <v>0.50662755999999998</v>
      </c>
      <c r="I6" cm="1">
        <f t="array" ref="I6">_xll.FDS(B6,"STD(FG_PRICE_CHANGE(0,-1AY,AM))")</f>
        <v>1.9391319614615401</v>
      </c>
      <c r="J6" cm="1">
        <f t="array" ref="J6">_xll.FDS(B6,"STD(FG_PRICE_CHANGE(0,-3AY,M))")*SQRT(12)</f>
        <v>7.5194006874305419</v>
      </c>
      <c r="L6">
        <f t="shared" si="1"/>
        <v>50</v>
      </c>
      <c r="M6">
        <f t="shared" si="2"/>
        <v>71.500000000000014</v>
      </c>
      <c r="N6">
        <f t="shared" si="3"/>
        <v>50</v>
      </c>
      <c r="O6">
        <f t="shared" si="4"/>
        <v>58.600000000000009</v>
      </c>
      <c r="P6">
        <f t="shared" si="5"/>
        <v>57.2</v>
      </c>
      <c r="Q6">
        <f>VLOOKUP(A6,CAD!$A$3:$J$15, 10, FALSE)</f>
        <v>78.5</v>
      </c>
      <c r="S6">
        <f t="shared" si="0"/>
        <v>62.160000000000011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157.14500000000001</v>
      </c>
      <c r="E7" cm="1">
        <f t="array" ref="E7">_xll.FDSB(B7,"FG_PRICE_CHANGE(0,-1AY)")</f>
        <v>12.475407000000001</v>
      </c>
      <c r="F7" cm="1">
        <f t="array" ref="F7">_xll.FDSB(B7,"FG_PRICE_CHANGE(0,-1AM)")</f>
        <v>-0.1398027</v>
      </c>
      <c r="G7" cm="1">
        <f t="array" ref="G7">_xll.FDSB(B7,"FG_PRICE_CHANGE(0,-3AM)")</f>
        <v>4.9943210000000002</v>
      </c>
      <c r="H7" cm="1">
        <f t="array" ref="H7">_xll.FDSB(B7,"FG_PRICE_CHANGE(0,-6AM)")</f>
        <v>6.2975645</v>
      </c>
      <c r="I7" cm="1">
        <f t="array" ref="I7">_xll.FDS(B7,"STD(FG_PRICE_CHANGE(0,-1AY,AM))")</f>
        <v>2.6267685185859699</v>
      </c>
      <c r="J7" cm="1">
        <f t="array" ref="J7">_xll.FDS(B7,"STD(FG_PRICE_CHANGE(0,-3AY,M))")*SQRT(12)</f>
        <v>10.410321824947058</v>
      </c>
      <c r="L7">
        <f t="shared" si="1"/>
        <v>28.6</v>
      </c>
      <c r="M7">
        <f t="shared" si="2"/>
        <v>7.1999999999999957</v>
      </c>
      <c r="N7">
        <f t="shared" si="3"/>
        <v>7.1999999999999957</v>
      </c>
      <c r="O7">
        <f t="shared" si="4"/>
        <v>11.479999999999999</v>
      </c>
      <c r="P7">
        <f t="shared" si="5"/>
        <v>21.5</v>
      </c>
      <c r="Q7">
        <f>VLOOKUP(A7,CAD!$A$3:$J$15, 10, FALSE)</f>
        <v>64.2</v>
      </c>
      <c r="S7">
        <f t="shared" si="0"/>
        <v>25.03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0.90215000000000001</v>
      </c>
      <c r="E8" cm="1">
        <f t="array" ref="E8">_xll.FDSB(B8,"FG_PRICE_CHANGE(0,-1AY)")</f>
        <v>-1.3126968999999999</v>
      </c>
      <c r="F8" cm="1">
        <f t="array" ref="F8">_xll.FDSB(B8,"FG_PRICE_CHANGE(0,-1AM)")</f>
        <v>-1.6355038</v>
      </c>
      <c r="G8" cm="1">
        <f t="array" ref="G8">_xll.FDSB(B8,"FG_PRICE_CHANGE(0,-3AM)")</f>
        <v>2.4530053000000001</v>
      </c>
      <c r="H8" cm="1">
        <f t="array" ref="H8">_xll.FDSB(B8,"FG_PRICE_CHANGE(0,-6AM)")</f>
        <v>3.7490606</v>
      </c>
      <c r="I8" cm="1">
        <f t="array" ref="I8">_xll.FDS(B8,"STD(FG_PRICE_CHANGE(0,-1AY,AM))")</f>
        <v>2.7378362751765501</v>
      </c>
      <c r="J8" cm="1">
        <f t="array" ref="J8">_xll.FDS(B8,"STD(FG_PRICE_CHANGE(0,-3AY,M))")*SQRT(12)</f>
        <v>8.4416424881725085</v>
      </c>
      <c r="L8">
        <f t="shared" si="1"/>
        <v>64.3</v>
      </c>
      <c r="M8">
        <f t="shared" si="2"/>
        <v>21.499999999999996</v>
      </c>
      <c r="N8">
        <f t="shared" si="3"/>
        <v>21.499999999999996</v>
      </c>
      <c r="O8">
        <f t="shared" si="4"/>
        <v>30.060000000000002</v>
      </c>
      <c r="P8">
        <f t="shared" si="5"/>
        <v>42.900000000000006</v>
      </c>
      <c r="Q8">
        <f>VLOOKUP(A8,CAD!$A$3:$J$15, 10, FALSE)</f>
        <v>85.7</v>
      </c>
      <c r="S8">
        <f t="shared" si="0"/>
        <v>45.040000000000006</v>
      </c>
      <c r="U8" cm="1">
        <f t="array" ref="U8">_xlfn.PERCENTRANK.EXC(_xlfn._xlws.FILTER(S$3:S$15, ISNUMBER(S$3:S$15)),S8)*100</f>
        <v>28.499999999999996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0.78542255999999999</v>
      </c>
      <c r="E9" cm="1">
        <f t="array" ref="E9">_xll.FDSB(B9,"FG_PRICE_CHANGE(0,-1AY)")</f>
        <v>-2.6547312999999999</v>
      </c>
      <c r="F9" cm="1">
        <f t="array" ref="F9">_xll.FDSB(B9,"FG_PRICE_CHANGE(0,-1AM)")</f>
        <v>-1.6533135999999999</v>
      </c>
      <c r="G9" cm="1">
        <f t="array" ref="G9">_xll.FDSB(B9,"FG_PRICE_CHANGE(0,-3AM)")</f>
        <v>-0.64797400000000005</v>
      </c>
      <c r="H9" cm="1">
        <f t="array" ref="H9">_xll.FDSB(B9,"FG_PRICE_CHANGE(0,-6AM)")</f>
        <v>-0.56943299999999997</v>
      </c>
      <c r="I9" cm="1">
        <f t="array" ref="I9">_xll.FDS(B9,"STD(FG_PRICE_CHANGE(0,-1AY,AM))")</f>
        <v>2.01260771274324</v>
      </c>
      <c r="J9" cm="1">
        <f t="array" ref="J9">_xll.FDS(B9,"STD(FG_PRICE_CHANGE(0,-3AY,M))")*SQRT(12)</f>
        <v>8.2929559604901151</v>
      </c>
      <c r="L9">
        <f t="shared" si="1"/>
        <v>71.500000000000014</v>
      </c>
      <c r="M9">
        <f t="shared" si="2"/>
        <v>78.600000000000009</v>
      </c>
      <c r="N9">
        <f t="shared" si="3"/>
        <v>92.9</v>
      </c>
      <c r="O9">
        <f>SUMPRODUCT($L$1:$N$1,L9:N9)</f>
        <v>82.9</v>
      </c>
      <c r="P9">
        <f t="shared" si="5"/>
        <v>50</v>
      </c>
      <c r="Q9">
        <f>VLOOKUP(A9,CAD!$A$3:$J$15, 10, FALSE)</f>
        <v>28.499999999999996</v>
      </c>
      <c r="S9">
        <f t="shared" si="0"/>
        <v>62.150000000000006</v>
      </c>
      <c r="U9" cm="1">
        <f t="array" ref="U9">_xlfn.PERCENTRANK.EXC(_xlfn._xlws.FILTER(S$3:S$15, ISNUMBER(S$3:S$15)),S9)*100</f>
        <v>78.5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21.499999999999996</v>
      </c>
      <c r="M10">
        <f t="shared" si="2"/>
        <v>57.2</v>
      </c>
      <c r="N10">
        <f t="shared" si="3"/>
        <v>78.600000000000009</v>
      </c>
      <c r="O10">
        <f t="shared" si="4"/>
        <v>58.620000000000005</v>
      </c>
      <c r="P10">
        <f t="shared" si="5"/>
        <v>92.9</v>
      </c>
      <c r="Q10">
        <f>VLOOKUP(A10,CAD!$A$3:$J$15, 10, FALSE)</f>
        <v>14.2</v>
      </c>
      <c r="S10">
        <f t="shared" si="0"/>
        <v>60.02000000000001</v>
      </c>
      <c r="U10" cm="1">
        <f t="array" ref="U10">_xlfn.PERCENTRANK.EXC(_xlfn._xlws.FILTER(S$3:S$15, ISNUMBER(S$3:S$15)),S10)*100</f>
        <v>64.2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21.499999999999996</v>
      </c>
      <c r="M11">
        <f t="shared" si="2"/>
        <v>57.2</v>
      </c>
      <c r="N11">
        <f t="shared" si="3"/>
        <v>78.600000000000009</v>
      </c>
      <c r="O11">
        <f t="shared" si="4"/>
        <v>58.620000000000005</v>
      </c>
      <c r="P11">
        <f t="shared" si="5"/>
        <v>92.9</v>
      </c>
      <c r="Q11">
        <f>VLOOKUP(A11,CAD!$A$3:$J$15, 10, FALSE)</f>
        <v>14.2</v>
      </c>
      <c r="S11">
        <f t="shared" si="0"/>
        <v>60.02000000000001</v>
      </c>
      <c r="U11" cm="1">
        <f t="array" ref="U11">_xlfn.PERCENTRANK.EXC(_xlfn._xlws.FILTER(S$3:S$15, ISNUMBER(S$3:S$15)),S11)*100</f>
        <v>64.2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0.90215000000000001</v>
      </c>
      <c r="E12" cm="1">
        <f t="array" ref="E12">_xll.FDSB(B12,"FG_PRICE_CHANGE(0,-1AY)")</f>
        <v>-1.3126968999999999</v>
      </c>
      <c r="F12" cm="1">
        <f t="array" ref="F12">_xll.FDSB(B12,"FG_PRICE_CHANGE(0,-1AM)")</f>
        <v>-1.6355038</v>
      </c>
      <c r="G12" cm="1">
        <f t="array" ref="G12">_xll.FDSB(B12,"FG_PRICE_CHANGE(0,-3AM)")</f>
        <v>2.4530053000000001</v>
      </c>
      <c r="H12" cm="1">
        <f t="array" ref="H12">_xll.FDSB(B12,"FG_PRICE_CHANGE(0,-6AM)")</f>
        <v>3.7490606</v>
      </c>
      <c r="I12" cm="1">
        <f t="array" ref="I12">_xll.FDS(B12,"STD(FG_PRICE_CHANGE(0,-1AY,AM))")</f>
        <v>2.7378362751765501</v>
      </c>
      <c r="J12" cm="1">
        <f t="array" ref="J12">_xll.FDS(B12,"STD(FG_PRICE_CHANGE(0,-3AY,M))")*SQRT(12)</f>
        <v>8.4416424881725085</v>
      </c>
      <c r="L12">
        <f t="shared" si="1"/>
        <v>64.3</v>
      </c>
      <c r="M12">
        <f t="shared" si="2"/>
        <v>21.499999999999996</v>
      </c>
      <c r="N12">
        <f t="shared" si="3"/>
        <v>21.499999999999996</v>
      </c>
      <c r="O12">
        <f t="shared" ref="O12:O15" si="6">SUMPRODUCT($L$1:$N$1,L12:N12)</f>
        <v>30.060000000000002</v>
      </c>
      <c r="P12">
        <f t="shared" si="5"/>
        <v>42.900000000000006</v>
      </c>
      <c r="Q12">
        <f>VLOOKUP(A12,CAD!$A$3:$J$15, 10, FALSE)</f>
        <v>42.8</v>
      </c>
      <c r="S12">
        <f t="shared" ref="S12:S15" si="7">SUMPRODUCT($O$1:$Q$1,O12:Q12)</f>
        <v>36.46</v>
      </c>
      <c r="U12" cm="1">
        <f t="array" ref="U12">_xlfn.PERCENTRANK.EXC(_xlfn._xlws.FILTER(S$3:S$15, ISNUMBER(S$3:S$15)),S12)*100</f>
        <v>14.2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0.101547390548198</v>
      </c>
      <c r="J13" s="183" cm="1">
        <f t="array" ref="J13">_xll.FDS(B13,"STD(FG_PRICE_CHANGE(0,-3AY,M))")*SQRT(12)</f>
        <v>0.20309479713463402</v>
      </c>
      <c r="L13" s="183">
        <f t="shared" si="1"/>
        <v>21.499999999999996</v>
      </c>
      <c r="M13" s="183">
        <f t="shared" si="2"/>
        <v>57.2</v>
      </c>
      <c r="N13" s="183">
        <f t="shared" si="3"/>
        <v>78.600000000000009</v>
      </c>
      <c r="O13" s="183">
        <f t="shared" si="6"/>
        <v>58.620000000000005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71.45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10.517200000000001</v>
      </c>
      <c r="E14" cm="1">
        <f t="array" ref="E14">_xll.FDSB(B14,"FG_PRICE_CHANGE(0,-1AY)")</f>
        <v>-3.36653</v>
      </c>
      <c r="F14" cm="1">
        <f t="array" ref="F14">_xll.FDSB(B14,"FG_PRICE_CHANGE(0,-1AM)")</f>
        <v>-4.1791495999999997</v>
      </c>
      <c r="G14" cm="1">
        <f t="array" ref="G14">_xll.FDSB(B14,"FG_PRICE_CHANGE(0,-3AM)")</f>
        <v>1.6404985999999999</v>
      </c>
      <c r="H14" cm="1">
        <f t="array" ref="H14">_xll.FDSB(B14,"FG_PRICE_CHANGE(0,-6AM)")</f>
        <v>0.36597252000000002</v>
      </c>
      <c r="I14" cm="1">
        <f t="array" ref="I14">_xll.FDS(B14,"STD(FG_PRICE_CHANGE(0,-1AY,AM))")</f>
        <v>3.7195194119961901</v>
      </c>
      <c r="J14" cm="1">
        <f t="array" ref="J14">_xll.FDS(B14,"STD(FG_PRICE_CHANGE(0,-3AY,M))")*SQRT(12)</f>
        <v>10.347790241506949</v>
      </c>
      <c r="L14">
        <f t="shared" si="1"/>
        <v>92.9</v>
      </c>
      <c r="M14">
        <f t="shared" si="2"/>
        <v>28.6</v>
      </c>
      <c r="N14">
        <f t="shared" si="3"/>
        <v>57.2</v>
      </c>
      <c r="O14">
        <f t="shared" si="6"/>
        <v>52.900000000000006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49.31</v>
      </c>
      <c r="U14" cm="1">
        <f t="array" ref="U14">_xlfn.PERCENTRANK.EXC(_xlfn._xlws.FILTER(S$3:S$15, ISNUMBER(S$3:S$15)),S14)*100</f>
        <v>42.8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1783.5944</v>
      </c>
      <c r="E15" cm="1">
        <f t="array" ref="E15">_xll.FDSB(B15,"FG_PRICE_CHANGE(0,-1AY)")</f>
        <v>-1.7962396</v>
      </c>
      <c r="F15" cm="1">
        <f t="array" ref="F15">_xll.FDSB(B15,"FG_PRICE_CHANGE(0,-1AM)")</f>
        <v>-1.5060781999999999</v>
      </c>
      <c r="G15" cm="1">
        <f t="array" ref="G15">_xll.FDSB(B15,"FG_PRICE_CHANGE(0,-3AM)")</f>
        <v>-0.31779407999999998</v>
      </c>
      <c r="H15" cm="1">
        <f t="array" ref="H15">_xll.FDSB(B15,"FG_PRICE_CHANGE(0,-6AM)")</f>
        <v>0.50662755999999998</v>
      </c>
      <c r="I15" cm="1">
        <f t="array" ref="I15">_xll.FDS(B15,"STD(FG_PRICE_CHANGE(0,-1AY,AM))")</f>
        <v>1.9391330126117701</v>
      </c>
      <c r="J15" cm="1">
        <f t="array" ref="J15">_xll.FDS(B15,"STD(FG_PRICE_CHANGE(0,-3AY,M))")*SQRT(12)</f>
        <v>7.519398747331195</v>
      </c>
      <c r="L15">
        <f t="shared" si="1"/>
        <v>50</v>
      </c>
      <c r="M15">
        <f t="shared" si="2"/>
        <v>64.3</v>
      </c>
      <c r="N15">
        <f t="shared" si="3"/>
        <v>50</v>
      </c>
      <c r="O15">
        <f t="shared" si="6"/>
        <v>55.72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58.570000000000007</v>
      </c>
      <c r="U15" cm="1">
        <f t="array" ref="U15">_xlfn.PERCENTRANK.EXC(_xlfn._xlws.FILTER(S$3:S$15, ISNUMBER(S$3:S$15)),S15)*100</f>
        <v>57.099999999999994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-6.1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-0.8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6.09669740069846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3.6105395544238701</v>
      </c>
      <c r="H7" cm="1">
        <f t="array" ref="H7">IFERROR(_xll.FDS($F7,"EE_ACTUAL_ANNUAL(MED,+1)"),0)</f>
        <v>3.45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7.6422111054326596</v>
      </c>
      <c r="H8" cm="1">
        <f t="array" ref="H8">IFERROR(_xll.FDS($F8,"EE_ACTUAL_ANNUAL(MED,+1)"),0)</f>
        <v>8.1999999999999993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-2.8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-0.75802019547247201</v>
      </c>
      <c r="H12" cm="1">
        <f t="array" ref="H12">IFERROR(_xll.FDS($F12,"EE_ACTUAL_ANNUAL(MED,+1)"),0)</f>
        <v>-0.55000000000000004</v>
      </c>
      <c r="J12" cm="1">
        <f t="array" ref="J12">_xlfn.PERCENTRANK.EXC(_xlfn._xlws.FILTER(H$3:H$15, ISNUMBER(H$3:H$15)),H12)*100</f>
        <v>42.8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10.0884806997308</v>
      </c>
      <c r="H13" cm="1">
        <f t="array" ref="H13">IFERROR(_xll.FDS($F13,"EE_ACTUAL_ANNUAL(MED,+1)"),0)</f>
        <v>8.35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6.8690649964378698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0.50820581194102399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8.3559627813131101</v>
      </c>
      <c r="G17">
        <v>14.538819869127099</v>
      </c>
      <c r="H17">
        <v>12.8750463355076</v>
      </c>
      <c r="I17">
        <v>25.011729152832</v>
      </c>
      <c r="J17">
        <v>18.292929264234399</v>
      </c>
      <c r="K17">
        <v>10.914009651363701</v>
      </c>
      <c r="L17">
        <v>13.0917636337237</v>
      </c>
      <c r="M17">
        <v>13.4117967547049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9.7147154363071397</v>
      </c>
      <c r="F18">
        <v>7.4385992870476203</v>
      </c>
      <c r="G18">
        <v>14.667779515581</v>
      </c>
      <c r="H18">
        <v>11.2075006645331</v>
      </c>
      <c r="I18">
        <v>24.534442850508999</v>
      </c>
      <c r="J18">
        <v>17.2298191446197</v>
      </c>
      <c r="K18">
        <v>8.9422344896343695</v>
      </c>
      <c r="L18">
        <v>9.7785656650372808</v>
      </c>
      <c r="M18">
        <v>11.9082596450148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9.2207656765267707</v>
      </c>
      <c r="G19">
        <v>16.3837417700753</v>
      </c>
      <c r="H19">
        <v>13.9275873524292</v>
      </c>
      <c r="I19">
        <v>26.637202164256799</v>
      </c>
      <c r="J19">
        <v>20.6862902761839</v>
      </c>
      <c r="K19">
        <v>12.2539555438325</v>
      </c>
      <c r="L19">
        <v>10.899145951859399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9.2254455739887096</v>
      </c>
      <c r="G20">
        <v>16.690651733527702</v>
      </c>
      <c r="H20">
        <v>15.8682653993366</v>
      </c>
      <c r="I20">
        <v>24.048321572288899</v>
      </c>
      <c r="J20">
        <v>20.5983105929019</v>
      </c>
      <c r="K20">
        <v>13.147634164467201</v>
      </c>
      <c r="L20">
        <v>12.015889153241799</v>
      </c>
      <c r="M20">
        <v>14.691567354429599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9.2993760884677705</v>
      </c>
      <c r="G21">
        <v>19.299686812780902</v>
      </c>
      <c r="H21">
        <v>14.7207288829901</v>
      </c>
      <c r="I21">
        <v>25.319915596617101</v>
      </c>
      <c r="J21">
        <v>20.350503776156899</v>
      </c>
      <c r="K21">
        <v>13.220962408242601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9.7147154363071397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8.9422344896343695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14.442959459592949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9.2993760884677705</v>
      </c>
      <c r="G25" s="8">
        <f t="shared" si="2"/>
        <v>19.299686812780902</v>
      </c>
      <c r="H25" s="8">
        <f t="shared" si="2"/>
        <v>14.7207288829901</v>
      </c>
      <c r="I25" s="8">
        <f t="shared" si="2"/>
        <v>25.319915596617101</v>
      </c>
      <c r="J25" s="8">
        <f t="shared" si="2"/>
        <v>20.350503776156899</v>
      </c>
      <c r="K25" s="8">
        <f t="shared" si="2"/>
        <v>13.220962408242601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45414</v>
      </c>
      <c r="M1" s="116"/>
    </row>
    <row r="2" spans="1:20" ht="15" thickBot="1" x14ac:dyDescent="0.4">
      <c r="K2" s="12" t="s">
        <v>772</v>
      </c>
      <c r="L2" s="187">
        <f ca="1">EDATE(TODAY(), -4)</f>
        <v>45324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02/2024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aca="1" ref="M4" ca="1">IF(_xll.FDSRC(,"DUMMY","ECON_EXPR_DATA('FDS_ECON["&amp;H4&amp;"]',,,M)")=0,$J$19,_xll.FDSRC(,"DUMMY","ECON_EXPR_DATA('FDS_ECON["&amp;H4&amp;"]',,,M)"))</f>
        <v>49.135330000000003</v>
      </c>
      <c r="N4" cm="1">
        <f t="array" aca="1" ref="N4" ca="1">_xll.FDSRC("-","DUMMY","ECON_EXPR_DATA('FDS_ECON["&amp;H4&amp;"]',"&amp;$N$3&amp;",,Q)")</f>
        <v>47.799872999999998</v>
      </c>
      <c r="O4" cm="1">
        <f t="array" aca="1" ref="O4" ca="1">_xll.FDSRC("-","DUMMY","ECON_EXPR_DATA('FDS_ECON["&amp;H4&amp;"]',"&amp;$O$3&amp;",,Q)")</f>
        <v>44.485503999999999</v>
      </c>
      <c r="P4">
        <f t="shared" ref="P4:P12" ca="1" si="0">IFERROR(N4-O4,$M$20)</f>
        <v>3.3143689999999992</v>
      </c>
      <c r="Q4" cm="1">
        <f t="array" aca="1" ref="Q4" ca="1">_xlfn.PERCENTRANK.EXC(_xlfn._xlws.FILTER(M$4:M$16, ISNUMBER(M$4:M$16)),M4)*100</f>
        <v>21.4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44.24</v>
      </c>
      <c r="T4" cm="1">
        <f t="array" aca="1" ref="T4" ca="1">_xlfn.PERCENTRANK.EXC(_xlfn._xlws.FILTER(S$4:S$16, ISNUMBER(S$4:S$16)),S4)*100</f>
        <v>50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49.599409999999999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aca="1" ref="Q5" ca="1">_xlfn.PERCENTRANK.EXC(_xlfn._xlws.FILTER(M$4:M$16, ISNUMBER(M$4:M$16)),M5)*100</f>
        <v>64.2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44.2</v>
      </c>
      <c r="T5" cm="1">
        <f t="array" aca="1" ref="T5" ca="1">_xlfn.PERCENTRANK.EXC(_xlfn._xlws.FILTER(S$4:S$16, ISNUMBER(S$4:S$16)),S5)*100</f>
        <v>42.8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aca="1" ref="M6" ca="1">IF(_xll.FDSRC(,"DUMMY","ECON_EXPR_DATA('FDS_ECON["&amp;H6&amp;"]',,,M)")=0,$J$19,_xll.FDSRC(,"DUMMY","ECON_EXPR_DATA('FDS_ECON["&amp;H6&amp;"]',,,M)"))</f>
        <v>49.135330000000003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aca="1" ref="Q6" ca="1">_xlfn.PERCENTRANK.EXC(_xlfn._xlws.FILTER(M$4:M$16, ISNUMBER(M$4:M$16)),M6)*100</f>
        <v>21.4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27.119999999999997</v>
      </c>
      <c r="T6" cm="1">
        <f t="array" aca="1" ref="T6" ca="1">_xlfn.PERCENTRANK.EXC(_xlfn._xlws.FILTER(S$4:S$16, ISNUMBER(S$4:S$16)),S6)*100</f>
        <v>21.4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45.432476000000001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aca="1" ref="Q7" ca="1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50.482227000000002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aca="1" ref="Q8" ca="1">_xlfn.PERCENTRANK.EXC(_xlfn._xlws.FILTER(M$4:M$16, ISNUMBER(M$4:M$16)),M8)*100</f>
        <v>71.399999999999991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45.679999999999993</v>
      </c>
      <c r="T8" cm="1">
        <f t="array" aca="1" ref="T8" ca="1">_xlfn.PERCENTRANK.EXC(_xlfn._xlws.FILTER(S$4:S$16, ISNUMBER(S$4:S$16)),S8)*100</f>
        <v>57.099999999999994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aca="1" ref="M9" ca="1">IF(_xll.FDSRC(,"DUMMY","ECON_EXPR_DATA('FDS_ECON["&amp;H9&amp;"]',,,M)")=0,$J$19,_xll.FDSRC(,"DUMMY","ECON_EXPR_DATA('FDS_ECON["&amp;H9&amp;"]',,,M)"))</f>
        <v>49.135330000000003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aca="1" ref="Q9" ca="1">_xlfn.PERCENTRANK.EXC(_xlfn._xlws.FILTER(M$4:M$16, ISNUMBER(M$4:M$16)),M9)*100</f>
        <v>21.4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29.96</v>
      </c>
      <c r="T9" cm="1">
        <f t="array" aca="1" ref="T9" ca="1">_xlfn.PERCENTRANK.EXC(_xlfn._xlws.FILTER(S$4:S$16, ISNUMBER(S$4:S$16)),S9)*100</f>
        <v>28.499999999999996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51.328296999999999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aca="1" ref="Q10" ca="1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75.680000000000007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50.894485000000003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aca="1" ref="Q11" ca="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69.94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50.894485000000003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aca="1" ref="Q12" ca="1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69.94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46.653004000000003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aca="1" ref="Q13" ca="1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37.08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aca="1" ref="M14" ca="1">IF(_xll.FDSRC(,"DUMMY","ECON_EXPR_DATA('FDS_ECON["&amp;H14&amp;"]',,,M)")=0,$J$19,_xll.FDSRC(,"DUMMY","ECON_EXPR_DATA('FDS_ECON["&amp;H14&amp;"]',,,M)"))</f>
        <v>49.135330000000003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aca="1" ref="Q14" ca="1">_xlfn.PERCENTRANK.EXC(_xlfn._xlws.FILTER(M$4:M$16, ISNUMBER(M$4:M$16)),M14)*100</f>
        <v>21.4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49.96</v>
      </c>
      <c r="T14" cm="1">
        <f t="array" aca="1" ref="T14" ca="1">_xlfn.PERCENTRANK.EXC(_xlfn._xlws.FILTER(S$4:S$16, ISNUMBER(S$4:S$16)),S14)*100</f>
        <v>71.399999999999991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aca="1" ref="M15" ca="1">IF(_xll.FDSRC(,"DUMMY","ECON_EXPR_DATA('FDS_ECON["&amp;H15&amp;"]',,,M)")=0,$J$19,_xll.FDSRC(,"DUMMY","ECON_EXPR_DATA('FDS_ECON["&amp;H15&amp;"]',,,M)"))</f>
        <v>49.135330000000003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aca="1" ref="Q15" ca="1">_xlfn.PERCENTRANK.EXC(_xlfn._xlws.FILTER(M$4:M$16, ISNUMBER(M$4:M$16)),M15)*100</f>
        <v>21.4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21.4</v>
      </c>
      <c r="T15" cm="1">
        <f t="array" aca="1" ref="T15" ca="1">_xlfn.PERCENTRANK.EXC(_xlfn._xlws.FILTER(S$4:S$16, ISNUMBER(S$4:S$16)),S15)*100</f>
        <v>14.2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aca="1" ref="M16" ca="1">IF(_xll.FDSRC(,"DUMMY","ECON_EXPR_DATA('FDS_ECON["&amp;H16&amp;"]',,,M)")=0,$J$19,_xll.FDSRC(,"DUMMY","ECON_EXPR_DATA('FDS_ECON["&amp;H16&amp;"]',,,M)"))</f>
        <v>49.135330000000003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aca="1" ref="Q16" ca="1">_xlfn.PERCENTRANK.EXC(_xlfn._xlws.FILTER(M$4:M$16, ISNUMBER(M$4:M$16)),M16)*100</f>
        <v>21.4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47.12</v>
      </c>
      <c r="T16" cm="1">
        <f t="array" aca="1" ref="T16" ca="1">_xlfn.PERCENTRANK.EXC(_xlfn._xlws.FILTER(S$4:S$16, ISNUMBER(S$4:S$16)),S16)*100</f>
        <v>64.2</v>
      </c>
    </row>
    <row r="18" spans="8:13" x14ac:dyDescent="0.35">
      <c r="K18" t="str" cm="1">
        <f t="array" aca="1" ref="K18" ca="1">_xll.FDSRC("-","DUMMY","ECON_DATE("&amp;$L$1&amp;",,, 'MM/YYYY')")</f>
        <v>05/2024</v>
      </c>
      <c r="L18" t="str" cm="1">
        <f t="array" aca="1" ref="L18" ca="1">_xll.FDSRC("-","DUMMY","ECON_DATE("&amp;$L$2&amp;",,, 'MM/YYYY')")</f>
        <v>02/2024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aca="1" ref="J19" ca="1">IF(_xll.FDSRC("-","DUMMY","ECON_EXPR_DATA('FDS_ECON["&amp;H19&amp;"]',,,M)") = "-",$K$19,_xll.FDSRC("-","DUMMY","ECON_EXPR_DATA('FDS_ECON["&amp;H19&amp;"]',,,M)"))</f>
        <v>49.135330000000003</v>
      </c>
      <c r="K19" cm="1">
        <f t="array" aca="1" ref="K19" ca="1">_xll.FDSRC("-","DUMMY","ECON_EXPR_DATA('FDS_ECON["&amp;H19&amp;"]',"&amp;$K$18&amp;",,Q)")</f>
        <v>49.135330000000003</v>
      </c>
      <c r="L19" cm="1">
        <f t="array" aca="1" ref="L19" ca="1">_xll.FDSRC("-","DUMMY","ECON_EXPR_DATA('FDS_ECON["&amp;H19&amp;"]',"&amp;$L$18&amp;",,Q)")</f>
        <v>47.377974999999999</v>
      </c>
      <c r="M19">
        <f ca="1">K19-L19</f>
        <v>1.757355000000004</v>
      </c>
    </row>
    <row r="20" spans="8:13" x14ac:dyDescent="0.35">
      <c r="H20" s="111" t="s">
        <v>761</v>
      </c>
      <c r="I20" s="111" t="s">
        <v>762</v>
      </c>
      <c r="J20" cm="1">
        <f t="array" aca="1" ref="J20" ca="1">IF(_xll.FDSRC("-","DUMMY","ECON_EXPR_DATA('FDS_ECON["&amp;H20&amp;"]',,,M)") = "-",$K$20,_xll.FDSRC("-","DUMMY","ECON_EXPR_DATA('FDS_ECON["&amp;H20&amp;"]',,,M)"))</f>
        <v>51.510579999999997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86.302499999999995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92717.804999999993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1671.27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1687037.8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2655.2440000000001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2758675.8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952.18200000000002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2292656.7999999998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16304.508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6394057.5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1149.115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2174773.5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2843.8560000000002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3295792.3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269592.18650000001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54863860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533820.84257700003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54863860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650.52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3363082.8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273.86649999999997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1135350.6000000001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371.08049999999997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1035232.1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460.13549999999998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892289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298772.7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274118"><![CDATA[{"FC0000ZA^FG_MCAP_IDX(0,,,USD)":298772.7,"EWI^FREF_MARKET_VALUE_COMPANY(0,,,USD,,0,,\"LEGACY\")":460.1355,"FC0000IT^FMA_MCAP(0,,,USD,\"PORTAGG\")":892289.0,"EWD^FREF_MARKET_VALUE_COMPANY(0,,,USD,,0,,\"LEGACY\")":371.0805,"FC0000SE^FMA_MCAP(0,,,USD,\"PORTAGG\")":1035232.1,"EWN^FREF_MARKET_VALUE_COMPANY(0,,,USD,,0,,\"LEGACY\")":273.8665,"FC0000NL^FMA_MCAP(0,,,USD,\"PORTAGG\")":1135350.6,"EWQ^FREF_MARKET_VALUE_COMPANY(0,,,USD,,0,,\"LEGACY\")":650.52,"FC0000FR^FMA_MCAP(0,,,USD,\"PORTAGG\")":3363082.8,"SPY^FREF_MARKET_VALUE_COMPANY(0,,,USD,,0,,\"LEGACY\")":533820.842577,"FC0000US^FMA_MCAP(0,,,USD,\"PORTAGG\")":54863860.0,"QQQ^FREF_MARKET_VALUE_COMPANY(0,,,USD,,0,,\"LEGACY\")":269592.1865,"EWU^FREF_MARKET_VALUE_COMPANY(0,,,USD,,0,,\"LEGACY\")":2843.856,"FC0000GB^FMA_MCAP(0,,,USD,\"PORTAGG\")":3295792.3,"EWL^FREF_MARKET_VALUE_COMPANY(0,,,USD,,0,,\"LEGACY\")":1149.115,"FC0000CH^FMA_MCAP(0,,,USD,\"PORTAGG\")":2174773.5,"EWJ^FREF_MARKET_VALUE_COMPANY(0,,,USD,,0,,\"LEGACY\")":16304.508,"FC0000JP^FMA_MCAP(0,,,USD,\"PORTAGG\")":6394057.5,"EWG^FREF_MARKET_VALUE_COMPANY(0,,,USD,,0,,\"LEGACY\")":952.182,"FC0000DE^FMA_MCAP(0,,,USD,\"PORTAGG\")":2292656.8,"EWC^FREF_MARKET_VALUE_COMPANY(0,,,USD,,0,,\"LEGACY\")":2655.244,"FC0000CA^FMA_MCAP(0,,,USD,\"PORTAGG\")":2758675.8,"EWA^FREF_MARKET_VALUE_COMPANY(0,,,USD,,0,,\"LEGACY\")":1671.27,"FC0000AU^FMA_MCAP(0,,,USD,\"PORTAGG\")":1687037.8,"ENZL^FREF_MARKET_VALUE_COMPANY(0,,,USD,,0,,\"LEGACY\")":86.3025,"FC0000NZ^FMA_MCAP(0,,,USD,\"PORTAGG\")":92717.805,"NQG00809^FG_COMPANY_NAME":"Nasdaq South Africa","CC_ZA^FG_COMPANY_NAME":"South Africa","NQG00809^FMA_MCAP(0,,,USD,\"PORTAGG\")":null,"DUMMY^ECON_EXPR_DATA('FDS_ECON[NTCPMIMFGSA@IT]',,,M)":null,"DUMMY^ECON_EXPR_DATA('FDS_ECON[]',,,M)":null,"DUMMY^ECON_EXPR_DATA('FDS_ECON[NTCPMIMFGSA@NL]',,,M)":null,"DUMMY^ECON_EXPR_DATA('FDS_ECON[NTCPMIMFGSA@FR]',,,M)":46.653004,"DUMMY^ECON_EXPR_DATA('FDS_ECON[NTCPMIMFGMESA@US]',,,M)":50.894485,"DUMMY^ECON_EXPR_DATA('FDS_ECON[NTCPMIMFGSA@GB]',,,M)":51.328297,"DUMMY^ECON_EXPR_DATA('FDS_ECON[NTCPMIMFGSA@CH]',,,M)":null,"DUMMY^ECON_EXPR_DATA('FDS_ECON[NTCPMIMFGSA@JP]',,,M)":50.482227,"DUMMY^ECON_EXPR_DATA('FDS_ECON[NTCPMIMFGSA@DE]',,,M)":45.432476,"DUMMY^ECON_EXPR_DATA('FDS_ECON[NTCPMIMFGSA@CA]',,,M)":null,"DUMMY^ECON_EXPR_DATA('FDS_ECON[NTCPMIMFGSA@AU]',,,M)":49.59941,"DUMMY^ECON_EXPR_DATA('FDS_ECON[NTCPMIMFGSA@NZ]',,,M)":null,"DUMMY^ECON_EXPR_DATA('FDS_ECON[NTCPMIMFGSA@EME]',,,M)":null,"DUMMY^ECON_EXPR_DATA('FDS_ECON[PMIDMMANHE]',,,M)":null,"CAGDPY@US^EE_ACTUAL_ANNUAL(MED,+1)":-3.0,"CAGDPY@NZ^EE_ACTUAL_ANNUAL(MED,+1)":-6.1,"USDITL^FG_PRICE_CHANGE(0,-1AY)":-1.7962396,"USDANG^FG_PRICE_CHANGE(0,-1AY)":0.0,"USDUSD^FG_PRICE_CHANGE(0,-1AY)":0.0,"USDGBP^FG_PRICE_CHANGE(0,-1AY)":-2.6547313,"USDJPY^FG_PRICE_CHANGE(0,-1AY)":12.475407,"USDCAD^FG_PRICE_CHANGE(0,-1AY)":0.28322935,"USDNZD^FG_PRICE_CHANGE(0,-1AY)":-2.4495482,"EWA^JULIAN(FMA_EPS(NTMA,-20AY,0,CY,,\"PORTAGG\",\"MEANR\").DATES)":[38352,38716,39080,39447,39813,40178,40543,40907,41274,41639,42004,42369,42734,43098,43465,43830,44196,44561,44925,45289],"EWD^FG_TOTAL_RETURNC(-10AY,0,AM)":[0.32547712,-1.8920124,-3.316319,-0.19056797,-2.8051078,-0.5137563,1.8529773,-4.8536777,2.4313211,7.028365,-3.5714328,1.6129017,-0.17637014,-3.1572282,0.84985495,-5.321479,-4.3019533,3.8580775,0.39801598,-3.5153747,-6.2028766,0.2557516,7.325077,2.6485562,-2.2494197,-3.7806869,2.4862885,1.8908262,1.7857194,-5.263156,-0.18155575,4.5285583,6.1608076,-0.622952,4.1570425,4.878056,2.839017,1.8807054,0.67807436,1.6691089,3.3410192,-0.8361161,-3.6537468,-0.118625164,6.2536836,-5.830103,-1.297164,-1.8817246,-1.3394177,-1.4758289,5.9652567,-1.4228284,2.9808521,-10.542351,-0.6812036,-3.0971527,5.5948973,1.1401772,0.19893646,6.5850377,-9.407014,9.072518,-5.2853465,-3.0469,3.9901137,7.028866,0.6345153,5.020213,-2.7051747,-5.092156,-15.766949,7.2293878,10.021866,3.2384515,8.979726,5.4046035,-1.0647178,-4.333055,15.186501,3.0528545,2.2361755,3.2686234,6.0447454,4.174137,4.4162035,-2.0414293,4.3318987,-1.0328472,-6.386977,6.822741,-5.948651,6.0512066,-8.892733,-10.400379,2.7234197,-7.567567,1.643002,-14.160574,11.691284,-11.555422,-9.408241,8.110094,13.679576,-2.911818,8.103919,1.05865,0.62288046,4.6989202,-7.7129784,3.1450152,0.95990896,-6.8232656,-1.0504127,-4.5799255,14.462805,12.315154,-5.396509,5.891812,1.0622144,-3.9289296,9.2211485],"EWQ^FMA_DIV_YLD(NTMA,-10AY,0,AM,\"PORTAGG\",\"MEANR\")":[3.39359337378639,3.44587947002543,3.60011437417528,3.53449264250309,3.56585820246979,3.69761747281395,3.56431452312046,3.63053966972835,3.36958589368047,3.12865411889008,3.19901480716328,3.25019470721028,3.29678485145618,3.45590838943805,3.291572031812,3.61108848162825,3.76040764584429,3.43210607938344,3.39176964451464,3.60193863288813,3.76745889317465,3.82314253795407,3.76061173427166,3.72354967436848,3.6837621936706,3.9079517608912,3.72646040247659,3.74106865472365,3.72463199024037,3.73256533431996,3.67001073071492,3.46627926955841,3.53542239667734,3.51220981378499,3.34878974588245,3.26205326860896,3.25996356409299,3.38892587160361,3.40777580532569,3.42559145894213,3.2946530053581,3.23572559847068,3.30423420163778,3.32111484492617,3.22139255716709,3.36432495116874,3.4649735497601,3.30003068688359,3.40191582795219,3.46150214120478,3.37282465684928,3.45504612316079,3.43057471304561,3.71659490018968,3.79446278583538,4.00551852013093,3.79568933463754,3.63806080754626,3.60714051352918,3.46884743174883,3.72724093589846,3.5258989526078,3.55953688305894,3.60141430704515,3.49087482827431,3.45096996139151,3.37893160974465,3.35245756834803,3.4330016179014,3.72782087479976,4.30607543948277,3.54312790782791,3.3247358146188,3.15997145716439,3.23491884614065,3.14802506993395,3.28898769296717,3.44528026932278,2.9069512262158,2.93955435270377,3.02601494764651,2.88006277519383,2.7579355960171,2.70594869243793,2.66882638839735,2.71085713233112,2.71441558918384,2.7574410398847,2.86208998931658,2.7856432323528,2.89026023620957,2.7387953498537,2.8604089011345,3.08298630648192,3.08776200901209,3.14918620428629,3.21467183215228,3.54005705684578,3.28559973068363,3.5103686384899,3.77229923365667,3.51048981532136,3.26540840477694,3.38079486625485,3.11729794581202,3.15712768720056,3.17295241079551,3.11736704463588,3.35518330750327,3.22608407133038,3.2263959636555,3.33038840518653,3.42144306544155,3.54509130296987,3.34225530520006,3.23038691254293,3.1720993001125,3.13245542886384,3.0531297300006,3.14682611644802,3.1887245822556],"QQQ^FMA_PE(NTMA,-10AY,0,AM,\"PORTAGG\",\"MEANR\")":[17.1885584047914,17.4789277366458,17.2212957126412,17.8774265439494,17.4677204030199,17.6885889608936,18.3086652065781,17.4439790635812,16.9367245315482,18.0987091619455,17.6798881273489,17.8210248117624,18.0168586017461,17.4863357511584,18.6258597243979,17.2803696461137,16.8116582233009,18.5452036629595,18.6702024983941,18.4588215357575,17.3170674814134,16.8542378058808,17.8971881464719,17.4707196772289,18.0299239710819,17.6101070744047,18.6503515019565,18.5027139618188,18.6686139794025,18.1479464629767,18.035569103604,18.0470918716454,19.1181852728181,20.0414707039038,20.1485369307087,20.3610006572493,20.9124470287159,20.0519431453177,20.6774624963896,20.7108746205758,20.37612210329,20.8216764830886,20.9143750068727,20.7947525332183,21.7857276711409,20.7809153180452,19.7763057603438,19.3304905058398,20.0614960707973,20.087014612319,20.2355761996586,21.1439522256258,20.8792510819679,18.8292124772494,18.8114498633601,17.1033334043296,19.0814159505369,19.6719211421104,20.3249038810677,21.284881852963,19.3503560143766,20.8118707315187,21.0139009068341,20.4554378513343,20.4354404960158,21.1239565351403,22.0033636281151,22.7334003839279,22.777200936904,21.3634002431728,20.6848443859268,25.2882534030122,27.3863827374721,28.3585599858694,28.9096785265755,31.5519587456558,29.242738369147,27.3491681956232,29.6343385310269,30.0918514845951,28.8909634923666,27.8476226580619,27.975596339282,27.7969176363141,26.9600675910178,28.3378338323752,27.9887797630624,28.6884056007691,26.8767808639492,28.9228227475444,29.0189825801105,29.1673117399636,26.2060106927917,24.7940749786898,25.5937038317838,22.460155339003,21.8191763621371,19.7994457916489,23.0159826618407,21.8184117704497,19.5241373574786,21.0990982285211,22.3438225173909,20.8845994764384,23.4002194958861,23.0997179357423,25.0734269257497,24.597945619426,25.6511922202955,26.7921812331499,25.8523770254118,24.6941769000145,23.1717902415329,22.295188853399,24.2248687743815,25.0896939322298,25.4316377328559,26.2090172659902,26.1887302802726,24.7782572845862,25.7464296072419],"EWL^FMA_PE(LTMA,-10AY,0,AM,\"PORTAGG\",\"MEANR\")":[17.2291407636119,17.1405487147752,17.0929386902405,17.3539928572813,17.2999707493507,17.3080166035208,17.86211683113,17.2391332882042,16.6929993068285,17.9927049686476,18.0041654324486,18.0797320464797,18.0693604212683,17.6814412646697,18.2155542852859,17.4236415869431,16.9608866391751,17.7635359195173,17.6451575845375,17.3781775117904,16.8363858727615,16.5783891912488,16.654982261016,16.824160045369,17.135778287939,17.1166451542298,17.5095143018059,17.8477824476703,18.0270248722881,17.6156546769258,17.4991138636389,18.2312249975706,18.475934345828,19.6747100975888,19.4836656134011,19.4973317145334,19.519142762937,19.3423476611755,19.3498522025176,19.0963942199313,19.4599988337422,20.2673218313071,20.4609574665676,20.7340196335678,21.8075893787204,21.2302793261804,20.7201011040339,20.3109973029499,19.6352206315947,19.276078670819,19.2873125729907,18.7977019411547,18.5872699523067,17.9313759114278,17.7037866596995,16.1867705047708,17.5859729363534,18.3536329338024,18.2760040041127,18.2944232236495,18.0480416723578,18.3689302500905,18.330145434028,18.2372817421703,18.4449217329299,18.7014370567458,19.0487546820496,19.6199312565469,19.6783186172664,18.0103108276406,17.8093253926501,18.5487064366282,19.1148205219934,19.5433492880116,19.9094463440796,20.6226992913485,20.7175176002774,19.6743356945416,21.3471541780448,22.0192335076548,21.0579697707616,20.4823143891709,20.4256822136813,20.1108644172687,20.6227092593136,20.8571106089522,20.9458493427101,21.1763545184337,20.0864072663652,20.6505894312832,20.3294625703009,21.6670376324775,20.0401824258787,18.497536832785,18.5854857146333,18.5252337933173,18.222977537241,17.5730319671738,18.3072357900102,17.835262794357,16.9641631423621,17.8147197051466,19.6303206207619,20.0573075428435,20.8484576427988,20.6998200244037,20.4309085273748,20.3020936492928,19.7305853831942,19.2961850249866,19.2562558656981,18.9551236461445,18.4173647036501,17.468010485593,18.0840811616244,18.4310130999125,18.6760529985481,19.1942433043024,19.1652790583609,18.7388769447232,18.7541617245975],"WL-FDS^FG_PRICE(0)/MAX(FG_PRICE(0,-1AY))":0.709588682211161,"NI-FDS^FG_PRICE(0)/MAX(FG_PRICE(0,-1AY))":0.856957649092481,"CPALM-FDS^FG_PRICE(0)/MAX(FG_PRICE(0,-1AY))":0.888621969862415,"BRENT-FDS^FG_PRICE(0)/MAX(FG_PRICE(0,-1AY))":0.870614479821537,"TIOS-FDS^FG_PRICE(0)/MAX(FG_PRICE(0,-1AY))":0.815899001109878,"FC0000US^FG_PRICE(0)":395.7852,"FC0000GB^FG_PRICE(0)":129.11266,"FC0000CA^FG_PRICE(0)":293.96243,"EWD^FG_PRICE_MAVG(0,,,,60)":40.205917,"QQQ^FG_PRICE_MAVG(0,,,,60)":440.25916,"EWG^FG_PRICE_MAVG(0,,,,60)":31.349833,"EWD^FG_COMPANY_NAME":"iShares MSCI Sweden ETF","EWI^FG_COMPANY_NAME":"iShares MSCI Italy ETF","FXI^FG_TOTAL_RETURNC(0,-6AM)":8.648944,"EWJ^P_PRICE(0)/P_PRICE_LOW_PR(0,,,,,,\"PRICE\",\"INTRA\",\"52W\")-1":0.20576918,"URTH^FMA_PCT_ABOVE_MAVG(200,0,,,,\"PORTAGG\")":64.8630136986301,"VGK^PERCENT_CHANGE(FMA_EPS(+1,0,,,,\"PORTAGG\",\"MEAN\"),FMA_EPS(+1,-3AM,,,,\"PORTAGG\",\"MEAN\"))":-1.87391517084022,"EWD^FG_TOTAL_RETURNC(0,-3AM)":6.044507,"EWQ^P_PRICE(0)/P_PRICE_HIGH_PR(0,,,,,,\"PRICE\",\"INTRA\",\"52W\")":0.9788733,"QQQ^FG_TOTAL_RETURNC(0,-12AM)":30.380201,"EWU^PERCENT_CHANGE(FMA_EPS(+1,0,,,,\"PORTAGG\",\"MEAN\"),FMA_EPS(+1,-1AM,,,,\"PORTAGG\",\"MEAN\"))":2.59594154351481,"EWJ^FG_TOTAL_RETURNC(0,-1AM)":2.5271416,"EWC^FG_TOTAL_RETURNC(0,-6AM)":10.86706,"ENZL^P_PRICE(0)/P_PRICE_LOW_PR(0,,,,,,\"PRICE\",\"INTRA\",\"52W\")-1":0.13697016,"EWJ^FMA_COS_UP(\"EPS\",\"1M\",+1,0,,,\"PORTAGG\",\"MEANR\")":128.0,"EWN^SIZE(FG_CONSTITUENTS)":54,"EWL^FMA_COS_DOWN(\"EPS\",\"1M\",+1,0,,,\"PORTAGG\",\"MEANR\")":13.0,"ENZL^FMA_COS_UP(\"EPS\",\"1M\",+1,0,,,\"PORTAGG\",\"MEANR\")":4.0,"EWN^FMA_RBICS_REV_CURRENT(30, LOC, \"PORTAGG\")":25.1822237253434,"QQQ^FG_ROE(0)":22.7175020821369,"TRYJP10Y-FDS^FG_YIELD_NAME":"Japan Benchmark Bond - 10 Year","EWA^FG_COMPANY_NAME":"iShares MSCI Australia ETF","REFFFUND-FDS^PROPER_NAME(0,,,\"SECURITY\",\"NAME\")":"US Federal Funds Target Rate","REFCATARG-FDS^(SUBARRAY(NOT_NA(NO_REPEAT_F(FG_YIELD(NOW,-10AY,D))),0,1)-SUBARRAY(NOT_NA(NO_REPEAT_F(FG_YIELD(NOW,-10AY,D))),1,1))*100":25.0,"TRYFR10Y-FDS^PCTCHG(FG_YIELD(0,,,,\"YTM\"),FG_YIELD(-1AM,,,,\"YTM\"))":2.420678,"TRYAU10Y-FDS^PCTCHG(FG_YIELD(0,,,,\"YTM\"),FG_YIELD(-1AM,,,,\"YTM\"))":-0.27137232,"TRYUS10Y-FDS^FG_YIELD_NAME":"US Benchmark Bond - 10 Year","CC_SE^IMF_IFS_RCPI_Q(0)":4.6701536,"VWO^FG_PE_NTM(0,,,90,0)":12.7459399706105,"EWI^JULIAN(FMA_DIV_YLD(NTMA,NOW,NOW,M,\"PORTAGG\",\"MEANR\").DATES)":45442,"EWQ^FMA_EVAL_EBITDA(NTMA,0,,,\"PORTAGG\",\"MEANR\")":9.26099906474287,"QQQ^FMA_DIV_YLD(NTMA,NOW,NOW,M,\"PORTAGG\",\"MEANR\")":0.896392968215715,"EWL^FMA_PE(LTM,0,,,\"PORTAGG\",\"MEANR\")":15.822212362635,"EWC^FMA_EVAL_EBIT(LTMA,NOW,NOW,M,\"PORTAGG\",\"MEANR\")":16.2118234832117,"ENZL^FG_FCF_YIELD_NTM(0)":0.488897780712506,"EWC^FG_COMPANY_NAME":"iShares MSCI Canada ETF","EWQ^FG_COMPANY_NAME":"iShares MSCI France ETF","VGK^FG_TOTAL_RETURNC(0,-3AM)":7.693875,"QQQ^FG_TOTAL_RETURNC(0,-3AM)":2.8020024,"VWO^FG_TOTAL_RETURNC(0,-3AM)":5.119145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23448963437,12.2539555438325,13.1476341644672,13.2209624082426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IT^EE_ACTUAL_ANNUAL(MED,0)":0.508205811941024,"CAGDPY@JP^EE_ACTUAL_ANNUAL(MED,0)":3.61053955442387,"CC_AU^FG_COMPANY_NAME":"Australia","USDSEK^FG_PRICE(0)":10.5172,"USDCHF^FG_PRICE(0)":0.90215,"USDUSD^FG_PRICE(0)":1.0,"USDEUR^FG_PRICE(0)":0.9211496,"USDAUD^FG_PRICE(0)":1.5036464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165988191107,2.03175158414603,2.71088692776499,3.12397902102839,3.0028044332351],"EWJ^P_PRICE_RETURNS_PR('52W',2,-10AY,0,AM)":[5.6366444,8.841324,8.431411,7.9221606,0.15218258,2.7491212,-2.3529649,-6.22353,0.01475811,8.291769,12.003506,17.547035,14.33078,7.5614095,8.93091,3.8375497,-1.8243968,8.398808,7.7080965,9.162164,-0.4092157,-10.731804,-7.812852,-12.41535,-8.538336,-8.855295,-4.416937,2.8675795,11.386883,4.0819526,2.285874,1.7673969,12.106741,18.088018,15.068984,14.766895,15.230799,18.7585,15.586972,13.412571,12.911022,18.210888,22.275269,24.223019,26.10221,20.779312,17.620241,18.471981,13.581729,9.883261,8.4434395,7.967663,9.709907,-5.1324663,-6.280917,-14.094437,-12.409628,-9.594506,-8.410894,-7.1780624,-10.369987,-4.470372,-5.5718064,-5.625552,-4.2018414,8.811129,9.304941,19.328808,8.633733,-0.5233705,-7.839364,-4.6369195,6.648636,2.6342034,1.9612908,9.754669,6.1873436,1.2512684,10.511589,15.40935,15.311586,25.749361,40.392757,31.813824,24.195969,24.36701,21.691776,19.221067,20.269085,18.081356,4.175651,1.1650205,-2.3624003,-5.8284817,-8.222037,-15.060425,-14.270651,-19.965708,-15.324754,-19.835121,-28.85003,-25.22033,-13.924265,-17.658394,-7.341379,-10.052729,-3.5937607,3.922677,4.2598963,18.257702,13.997639,16.090929,23.529387,19.040215,13.247574,19.378971,15.250122,26.187157,26.746368,16.756905,18.69886],"EWC^FG_TOTAL_RETURNC(-10AY,0,AM)":[0.523901,5.696845,-0.15522838,2.1766186,-6.603771,-2.5089622,0.06684065,-2.2760987,-8.385306,5.975795,-2.9978573,7.1376085,-4.601651,-3.256613,-4.199481,-5.0097823,-5.232799,3.478253,-2.2268832,-6.3515244,-2.744186,3.4433246,9.61628,7.1277976,-3.622049,0.91763735,2.9783726,0.2773404,1.5013814,-1.3234735,2.6035547,1.5428066,3.938818,-1.8027961,0.7118702,-2.3065448,-0.38080812,3.1372428,4.260087,-0.10752082,3.8392544,-0.51831007,0.5210161,3.7305117,0.8097172,-6.994641,-0.8276403,2.0682096,2.1685004,-0.0126719475,2.4552703,-1.4036298,-0.06943941,-7.887423,0.49037933,-8.554143,12.89649,2.957487,-0.7540405,3.292334,-4.2732,5.6715846,-0.8036375,-0.7044673,2.518618,-0.41522384,2.953434,2.224052,-0.73602796,-7.010448,-20.804638,11.1212845,3.542006,3.9797068,5.5255055,5.1263213,-4.5280337,-3.429407,14.393663,3.124082,-0.77821016,5.130708,5.8439612,4.581499,6.346524,-0.97858906,0.16099215,0.026786327,-2.7852178,7.933891,-4.5941772,4.139745,-0.6245136,0.07855892,5.206692,-7.8587413,2.1052718,-10.306478,4.8396707,-4.587942,-8.696938,7.3797107,6.5395117,-5.635345,9.47144,-4.96791,0.3817916,2.984202,-5.5113735,6.267345,3.1151772,-3.8525581,-3.5456896,-5.1404657,10.207939,6.2886477,-0.89967847,1.155436,4.106605,-3.5527706,3.6294699],"ENZL^FMA_DIV_YLD(NTMA,-10AY,0,AM,\"PORTAGG\",\"MEANR\")":[4.15093424529461,4.44635847787635,4.45447848898395,4.53899776998386,4.57563562116515,4.50483954106414,4.54861858802081,4.43603649853718,4.33415341945234,4.26227285815805,4.41727382325709,4.47976050628451,4.40904628672229,4.69007941914783,4.55337120119166,5.10063471403319,5.29585908655342,4.92397416743627,4.81655952502069,4.72515980905889,4.87497697761261,4.86408658009916,4.54717627768767,4.58125161388613,4.42135044013803,4.41967132656854,4.12344472784573,4.20890283621875,4.32040439452407,4.57508204943216,4.59043335654791,4.6345425267273,4.53366169241361,4.65708432864585,4.57882710059766,4.45831054108891,4.46136048341554,4.39307428705327,4.40149109406376,4.31869741215347,4.41229401725204,4.33999058119265,4.34615181075149,4.20128758471335,4.19090030605804,4.17407572230652,4.3162273701021,4.27199749613393,4.20757474748852,4.05433947621799,4.1065199933973,3.89557331235409,3.97900716158369,4.2861412935281,4.25832976064396,4.18061240383847,4.1045755782806,3.96160583866143,3.76110018677953,3.68288747940181,3.70790683248854,3.56275271946662,3.40786842753309,3.43300478864385,3.34994965152498,3.37706910509559,3.22070206143111,3.180368626039,3.10302790525696,3.16993345843362,3.33003337382973,2.68962518480868,2.49348548155558,2.48070679622262,2.39843697141942,2.3259965713648,2.46760240719835,2.43693764007441,2.43031551326855,2.40539263641599,2.46449164328886,2.63905375014513,2.57441668169446,2.58809487322422,2.74304334825687,2.66050035419267,2.6580797025583,2.56263888277214,2.62102511919572,2.66070089637992,2.74861291753547,2.76511566800919,3.06864738080324,3.05800894408413,3.06788726730755,3.05983317463859,3.19444679667501,3.37969433288887,3.2689264032382,3.17297912849243,3.42620608411407,3.36445592198771,3.37383271357914,3.48175951513012,3.32613390052128,3.37058087818336,3.3968483428021,3.38217498951632,3.51278317828213,3.41941461587257,3.38748591149554,3.47385697401087,3.42427644033148,3.57803011161154,3.25846393195073,2.96827759625584,3.00519985198877,2.89706492726687,2.74179906309109,2.74633533534531,2.7593830697208],"EWI^FMA_PE(LTMA,-10AY,0,AM,\"PORTAGG\",\"MEANR\")":[17.1325885819188,17.400432404164,17.0829669448767,17.5675207028686,17.6066634323071,17.2201366552846,18.1616559059125,18.2391023727132,23.6420497500349,45.3660681485857,42.444495443557,39.6510864592434,37.0356016652559,33.6205905524019,31.3328382271907,27.851463704235,24.9738258764605,23.3228676094371,21.5479458580417,17.9614432089949,15.2240940767902,15.3964541226054,15.3076241216757,15.2931220355081,15.4691856630637,14.4062851700679,14.7343350315856,15.0865656249653,14.6807457855707,14.8958549149288,14.9430930448662,27.6594648643477,19.3039796683095,85.9689272923756,78.8542286422471,72.2320717746234,64.4574477612396,57.3506552325927,50.4742375230658,43.088260238978,36.6466347019993,29.3946110105148,22.3870119374509,15.5073974754213,15.6290013826463,14.2133860010366,14.0836991602724,14.1853625337352,13.4169063385909,13.2895626234646,13.3608723048161,12.4458594415345,12.333076822306,11.440603687089,11.2217000747596,10.387179484885,11.1378662596426,11.3132451904946,11.324216150149,11.3584520167683,10.836667034931,11.1091412017896,11.1574943905921,11.1152851854124,11.3435956581048,11.6569554758363,11.9159892515684,12.1127684771213,11.9865593742223,11.3567081312941,11.0975959101267,12.5411222602117,14.4046913543627,16.3494164457349,17.0026583394091,17.7895110690699,18.1870952853322,17.9766294783645,21.8777841761335,23.3237130000973,20.2234159826661,20.3525735166553,19.7997045145137,19.1070181825205,18.636459448785,17.9612326901376,17.2330261415573,15.6905260480938,14.7264374191639,14.2235277460482,12.5489093620277,12.0674553868396,11.8119159668388,10.6475829192046,10.56757720407,10.4148019498813,10.0936737816603,9.31580625186718,8.9997182757173,8.26394334267618,8.02900297750191,8.09134235765443,8.06737821797396,7.3748312726829,8.11922418612386,8.22912587318896,8.29933443405496,8.37785429534273,8.12700445531521,8.59929106788544,8.53619927481284,8.32560739619034,8.25238875038986,7.98868575312923,8.34889446252909,8.85440833166031,9.10411109825948,9.34647597709894,9.48249309998736,9.44237897116439,9.56322988014965],"DDR3512M-FDS^FG_PRICE_CHANGE(0,-1AY)":-5.77116550111984,"PASP-FDS^FG_PRICE_CHANGE(0,-1AY)":-31.4285714285714,"PLATI-FDS^FG_PRICE_CHANGE(0,-1AY)":2.47524752475248,"W-FDS^FG_PRICE_CHANGE(0,-1AY)":14.1775347076146,"COPP-FDS^FG_PRICE_CHANGE(0,-1AY)":26.9622693472873,"FC0000JP^FG_PRICE(0)":172.84569,"FC0000NZ^FG_PRICE(0)":394.242,"EWQ^FG_PRICE_MAVG(0,,,,30)":41.292,"EWL^FG_PRICE_MAVG(0,,,,30)":47.300335,"EWA^FG_PRICE_MAVG(0,,,,30)":24.319334,"EWU^FG_COMPANY_NAME":"iShares MSCI United Kingdom ETF","EWG^FG_COMPANY_NAME":"iShares MSCI Germany ETF","SPY^FG_TOTAL_RETURNC(0,-6AM)":16.382195,"URTH^P_PRICE(0)/P_PRICE_LOW_PR(0,,,,,,\"PRICE\",\"INTRA\",\"52W\")-1":0.2703575,"VWO^FMA_PCT_ABOVE_MAVG(200,0,,,,\"PORTAGG\")":46.87432867884,"EWI^PERCENT_CHANGE(FMA_EPS(+1,0,,,,\"PORTAGG\",\"MEAN\"),FMA_EPS(+1,-3AM,,,,\"PORTAGG\",\"MEAN\"))":2.27534023451777,"EWN^FG_TOTAL_RETURNC(0,-3AM)":7.226634,"SPY^P_PRICE(0)/P_PRICE_HIGH_PR(0,,,,,,\"PRICE\",\"INTRA\",\"52W\")":0.9893072,"EWU^FG_TOTAL_RETURNC(0,-12AM)":18.739557,"EWL^PERCENT_CHANGE(FMA_EPS(+1,0,,,,\"PORTAGG\",\"MEAN\"),FMA_EPS(+1,-1AM,,,,\"PORTAGG\",\"MEAN\"))":2.42405721924344,"EWG^FG_TOTAL_RETURNC(0,-1AM)":5.2528024,"EWA^FG_TOTAL_RETURNC(0,-6AM)":12.061798,"FXI^FMA_COS_DOWN(\"EPS\",\"1M\",+1,0,,,\"PORTAGG\",\"MEANR\")":22.0,"VGK^FMA_COS_UP(\"EPS\",\"1M\",+1,0,,,\"PORTAGG\",\"MEANR\")":465.0,"QQQ^SIZE(FG_CONSTITUENTS)":102,"EWC^FMA_COS_DOWN(\"EPS\",\"1M\",+1,0,,,\"PORTAGG\",\"MEANR\")":36.0,"EWJ^FG_COMPANY_NAME":"iShares MSCI Japan ETF","EWA^FMA_RBICS_REV_CURRENT(30, LOC, \"PORTAGG\")":40.999425073797,"TRYSE10Y-FDS^FG_YIELD_NAME":"Sweden Benchmark Bond - 10 Year","SPY^FG_COMPANY_NAME":"SPDR S&P 500 ETF Trust","REFEUREFI-FDS^FG_YIELD(NOW,,,0)":4.5,"REFCHMPR-FDS^PROPER_NAME(0,,,\"SECURITY\",\"NAME\")":"Swiss Policy Rate - Sight Deposit Rate","TRYIT10Y-FDS^PCTCHG(FG_YIELD(0,,,,\"YTM\"),FG_YIELD(-3AM,,,,\"YTM\"))":2.967973,"TRYJP10Y-FDS^PCTCHG(FG_YIELD(0,,,,\"YTM\"),FG_YIELD(-3AM,,,,\"YTM\"))":49.656147,"TRYNL10Y-FDS^FG_YIELD(0,,,,\"YTM\")":2.933,"TRYCA10Y-FDS^FG_YIELD(0,,,,\"YTM\")":3.6301,"CC_CA^IMF_IFS_RCPI_Q(0)":2.8466706,"VGK^JULIAN(FMA_DIV_YLD(NTMA,NOW,NOW,M,\"PORTAGG\",\"MEANR\").DATES)":45412,"EWN^FMA_EVAL_EBITDA(NTMA,0,,,\"PORTAGG\",\"MEANR\")":12.4467109355692,"SPY^FMA_DIV_YLD(NTMA,NOW,NOW,M,\"PORTAGG\",\"MEANR\")":1.4636113624261,"EWU^FMA_PE(LTM,0,,,\"PORTAGG\",\"MEANR\")":12.8207655261288,"EWG^FMA_EVAL_EBIT(LTMA,NOW,NOW,M,\"PORTAGG\",\"MEANR\")":13.4001088828955,"EWA^FG_FCF_YIELD_NTM(0)":5.15154279911116,"EWL^FG_COMPANY_NAME":"iShares MSCI Switzerland ETF","USO^FG_TOTAL_RETURNC(0,-1AM)":-4.5419693,"GLD^FG_TOTAL_RETURNC(0,-1AM)":1.6189218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TRYCN10Y-FDS^FG_YIELD(-10AY,0,Y,,\"YTM\")":[3.653331,2.901145,3.070911,3.93859,3.259862,3.197311,3.1948,2.7893,2.855,2.574],"CAGDPY@SE^EE_ACTUAL_ANNUAL(MED,+1)":5.4,"CAGDPY@CA^EE_ACTUAL_ANNUAL(MED,+1)":-0.8,"USDITL^FG_PRICE_CHANGE(0,-3AM)":-0.31779408,"USDANG^FG_PRICE(0)":1.79,"USDUSD^STD(FG_PRICE_CHANGE(0,-3AY,M))":0.0,"USDCHF^FG_PRICE_CHANGE(0,-6AM)":3.7490606,"USDEUR^FG_PRICE_CHANGE(0,-1AM)":-1.5060782,"EWA^P_PRICE_RETURNS_PR('52W',2,-10AY,0,AM)":[11.27342,20.494186,19.030785,20.751774,-1.35625,-0.71719885,-3.4360647,-4.656953,-1.3607144,-0.88799596,-7.389826,-7.5979233,-11.657154,-14.888782,-16.79867,-27.383387,-20.84092,-20.916193,-14.566308,-9.960371,-15.7730465,-23.17136,-11.020088,-11.872995,-9.1496105,-3.5823345,4.7514915,13.026058,21.586275,11.743725,11.622381,9.94482,25.3806,32.11827,21.861887,17.702663,15.051222,16.96211,14.023137,17.541862,13.532352,17.452824,16.892778,19.05055,17.188286,8.865595,1.3550639,3.4563422,9.977711,8.347929,5.478823,3.7284255,3.3913374,-5.197912,-4.5717773,-12.024254,-8.275485,-1.2551844,3.486383,3.8865685,2.2782207,6.216693,3.6228418,1.1743426,6.6039085,15.910351,15.106928,22.4123,12.524784,-1.5908062,-24.839771,-18.531345,-13.654709,-11.505604,-8.036107,-0.73797107,-8.258713,-9.928715,3.0126095,8.265495,6.42128,18.37864,63.262524,55.437447,48.008095,37.86012,29.80746,27.485788,28.69928,36.167408,10.085308,8.950353,1.0624886,3.1167507,12.041283,-1.8955946,-3.00681,-12.610107,-6.4942956,-9.559631,-15.423012,-16.217201,3.624761,-6.4979553,14.452875,0.037443638,-8.732128,-2.5924623,-6.819439,10.292578,6.617248,5.2086234,11.6234665,3.887701,-1.6450107,13.24848,-1.1974692,8.716261,14.737356,4.8882484,17.20804],"SPY^FMA_PE(NTMA,-10AY,0,AM,\"PORTAGG\",\"MEANR\")":[15.1972418974431,15.3598789871011,14.8993398538785,15.3577342548639,15.0329874489975,15.4981269408046,15.8455797276342,15.9714623301085,16.0390602016943,16.9007316344402,16.4786587537508,16.550809312854,16.545466872968,16.0969758291435,16.4284707165386,15.3510588136906,14.9497270784572,16.2707714578122,16.2490757069104,15.991430392029,15.5099438140132,15.5167363536305,16.5004635460184,16.5226770167304,16.5915096363715,16.4947111918806,16.9727355062268,16.7753633427191,16.6490222435307,16.1941216076089,16.6787826269209,16.8042774932923,17.0586133299669,17.6584703048047,17.5096202630589,17.4451564315849,17.4850708746702,17.4139594236772,17.6335942964245,17.5004353800958,17.7326589226952,17.9392460199811,18.2431706573784,18.1253195758661,18.0072792101675,16.8778820674624,16.3326334585674,16.0751455820917,16.1773488905342,16.1229719405181,16.4759223970176,16.8103827441345,16.7792914495823,15.4886956985307,15.7392730597703,14.3997586310989,15.7584852838784,16.2188096213021,16.4297279067491,16.918644927487,15.6848930281418,16.7334242570441,16.9326194620502,16.5612797272388,16.7958989911584,17.1735129176193,17.7141978000442,18.1539903657972,18.0535864909754,16.5763462992433,15.5863705439929,20.3547536093809,21.6721592936287,21.6867494651205,21.9340536091396,22.868013290548,21.5283100425293,20.2298039962337,21.7705530959548,22.4393922440473,21.3120607334042,21.3859405349516,21.8308982112781,21.6513602535872,21.2541114686894,21.3504940478911,20.9654683060067,21.2251142889785,20.1161723526364,21.1688060426535,20.688219588369,21.3209246647739,19.9418730343545,19.1028318178253,19.4419015281017,17.5400421003117,17.3531229904437,15.7972345302635,17.4326538282806,16.6518163093042,15.1562944997678,16.6869703640217,17.6282717656537,16.650131237619,17.9683497530464,17.4942955155514,18.0597010934251,18.1738024511627,18.0319625173079,19.13965126229,19.5656438235044,18.8629881179325,17.8412646628174,17.3449449231255,18.7237808627055,19.5251873155661,19.7840390328127,20.4877360595346,20.9578601445582,19.831246872954,20.3156903048109],"WL-FDS^FG_PRICE_CHANGE(0,-3AM)":-11.9330190212973,"CPALM-FDS^FG_PRICE(0)":4069.0,"EWI^FG_PRICE(0)":38.83,"EWG^FG_PRICE(0)":32.06,"QQQ^FG_COMPANY_NAME":"Invesco QQQ Trust Series I","URTH^FG_TOTAL_RETURNC(0,-12AM)":25.088871,"VGK^FG_TOTAL_RETURNC(0,-12AM)":20.10889,"EWN^FMA_PCT_ABOVE_MAVG(200,0,,,,\"PORTAGG\")":68.5185185185185,"EWJ^PERCENT_CHANGE(FMA_EPS(+1,0,,,,\"PORTAGG\",\"MEAN\"),FMA_EPS(+1,-3AM,,,,\"PORTAGG\",\"MEAN\"))":-3.66648090028033,"EWC^FG_TOTAL_RETURNC(0,-1AM)":3.6294699,"ENZL^FG_TOTAL_RETURNC(0,-3AM)":3.5745978,"VWO^SIZE(FG_CONSTITUENTS)":4781,"EWQ^FMA_COS_UP(\"EPS\",\"1M\",+1,0,,,\"PORTAGG\",\"MEANR\")":27.0,"EWG^FMA_COS_DOWN(\"EPS\",\"1M\",+1,0,,,\"PORTAGG\",\"MEANR\")":25.0,"EWC^FMA_RBICS_REV_CURRENT(30, LOC, \"PORTAGG\")":40.0308181746705,"CC_NL^IMF_IFS_RCPI_Q(0)":3.0237906,"VWO^JULIAN(FMA_DIV_YLD(NTMA,NOW,NOW,M,\"PORTAGG\",\"MEANR\").DATES)":45412,"EWD^FG_FCF_YIELD_NTM(0)":5.04424688505214,"EWQ^FMA_PE(LTM,0,,,\"PORTAGG\",\"MEANR\")":16.3295731951592,"EWU^FMA_EVAL_EBITDA(NTMA,0,,,\"PORTAGG\",\"MEANR\")":7.50357356181292,"EWJ^FMA_PE(NTMA,0,,,\"PORTAGG\",\"MEANR\")":15.4383438074015,"EWA^FMA_EVAL_EBIT(LTMA,NOW,NOW,M,\"PORTAGG\",\"MEANR\")":12.4031201472173,"EWN^FG_COMPANY_NAME":"iShares MSCI Netherlands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50463355076,11.2075006645331,13.9275873524292,15.8682653993366,14.7207288829901],"TRYQA10Y-FDS^FG_YIELD(-10AY,0,Y,,\"YTM\")":[null,null,null,null,null,null,null,null,null,null],"TIPSCL10Y-FDS^FG_YIELD(-10AY,0,Y,,\"YTM\")":[null,null,null,null,null,null,null,null,null,null]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4,4.61613856769821,4.46089543101883,4.5665392599763],"EWD^FMA_DIV_YLD(NTMA,-10AY,0,AM,\"PORTAGG\",\"MEANR\")":[4.01238401400224,4.14235487318192,4.22819934477658,4.21684436152782,4.2038214346268,4.17581124548666,4.08056320879611,4.09244209913544,3.84971001423877,3.59445421457265,3.67165085769548,3.79715282883423,3.79279278099801,4.07651330287123,3.95540930877743,4.29970539980132,4.58001361323281,4.20417517764823,4.08428523262456,4.31327587806828,4.44125226129347,4.37272326157481,4.38600563545594,4.36143114167431,4.3734088202366,4.5139516406762,4.30723822955297,4.22952061712099,4.18832765952657,4.14527525373276,4.03261146257449,3.90395724923268,3.69833968143094,3.6475444971784,3.63049849076176,3.54135253784062,3.36906242553249,3.60866009285285,3.73804140896614,3.78014789485592,3.55487277913198,3.51678176354259,3.67535097398225,3.77433533207484,3.7577973844007,3.83889594769335,4.03733643537522,4.03620983251451,4.11654119455698,4.13224540751474,4.08072062719281,4.01946392634289,4.02562062467823,4.35328256036553,4.46122081358196,4.73856562537439,4.35120534413385,4.16382933288108,4.21418489544559,4.01325278457009,4.44006874496555,4.16855820315024,4.06480193929416,4.218100884622,3.904158962602,3.73587973776257,3.71438287245855,3.62646329948458,3.62938633069582,3.83213371744875,4.09096064998633,3.29314453267689,3.16114635595413,3.06954270042031,3.07720203974979,3.02409746435153,3.00568745069656,3.33006982345775,3.03365427948671,3.10752944200219,3.03296298377465,2.99054585448251,2.76338576176031,2.83949378994675,2.70485352903729,2.71509294408482,2.73377226526125,2.74668073000798,2.89107210637441,3.04446819194531,3.10066297169557,2.83243607318585,2.87266579806305,3.14735600064147,3.13625052893094,3.27519893619115,3.35464185982927,3.65239599841089,3.43703960025648,3.69855895847365,3.79156443937652,3.75508056057485,3.61569960794633,3.76642395091561,3.59201025511037,3.55284359218596,3.63055477297283,3.63869488743079,3.82974136238087,3.71306750072914,3.77785480112729,3.9427345699463,4.00795290468536,3.97621879701104,3.64080369242294,2.92065549436807,3.3505536088412,3.30623753592336,3.2305999509816,3.27458581335411,3.21957058157903],"EWG^FMA_PE(LTMA,-10AY,0,AM,\"PORTAGG\",\"MEANR\")":[14.7139062165845,14.5852851279965,14.2102224990751,14.1541128765517,14.0523575010898,13.7675510419231,14.5040611433695,14.3005596447529,15.4501111188346,16.4876845059821,16.5250129616904,16.2086574864787,15.9189706267038,15.4066731634345,15.4623519316004,14.4144997149727,13.8057172669835,14.5204785615287,15.0221866457845,14.0285507216998,12.9203121797463,12.6455940636623,12.7823942358322,12.8774956899626,12.9478407823057,12.6531602583139,13.1261045937001,13.4016988098601,13.577312567197,13.7907152249944,13.7223912085183,14.7976712735815,14.8035204396724,14.9651402877224,14.9705781965843,14.9052500055754,14.7632235527817,14.4898674106417,14.2839267154719,14.0651107985865,14.620290824259,15.1936640058717,15.2668492111483,15.2737781513871,15.3171741111833,14.2561362408636,14.0968131677569,14.1568036161807,13.9907187288819,13.8875658519637,14.1842015035427,14.0214033605298,13.90480165962,13.0693197740243,12.8828774173161,12.0117474275311,12.8093115058477,13.2194048887983,13.1627985387774,13.404609382727,13.0896201183251,13.4330279335727,13.5865996593443,13.5188905032313,14.0965748871289,14.749505900578,15.237152155503,15.4728375894394,15.0341086969967,14.0375587989804,13.8574665560313,15.0234054301475,16.1874562198896,17.6313154625719,18.4977538774007,19.974428188912,20.3685701659738,18.3927645225934,21.8058807140949,22.1267684635384,20.7439723697634,20.2950863016861,20.0572581335731,19.3918044331191,18.8793861133493,18.3232177204663,17.5383914581113,16.9150535535586,15.9285498545228,15.6146080613151,14.1168995762653,14.1378654604296,13.5606617935883,12.5328882361799,12.4465192684938,12.2663865298395,12.1142330690553,11.378829557802,11.4952851030175,10.6912817048378,10.1258062443327,10.4922317994643,11.1006442515832,10.4151947731043,11.4430864624447,11.3463293345368,11.3853145706614,11.4300404391818,11.18792351209,11.3062516655622,11.4392773519279,11.2484813367979,11.0545024951529,10.6824016187118,11.5993377259164,11.9633111578336,12.0634541949063,12.5082374868334,12.6044413095275,12.4902403236177,12.4901069564722],"NI-FDS^FG_PRICE_MAVG(0,,,,30)":19354.5,"CAGDPY@GB^EE_ACTUAL_ANNUAL(MED,+1)":-2.8,"CC_JP^FG_COMPANY_NAME":"Japan","USDSEK^FG_PRICE_CHANGE(0,-1AY)":-3.36653,"USDGBP^FG_PRICE_CHANGE(0,-6AM)":-0.569433,"USDJPY^FG_PRICE_CHANGE(0,-1AM)":-0.1398027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L^FG_TOTAL_RETURNC(-10AY,0,AM)":[0.6565809,-0.4290223,-4.4289055,2.5304914,-3.3303678,-0.4306376,2.5332093,-4.519427,0.1893282,4.944885,-0.33013225,4.004824,2.4898648,-5.2762747,4.122138,-6.6862164,-3.8654923,3.8574696,-2.7699113,0.48559904,-6.056702,-2.8463662,4.9417615,2.9599786,-0.22868514,-0.32966137,1.8887043,-0.09930134,1.2259722,-5.0409136,-2.2750795,3.9801717,4.31093,1.0087848,3.028345,3.9399743,5.0842285,0.32516718,0.46633482,-0.46417117,2.0985007,-1.4273465,1.3032198,1.7152667,4.4687867,-6.053269,-1.5750289,-0.96013546,-2.262044,0.38169622,6.507051,0.20172596,-0.23008585,-4.583454,0.33233166,-5.0888243,5.7106614,3.7515044,2.3141384,2.346623,-0.6629884,6.5958023,-1.0383487,0.8071065,0.61382055,2.3342252,0.8294463,4.4730067,0.24607182,-7.020128,-6.652588,4.2986393,3.877437,3.3503056,4.0297747,2.9607773,-1.5815973,-5.210614,9.247362,5.1101565,-1.4547944,-1.8169403,2.2669435,4.704821,5.271113,1.6354799,3.3107162,1.1942625,-8.379227,6.977248,-0.90307,6.784117,-6.447935,-2.817762,2.4196863,-5.4989758,-1.8319011,-6.9652557,4.719484,-6.6222134,-7.781333,4.432571,9.665049,-2.2382796,7.9179525,-4.1547003,4.496193,6.1120987,-3.784567,2.1123648,3.246045,-3.3116698,-5.549538,-3.787011,8.349239,6.2747717,-1.5744805,-1.4523208,1.6659498,-4.7058764,8.37742],"DDR3512M-FDS^FG_PRICE_CHANGE(0,-3AM)":-0.758506230437272,"PLATI-FDS^FG_PRICE(0)":1035.0,"TIOS-FDS^FG_PRICE_CHANGE(0,-6AM)":-9.84209719454239,"FC0000CH^FG_PRICE(0)":328.8932,"EWQ^FG_PRICE_MAVG(0,,,,60)":41.1005,"EWL^FG_PRICE(0)":49.16,"EWJ^P_PRICE(0)/P_PRICE_HIGH_PR(0,,,,,,\"PRICE\",\"INTRA\",\"52W\")":0.95705265,"EWI^P_PRICE(0)/P_PRICE_LOW_PR(0,,,,,,\"PRICE\",\"INTRA\",\"52W\")-1":0.3382734,"SPY^FG_TOTAL_RETURNC(0,-12AM)":28.048897,"QQQ^FMA_PCT_ABOVE_MAVG(200,0,,,,\"PORTAGG\")":61.7647058823529,"EWQ^FMA_RBICS_REV_CURRENT(30, LOC, \"PORTAGG\")":11.6274292606377,"EWL^FG_ROE(0)":24.1224248411715,"TRYAU10Y-FDS^FG_YIELD_NAME":"Australia Benchmark Bond - 10 Year","REFEUREFI-FDS^PROPER_NAME(0,,,\"SECURITY\",\"NAME\")":"Eurozone Main Refinancing Operations Minimum Bid Rate","REFGBBANK-FDS^FG_YIELD(NOW,,,0)":5.25,"REFNZOCR-FDS^(SUBARRAY(NOT_NA(NO_REPEAT_F(FG_YIELD(NOW,-10AY,D))),0,1)-SUBARRAY(NOT_NA(NO_REPEAT_F(FG_YIELD(NOW,-10AY,D))),1,1))*100":25.0,"TRYCH10Y-FDS^PCTCHG(FG_YIELD(0,,,,\"YTM\"),FG_YIELD(-3AM,,,,\"YTM\"))":10.061352,"ENZL^FMA_DIV_YLD(NTMA,NOW,NOW,M,\"PORTAGG\",\"MEANR\")":2.7593830697208,"ENZL^FG_COMPANY_NAME":"iShares MSCI New Zealand ETF","TLT^FG_TOTAL_RETURNC(0,-1AM)":2.8840423,"GLD^P_PRICE(0)/P_PRICE_HIGH_PR(0,,,USD,,,\"PRICE\",\"INTRA\",\"52W\")":0.95409024,"TRYVN10Y-FDS^FG_YIELD(-10AY,0,Y,,\"YTM\")":[7.3,6.277413,7.1117578,5.6717234,4.738006,3.5404546,2.4877946,2.059403,4.687226,2.9473283],"TRYGB10Y-FDS^FG_YIELD(-10AY,0,Y,,\"YTM\")":[1.8155,2.0248,1.2817,1.2536,1.3339,0.822,0.197,0.966,3.662,3.534],"USDCAD^FG_COMPANY_NAME":"Canadian Dollar per U.S. Dollar","SPY^P_PRICE_RETURNS_PR('52W',2,-10AY,0,AM)":[18.533861,24.403309,16.700876,24.660957,19.54503,16.945076,16.62178,13.462114,13.454378,15.581285,12.539196,12.861323,11.89971,7.2401047,11.156249,0.41838884,-0.7667005,6.39956,2.7581215,1.2520194,-2.0977497,-6.2048674,1.7034411,0.097203255,1.524806,3.9874315,5.266583,12.377238,15.318548,4.4359684,7.8888774,10.880923,19.978392,23.81791,17.08033,17.143845,17.442608,17.782104,15.970575,16.169823,19.394566,23.432648,22.685932,21.255516,26.29918,17.105639,13.848591,13.216103,14.354408,14.497126,16.130901,19.489134,18.240929,7.1593046,5.9098125,-4.557073,-2.4151802,4.549575,9.4401,13.325298,3.580451,10.313547,7.8258753,2.7445555,4.1229367,14.324867,17.014767,31.221748,21.445179,8.319605,-6.865406,0.84153414,11.625695,7.3739767,12.00403,21.861912,15.06319,9.475517,17.456352,18.373215,15.459394,24.429953,56.24609,45.97652,40.877594,40.901947,37.39109,31.212402,29.96148,41.14951,27.609455,28.745068,23.210453,16.338802,15.465248,-0.6193757,-0.3903091,-10.613799,-5.1715193,-11.238348,-15.506047,-14.628708,-9.152842,-18.377907,-8.1831875,-7.7693224,-7.8076067,-1.1174798,2.9186726,19.439352,12.947905,15.838718,19.705069,10.0050335,13.730848,25.857162,20.614195,30.18179,34.14805,22.44668,28.048897],"EWA^FMA_DIV_YLD(NTMA,-10AY,0,AM,\"PORTAGG\",\"MEANR\")":[4.76787007711511,4.8614252043805,4.65091816289275,4.68770238647863,5.06983065302606,4.82442256969284,5.05729751582958,4.96554929207771,4.85263383422431,4.54828740335052,4.60296014744335,4.66908395864275,4.72128589665948,4.97760974693421,4.80219644739101,5.31708946470305,5.48236505579358,5.23404955292721,5.280516439438,5.09625601977213,5.16485227293288,5.06107515679422,4.84025061307237,4.66488079401308,4.55981713538301,4.68345254893275,4.4165776472972,4.53525403229593,4.54194004314948,4.65249662183751,4.5918415003042,4.5298092555234,4.57119355962778,4.5717486002536,4.50467500361871,4.48460239361545,4.66491201326183,4.6242746098921,4.5923885840702,4.58664417733871,4.61835372653978,4.50389159340749,4.48604957366464,4.44755058472285,4.51570974612668,4.59136730906863,4.85353405226345,4.71986028972854,4.73531609167068,4.59945664941218,4.57955121599332,4.61443164962547,4.74035855664265,5.05946048350328,5.32008527872189,5.36029790381623,5.10922260102648,4.92273926541311,4.95245111544423,4.89848222344739,4.84599235793604,4.61133917838727,4.51610995562603,4.67175098058672,4.45019366044331,4.40895685526193,4.2750688237062,4.30780774994785,4.1711082845887,4.49462427624511,5.2341534429209,3.85929479664901,3.59095620411203,3.46735963901637,3.42710956751037,3.40169490572535,3.70449545854221,3.78674181142676,3.51390267288056,3.58444483548155,3.68018032105607,3.92576677494895,3.9892559805893,3.93143691502429,3.87746931847295,4.05043862947018,4.12057268951881,4.02826857563785,4.06921988670776,3.98050528180388,4.0905809432237,3.87524385841503,4.32610454806441,4.3854093997208,4.17617756879285,4.46012951298553,4.71298515581349,5.25134644177273,4.83355219496024,4.74955568925461,5.2635282249166,4.97106485578871,4.46241891506754,4.5472140818103,4.28041534778076,4.4748128289896,4.54282694819021,4.42963180770204,4.56615726670654,4.2992331256683,4.07073225680667,4.12702321226136,4.29654795202818,4.55575710142028,4.29478564494486,3.97495871443751,3.95317385597796,3.9839710917345,3.89800473260612,4.01562454510399,4.03071317759373],"EWD^FMA_PE(LTMA,-10AY,0,AM,\"PORTAGG\",\"MEANR\")":[15.7451402480134,15.7580758413011,15.9380656639025,15.8372840366843,16.097189181004,16.3360450818904,17.3208469203877,17.5843936947817,18.7007555337374,20.3028254397121,19.9672398714517,19.2653648066019,19.3143446016606,18.4735083284141,18.4990183364309,17.4821422358902,16.474867702628,17.193332412251,17.0076008159945,16.0162580656525,14.8347806892059,15.5788877722231,15.5688489885308,15.654626448611,15.5810379588542,15.3620786372076,15.8425074431522,16.0726220422973,16.4554693449696,17.2817936170811,17.3917000392558,18.1859107293486,18.0732720093617,17.4411948352494,17.6049334019684,17.6333708179951,18.100098450887,17.4990003834848,17.0615360152742,16.8530498214739,17.7146987001221,18.631176188588,17.9831686838286,17.8917428432806,18.698155855043,16.9913152915228,16.8339577519838,16.7954418953087,16.5642717442294,16.4769912290327,16.637170380723,16.8131756196541,16.930242746771,15.3250642200012,14.8233032959828,13.8015710705117,16.0633534429438,18.1595410936155,17.8396800527696,17.8878899439379,16.9717150991156,17.1318598119642,16.8142201062076,15.7954335539401,16.4963606302415,16.8046876798181,15.8831275329608,16.1722447509129,13.818045937379,12.8814431365747,12.979578003227,14.5160519252829,15.7765877299044,17.2533309147371,16.8694335747451,17.2029269133297,18.115578059276,15.0098709375956,16.8143784229845,17.9141111017309,17.8797877396813,17.5604128865816,18.1538333079748,17.842205264548,17.7605343244215,17.8941999617055,17.5041910697617,17.4465645600101,16.9899769713474,16.4257302007284,16.3317147978605,16.8898189173051,12.2227705636803,11.6552366179579,12.0371219696064,12.2495902229145,13.6973653769337,13.2508592159055,14.7340592634055,14.420284064999,14.3110336907539,13.4035826385983,14.2621742992069,15.4453401904452,24.414106400722,25.6790377269273,24.447430349432,23.3628183076313,21.9287604214749,20.9228819471348,19.560105557109,17.8353293574686,16.7595290657134,15.7093974455797,16.0134780705313,17.9664134762761,15.4288680529925,15.7867160603531,15.9085794415529,15.9096999557959,15.9925349265853],"PASP-FDS^FG_PRICE_MAVG(0,,,,30)":989.56665,"BRENT-FDS^FG_PRICE_CHANGE(0,-1AY)":17.713188922402,"ENZL^FG_PRICE_MAVG(0,,,,60)":45.146797,"FXI^P_PRICE(0)/P_PRICE_HIGH_PR(0,,,,,,\"PRICE\",\"INTRA\",\"52W\")":0.87197113,"VWO^P_PRICE(0)/P_PRICE_HIGH_PR(0,,,,,,\"PRICE\",\"INTRA\",\"52W\")":0.9580594,"EWN^P_PRICE(0)/P_PRICE_LOW_PR(0,,,,,,\"PRICE\",\"INTRA\",\"52W\")-1":0.41058135,"EWL^FMA_PCT_ABOVE_MAVG(200,0,,,,\"PORTAGG\")":62.2222222222222,"EWG^PERCENT_CHANGE(FMA_EPS(+1,0,,,,\"PORTAGG\",\"MEAN\"),FMA_EPS(+1,-1AM,,,,\"PORTAGG\",\"MEAN\"))":3.83971432018701,"EWA^PERCENT_CHANGE(FMA_EPS(+1,0,,,,\"PORTAGG\",\"MEAN\"),FMA_EPS(+1,-3AM,,,,\"PORTAGG\",\"MEAN\"))":2.10322752624375,"SPY^FMA_COS_UP(\"EPS\",\"1M\",+1,0,,,\"PORTAGG\",\"MEANR\")":223.0,"CAGDPY@GB^EE_ACTUAL_ANNUAL(MED,0)":-3.3,"CC_NZ^FG_COMPANY_NAME":"New Zealand","USDANG^FG_PRICE_CHANGE(0,-3AM)":0.0,"USDUSD^STD(FG_PRICE_CHANGE(0,-1AY,AM))":0.0,"USDCHF^FG_PRICE_CHANGE(0,-1AY)":-1.3126969,"USDNZD^FG_PRICE(0)":1.6276041,"EWN^FMA_PE(NTMA,-10AY,0,AM,\"PORTAGG\",\"MEANR\")":[14.3355719632522,14.5244310277177,14.0133930291893,14.4572310569034,14.6588479027252,14.6029947441027,15.2708740916053,14.8474962949318,15.7673862704467,16.9244555464129,17.1393963639161,16.899703396284,17.0008564848339,16.1758437499415,16.8091333988136,15.0417455724395,14.3290898284518,15.8345823022642,16.4755893395924,15.3744123294909,15.0778451205177,14.8648040793015,15.3025945897703,14.946129809202,15.3186071877111,14.1493337998427,14.7851056451738,14.970452520999,14.9630416582273,14.7288844051714,14.6202978154517,15.0459531872303,14.8942772124415,15.4775278626066,16.086544809033,16.3456238317593,16.260813959052,15.6412271612394,15.9734890114289,15.6538832000291,16.0204057170152,16.348989016967,15.935676149453,15.907886313488,16.2347494310565,15.6135502244024,15.3810444251276,15.6689313104486,15.6505084054599,15.5222598755721,15.9805915688357,15.4862825689879,14.9443294080648,14.0141960198466,14.122416896252,13.0874773100853,14.0907039039889,14.8504332804713,15.1517121988869,15.8109121539052,14.8405745987493,15.4834378485148,15.7164271951198,15.411123426451,16.3268498149704,16.1963162754287,16.7305213072439,17.007742429646,16.8189456167575,15.6522151155051,14.3927232746588,17.2663608432009,18.4182831593396,19.4645503819679,19.4070701657064,19.5003162651232,19.1928443394362,18.5871180103249,20.6779772404281,20.5781242257232,20.829866004697,21.4166993700112,22.3556404899692,21.8694192303021,21.2145092805885,21.2895109435962,21.4580485401318,21.9891725991595,20.4210030997048,21.2075945846614,20.0221093394656,20.6156105422855,18.7204305858012,17.4728515755676,18.2909792322055,17.1899384650319,17.3269502777391,15.9400810077584,18.0284286033431,16.1304037440054,14.3557537296509,15.1875508486666,16.6007958050764,15.3296391927015,16.9764496729573,16.4807481202809,16.5539690403413,15.8332249132083,15.565088822145,15.8423339530839,16.2219496370401,14.6833340611682,13.6306146163874,13.2930575987531,14.6434912139382,15.1008577463554,15.6774730143348,16.3298327972927,16.3778003736016,15.6381782297323,16.1302055844928],"WL-FDS^FG_PRICE(0)":541.7,"PLATI-FDS^FG_PRICE_CHANGE(0,-6AM)":9.75609756097562,"W-FDS^FG_PRICE_MAVG(0,,,,30)":6.3759165,"TIOS-FDS^FG_PRICE_CHANGE(0,-1AY)":11.9444180070429,"EWC^FG_PRICE_MAVG(0,,,,200)":35.74815,"SPY^FG_TOTAL_RETURNC(0,-3AM)":4.121363,"ENZL^PERCENT_CHANGE(FMA_EPS(+1,0,,,,\"PORTAGG\",\"MEAN\"),FMA_EPS(+1,-1AM,,,,\"PORTAGG\",\"MEAN\"))":2.89911863006194,"QQQ^FMA_COS_UP(\"EPS\",\"1M\",+1,0,,,\"PORTAGG\",\"MEANR\")":44.0,"EWA^FMA_COS_UP(\"EPS\",\"1M\",+1,0,,,\"PORTAGG\",\"MEANR\")":26.0,"EWD^FMA_RBICS_REV_CURRENT(30, LOC, \"PORTAGG\")":25.9129717795788,"TRYNZ10Y-FDS^FG_YIELD_NAME":"New Zealand Benchmark Bond - 10 Year","REFSEREPO-FDS^FG_YIELD(NOW,,,0)":3.75,"REFCHMPR-FDS^FG_YIELD(NOW,,,0)":1.5,"EWU^JULIAN(FMA_DIV_YLD(NTMA,NOW,NOW,M,\"PORTAGG\",\"MEANR\").DATES)":45441,"EWG^FMA_DIV_YLD(NTMA,NOW,NOW,M,\"PORTAGG\",\"MEANR\")":3.38226238077507,"ENZL^FMA_EVAL_EBIT(LTMA,NOW,NOW,M,\"PORTAGG\",\"MEANR\")":20.6467565385073,"USO^FG_TOTAL_RETURNC(0,-6AM)":6.6723704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4,12.1997093940908,11.8187115511422,11.9489916743573],"TRYKR10Y-FDS^FG_YIELD(-10AY,0,Y,,\"YTM\")":[2.6272,2.0852,2.0916,2.4797,1.9804,1.6728,1.7238,2.2417,3.6906,3.1928],"USDCAD^FG_PRICE_CHANGE(0,-6AM)":0.53840876,"QQQ^P_PRICE_RETURNS_PR('52W',2,-10AY,0,AM)":[25.46928,33.792805,27.334286,33.3786,27.086782,24.283768,26.229132,19.179333,18.667316,21.192778,21.789015,24.527943,21.874952,15.236449,19.081152,5.661404,4.12066,14.533043,8.719373,9.446454,3.2431483,-4.4762077,4.536438,-2.2656262,1.356566,1.5723228,4.4645905,12.88842,17.987537,4.3982387,4.2188287,5.768156,20.965744,27.112543,22.474062,29.270626,29.36679,29.312193,25.583696,26.855719,24.666859,31.357014,33.36562,31.301426,37.22836,29.77649,22.133816,19.375706,21.415806,25.764442,24.190569,28.700888,29.643906,12.47189,10.00483,-0.11628866,0.11672974,4.4618845,13.173866,18.796682,3.1725526,10.041022,9.253335,1.4514327,2.5404215,17.097092,23.072565,38.959766,31.346619,19.806744,6.883073,16.481829,33.70054,33.65792,40.203667,58.56049,48.253918,37.770927,47.177517,48.61877,42.826843,46.148014,68.656364,55.36039,46.099426,43.958008,40.404236,29.579771,29.52609,40.44498,32.143093,27.420341,15.971756,10.929001,14.150465,-7.483202,-7.2360516,-20.482086,-13.443971,-20.797295,-24.874979,-27.566278,-25.047134,-32.999577,-18.252474,-14.729929,-10.799914,-0.90897083,13.744998,32.74591,22.494816,27.206707,32.6771,27.094387,33.446037,54.759644,42.5032,50.5739,45.53448,32.507492,30.380201],"EWA^FG_TOTAL_RETURNC(-10AY,0,AM)":[0.41587353,-0.13749003,1.7604351,2.1436572,-11.855668,6.223893,-7.0782604,-3.1299055,-1.1276484,8.029199,-3.4628391,2.012241,-3.3447623,-4.438156,-0.5230665,-10.850864,-3.9142072,5.5803537,0.8985162,2.0926118,-6.962025,-2.0408094,11.805546,3.1573534,-2.408427,1.4178395,7.4035883,-3.2072783,3.3630133,-2.9664993,0.7889509,1.619029,4.9925923,3.3427596,3.0068278,-0.6634295,-4.3187857,3.1023026,4.7047973,-0.22026896,-0.92715025,1.1586428,0.3083706,4.2622447,2.5895596,-3.9966404,-3.5056949,0.7720232,1.7124772,2.1366239,1.3710737,-1.876092,-1.6451716,-6.8716106,0.9708643,-3.8801312,6.9610357,3.35114,1.1278152,1.1617064,0.13779402,5.5066705,-0.5767584,-3.2574713,2.629149,1.2584329,1.3315558,1.1503577,-1.678443,-9.613651,-22.763426,9.652519,5.9859037,8.281696,3.3212185,4.419899,-5.1467123,0.25355816,14.921594,6.3082933,-0.83507895,3.2000065,1.1423945,4.3969274,3.3230305,-1.4880061,-0.8083105,0.5820751,-4.243827,6.6075683,-7.5585785,5.212271,-8.0145,5.2977204,9.896051,-6.999624,0.40683746,-11.241686,7.1630597,-3.649956,-10.451841,5.60652,14.333987,-4.41556,11.830866,-7.9646053,0.26224852,0.87183714,-5.488324,5.058217,3.5920262,-4.9229503,-3.1517267,-3.5797298,8.244944,10.652506,-2.958089,1.2701035,3.093648,-5.352795,5.6126833],"EWC^FMA_PE(LTMA,-10AY,0,AM,\"PORTAGG\",\"MEANR\")":[16.1390984926413,16.2990457066519,16.3879560600367,16.4896600252732,15.9385852113845,15.6968746345144,15.7189486163917,15.5969389852536,15.7778455702872,17.0329169622469,17.0537384089858,17.291583403836,17.1912616787092,17.0368960563084,17.0229383832672,16.6501956782915,16.3557797116867,16.6370606081625,16.7298411439598,15.7794491987031,15.5883753476423,15.7408114629064,16.0234717543097,16.4169682941824,16.6451689999148,16.7905208419987,17.2074508805517,17.484928913621,17.8787659375175,18.20460586272,18.8212563232202,19.369708934889,19.5943400655692,19.3935176217041,19.1093046046532,18.8062020102816,18.357653609761,18.0575223370907,17.9681090991237,17.6190830929874,17.6540699516057,17.6157545620182,17.2597403951379,17.2069151729046,16.753191264089,15.8440303406712,15.6942942467633,15.5981434819284,15.4998553515382,15.4956522413703,15.5298456094147,15.2389778780504,15.03811676012,14.1829544141862,14.054323813253,13.1315578525348,14.5619322093374,14.7252061834248,14.7083814108673,14.6299807515865,14.3717500238412,14.4933225115679,14.4837677283204,14.4218130030175,14.6715024135969,14.7323137307947,15.1019996324581,15.2532362977261,15.3686742646582,14.3479619341519,14.258098988357,15.5980964154511,17.204524579097,17.3596214681318,17.9754654025799,18.2967075841531,18.3023412651024,17.9859032206936,19.7794579576226,20.3674881248119,20.1128469764759,19.9904739717302,19.5681169042637,19.2245259404903,18.835578146848,18.4433813061777,17.7701510817431,17.1610951858308,16.3739671994353,16.6269098880527,15.5332182265569,15.4052054193869,15.2838032613273,15.2489708409917,15.0350926337496,14.6000199213932,14.2851353505737,13.4359753909242,13.359082815033,12.8119642827569,12.1689396395286,12.4993225497298,12.7613976174003,12.0433714481908,12.919846311917,12.5722768101288,12.6384051198165,12.821755119653,12.7311558358965,13.0375879356463,13.5814027033861,13.5097986309599,13.3014635679061,12.9726383907039,13.8819325512331,14.6105070525709,14.6494452381385,14.8629000274154,14.9673308316518,14.8335087882602,14.8925384196315],"EWI^FG_PRICE_MAVG(0,,,,60)":37.478,"QQQ^FG_PRICE_MAVG(0,,,,200)":405.83795,"SPY^PERCENT_CHANGE(FMA_EPS(+1,0,,,,\"PORTAGG\",\"MEAN\"),FMA_EPS(+1,-1AM,,,,\"PORTAGG\",\"MEAN\"))":0.518500757194367,"VWO^FG_TOTAL_RETURNC(0,-12AM)":14.347243,"EWI^P_PRICE(0)/P_PRICE_HIGH_PR(0,,,,,,\"PRICE\",\"INTRA\",\"52W\")":0.986284,"EWN^FG_TOTAL_RETURNC(0,-6AM)":22.27645,"EWU^FG_TOTAL_RETURNC(0,-1AM)":4.6685815,"EWC^PERCENT_CHANGE(FMA_EPS(+1,0,,,,\"PORTAGG\",\"MEAN\"),FMA_EPS(+1,-1AM,,,,\"PORTAGG\",\"MEAN\"))":0.646550061573453,"TRYSE10Y-FDS^PCTCHG(FG_YIELD(0,,,,\"YTM\"),FG_YIELD(-3AM,,,,\"YTM\"))":-2.3255754,"TRYCA10Y-FDS^PCTCHG(FG_YIELD(0,,,,\"YTM\"),FG_YIELD(-3AM,,,,\"YTM\"))":3.68752,"TRYUS10Y-FDS^FG_YIELD(0,,,,\"YTM\")":4.4877,"CC_FR^IMF_IFS_RCPI_Q(0)":2.79402,"VGK^FMA_EVAL_EBITDA(NTMA,0,,,\"PORTAGG\",\"MEANR\")":8.84202842781328,"EWD^FMA_PE(LTM,0,,,\"PORTAGG\",\"MEANR\")":14.1030810222529,"SPY^FG_FCF_YIELD_NTM(0)":4.19580170772334,"SPY^P_PRICE(0)/P_PRICE_HIGH_PR(0,,,USD,,,\"PRICE\",\"INTRA\",\"52W\")":0.9893072,"CAGDPY@CH^EE_ACTUAL_ANNUAL(MED,+1)":8.2,"USDITL^STD(FG_PRICE_CHANGE(0,-3AY,M))":2.1706634454579,"USDANG^FG_PRICE_CHANGE(0,-1AM)":0.0,"USDUSD^FG_PRICE_CHANGE(0,-6AM)":0.0,"USDCHF^FG_COMPANY_NAME":"Swiss Franc per U.S. Dollar","USDNZD^FG_COMPANY_NAME":"New Zealand Dollar per U.S. Dollar","EWQ^FMA_PE(NTMA,-10AY,0,AM,\"PORTAGG\",\"MEANR\")":[14.2057205503567,13.9377982028292,13.3893519847693,13.6611265422643,13.6129141773582,13.2064043588754,13.8444256314468,13.7780667903218,15.2955982571255,16.3806904032679,16.4716348607034,16.3156461146434,16.1051962930377,15.2096453260542,15.7846630693225,14.3338208850367,13.8563951276488,15.1709503017873,15.405877827229,14.5525026687196,14.2508273518429,14.1983688040375,14.3914536044623,14.4793950055038,14.5603766851143,13.5851724271271,14.1493710319285,13.9362524648432,13.8718181444197,13.9240335962386,13.8667761110957,14.5703388121852,14.1634861802424,14.1974243755866,14.9122561126064,15.211280112837,15.0937389272516,14.5439537287869,14.4858858708906,14.4845073396433,15.1352822443408,15.4155328595604,15.0190045862556,14.8031492764166,15.2021136154235,14.6426222392187,14.1993168392958,14.8267565499237,14.3036931675741,13.9729637950702,14.2084678086939,13.7846595155505,13.8591447188231,12.789106881111,12.5043562104057,11.8840659032109,12.8574951675523,13.4777878618813,13.5977769794351,14.1338119963746,13.1707166827115,13.907820388871,13.9719411459044,13.7897919750858,14.1965124404437,14.4484799832747,14.7433177695644,14.8880796205845,14.5204036396201,13.4531981399549,12.7672608960438,16.4559191662864,17.5357910752438,18.8634523868808,19.2534714877659,19.2592530097834,18.0340367942636,16.5600245117209,18.8596995722127,17.9677190648947,17.2558561401686,17.7312659502066,18.1864810766168,17.9453344323506,17.9229278785213,17.360180927991,16.7021484466853,16.3035095256812,15.5937623676486,15.7134761555958,15.0532267887914,15.7996277609271,14.9009285904655,13.8957966566799,13.572592385946,12.8610043118597,12.3568810848711,11.196358858434,11.7007074649002,11.0495131548942,10.2198600360135,11.1755670374926,12.131031201047,11.8173445902711,13.1431609224257,13.2122055717057,13.2882328943944,13.7329079534024,12.7255478195111,13.287966655341,13.3793824555019,12.9278719888706,12.4800074723211,12.1187073306274,12.9180766089218,13.4147515219524,13.7680125364236,14.2666083281529,14.7130619455674,14.3854264951968,14.1656197209554],"PASP-FDS^MAX(FG_PRICE(0,-5AY))":3158.12,"PLATI-FDS^FG_PRICE_CHANGE(0,-3AM)":15.6424581005587,"W-FDS^FG_PRICE(0)":6.785,"TIOS-FDS^FG_PRICE_CHANGE(0,-3AM)":-5.79849431363126,"QQQ^FG_PRICE_MAVG(0,,,,30)":440.917,"EWC^FG_PRICE_MAVG(0,,,,60)":37.82733,"SPY^FG_TOTAL_RETURNC(0,-1AM)":5.0579667,"EWJ^PERCENT_CHANGE(FMA_EPS(+1,0,,,,\"PORTAGG\",\"MEAN\"),FMA_EPS(+1,-1AM,,,,\"PORTAGG\",\"MEAN\"))":0.111296983303716,"ENZL^FMA_PCT_ABOVE_MAVG(200,0,,,,\"PORTAGG\")":35.7142857142857,"EWI^SIZE(FG_CONSTITUENTS)":26,"EWU^SIZE(FG_CONSTITUENTS)":86,"ENZL^SIZE(FG_CONSTITUENTS)":14,"EWJ^FG_ROE(0)":9.48030563336835,"REFSEREPO-FDS^PROPER_NAME(0,,,\"SECURITY\",\"NAME\")":"Sweden Repo Rate","EWL^FMA_EVAL_EBIT(LTMA,NOW,NOW,M,\"PORTAGG\",\"MEANR\")":16.4771992922196,"EWG^FMA_PE(NTMA,0,,,\"PORTAGG\",\"MEANR\")":11.8498561318536,"ENZL^FMA_EVAL_EBITDA(NTMA,0,,,\"PORTAGG\",\"MEANR\")":12.2153308934444,"USO^FG_TOTAL_RETURNC(0,-3AM)":1.9901872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TRYZA10Y-FDS^FG_YIELD(-10AY,0,Y,,\"YTM\")":[7.9537,9.7513,8.9047,8.58389,9.37766,9.011772,9.179499,9.791837,10.764477,11.358896],"USDCAD^FG_PRICE_CHANGE(0,-3AM)":0.5013466,"EWU^P_PRICE_RETURNS_PR('52W',2,-10AY,0,AM)":[16.814459,25.512909,15.170586,15.797376999999999,4.8584223,-0.83319545,-0.92360973,-7.6141834,-4.1665373,-3.8355708,-6.4168987,-4.4952154,-4.958558,-9.246236,-5.542195,-13.759589,-12.187279,-3.4619868,-6.2618017,-7.0310116,-13.161498,-19.090431,-9.5803795,-12.776184,-13.390893,-11.979437,-11.29415,-3.3891618,1.0065198,-10.263002,-8.565736,-2.2000492,6.355214,11.167658,7.828665,5.2861214,11.523366,12.39264,13.360238,11.217987,14.755737,21.142637,20.762909,22.385906,23.088741,13.1853695,11.250126,14.088869,8.449089,8.916473,7.339728,3.4807682,2.6582599,-5.356586,-6.380373,-14.279747,-11.346096,-1.7200589,-0.6216824,-2.5694191,-7.9849424,-1.8142223,-5.848509,-6.363696,-3.454572,7.1807384,8.943892,21.251917,8.173239,-6.1158657,-24.502748,-21.944893,-15.611762,-17.672295,-15.07954,-9.303581,-16.228367,-23.161512,-11.355459,-11.804509,-9.521162,1.8073559,34.626366,32.282997,33.289337,30.564892,27.412487,27.448809,30.132092,41.97334,16.612434,18.223583,21.188759,15.223575,12.264883,2.7083993,2.571857,-4.1285458,-2.1952212,-8.357298,-14.958173,-12.883341,2.9738069,-4.375112,-0.6660938,-0.37469864,-0.8803785,8.040512,-0.5976796,11.721849,11.468172,14.526903,25.046766,12.545311,6.2900424,11.871648,3.8411498,5.8078885,13.225675,6.656146,18.739557],"ENZL^FG_TOTAL_RETURNC(-10AY,0,AM)":[-2.5339723,1.8623233,-3.6316216,0.5665064,-5.731082,3.3512592,0.5784273,2.728176,-3.5767913,6.2256813,-2.173382,1.2234092,-5.99283,-6.6702185,0.51903725,-7.573146,-0.7448852,13.617886,-1.5549719,6.783998,-6.4300957,3.0225277,13.838911,1.6776085,0.35868883,3.8282156,8.115649,0.6448865,0.06622076,-8.454466,-1.5155017,-2.6928663,9.41354,-0.7591486,-2.1325886,0.8526802,3.687179,6.7359686,2.983141,-2.2040308,1.1375785,-3.289473,-0.10972023,6.2870264,4.529166,-2.8214395,1.2028217,-2.581966,2.650392,0.7456541,-0.16545653,1.6159058,-0.9174347,-6.748968,6.542361,-2.97665,5.606258,1.7283916,5.764568,0.0764966,-2.3504734,6.0411572,1.8452644,-5.141181,0.5817294,1.1760235,6.4786673,5.5488944,-2.7532458,-5.8582664,-15.69888,9.165359,5.5801034,11.065602,3.6527276,3.1835198,-5.065173,3.1803966,11.891532,3.6521196,-0.54356456,-7.6366305,-0.43179393,3.710246,-4.5609417,-0.57684183,-0.4611373,4.980147,-2.6792765,3.384614,-8.129698,1.9298077,-11.695486,4.6280622,1.1121273,-9.171897,-3.2225788,-6.9456396,8.162796,-2.9937625,-11.744535,5.9009194,11.832153,0.03157854,7.363546,-6.0911236,2.0020366,-0.020033121,-4.487175,3.7548184,2.082479,-9.480005,-2.1431684,-5.983293,11.635447,6.494963,-5.0417542,-2.1932662,0.9991169,-2.6159644,5.304742],"EWA^FMA_PE(LTMA,-10AY,0,AM,\"PORTAGG\",\"MEANR\")":[15.1855028620529,15.1180423639895,15.533709820237,15.4733873600374,14.6663718040085,15.3641044826555,14.6159399654796,14.8069956260328,15.1903814057501,16.2153413101021,16.2630540157583,16.3118554700844,16.2684044607572,15.8766669411465,16.1917626947425,15.4603860899744,15.0566237043515,15.6354822088134,15.4413218693883,16.060762601513,15.2110112431526,14.9240656400827,15.1708600017846,15.4385687174031,15.7834831026615,15.7509688194097,16.4563314824928,16.5119794618042,16.7199617585058,16.7688602697034,17.1057659710769,17.7086539390355,17.4572350451697,17.525706890154,17.3884455417508,17.3031016060056,16.8855941366179,16.7910295964712,16.8039456995318,16.5972795600273,16.3183191989285,16.6257694162249,16.5931516514892,16.8278911331571,16.7548669342687,16.5525904197488,16.2815090514869,16.289045768338,16.169090676794,16.2800875614586,16.3533026121952,16.3597947840177,16.0770105289925,15.2302589078425,14.8672537208656,14.6223187067508,15.2778187885764,15.9106076548454,15.8666437464871,15.8616983106033,15.9137931434095,16.2586098308163,16.5255472296473,16.2495305438143,16.8002281868633,17.2646260360223,17.7420544241093,17.7688229253514,18.44603794122,16.9463800934025,16.3183293616499,17.4121566150773,17.9377896502397,18.3776447473684,18.9843454772302,19.8421573733972,19.0859778866838,19.5329044080874,21.9705041624339,22.9540612302639,22.4120238044229,21.8034729969148,21.296471644612,21.0392869257868,20.7408731655517,19.9878916206341,19.2280867786815,19.1509438020204,18.5393124863969,18.5560764677824,17.468434625997,17.8166424238212,15.786336769769,15.6714131906656,15.8138554337404,15.4451641663444,15.0103046160729,14.0784533356616,14.5092909327015,14.3596513018127,13.2218391737573,13.473374398038,14.4506028450662,14.0289358848587,14.8941228615624,14.2663938470017,14.2408176993964,14.3273091999696,14.1623378185499,14.6024219137249,15.1653523051509,15.1831934917798,14.8131305964159,14.3668544728937,15.2435460634164,16.569398491349,16.7068739563233,16.6076554764632,16.6757015459275,16.5828126167367,16.6038726808143],"EWI^FG_PRICE_MAVG(0,,,,30)":37.920666,"SPY^FMA_PCT_ABOVE_MAVG(200,0,,,,\"PORTAGG\")":64.2714570858283,"VWO^P_PRICE(0)/P_PRICE_LOW_PR(0,,,,,,\"PRICE\",\"INTRA\",\"52W\")-1":0.15018022,"EWI^FG_TOTAL_RETURNC(0,-6AM)":19.223415,"CAGDPY@NL^EE_ACTUAL_ANNUAL(MED,+1)":8.35,"CAGDPY@NZ^EE_ACTUAL_ANNUAL(MED,0)":-6.9,"USDSEK^FG_PRICE_CHANGE(0,-6AM)":0.36597252,"USDGBP^FG_PRICE_CHANGE(0,-1AM)":-1.6533136,"USDEUR^STD(FG_PRICE_CHANGE(0,-1AY,AM))":1.93913196146154,"EWN^FG_TOTAL_RETURNC(-10AY,0,AM)":[0.85603,0.580585,-5.82031,2.0323515,-1.8699229,-1.5737355,4.839623,-3.7062466,0.35556555,6.66945,-1.2114108,3.2832265,1.7617702,-2.1730661,3.1529784,-7.660377,-4.372698,6.8376064,-1.0800004,-3.0060053,-1.9714713,-2.695769,8.179426,0.4878044,0.7686138,-5.721712,4.0172815,3.1561494,0.8856654,-2.3144424,-3.8807154,3.9574385,2.4430633,2.8698564,5.3438067,4.7370434,4.8789263,-0.56136847,6.256485,-0.32531023,2.447784,0.98757744,-0.5362749,1.203835,5.798924,-5.242777,0.5029917,0.50047636,-2.4276376,-1.0966837,3.9659142,-2.1437526,-2.7384043,-7.982773,2.339816,-7.046586,7.7186346,4.6240687,0.8434534,6.189358,-6.5847516,6.573224,-0.032424927,-0.74602365,2.483666,1.9770384,1.9387126,4.291749,-3.4554124,-6.8828344,-14.618927,9.503651,7.940972,7.117331,3.8214564,4.0636063,-1.4431179,-2.4978518,14.57597,6.592548,2.370584,4.0170193,4.838717,4.1603446,2.974832,-1.4730096,3.1166077,5.984795,-6.9877267,5.7868004,-5.6237993,2.5156856,-7.60653,-7.693964,-1.1674047,-9.213328,2.7582645,-10.055744,8.528233,-9.96058,-10.770577,7.131171,19.022894,-3.8705409,13.319004,-3.317541,3.4313798,0.28436184,-1.063329,4.5256615,3.234756,-7.676816,-7.830304,-1.4992118,12.630177,6.606722,2.0389915,4.8309207,3.6447406,-3.4559429,7.1593046],"ENZL^JULIAN(FMA_DIV_YLD(NTMA,-10AY,0,AM,\"PORTAGG\",\"MEANR\").DATES)":[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6,43738,43769,43798,43830,43861,43889,43921,43951,43980,44012,44043,44074,44104,44134,44165,44196,44225,44253,44286,44316,44344,44377,44407,44439,44469,44498,44530,44561,44592,44620,44651,44680,44712,44742,44771,44804,44834,44865,44895,44925,44957,44985,45016,45044,45077,45107,45138,45169,45198,45230,45260,45289,45322,45351,45379,45412,45441],"DDR3512M-FDS^FG_PRICE_MAVG(0,,,,30)":0.96639574,"CPALM-FDS^FG_PRICE_MAVG(0,,,,30)":3925.3333,"FC0000AU^FG_PRICE(0)":359.00586,"EWN^FG_PRICE(0)":51.19,"QQQ^FG_TOTAL_RETURNC(0,-1AM)":6.151819,"EWA^FMA_PCT_ABOVE_MAVG(200,0,,,,\"PORTAGG\")":54.2372881355932,"URTH^SIZE(FG_CONSTITUENTS)":1467,"EWQ^SIZE(FG_CONSTITUENTS)":64,"EWG^SIZE(FG_CONSTITUENTS)":58,"ENZL^FMA_RBICS_REV_CURRENT(30, LOC, \"PORTAGG\")":14.5670087916152,"QQQ^FMA_PE(LTM,0,,,\"PORTAGG\",\"MEANR\")":33.2415958436168,"EWJ^FG_FCF_YIELD_NTM(0)":4.11745685271078,"EWC^JULIAN(FMA_DIV_YLD(NTMA,NOW,NOW,M,\"PORTAGG\",\"MEANR\").DATES)":45442,"VGK^FG_TOTAL_RETURNC(0,-6AM)":14.809918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WJ^FG_PRICE_MAVG(0,,,,200)":64.81095,"VGK^P_PRICE(0)/P_PRICE_HIGH_PR(0,,,,,,\"PRICE\",\"INTRA\",\"52W\")":0.99345756,"EWD^FG_TOTAL_RETURNC(0,-6AM)":19.31529,"EWQ^FG_TOTAL_RETURNC(0,-1AM)":4.1458488,"EWL^PERCENT_CHANGE(FMA_EPS(+1,0,,,,\"PORTAGG\",\"MEAN\"),FMA_EPS(+1,-3AM,,,,\"PORTAGG\",\"MEAN\"))":2.1825029931507,"REFFFUND-FDS^(SUBARRAY(NOT_NA(NO_REPEAT_F(FG_YIELD(NOW,-10AY,D))),0,1)-SUBARRAY(NOT_NA(NO_REPEAT_F(FG_YIELD(NOW,-10AY,D))),1,1))*100":25.0,"TRYGB10Y-FDS^PCTCHG(FG_YIELD(0,,,,\"YTM\"),FG_YIELD(-3AM,,,,\"YTM\"))":1.889922,"TRYSE10Y-FDS^FG_YIELD(0,,,,\"YTM\")":2.436,"TRYCA10Y-FDS^FG_YIELD_NAME":"Canada Benchmark Bond - 10 Year","VWO^FMA_EVAL_EBIT(LTMA,NOW,NOW,M,\"PORTAGG\",\"MEANR\")":14.3789902738816,"UUP^P_PRICE(0)/P_PRICE_HIGH_PR(0,,,USD,,,\"PRICE\",\"INTRA\",\"52W\")":0.9504392,"CAGDPY@NL^EE_ACTUAL_ANNUAL(MED,0)":10.0884806997308,"COPP-FDS^FG_PRICE_CHANGE(0,-6AM)":20.3969704883782,"EWQ^FG_PRICE_MAVG(0,,,,200)":38.497326,"QQQ^PERCENT_CHANGE(FMA_EPS(+1,0,,,,\"PORTAGG\",\"MEAN\"),FMA_EPS(+1,-3AM,,,,\"PORTAGG\",\"MEAN\"))":0.260261155914555,"ENZL^FG_TOTAL_RETURNC(0,-12AM)":0.87560415,"EWQ^FMA_COS_DOWN(\"EPS\",\"1M\",+1,0,,,\"PORTAGG\",\"MEANR\")":24.0,"EWI^FG_ROE(0)":14.1170326726547,"TRYMX10Y-FDS^FG_YIELD(-10AY,0,Y,,\"YTM\")":[5.8237,6.2537,7.5651,7.6401,8.7069,6.8373,5.552,7.558,9.0223,8.95]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URTH^P_PRICE(0)/P_PRICE_HIGH_PR(0,,,,,,\"PRICE\",\"INTRA\",\"52W\")":0.9885347,"EWQ^PERCENT_CHANGE(FMA_EPS(+1,0,,,,\"PORTAGG\",\"MEAN\"),FMA_EPS(+1,-3AM,,,,\"PORTAGG\",\"MEAN\"))":0.439116012183722,"EWC^FG_TOTAL_RETURNC(0,-12AM)":17.781807,"REFFFUND-FDS^FG_YIELD(NOW,,,0)":5.5,"TRYGB10Y-FDS^PCTCHG(FG_YIELD(0,,,,\"YTM\"),FG_YIELD(-1AM,,,,\"YTM\"))":-0.53043735,"VWO^FMA_EVAL_EBITDA(NTMA,0,,,\"PORTAGG\",\"MEANR\")":8.9061756334558,"EWI^FMA_PE(LTM,0,,,\"PORTAGG\",\"MEANR\")":10.1606803020852,"EWA^FMA_EVAL_EBITDA(NTMA,0,,,\"PORTAGG\",\"MEANR\")":8.5581903562374,"VGK^FG_TOTAL_RETURNC(0,-1AM)":6.4461946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MY10Y-FDS^FG_YIELD(-10AY,0,Y,,\"YTM\")":[4.131911,4.345605,4.195897,3.902544,4.235642,3.300551,2.804181,3.573893,4.131847,3.727505],"TRYEU10Y-FDS^FG_YIELD(-10AY,0,Y,,\"YTM\")":[0.5475,0.636,0.2082,0.4294,0.239,-0.189,-0.575,-0.181,2.533,2.004],"USDAUD^FG_PRICE_CHANGE(0,-1AY)":-2.6915252,"EWJ^FMA_DIV_YLD(NTMA,-10AY,0,AM,\"PORTAGG\",\"MEANR\")":[2.1591300421949,2.07386135956463,2.04506955980374,2.08374180140113,2.02248890208224,2.02193698969938,1.94863501610075,1.96975335127454,2.00593789587793,1.87834190262488,1.88303279155157,1.84822254893743,1.82498370805908,1.9179485652961,1.89755667769649,2.07492584140696,2.27507268804834,2.05135413929023,2.0420316951087,2.09547306420622,2.28045936184802,2.48527142938945,2.39780295869954,2.39094788334759,2.31093097539845,2.54009207424592,2.38055813556632,2.36420720441339,2.40739452323872,2.30383397096537,2.18741861374463,2.12454937200345,2.14830902481828,2.16104578716086,2.21969245043735,2.21407683036057,2.20142822831657,2.17029687936999,2.17577187114582,2.20991972848025,2.15654878610097,2.06900512434258,2.0804929461347,2.05879632782467,2.05541919281699,2.19077462782696,2.28771578081579,2.20711283629088,2.28105525069075,2.30306871971896,2.28090609243864,2.31702072981049,2.21792325480422,2.46035842132167,2.46597273404865,2.75200807077962,2.63223479956333,2.56991061921489,2.60032708973296,2.56648909208102,2.75374577992844,2.68339003842818,2.66911356858917,2.78888077726514,2.62400323051679,2.51369814638602,2.46703564901129,2.44403377001637,2.49707996525406,2.76169771843798,2.98086045874405,2.79860111930926,2.57904795304876,2.51577011349078,2.6044037505621,2.37765700676919,2.39446993068766,2.46660231382448,2.20312095838519,2.13994842979883,2.15371376380964,2.12331496191739,2.07019704633478,2.15617241842331,2.14637176164189,2.19816456721984,2.27318057281016,2.2533726409148,2.2017922166793,2.24766785303531,2.36099260243599,2.31313541960131,2.46415001045396,2.53107096365927,2.5128547952922,2.59144097934568,2.6065798152755,2.70187783630481,2.61584544181983,2.59902497263199,2.81776404802272,2.67854697545279,2.59401351374685,2.76264106600492,2.63306148457068,2.62369848670049,2.62177553430243,2.56541141143794,2.49030796174407,2.32877548012195,2.32294122459532,2.3562100789836,2.38888517866895,2.4863021458324,2.39517184540527,2.42815134041483,2.26404217438232,2.19333570859534,2.15772847413206,2.20531765499837,2.23630852436911],"NI-FDS^FG_PRICE_CHANGE(0,-6AM)":21.3957759412305,"ENZL^FG_PRICE(0)":46.65,"FXI^FMA_PCT_ABOVE_MAVG(200,0,,,,\"PORTAGG\")":76.4705882352941,"EWG^FMA_PCT_ABOVE_MAVG(200,0,,,,\"PORTAGG\")":70.1754385964912,"REFAUCASH-FDS^(SUBARRAY(NOT_NA(NO_REPEAT_F(FG_YIELD(NOW,-10AY,D))),0,1)-SUBARRAY(NOT_NA(NO_REPEAT_F(FG_YIELD(NOW,-10AY,D))),1,1))*100":25.0,"EWI^FMA_PE(NTMA,0,,,\"PORTAGG\",\"MEANR\")":9.68942928397427,"CC_US^FG_COMPANY_NAME":"United States","USDSEK^FG_PRICE_CHANGE(0,-3AM)":1.6404986,"USDGBP^FG_PRICE(0)":0.78542256,"USDEUR^FG_PRICE_CHANGE(0,-6AM)":0.50662756,"USDAUD^FG_COMPANY_NAME":"Australian Dollar per U.S. Dollar","EWQ^FG_TOTAL_RETURNC(-10AY,0,AM)":[0.5326271,-1.4561653,-6.586623,1.248622,-3.6996782,-3.766477,2.9745579,-5.4771366,1.2170434,6.212425,-1.9622684,4.5419574,-0.846833,-2.8395474,4.080844,-6.5720677,-3.796965,7.145834,-2.3264825,-3.5413325,-3.8000762,-2.533275,6.5198183,2.357316,-0.20201802,-5.0216255,4.722345,-0.3340304,1.2149096,-0.455302,-2.4947941,5.5806637,1.3781905,-0.39983988,6.4231277,5.695963,4.889357,-0.45173168,2.364397,0.8831501,4.040396,1.5857577,-0.09557009,-0.14382005,6.758499,-5.100518,-0.7271588,4.076433,-2.6315808,-2.0818055,3.9318442,-2.2068083,1.1927724,-9.49347,-1.1615634,-5.121219,6.1463,4.2628765,0.4088521,4.8184633,-6.1184826,8.310307,-2.8058708,-1.0070503,2.204132,3.6164522,1.3768792,3.5365105,-4.0048895,-7.8662395,-18.976837,4.4368505,5.9232116,6.4371467,1.9328952,4.6869397,-4.511279,-4.545456,21.822273,2.8766632,-2.6157498,4.569316,2.8343797,6.172836,5.4083347,-1.814276,1.294589,0.8607149,-3.6979496,5.5585384,-3.8667023,5.7305217,-2.5462985,-6.7563953,0.0,-6.7364874,4.097116,-9.926563,6.531155,-7.28808,-9.58165,10.783588,13.775671,-1.600182,11.5942,-1.1904716,3.50492,4.682541,-6.49482,6.4632177,1.6091466,-3.8058817,-5.4965496,-3.2031476,9.056604,4.9645424,-1.046449,3.7142038,2.984333,-3.3083797,4.1458488],"DDR3512M-FDS^FG_PRICE(0)":0.96178806,"URTH^FMA_COS_DOWN(\"EPS\",\"1M\",+1,0,,,\"PORTAGG\",\"MEANR\")":506.0,"EWQ^FG_FCF_YIELD_NTM(0)":5.71642031288125,"QQQ^JULIAN(FMA_DIV_YLD(NTMA,NOW,NOW,M,\"PORTAGG\",\"MEANR\").DATES)":45443,"EWJ^FMA_DIV_YLD(NTMA,NOW,NOW,M,\"PORTAGG\",\"MEANR\")":2.23630852436911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547049,11.9082596450148,15.3602779627681,14.6915673544296,15.368050598586],"TRYFR10Y-FDS^FG_YIELD(-10AY,0,Y,,\"YTM\")":[0.837,0.9989,0.682,0.785,0.71,0.118,-0.344,0.201,3.07,2.534],"EWG^FMA_DIV_YLD(NTMA,-10AY,0,AM,\"PORTAGG\",\"MEANR\")":[2.96177010347385,3.03142029973389,3.19176396154773,3.17618926569511,3.19212362936624,3.26650999320345,3.12789091800153,3.19148978345338,2.94412797034923,2.78173214454678,2.68406429109464,2.85743089185533,2.9389200999986,3.09561438508882,3.01221055817859,3.32986262000964,3.47179404007431,2.99220050708342,2.86194612876407,3.02919339249765,3.34471113459531,3.45962809725543,3.29202615817977,3.2918871979604,3.28018536214052,3.4888349464925,3.26557764935111,3.1868987664268,3.17642683206914,3.15009088794624,3.18538232189936,2.9747084897089,2.98012676881613,2.95452596437925,2.9105466510859,2.8942566420826,2.9380873888266,3.0356339338288,3.09444377683256,3.15381162811267,2.99038375230085,2.90452108983415,2.94062969093177,2.95370495795088,2.93327567008674,3.12778045347504,3.24717650440132,3.15836639870519,3.21062378244101,3.27480156728605,3.15975463937422,3.25711693495655,3.32370763382734,3.6160659450187,3.68426508031226,3.97098544891004,3.72188199970156,3.61231623795558,3.61859325369304,3.39060299310076,3.65168275655261,3.48770832349963,3.46109468601164,3.55231236928533,3.39494351081804,3.28757913794955,3.09715514407385,3.10138985023865,3.16165671485229,3.43280005946778,3.92319847469066,3.35290712012483,3.12222063838843,2.93093702969555,2.93759567526176,2.82165533252551,2.86674927777894,3.18210386302377,2.81977266876254,2.72025953204543,2.81322050851559,2.84200926461744,2.71119298912596,2.78465609579738,2.80497326819081,2.81932799220053,2.84320741617825,2.85165299026204,2.98159851328922,2.96430556861881,3.15903995632588,3.04424056811043,3.17198612732329,3.4702635522923,3.54241100556376,3.69682281990904,3.74915984417485,4.21864017143951,4.02206005365405,4.20793401033786,4.48461000593773,4.13664937129609,3.73629080345517,3.84751434283582,3.51532793658368,3.52099338927732,3.52030675913846,3.50639902551289,3.68749729834268,3.62045230888256,3.5840871921686,3.71258463884261,3.85852448007124,4.03640743904907,3.66067451152537,3.55310279376186,3.54126746613025,3.43329000176114,3.24692297836378,3.39064480198871,3.38226238077507],"EWN^FMA_PE(LTMA,-10AY,0,AM,\"PORTAGG\",\"MEANR\")":[16.8349299208779,16.7910300580485,16.4011899963302,16.62471730208,16.7852097461198,16.9559362554403,18.0265464065326,17.6750083718626,18.8216496666534,20.1223054586507,19.9118226097042,19.6397480710886,19.4797383694817,18.8662088667241,19.0096127556024,17.5604374599417,16.6385027067186,17.6010138978147,18.1469341838826,16.8706386495531,16.4301880520867,16.3733958088173,16.3907388421331,16.2415206382368,16.3629007841956,15.7818368660161,16.12276435022,16.162835415244,16.156385409687,15.8446517878855,15.6164651183237,16.2999348215531,15.9976898323854,16.402686545474,16.5201736815972,16.6536301956244,16.7047169102669,16.4737540777456,16.7064005574717,16.552757869029,17.0140564913605,17.3603717172514,17.1766354826086,17.2377470781453,17.5402832401112,16.6659184482538,16.5599958886049,16.5860667671867,16.5737457958089,16.5176347654857,16.8254469192116,16.6007329052535,16.2922426656578,15.4619403514561,15.412775614075,14.2830374670868,15.1576556658209,16.1413693740359,16.1500361048123,16.3633345850861,16.0237908599382,16.3913612047219,16.6138638004112,16.5260795278757,17.1429456207708,17.320670952251,18.0746968245673,18.6325090085047,18.4219762650162,17.3367558592985,16.9280597049607,17.8382461223574,18.5429953355386,19.4984295095731,20.1049729497633,21.1204909071626,21.8343824480112,21.5941512204297,26.0693665911555,27.3483402911446,27.2024334193557,28.9833052381028,28.5580318496809,27.8915235800863,27.1189921730992,26.5884319330341,26.2696248935467,26.0348626451,24.3017869680156,24.664451162832,22.7074070202974,22.6891096808763,20.2443012681813,18.3316789033893,18.5483746609737,18.3036541239359,18.5586745066214,18.0601582771421,19.6804755326635,18.5595386552443,17.0934099228763,18.1462076544084,18.8093602801003,17.6566343355755,19.2938582870666,20.6531685379496,20.3592854704907,19.8621341051432,19.3873681014152,19.2358258004028,19.1821493108382,17.7763369287523,16.7427696765938,15.7929493432688,16.447762773065,16.6271224975657,17.3211159962791,18.5620283216502,18.4593068979735,18.1241679739781,18.2404694444443],"NI-FDS^FG_PRICE_CHANGE(0,-3AM)":13.7367364496702,"W-FDS^MAX(FG_PRICE(0,-5AY))":14.2525,"EWJ^FG_PRICE_MAVG(0,,,,60)":69.07267,"EWD^FG_TOTAL_RETURNC(0,-1AM)":9.2211485,"EWG^FMA_COS_UP(\"EPS\",\"1M\",+1,0,,,\"PORTAGG\",\"MEANR\")":27.0,"REFAUCASH-FDS^FG_YIELD(NOW,,,0)":4.35,"TRYAU10Y-FDS^FG_YIELD(0,,,,\"YTM\")":4.41,"UUP^FG_TOTAL_RETURNC(0,-6AM)":4.1326165,"CAGDPY@CH^EE_ACTUAL_ANNUAL(MED,0)":7.64221110543266,"USDITL^FG_COMPANY_NAME":"Italian Lira per U.S. Dollar","USDUSD^FG_PRICE_CHANGE(0,-3AM)":0.0,"USDJPY^STD(FG_PRICE_CHANGE(0,-3AY,M))":3.00520105399191,"EWC^FMA_PE(NTMA,-10AY,0,AM,\"PORTAGG\",\"MEANR\")":[14.6284222279128,15.0573328695189,15.1405827323102,15.2353364171694,14.4527383828098,14.3528473978999,14.6833875282305,15.505252280155,16.4931730592505,17.5003578800495,16.9759417023134,17.2196529909158,16.5226054424966,15.8677840541521,15.6583481174536,14.9329201869831,14.4469976336929,14.7494103952787,14.6145937126792,14.1218582708115,14.5123687005723,14.9356765539306,15.9903380444649,16.6967421165616,16.566658248236,16.3133894390503,16.4443458875862,16.2195921942968,16.1062542230975,15.8104686276455,15.93088435006,15.7399936479628,15.9579234932023,15.817264823507,15.8540727266835,15.6903318404951,15.3103214564344,15.231540248212,15.5827463365133,15.5030595525821,15.7716774901123,15.9313327464271,15.8368097580677,15.9212397952306,15.2322954552319,14.4316732396112,14.1789927411653,14.1489189068146,14.1362861829307,14.2442586935319,14.2137841753191,13.8050323583318,13.5635404959644,12.5835020476657,12.6754421217113,12.1168899695446,13.6848485097177,14.1221263560808,14.0924883190617,13.8974223906996,13.3428339807209,13.6844987120702,13.6749111655416,13.644417231601,13.9411177840736,13.92801212639,14.3781711187593,14.4121870789133,14.4576735763296,13.7130085427237,13.265587549341,16.5148176987008,18.5409427796611,17.6507516511737,17.5936137516977,17.1642082840334,16.1660969670463,15.1667901201261,16.1073332893477,15.7520462514364,15.4127708612444,15.1177284599745,15.3040361364857,15.4366133742316,15.5262544810534,15.5579449465433,15.0882773573153,14.8567445590566,14.3357801684225,14.8634375573511,14.1683245294844,14.4230586367119,14.0794707681197,13.9405302851221,13.5573661741587,12.6062626781824,12.4506282872286,11.2039166663698,11.5881255265379,11.3339783210739,10.7655574557414,11.5127771491045,12.2815521066504,11.9052655645163,13.0641040973915,12.6891334598021,12.7462780621249,13.087126766693,12.5850447059434,13.0104265560103,13.5595261626642,13.1557118124786,12.6003534102928,12.0666506695105,12.9568862756351,13.6734699817368,13.8407827527771,14.1783274892464,14.6370440944886,14.0871398537505,14.1644589400734],"WL-FDS^FG_PRICE_CHANGE(0,-1AY)":-22.1807211607528,"PLATI-FDS^FG_PRICE_CHANGE(0,-1AM)":9.63983050847457,"BRENT-FDS^FG_PRICE_MAVG(0,,,,30)":85.86,"EWN^FG_PRICE_MAVG(0,,,,200)":44.295204,"EWQ^FG_TOTAL_RETURNC(0,-12AM)":15.972781,"QQQ^PERCENT_CHANGE(FMA_EPS(+1,0,,,,\"PORTAGG\",\"MEAN\"),FMA_EPS(+1,-1AM,,,,\"PORTAGG\",\"MEAN\"))":0.703697057000112,"EWA^P_PRICE(0)/P_PRICE_LOW_PR(0,,,,,,\"PRICE\",\"INTRA\",\"52W\")-1":0.20478988,"SPY^FMA_COS_DOWN(\"EPS\",\"1M\",+1,0,,,\"PORTAGG\",\"MEANR\")":164.0,"EWL^FMA_RBICS_REV_CURRENT(30, LOC, \"PORTAGG\")":17.8649112648431,"TRYUS10Y-FDS^PCTCHG(FG_YIELD(0,,,,\"YTM\"),FG_YIELD(-1AM,,,,\"YTM\"))":-4.1048775,"VGK^FG_PE(0)":12.9342655142188,"EWU^FMA_DIV_YLD(NTMA,NOW,NOW,M,\"PORTAGG\",\"MEANR\")":3.91077479509746,"CC_US^IMF_IFS_RCPI_Q(0)":3.209516,"^FG_YIELD(-10AY,0,Y,,\"YTM\")":[null,null,null,null,null,null,null,null,null,null],"USDAUD^FG_PRICE_CHANGE(0,-6AM)":-0.30072927,"EWI^P_PRICE_RETURNS_PR('52W',2,-10AY,0,AM)":[32.939053,50.19256,28.279507,23.475147,13.406205,-2.9256642,-0.22152662,-10.927879,-10.893327,-7.9752026,-14.671886,-13.572592,-9.678167,-12.211532,-2.9241025,-5.0381126,-6.478256,4.228437,-0.9053111,3.1199813,-11.686301,-22.62491,-15.861821,-14.819402,-20.299387,-24.829716,-24.699295,-21.305687,-20.612938,-21.428478,-22.038603,-9.994489,2.078259,8.428764,9.498585,8.430576,19.047558,31.645918,36.645473,37.847126,49.05367,41.021156,46.509182,29.315483,45.68063,37.27392,27.778578,29.941702,11.271834,7.422316,3.751433,-7.517028,-8.064437,-16.362976,-15.364474,-17.193031,-19.339514,-10.856366,-10.003763,-12.259853,-10.836429,1.1313915,-5.1622334,2.5537372,4.461217,20.784056,18.874609,26.968658,14.592541,4.545784,-22.121567,-22.098345,-11.14881,-11.065942,-6.908238,-2.6741922,-10.023284,-19.32878,0.5874634,1.6735792,-2.454573,9.492564,54.562508,52.26722,52.548027,37.27453,31.162035,30.641865,32.48769,49.4668,12.418043,14.412093,17.434942,3.7928224,-3.7903666,-12.383991,-11.677009,-22.283035,-21.22957,-26.586115,-28.987461,-24.813248,-7.558131,-13.940644,-2.34887,3.789258,7.807827,19.618881,7.703805,37.46426,41.388382,44.261776,47.208332,29.12916,23.282982,28.84742,14.782405,23.174942,31.894516,19.770252,35.730064],"ENZL^JULIAN(FG_TOTAL_RETURNC(-10AY,0,AM).DATES)":[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7,43738,43769,43798,43830,43861,43889,43921,43951,43980,44012,44043,44074,44104,44134,44165,44196,44225,44253,44286,44316,44344,44377,44407,44439,44469,44498,44530,44561,44592,44620,44651,44680,44712,44742,44771,44804,44834,44865,44895,44925,44957,44985,45016,45044,45077,45107,45138,45169,45198,45230,45260,45289,45322,45351,45379,45412,45443],"FC0000GR^FG_PRICE(0)":9.641537,"EWJ^FG_PRICE(0)":68.97,"FXI^FG_TOTAL_RETURNC(0,-1AM)":4.472339,"URTH^FG_TOTAL_RETURNC(0,-3AM)":3.870833,"EWI^FG_TOTAL_RETURNC(0,-3AM)":8.981192,"EWJ^FG_TOTAL_RETURNC(0,-3AM)":-0.21701455,"EWJ^FMA_COS_DOWN(\"EPS\",\"1M\",+1,0,,,\"PORTAGG\",\"MEANR\")":80.0,"ENZL^FMA_COS_DOWN(\"EPS\",\"1M\",+1,0,,,\"PORTAGG\",\"MEANR\")":6.0,"TRYGB10Y-FDS^FG_YIELD_NAME":"United Kingdom Benchmark Bond - 10 Year","REFJPTON-FDS^PROPER_NAME(0,,,\"SECURITY\",\"NAME\")":"Japan Policy Rate","TRYFR10Y-FDS^FG_YIELD(0,,,,\"YTM\")":3.131,"EWQ^FMA_EVAL_EBIT(LTMA,NOW,NOW,M,\"PORTAGG\",\"MEANR\")":13.2359351024499,"EWG^JULIAN(FMA_DIV_YLD(NTMA,NOW,NOW,M,\"PORTAGG\",\"MEANR\").DATES)":45441,"DBA^FG_TOTAL_RETURNC(0,-3AM)":13.300264,"CAGDPY@JP^EE_ACTUAL_ANNUAL(MED,+1)":3.45,"USDSEK^STD(FG_PRICE_CHANGE(0,-3AY,M))":2.98714974072591,"USDUSD^FG_PRICE_CHANGE(0,-1AM)":0.0,"USDJPY^STD(FG_PRICE_CHANGE(0,-1AY,AM))":2.62676851858597,"EWA^FMA_PE(NTMA,-10AY,0,AM,\"PORTAGG\",\"MEANR\")":[14.2978259814979,14.251238595517,15.0046943524032,14.8837061335486,13.8476353681589,14.6171477501576,13.9787887366389,14.5931855361321,15.2362716214905,16.3202924327073,16.2654245319104,16.2161165918601,15.9971485556846,15.1080070935682,15.6963684051369,14.4999441968755,14.2020634777161,15.0311255121562,14.9657536518347,15.7577891400844,15.2354727820965,15.0515481407167,15.7602280102256,16.1850679988962,16.4791103529726,15.9496300306813,16.7960469997983,16.4102248526708,16.2714200349259,15.7735751847448,15.7876782687957,15.7804147186182,15.5571538725663,15.7599476648083,15.8592587383625,15.9641508675512,15.2859050590392,15.4265713988627,15.6837509387777,15.5919699424538,15.4254496003211,15.7783022560777,15.838868786988,16.0258597214481,15.7727723693972,15.5597740514577,14.7277990890281,15.1811579045721,15.1222957562583,15.4879372293169,15.6520628650613,15.6920441685479,15.3018169312989,14.289308397602,14.057780519792,13.9599013149694,14.6594173378552,15.3518467142567,15.2927673519464,15.3634225531184,15.5061517606689,16.1962504917731,16.4778088639585,15.9437412283025,16.6584926881707,16.87851213575,17.3687962440651,17.1775797198552,17.8997930548609,16.474077348146,14.0475487863245,17.5902598306504,18.381193527115,18.7439189741772,19.0209536693887,19.5543693627903,18.000341441792,17.7619109934881,19.3142752402119,18.9693708470683,18.4830404608928,17.9550506925964,17.5886301893874,17.9952989060456,18.1241859724021,17.4585313193852,16.7884811693106,17.3272673031034,17.0615375017938,17.3990137940307,16.7773950554575,17.4970792673071,15.656714695303,15.4791782688763,16.2282249249223,15.0445005468484,14.1862906651904,12.6328370782189,13.8005419836527,13.9163225466174,12.5463699651518,13.331537670208,14.7217355599966,14.1727504256807,14.9404761183182,14.503631790876,14.3117517505269,14.5568008791714,14.0747241310513,14.9313123571497,15.7289634004991,15.6076826828192,14.9055833664576,14.2716195705761,15.2719058371656,16.4578810774905,16.6444955376508,16.5532676087548,16.804182629915,16.3709954297388,16.4006782644244],"WL-FDS^FG_PRICE_CHANGE(0,-6AM)":-24.4596290614977,"PLATI-FDS^FG_PRICE_MAVG(0,,,,30)":994.0333,"BRENT-FDS^FG_PRICE(0)":85.86,"EWN^FG_PRICE_MAVG(0,,,,60)":49.468166,"EWQ^P_PRICE(0)/P_PRICE_LOW_PR(0,,,,,,\"PRICE\",\"INTRA\",\"52W\")-1":0.23885918,"EWA^P_PRICE(0)/P_PRICE_HIGH_PR(0,,,,,,\"PRICE\",\"INTRA\",\"52W\")":0.9766244,"EWJ^FMA_RBICS_REV_CURRENT(30, LOC, \"PORTAGG\")":18.3501830656637,"REFSEREPO-FDS^(SUBARRAY(NOT_NA(NO_REPEAT_F(FG_YIELD(NOW,-10AY,D))),0,1)-SUBARRAY(NOT_NA(NO_REPEAT_F(FG_YIELD(NOW,-10AY,D))),1,1))*100":-25.0,"REFEUREFI-FDS^(SUBARRAY(NOT_NA(NO_REPEAT_F(FG_YIELD(NOW,-10AY,D))),0,1)-SUBARRAY(NOT_NA(NO_REPEAT_F(FG_YIELD(NOW,-10AY,D))),1,1))*100":25.0,"TRYUS10Y-FDS^PCTCHG(FG_YIELD(0,,,,\"YTM\"),FG_YIELD(-3AM,,,,\"YTM\"))":5.7472034,"EWQ^FMA_DIV_YLD(NTMA,NOW,NOW,M,\"PORTAGG\",\"MEANR\")":3.1887245822556,"EWU^FMA_PE(NTMA,0,,,\"PORTAGG\",\"MEANR\")":11.5530330507331,"DBA^FG_TOTAL_RETURNC(0,-1AM)":1.9886374,"TRYSA10Y-FDS^FG_YIELD(-10AY,0,Y,,\"YTM\")":[null,null,3.8912454,3.7299898,4.5715504,2.8775356,2.0844028,2.5113702,4.613973,4.608568],"USDAUD^FG_PRICE_CHANGE(0,-3AM)":-2.0900667,"EWD^P_PRICE_RETURNS_PR('52W',2,-10AY,0,AM)":[14.442992,22.53604,6.696689,8.693493,0.030720234,-0.30854344,0.86021423,-8.411938,-2.5402546,-0.61775446,-5.266249,-4.390997,-4.971993,-6.096059,-2.0496547,-7.0849953,-8.51593,-3.794384,-5.8600307,-4.535884,-13.091821,-18.11444,-8.861309,-8.683979,-9.844393,-10.424805,-7.9949856,-2.0370483,4.1947007,-4.9560905,-5.504757,0.92072487,15.86746,14.393353,11.461711,13.02272,19.810831,26.860296,24.622047,24.350857,27.700603,32.15065,27.553785,22.180641,21.989584,15.597582,9.336495,2.4837375,-1.680249,-4.41224,0.07375479,-2.9696643,-2.5199413,-12.772125,-10.080904,-12.76235,-13.303244,-6.8861127,-5.4747224,2.6819944,-5.7144346,5.9779406,-6.702203,-8.896762,-7.3399963,10.860216,12.098169,21.73841,12.169397,5.2574396,-11.514484,-10.979551,6.650114,2.3293853,17.74131,28.004944,21.78278,8.168292,24.595272,22.261215,27.317083,35.03207,75.98531,70.97102,62.79924,53.961597,43.661667,38.393368,30.948448,46.17517,19.389355,22.86303,9.488797,-5.0035295,-7.9788265,-20.257551,-20.519274,-30.352396,-26.111149,-33.367126,-35.51764,-34.74055,-21.121103,-27.927637,-14.315945,-3.3576787,-5.3338823,6.2526107,-2.6411176,16.986835,5.7466626,11.404551,23.17419,7.39938,8.139348,23.231815,9.476638,14.712393,21.216059,5.7189345,25.117731],"EWI^FMA_DIV_YLD(NTMA,-10AY,0,AM,\"PORTAGG\",\"MEANR\")":[3.44529095154147,3.38648679920615,3.52235296461531,3.58687276806257,3.62971337368692,3.86008604824798,3.87477681546849,4.08215400071101,3.79258151599021,3.41457510831913,3.15865598619003,3.19006444802689,3.1795958859064,3.34315318929758,3.11657282318832,3.38038567526162,3.70905132726726,3.54649370875414,3.53397231645839,3.83180955229543,4.4017271090213,4.51023358267433,4.37313529329872,4.31378091072643,4.51031112342122,4.98982244112412,4.7596557895217,4.70322084691253,4.97306013607689,4.77760711396734,4.76629174726271,4.29570625532543,4.5188709239249,4.31029051930143,3.89749007770883,3.91933641965632,3.91625895557411,3.88575946739826,3.76622059904641,3.78967150137956,3.67563943116242,3.77760331125087,3.88104761284901,3.98923373121954,3.77479893398661,3.97217746579567,4.10658130199849,3.89318450987428,4.39281853348279,4.49608845866901,4.3170546912074,4.76770665054115,4.70037028921162,5.11004114097109,5.11951466148289,5.45959330280884,5.08027439408066,4.81990355712117,4.67259052648487,4.60488766094004,5.1591103569569,4.84056531922918,4.82472626943033,4.86869677955522,4.72611949042002,4.64832365509082,4.56961812429887,4.49658699383727,4.60113708658053,5.00870337290942,6.21984132999805,5.28217055062073,4.64308221155338,4.37155943389898,4.06515783932726,4.04801329176969,4.20188562980028,4.56028626394876,3.92009171370728,3.94464053531275,4.18450813737488,4.12158272097112,4.0004092328369,4.19083019348666,4.09625271062973,4.15847720195465,4.23531392945772,4.40093089775849,4.54606316820035,4.38394896472426,4.64777402994547,4.59985564784229,4.77557298528545,5.07032951742041,5.04668058805705,5.11557226472741,5.15030150064919,5.94825097004308,5.80992713463567,5.92411426416168,6.19455067125162,5.7213853784087,5.5093272223434,5.92155859103816,5.4494358704379,5.57739276786834,5.4376222814754,5.39790572246111,5.84734962337899,5.29282056247708,5.2178096773174,5.46631930101847,5.50587372074155,5.72437446098976,5.49502225802066,5.4807296433606,5.3855755721274,5.32485343166789,5.07619017583711,5.30813192252038,5.25523133527998],"EWG^FG_PRICE_MAVG(0,,,,200)":28.9799,"FXI^PERCENT_CHANGE(FMA_EPS(+1,0,,,,\"PORTAGG\",\"MEAN\"),FMA_EPS(+1,-3AM,,,,\"PORTAGG\",\"MEAN\"))":1.18482946552681,"URTH^FG_TOTAL_RETURNC(0,-1AM)":4.69929,"EWI^FG_TOTAL_RETURNC(0,-1AM)":6.2380314,"EWU^P_PRICE(0)/P_PRICE_LOW_PR(0,,,,,,\"PRICE\",\"INTRA\",\"52W\")-1":0.2050432,"TRYCH10Y-FDS^FG_YIELD_NAME":"Treasury - Switzerland Benchmark Bond 10Y","TRYFR10Y-FDS^FG_YIELD_NAME":"France Benchmark Bond - 10 Year","EWI^FMA_EVAL_EBIT(LTMA,NOW,NOW,M,\"PORTAGG\",\"MEANR\")":10.8485057867633,"EWC^FMA_EVAL_EBITDA(NTMA,0,,,\"PORTAGG\",\"MEANR\")":9.74916570578725,"CAGDPY@DE^EE_ACTUAL_ANNUAL(MED,+1)":6.5,"USDSEK^STD(FG_PRICE_CHANGE(0,-1AY,AM))":3.71951941199619,"USDJPY^FG_PRICE_CHANGE(0,-6AM)":6.2975645,"ENZL^FMA_PE(NTMA,-10AY,0,AM,\"PORTAGG\",\"MEANR\")":[17.255520862315,17.2393933656492,17.2314136354985,17.4259904450878,17.1649041349797,17.6075494605871,17.7251641549364,18.2147707871206,18.934546597998,19.3006254187479,18.0346210761202,18.2889900092988,18.424554884382,17.8369408939234,18.3374247523085,17.609299712178,16.9996084690621,18.038295420771,18.1121734496771,18.2879518587097,17.4459611775633,17.5055700249101,18.532753947012,18.7141378948304,19.5472724440698,18.9867735568084,20.3178607591973,20.6760815825025,20.2681896418316,18.9360732261411,18.6985560241342,18.4825680079845,18.9616588047416,18.3456235290234,19.0001722152101,19.5356711103918,19.4752964668735,19.5189489585176,19.6732985470963,20.0009237310244,19.8317741727984,20.4881931778598,20.2296244810828,20.939465306716,20.9680095365098,20.8462380710614,19.9684626391939,20.0871971797489,20.4557151317008,21.160631644616,20.9990758379108,22.0706051942858,21.4693190006079,20.0895746143305,19.9671800715046,20.0329836146318,20.4306165923241,21.5707196690684,22.3388870569747,22.7207141895735,22.9748409037613,23.7202873176142,24.6915388983347,25.2753786879671,25.4277242537666,24.8404377055561,26.0413182788816,25.6972104380638,26.1755926613487,25.9075376731227,24.6337673767663,29.1609192389396,31.1965313479556,31.0108072851197,31.9189685382122,32.9096426549881,31.8517495488484,32.448419462001,32.3674938497382,34.2882844266682,33.6491308665846,31.507983403909,32.4444841016723,32.4086247751355,32.3381342517209,33.8899687418391,33.5849621611838,34.9038787889588,34.5284490901611,33.8459688774979,32.0381133765713,32.3350031307077,29.1980819845493,28.9278478499414,29.7285002543662,28.7863079035269,27.3874199470282,25.5141466318988,26.1559707779372,27.2478814499332,24.0408495534085,23.8580433020827,23.522578598733,23.0087732743656,23.9324399865309,24.011013925857,23.3553361619522,23.6750083418395,23.440763453404,20.9845942104727,21.1493027001318,20.4031342210715,20.166110375564,19.4700678973234,20.4876775753476,22.9720675812572,22.2574811900195,22.4782074581876,25.2815236006387,25.3065966136872,24.9767849885702],"WL-FDS^FG_PRICE_CHANGE(0,-1AM)":-4.84805901984893,"CPALM-FDS^MAX(FG_PRICE(0,-5AY))":8163.0,"COPP-FDS^MAX(FG_PRICE(0,-5AY))":5.119,"EWN^FG_PRICE_MAVG(0,,,,30)":49.965332,"EWQ^FG_TOTAL_RETURNC(0,-6AM)":11.71571,"EWJ^FMA_PCT_ABOVE_MAVG(200,0,,,,\"PORTAGG\")":62.3853211009174,"URTH^FMA_COS_UP(\"EPS\",\"1M\",+1,0,,,\"PORTAGG\",\"MEANR\")":711.0,"EWG^FMA_RBICS_REV_CURRENT(30, LOC, \"PORTAGG\")":23.085749566206,"EWQ^FMA_PE(NTMA,0,,,\"PORTAGG\",\"MEANR\")":14.1656197209554,"TRYTW10Y-FDS^FG_YIELD(-10AY,0,Y,,\"YTM\")":[1.6015,1.015,1.2037,0.9478,0.8648,0.672,0.315,0.7413,1.2812,1.211],"USDAUD^FG_PRICE_CHANGE(0,-1AM)":-2.3607194,"EWN^P_PRICE_RETURNS_PR('52W',2,-10AY,0,AM)":[18.22903,25.758791,7.6249957,10.342562,3.6387205,-2.9666722,0.87025166,-5.7940125,-0.9115875,2.1462917,-1.1000216,3.8164139,4.910648,1.8809795,11.588025,0.98752975,-1.588124,8.188462,0.7904291,1.5233636,-2.136159,-9.537477,-0.9381294,-3.7667215,-4.559934,-8.021993,-6.758732,3.6131263,9.310616,-0.053286552,-2.8830647,2.3715615,8.776689,15.0491,11.984146,16.296112,21.480453,28.129732,30.887997,26.470589,30.671036,32.77011,37.38979,34.362614,38.132072,27.238571,20.895588,16.4814,8.366513,8.1945305,5.4596663,3.535688,-0.693202,-10.4367075,-7.846892,-15.359479,-13.823682,-4.850352,-4.528016,0.87623596,-3.4216404,5.1014066,0.06569624,0.5555153,6.9443464,18.519842,17.68278,32.45555,18.715454,5.658746,-10.541969,-7.7498856,6.32571,7.138896,11.269247,16.661108,12.191116,6.9336295,20.56595,23.225773,28.461218,40.022552,79.21876,70.473656,64.34241,49.588226,46.16245,51.31556,42.802856,53.17757,27.621292,22.740162,10.777807,-1.6943455,-7.326192,-20.70958,-19.394928,-26.416475,-22.940372,-34.20637,-36.88223,-36.08011,-19.387192,-24.333632,-7.288897,-2.893263,1.6252041,10.6161,8.081924,25.603724,19.477404,22.507822,26.503313,16.350365,10.101164,20.292355,9.947025,19.213438,24.658382,15.003896,24.56186],"EWN^FMA_DIV_YLD(NTMA,-10AY,0,AM,\"PORTAGG\",\"MEANR\")":[2.808355927194,2.80355832673769,2.95642155780086,2.9875368558412,3.00023113365316,3.10167786383842,3.01764484263218,3.07635052922722,2.90003273270605,2.71372282178949,2.68769544245526,2.74566955863343,2.8274940470512,2.97790319327714,2.8900662201743,3.37946295247362,3.59296438312646,3.25748940178752,3.11359915525143,3.15784476268672,3.22051591030275,3.35672741714485,3.30194979018846,3.3707402030184,3.2715401917732,3.34461512728337,3.19804645988192,3.11323941830256,3.11899711258538,3.12408717718557,3.11207312350261,2.9618206119659,3.0048820131218,2.86927841261977,2.75918279903228,2.73730496310731,2.74375010273809,2.81837747248312,2.7691446010978,2.84004537420512,2.78837444839308,2.73555684184786,2.83587941356688,2.85753484013009,2.81269334222639,2.93299424388678,2.98611007049026,2.93154596374532,2.93767375069777,2.95013587037403,2.8485680986598,2.9031838112027,3.01457564624423,3.20756189339755,3.22587547233236,3.46137940498857,3.28101864813,3.12172646058908,3.05680172137147,2.94643803110618,3.17470130173706,3.00769132725033,2.90690978601725,2.96896497406514,2.73157424193488,2.75906375665562,2.65154040471967,2.60018118577366,2.68424222919515,2.87032197535569,3.28144530517435,2.7022135035147,2.47985800973676,2.37776413011121,2.42043405901877,2.32820800111064,2.3606855526197,2.41361595395544,2.00619334061035,1.96818147987341,2.02789519970178,2.00890154501115,1.95074146238646,1.96312560242582,2.00382871388999,2.01017447938951,1.94889365224805,1.81851626725315,1.96227892563856,1.90359335067005,1.97905872833459,1.93656613675911,2.18750386086564,2.3362342781575,2.25177868406172,2.38687997099843,2.52162765094897,3.45784973412589,3.050917160333,3.76603883480928,3.07908632764243,2.93865660970889,2.64370347474336,2.81744297013829,2.56015207249337,2.67094595739118,2.63452481607788,2.68570320957914,2.70314371877835,2.69580855444124,2.63409810902571,2.88392317129658,3.03618246704263,3.09322987512415,2.79617620044554,2.68322512018671,2.58471908668228,2.48596233779965,2.51934391403883,2.59161900106332,2.50136950481345],"COPP-FDS^FG_PRICE(0)/MAX(FG_PRICE(0,-1AY))":0.900566516897832,"URTH^PERCENT_CHANGE(FMA_EPS(+1,0,,,,\"PORTAGG\",\"MEAN\"),FMA_EPS(+1,-3AM,,,,\"PORTAGG\",\"MEAN\"))":0.550209070641202,"EWU^P_PRICE(0)/P_PRICE_HIGH_PR(0,,,,,,\"PRICE\",\"INTRA\",\"52W\")":0.9878961,"EWA^FG_TOTAL_RETURNC(0,-3AM)":3.0518413,"QQQ^P_PRICE(0)/P_PRICE_HIGH_PR(0,,,USD,,,\"PRICE\",\"INTRA\",\"52W\")":0.9785705,"TRYAE10Y-FDS^FG_YIELD(-10AY,0,Y,,\"YTM\")":[null,null,null,3.371059,3.6940188,2.542721,1.7060698,2.0444937,4.2739367,null],"EWG^FG_PRICE_MAVG(0,,,,30)":31.563,"FXI^PERCENT_CHANGE(FMA_EPS(+1,0,,,,\"PORTAGG\",\"MEAN\"),FMA_EPS(+1,-1AM,,,,\"PORTAGG\",\"MEAN\"))":2.36359873391827,"QQQ^FMA_COS_DOWN(\"EPS\",\"1M\",+1,0,,,\"PORTAGG\",\"MEANR\")":33.0,"CAGDPY@IT^EE_ACTUAL_ANNUAL(MED,+1)":0.9,"CC_CH^FG_COMPANY_NAME":"Switzerland","USDCHF^STD(FG_PRICE_CHANGE(0,-3AY,M))":2.43689228147449,"USDGBP^STD(FG_PRICE_CHANGE(0,-1AY,AM))":2.01260771274324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ENZL^JULIAN(P_PRICE_RETURNS_PR('52W',2,-10AY,0,AM).DATES)":[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7,43738,43769,43798,43830,43861,43889,43921,43951,43980,44012,44043,44074,44104,44134,44165,44196,44225,44253,44286,44316,44344,44377,44407,44439,44469,44498,44530,44561,44592,44620,44651,44680,44712,44742,44771,44804,44834,44865,44895,44925,44957,44985,45016,45044,45077,45107,45138,45169,45198,45230,45260,45289,45322,45351,45379,45412,45443],"W-FDS^FG_PRICE_CHANGE(0,-6AM)":18.9829022358615,"TIOS-FDS^FG_PRICE_MAVG(0,,,,30)":115.35433,"EWU^FG_PRICE_MAVG(0,,,,200)":32.87245,"SPY^PERCENT_CHANGE(FMA_EPS(+1,0,,,,\"PORTAGG\",\"MEAN\"),FMA_EPS(+1,-3AM,,,,\"PORTAGG\",\"MEAN\"))":0.420072129603514,"EWL^P_PRICE(0)/P_PRICE_HIGH_PR(0,,,,,,\"PRICE\",\"INTRA\",\"52W\")":0.9995933,"REFNZOCR-FDS^PROPER_NAME(0,,,\"SECURITY\",\"NAME\")":"New Zealand Official Cash Rate","EWD^FMA_PE(NTMA,0,,,\"PORTAGG\",\"MEANR\")":16.0470351324523,"EWJ^FMA_EVAL_EBITDA(NTMA,0,,,\"PORTAGG\",\"MEANR\")":10.4612935564899,"TLT^P_PRICE(0)/P_PRICE_HIGH_PR(0,,,USD,,,\"PRICE\",\"INTRA\",\"52W\")":0.8701299,"GLD^FG_TOTAL_RETURNC(0,-3AM)":13.728809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199155966171],"TRYCA10Y-FDS^FG_YIELD(-10AY,0,Y,,\"YTM\")":[1.79,1.39,1.72,2.04,1.96,1.7,0.67,1.42,3.3,3.0987],"USDEUR^FG_COMPANY_NAME":"Euro per U.S. Dollar","ENZL^JULIAN(FMA_DIV_YLD(LTMA,-10AY,0,AM,\"PORTAGG\",\"MEANR\").DATES)":[41789,41820,41851,41880,41912,41943,41971,42004,42034,42062,42094,42124,42153,42185,42216,42247,42277,42307,42338,42369,42398,42429,42460,42489,42521,42551,42580,42613,42643,42674,42704,42734,42766,42794,42825,42853,42886,42916,42947,42978,43007,43039,43069,43098,43131,43159,43188,43220,43251,43280,43312,43343,43371,43404,43434,43465,43496,43524,43553,43585,43616,43644,43677,43706,43738,43769,43798,43830,43861,43889,43921,43951,43980,44012,44043,44074,44104,44134,44165,44196,44225,44253,44286,44316,44344,44377,44407,44439,44469,44498,44530,44561,44592,44620,44651,44680,44712,44742,44771,44804,44834,44865,44895,44925,44957,44985,45016,45044,45077,45107,45138,45169,45198,45230,45260,45289,45322,45351,45379,45412,45441],"NI-FDS^MAX(FG_PRICE(0,-5AY))":48241.0,"ENZL^FG_PRICE_MAVG(0,,,,200)":45.299137,"EWJ^FG_TOTAL_RETURNC(0,-6AM)":11.710798,"EWD^FMA_PCT_ABOVE_MAVG(200,0,,,,\"PORTAGG\")":86.046511627907,"EWC^P_PRICE(0)/P_PRICE_LOW_PR(0,,,,,,\"PRICE\",\"INTRA\",\"52W\")-1":0.21808338,"ENZL^PERCENT_CHANGE(FMA_EPS(+1,0,,,,\"PORTAGG\",\"MEAN\"),FMA_EPS(+1,-3AM,,,,\"PORTAGG\",\"MEAN\"))":-12.1126259741242,"EWD^SIZE(FG_CONSTITUENTS)":45,"EWG^FG_ROE(0)":9.57242401704336,"TRYNZ10Y-FDS^PCTCHG(FG_YIELD(0,,,,\"YTM\"),FG_YIELD(-3AM,,,,\"YTM\"))":1.3567933,"VWO^FMA_DIV_YLD(NTMA,NOW,NOW,M,\"PORTAGG\",\"MEANR\")":3.0650267654051,"EWD^JULIAN(FMA_DIV_YLD(NTMA,NOW,NOW,M,\"PORTAGG\",\"MEANR\").DATES)":45441,"QQQ^FMA_EVAL_EBIT(LTMA,NOW,NOW,M,\"PORTAGG\",\"MEANR\")":24.3365741888818,"EWA^FMA_PE(LTM,0,,,\"PORTAGG\",\"MEANR\")":18.6105269152087,"CAGDPY@SE^EE_ACTUAL_ANNUAL(MED,0)":6.86906499643787,"CC_DE^FG_COMPANY_NAME":"Germany","USDCHF^STD(FG_PRICE_CHANGE(0,-1AY,AM))":2.73783627517655,"USDGBP^FG_PRICE_CHANGE(0,-3AM)":-0.647974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09750880863,2.46081746914008,2.80266518938636,2.92070468056675],"EWI^FG_TOTAL_RETURNC(-10AY,0,AM)":[-1.9955695,-0.31986833,-5.983883,-2.2643805,-1.7532945,-5.0350547,-0.1342237,-7.966942,0.8088231,8.533918,-0.5376339,3.1756759,1.899147,-2.6199996,3.9623857,-4.392761,-3.2432437,3.4217954,-2.8359234,-4.2285085,-12.154293,-6.5451503,8.156025,4.180324,-4.405981,-8.155262,3.1336308,0.89366436,-2.3914933,2.3593426,-3.5904229,12.337422,-1.9413412,-0.37910938,8.837212,2.75836,5.368626,1.5643358,7.0503592,1.7809153,3.532517,-1.2755156,0.16150475,-1.2965441,10.9724045,-6.1278877,1.3875842,4.4167876,-9.770626,-1.9493341,3.3921838,-9.273518,2.0664215,-9.436011,1.3572812,-3.4290433,8.095837,3.7447453,2.3572803,1.7992139,-8.306826,9.902525,-1.8874705,-0.44395328,2.4526238,4.715276,0.06927252,2.8223991,-2.440673,-5.3509417,-23.751831,1.8295527,6.1938524,8.334482,2.6993394,4.0841103,-5.283606,-6.439704,25.208246,3.932643,-3.7024438,5.537915,5.3141713,0.31735897,6.010747,-2.1637619,0.30874014,1.415813,-3.9453745,5.7819963,-6.0334563,5.776179,-1.1581838,-6.72217,-2.3801625,-7.111412,5.103898,-13.912171,2.3255825,-6.087661,-7.0872903,12.0,15.531564,-1.7070591,12.3608,-0.8589387,1.399529,4.042065,-6.253946,9.875404,5.2466273,-4.179108,-5.2336397,-1.7094016,10.301006,4.1784763,-1.2967825,6.3899636,5.865848,-3.1018078,6.2380314],"EWI^FMA_PE(NTMA,-10AY,0,AM,\"PORTAGG\",\"MEANR\")":[14.1092781042066,14.4079521938383,13.7822478798322,13.8013716688956,13.6103698624074,12.859005925144,13.0012291690605,12.3383387133165,14.004178174042,15.5512236592378,15.8634053445672,15.7302112379706,15.7682128531581,14.7595589266733,15.4666177640748,14.3894014831502,13.8928770041434,14.7406954620597,15.1042536429889,14.0570435212574,13.034168832855,12.9384392812333,13.2032705500227,13.4221143217494,13.5996513032285,11.7999998651401,12.452074341917,12.5017344109689,11.7803348217568,12.0513768309649,11.875954387836,13.5567131574021,12.4686796244799,12.7903887811697,13.682327478082,13.3991037145028,13.1890616499368,12.9922537854392,13.4678256267059,13.2378357201865,13.5903687427109,13.6350411192155,13.2454284052553,12.9476628628246,13.288832746324,12.5113627539402,12.4578319062636,13.049871991389,11.3756059492932,11.3692943819695,11.7342754623392,10.5885717201615,10.6168313074978,9.75691028689294,9.6810525954439,9.13844380576257,9.95613441688127,10.579188236159,10.7934562425866,10.9436785689093,9.74880618893185,10.4639889943715,10.520218379413,10.5133520374046,10.8184397269608,11.0416931566545,11.2325740446506,11.3789048915432,11.240492013789,10.5432842641668,9.61193847025816,13.2623159592406,15.8762872533126,17.2414882223664,16.4093384617975,15.7270305847545,14.7011754652036,13.1441012812624,14.8762758104877,14.7412461357557,13.3547576062008,13.701980133488,14.0179292392858,13.4412207407004,13.5982743353451,13.3505401064406,12.9775278436631,11.9886583967742,11.6280683453692,11.7310813628874,10.9097293506596,11.069489560574,10.6800436006148,9.83888117357743,9.74838021711855,9.47563261783566,9.03035463615587,7.67715931618624,7.71910789583498,7.28714078625123,7.21126707199346,7.83245321166432,8.06274806841359,7.59438441254583,8.38626523751319,8.25846077016601,8.4771354117954,8.58843610479894,7.90098771065145,8.79260716527943,8.76141888634013,8.40572303902659,8.26959023250955,7.91403717845488,8.40192168199298,8.90130129430784,9.01467497770453,9.26148528316797,9.80532738080598,9.50406983895669,9.68942928397427],"W-FDS^FG_PRICE_CHANGE(0,-3AM)":17.4891774891775,"TIOS-FDS^FG_PRICE(0)":117.62,"EWU^FG_PRICE_MAVG(0,,,,60)":34.691166,"EWL^FG_TOTAL_RETURNC(0,-6AM)":8.234262,"EWD^FMA_COS_DOWN(\"EPS\",\"1M\",+1,0,,,\"PORTAGG\",\"MEANR\")":11.0,"TRYDE10Y-FDS^FG_YIELD(0,,,,\"YTM\")":2.65,"QQQ^FMA_EVAL_EBITDA(NTMA,0,,,\"PORTAGG\",\"MEANR\")":16.1181985831699,"TLT^FG_TOTAL_RETURNC(0,-6AM)":0.71721077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68127809],"TRYJP10Y-FDS^FG_YIELD(-10AY,0,Y,,\"YTM\")":[0.3138,0.2604,0.0315,0.0465,-0.0051,-0.0208,0.0201,0.0672,0.4224,0.6127],"USDCAD^STD(FG_PRICE_CHANGE(0,-3AY,M))":1.82994010425828,"DDR3512M-FDS^MAX(FG_PRICE(0,-5AY))":3.3053632,"NI-FDS^FG_PRICE_CHANGE(0,-1AY)":-3.03178484107579,"ENZL^FG_PRICE_MAVG(0,,,,30)":45.009,"VGK^P_PRICE(0)/P_PRICE_LOW_PR(0,,,,,,\"PRICE\",\"INTRA\",\"52W\")-1":0.26861596,"EWN^FG_TOTAL_RETURNC(0,-12AM)":24.56186,"EWC^P_PRICE(0)/P_PRICE_HIGH_PR(0,,,,,,\"PRICE\",\"INTRA\",\"52W\")":0.9871001,"EWC^FG_ROE(0)":11.0198518047594,"TRYIT10Y-FDS^PCTCHG(FG_YIELD(0,,,,\"YTM\"),FG_YIELD(-1AM,,,,\"YTM\"))":2.2492216,"TRYNZ10Y-FDS^PCTCHG(FG_YIELD(0,,,,\"YTM\"),FG_YIELD(-1AM,,,,\"YTM\"))":-1.7722527,"EWN^FMA_EVAL_EBIT(LTMA,NOW,NOW,M,\"PORTAGG\",\"MEANR\")":21.8631122331591,"EWJ^FMA_PE(LTM,0,,,\"PORTAGG\",\"MEANR\")":15.7775814880069,"EWA^JULIAN(FMA_DIV_YLD(NTMA,NOW,NOW,M,\"PORTAGG\",\"MEANR\").DATES)":45442,"CAGDPY@FR^EE_ACTUAL_ANNUAL(MED,+1)":-0.55,"CC_CA^FG_COMPANY_NAME":"Canada","USDGBP^FG_COMPANY_NAME":"British Pounds per U.S. Dollar"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SPY^FG_TOTAL_RETURNC(-10AY,0,AM)":[2.3206353,2.063346,-1.3437569,3.946352,-1.3791203,2.3550868,2.74719,-0.25601983,-2.962923,5.6204557,-1.5744805,0.9833932,1.2856126,-2.0290613,2.2589207,-6.09501,-2.5430024,8.505964,0.3655076,-1.7179251,-4.9782696,-0.08300543,6.7242503,0.39451122,1.7007589,0.34735203,3.6495924,0.11975765,0.0077962875,-1.7337024,3.6838412,2.0283222,1.7894745,3.92915,0.12581348,0.99262,1.4112949,0.6374359,2.0554185,0.29176474,2.0140886,2.35641,3.0565858,1.2086749,5.635917,-3.6360383,-2.7415514,0.51681995,2.430904,0.5755067,3.7046552,3.1919837,0.5948305,-6.910425,1.8549323,-8.793616,8.006561,3.2415867,1.8079042,4.0852427,-6.377119,6.9592714,1.5119433,-1.6743362,1.9478917,2.210462,3.6198258,2.9033542,-0.040382147,-7.9165754,-12.464255,12.698353,4.764521,1.7760754,5.889225,6.979668,-3.739822,-2.4933577,10.877681,3.7065983,-1.0190427,2.7805448,4.540515,5.2910447,0.65660477,2.247262,2.4412513,2.9759884,-4.657531,7.016349,-0.80348253,4.6295047,-5.274123,-2.9516995,3.7555575,-8.776903,0.22572279,-8.2469225,9.208751,-4.0801945,-9.241634,8.127558,5.5591464,-5.757582,6.288743,-2.514267,3.7124991,1.5974879,0.46161413,6.481409,3.273332,-1.6251981,-4.7393265,-2.1708608,9.134377,4.566252,1.592648,5.2186847,3.2723904,-4.0319624,5.0579667],"EWD^FMA_PE(NTMA,-10AY,0,AM,\"PORTAGG\",\"MEANR\")":[15.9446023527782,15.5149374602116,15.3809341005389,14.7457568698236,14.6879698949728,14.6907340445612,15.6989876845885,15.6107957364202,16.2029143239634,17.3936140410266,16.9976146356648,15.8400824709705,16.4926284571713,15.3818987124474,15.9682175913571,14.9033573095144,14.1084690328356,15.4549049078493,15.7187562895334,14.9750159777383,14.5798742716645,15.1632909635731,15.0704805199272,15.2560793560229,15.0093246160006,14.5167450248544,15.2593380109794,15.4803084887077,15.7653590079957,16.0344242227279,16.1080326381519,16.4046723033614,15.8970560953903,16.3898648505327,17.1510964012342,17.090100577415,17.9885853625156,16.4637755011596,15.9758773781127,15.8016757447029,16.8113671936394,17.3338264535547,16.5359821025612,16.113894235022,16.5756396757437,16.3892673839327,15.8207495332629,15.8794080385152,15.4134314603645,15.3503417864848,15.6429301677145,15.8653631698662,15.8808559138146,14.4416529266084,14.1492544826452,13.3494752250555,14.1151047751926,14.7869103765623,14.6835089300983,15.7059459818929,14.0663539951271,14.9750765508224,14.905814827195,13.7512240670503,15.0427244538468,15.7014480486855,15.6167541330991,16.0880122782739,16.0998274698633,15.0619949205102,14.3006655031041,17.0325318042254,18.5148241623262,19.2900823980149,18.1484750364984,18.0819914973421,18.3113186719891,15.5955476372137,17.3108635106432,17.9826004051755,18.4319610593142,18.7197263345941,20.2558337501735,18.6920494479418,18.4636301746765,18.5117640572089,18.4424423054938,18.3906536062312,17.8356919685468,18.1312430609628,17.9658368748321,18.6078033361492,16.6526114044439,15.0907116901444,15.0673928034922,14.5433017493468,15.9545169882878,14.0482315337327,15.4753974384837,13.9352507470571,13.0652029604564,13.1579884960248,12.9675147885106,12.6115488437411,13.926804844228,14.0822005531498,13.8033449605729,13.765383611905,13.2724610101267,13.6055048185011,13.3963423235833,12.7794910035584,12.9090225088888,12.5157843440879,13.4299214011041,15.7259900145403,15.5517211979344,16.2650688356761,16.4211459844151,16.0135679915272,16.0470351324523],"W-FDS^FG_PRICE_CHANGE(0,-1AM)":15.982905982906,"EWU^FG_PRICE_MAVG(0,,,,30)":35.604332,"EWL^FG_TOTAL_RETURNC(0,-3AM)":4.9978614,"FXI^SIZE(FG_CONSTITUENTS)":53,"EWD^FMA_COS_UP(\"EPS\",\"1M\",+1,0,,,\"PORTAGG\",\"MEANR\")":17.0,"USDJPY^FG_PRICE(0)":157.145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8228],"QQQ^FMA_DIV_YLD(NTMA,-10AY,0,AM,\"PORTAGG\",\"MEANR\")":[1.31245539971502,1.26547070535965,1.26420791694804,1.21275980992652,1.23932327758256,1.22378485612699,1.18921478067016,1.20522103679901,1.24061559788852,1.21346631716943,1.27604673464763,1.25572943888175,1.23902653864636,1.27107986466329,1.26115963601434,1.36126663660398,1.395227630936,1.27153351470829,1.27287654388271,1.25997804336583,1.35895408073496,1.41613152468331,1.33316585165583,1.39099344199501,1.34255606774123,1.36448154564843,1.28997458046823,1.2889295389956,1.26004379696741,1.28964810838131,1.29602971682071,1.30197782946316,1.24672394213797,1.22415700323872,1.20673171258263,1.18832593916955,1.15809527439634,1.19969361998082,1.17418605149178,1.15995951975967,1.16279797138161,1.1171082287263,1.10443109229641,1.10103549957568,1.03144302293207,1.06479442796328,1.12169010247195,1.12858686593306,1.08307522236921,1.07614608708486,1.10262471885249,1.05046082475478,1.06020338050617,1.18137614513665,1.19016442416278,1.32896766213063,1.21857880161809,1.17801506593521,1.13885454821726,1.09374615271282,1.20013896593598,1.1141338537341,1.09360104112937,1.11766359841406,1.11458732578964,1.08392448479909,1.07169012998774,1.04767821188653,1.02349312664834,1.09357289998381,1.18850241001459,1.01872571076637,0.950459889716669,0.894166145971889,0.835276832095417,0.752654651191199,0.801004631073688,0.838160300330545,0.756507038151429,0.763066803932728,0.765726304378392,0.774742301916073,0.767714278643062,0.730901961367236,0.740744187266373,0.704187992556581,0.703921699044689,0.679697360883476,0.728138795063255,0.678574183032493,0.671580136072101,0.667983627601131,0.737470164834491,0.787356254120176,0.759192101010251,0.878393686510995,0.901986315876621,0.999128681390758,0.893432096075099,0.947441094312948,1.07002595175519,1.03650820391809,0.986679169566659,1.0384400172415,0.95020339170107,0.962017703454128,0.884085342159011,0.863925211340448,0.806732182428258,0.762629514025155,0.85636517592352,0.873319057160994,0.945694235699801,0.972118297583118,0.887307113132913,0.919279198083912,0.901275368240303,0.882677293199704,0.882477803601336,0.943896880301974,0.896392968215715],"CPALM-FDS^FG_PRICE_CHANGE(0,-3AM)":1.09316770186336,"EWD^P_PRICE(0)/P_PRICE_HIGH_PR(0,,,,,,\"PRICE\",\"INTRA\",\"52W\")":0.99833333,"EWG^FG_TOTAL_RETURNC(0,-3AM)":4.6344757,"EWU^FMA_RBICS_REV_CURRENT(30, LOC, \"PORTAGG\")":18.8933168361865,"TRYJP10Y-FDS^PCTCHG(FG_YIELD(0,,,,\"YTM\"),FG_YIELD(-1AM,,,,\"YTM\"))":23.271679,"EWI^FMA_EVAL_EBITDA(NTMA,0,,,\"PORTAGG\",\"MEANR\")":6.84410677083626,"DBA^FG_TOTAL_RETURNC(0,-6AM)":17.945444,"TRYAU10Y-FDS^FG_YIELD(-10AY,0,Y,,\"YTM\")":[2.81,2.88,2.76,2.63,2.315,1.375,0.972,1.671,4.051,3.955],"CAGDPY@CA^EE_ACTUAL_ANNUAL(MED,0)":-0.725414399026327,"USDCHF^FG_PRICE_CHANGE(0,-3AM)":2.4530053,"DDR3512M-FDS^FG_PRICE_CHANGE(0,-6AM)":-4.77345940594061,"EWL^FG_PRICE_MAVG(0,,,,60)":47.207165,"EWJ^SIZE(FG_CONSTITUENTS)":219,"REFJPTON-FDS^(SUBARRAY(NOT_NA(NO_REPEAT_F(FG_YIELD(NOW,-10AY,D))),0,1)-SUBARRAY(NOT_NA(NO_REPEAT_F(FG_YIELD(NOW,-10AY,D))),1,1))*100":10.0,"EWI^FG_FCF_YIELD_NTM(0)":6.13302066427499,"SPY^FMA_PE(LTM,0,,,\"PORTAGG\",\"MEANR\")":25.1847419811952,"EWG^FG_FCF_YIELD_NTM(0)":5.89724668780468,"USDJPY^FG_COMPANY_NAME":"Japanese Yen per U.S. Dollar","EWU^FMA_DIV_YLD(NTMA,-10AY,0,AM,\"PORTAGG\",\"MEANR\")":[3.83589919998927,3.87164581406924,3.90913500739275,3.8939000024378,4.0468711826303,4.09206953370175,4.03438047362769,4.13171988007349,4.07422576221118,3.88455792026231,4.05090992232372,3.89036023737121,3.91962851530386,4.20104357216922,4.096417008216,4.39275878673846,4.48641910561669,4.24491806245958,4.1987568576865,4.30856301942377,4.43757670350483,4.49378642132755,4.34443762519257,4.27161646826222,4.30230991974741,4.21625604305529,4.11933406835795,4.13056347388719,4.1564709474935,4.33926606830881,4.42208032275476,4.27151734515527,4.32964442959742,4.29897374225063,4.32479324020005,4.37740344097825,4.22825806923746,4.35243963248784,4.28043161838196,4.33180590235103,4.29549488536781,4.28923325274319,4.38764739980233,4.19117596008474,4.22972849958425,4.62090205560636,4.56453427272181,4.34599106194862,4.33754476852627,4.40328539217437,4.36958760504981,4.5766306421935,4.51545714486658,4.83985118425096,4.97924386808332,5.34221032429731,5.07384545387958,4.97377466886614,4.91543375327701,4.84219641026257,4.95177272056864,4.77443177975051,4.78551691395624,5.07671047044337,4.87430889467929,4.842679749387,4.73735286170526,4.56266786132553,4.73881751977321,5.32636721220566,6.10342589462125,5.12048652914248,4.19123239090501,4.15843286074476,4.15563004549872,4.03271162816908,4.23429739175012,4.59190016900554,4.01619527668937,3.93897492400488,4.10393488739171,4.05935317045809,4.05530577622058,3.95879453059203,3.89749527791002,4.02644101590477,4.15978291017877,4.18913307741155,4.16967587112883,4.03264243900003,4.17405361776404,3.89717641656201,3.81581694735465,3.90181381356309,3.99646616949063,4.04341835588584,4.01399841530827,4.30276471277111,4.14130063946041,4.41714788170847,4.76080208589926,4.53136804621816,4.24042965398515,4.27492191910242,4.09518423796358,4.1102388561794,4.21560198089841,4.09083219414147,4.47136857977038,4.35085002003268,4.24920096471086,4.48776205793094,4.44668901195418,4.64684547251556,4.44546356868956,4.2665720842035,4.2877996897559,4.20979928862818,4.02549633462349,3.93839678049422,3.91077479509746],"CPALM-FDS^FG_PRICE_CHANGE(0,-1AM)":5.35991714137753,"EWD^PERCENT_CHANGE(FMA_EPS(+1,0,,,,\"PORTAGG\",\"MEAN\"),FMA_EPS(+1,-3AM,,,,\"PORTAGG\",\"MEAN\"))":3.45840444311965,"TRYDE10Y-FDS^PCTCHG(FG_YIELD(0,,,,\"YTM\"),FG_YIELD(-3AM,,,,\"YTM\"))":9.549408,"QQQ^FG_TOTAL_RETURNC(0,-6AM)":16.357803,"TRYPE10Y-FDS^FG_YIELD(-10AY,0,Y,,\"YTM\")":[5.681629,7.426917,6.415413,5.167133,5.645114,4.243226,3.535983,5.889906,7.923381,6.6087],"CAGDPY@AU^EE_ACTUAL_ANNUAL(MED,+1)":0.5,"USDCHF^FG_PRICE_CHANGE(0,-1AM)":-1.6355038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DDR3512M-FDS^FG_PRICE_CHANGE(0,-1AM)":-0.846591752577319,"URTH^FG_TOTAL_RETURNC(0,-6AM)":14.982891,"EWG^PERCENT_CHANGE(FMA_EPS(+1,0,,,,\"PORTAGG\",\"MEAN\"),FMA_EPS(+1,-3AM,,,,\"PORTAGG\",\"MEAN\"))":2.23861401502895,"VWO^FMA_COS_DOWN(\"EPS\",\"1M\",+1,0,,,\"PORTAGG\",\"MEANR\")":1617.0,"EWC^SIZE(FG_CONSTITUENTS)":88,"REFJPTON-FDS^FG_YIELD(NOW,,,0)":0.1,"USDITL^FG_PRICE(0)":1783.5944,"USDAUD^STD(FG_PRICE_CHANGE(0,-1AY,AM))":2.59443488566345,"ENZL^P_PRICE_RETURNS_PR('52W',2,-10AY,0,AM)":[23.286247,31.10534,20.49017,25.00683,4.4864893,5.0650716,9.209024,12.599718,6.8862915,8.312106,-1.9092023,-1.7613053,-5.0462666,-13.184566,-9.44537,-16.774685,-12.372619,-3.9097548,-5.7112875,-1.9886672,-5.6719723,-7.7569666,7.3414087,7.6375127,15.108037,28.056263,37.02644,49.98044,51.206062,21.831524,21.880363,10.709274,29.869497,23.936033,7.5505853,7.6562405,10.216093,13.302744,7.9239845,4.869044,7.3923707,11.971867,13.570177,22.99831,18.513084,16.050316,21.153248,15.918505,14.759421,8.741915,5.0070643,9.108675,6.7557573,3.067994,9.931696,0.3503561,1.3843656,6.1311364,10.915017,13.941801,8.390844,13.758814,16.385996,8.1835985,10.290634,19.663752,20.654179,30.100859,19.802452,10.86787,-11.631227,-3.6056578,5.25285,9.161293,11.098612,20.848488,14.063764,16.567791,22.236788,20.04013,20.325232,15.762925,42.26209,35.153103,23.299658,9.3649025,4.8636556,6.8530083,9.538436,7.740867,-9.883743,-11.381138,-21.317858,-10.869855,-9.487783,-21.67635,-19.618952,-24.767965,-19.619762,-24.45938,-31.495863,-29.828518,-14.581453,-16.554832,1.9206285,-8.5211935,-7.7160654,0.11956692,0.25509596,11.783588,5.4997325,-1.5544236,6.871724,-3.0939162,-3.2643616,1.6126633,-8.91344,-5.132723,-4.6717644,-8.504468,0.87560415],"PASP-FDS^FG_PRICE(0)":960.0,"EWQ^FMA_PCT_ABOVE_MAVG(200,0,,,,\"PORTAGG\")":68.2539682539683,"EWN^FMA_COS_UP(\"EPS\",\"1M\",+1,0,,,\"PORTAGG\",\"MEANR\")":19.0,"CC_AU^IMF_IFS_RCPI_Q(0)":3.61991,"USDGBP^STD(FG_PRICE_CHANGE(0,-3AY,M))":2.39397017808334,"USDNZD^STD(FG_PRICE_CHANGE(0,-3AY,M))":3.48353946509793,"EWQ^FMA_PE(LTMA,-10AY,0,AM,\"PORTAGG\",\"MEANR\")":[15.8182028245643,15.6568004392555,15.2715268137531,15.4255219956301,15.4128068747396,14.9429776821522,15.4478417961018,15.0703384486285,16.1656093707683,17.5590988431393,17.537641625751,17.4642604036489,17.3925517718493,16.9402603782318,17.1919416855132,16.141248181763,15.4840549574838,16.4233636129775,16.4488323177996,15.4220750370538,14.7090533005549,15.1416256473815,15.1517292017638,15.1765127198323,15.255605394241,14.8000257220752,15.093070600551,14.9098257533221,14.8789840518654,14.9599392601041,14.9803869170503,15.7881796008571,15.3992671433428,15.5832062176459,15.6742006521623,15.7677768365969,15.7492235296421,15.5101231229392,15.4733943852105,15.4734176980909,15.9446849679102,16.3219379829014,16.0659138986526,15.9684031818278,16.4391689655087,15.6214282695546,15.4673578153265,15.6091265603648,15.3902461726048,15.1696652076955,15.324875454619,15.0320387753647,15.1034403151283,14.1423161503322,13.7530718875671,12.9349299562362,13.7605349281608,14.5731947255995,14.5431723684416,14.6919990284815,14.3250107055749,14.683889494528,14.8162082848887,14.7725511007279,15.1890275748946,15.6105424942002,16.0933141210066,16.497961554424,16.0515710526366,14.6441363505227,14.433713027227,15.8734806645912,16.8652930025533,18.5906850267692,20.7681842366167,22.5292511755023,23.0775460527579,22.9517526175939,27.8935220067002,28.8602295434066,27.2816850381335,27.0710573404601,26.2953868544694,25.4484766270221,24.7097662524367,23.6094322589914,22.2836657231612,21.0489896355775,19.5732567672684,18.8350019007308,17.2453344796844,17.2038333997496,16.3034512585233,15.4793464627125,15.2619806521194,14.8678883286999,14.3785216082724,13.5490009000702,13.40840599843,12.5063136996977,11.4728680650455,11.7617692645641,12.1907842647374,11.5286030923617,12.8432199679198,12.9007029973893,12.9903789765406,13.2308014458446,12.9478307353273,13.3012820963737,13.4788641855995,13.2624897955478,12.982563318238,12.6049036615918,13.3862801604871,14.0873839320359,14.5195895206131,15.4853083345016,15.5309917800675,15.4022971273621,15.2933605597398],"NI-FDS^FG_PRICE_CHANGE(0,-1AM)":4.50592885375494,"COPP-FDS^FG_PRICE_CHANGE(0,-1AM)":0.996823310329731,"SPY^FG_PRICE_MAVG(0,,,,200)":476.1936,"ENZL^P_PRICE(0)/P_PRICE_HIGH_PR(0,,,,,,\"PRICE\",\"INTRA\",\"52W\")":0.90953404,"TRYIT10Y-FDS^FG_YIELD_NAME":"Italy Benchmark Bond - 10 Year","TRYNL10Y-FDS^PCTCHG(FG_YIELD(0,,,,\"YTM\"),FG_YIELD(-3AM,,,,\"YTM\"))":7.161129,"CC_NZ^IMF_IFS_RCPI_Q(0)":4.022989,"EWN^FMA_PE(NTMA,0,,,\"PORTAGG\",\"MEANR\")":16.1302055844928,"EWL^FMA_DIV_YLD(NTMA,NOW,NOW,M,\"PORTAGG\",\"MEANR\")":3.26795935688626,"VWO^FG_TOTAL_RETURNC(0,-6AM)":8.411503,"TRYBR10Y-FDS^FG_YIELD(-10AY,0,Y,,\"YTM\")":[12.319731,15.989595,11.062725,9.887577,8.936093,6.883678,6.961219,10.970291,12.900059,10.455909],"TRYZA10Y-FDS^JULIAN(FG_YIELD(-10AY,0,CY,,\"YTM\").DATES)":[42004,42369,42734,43098,43465,43830,44196,44561,44925,45289],"USDSEK^FG_PRICE_CHANGE(0,-1AM)":-4.1791496,"VGK^PERCENT_CHANGE(FMA_EPS(+1,0,,,,\"PORTAGG\",\"MEAN\"),FMA_EPS(+1,-1AM,,,,\"PORTAGG\",\"MEAN\"))":0.0,"SPY^P_PRICE(0)/P_PRICE_LOW_PR(0,,,,,,\"PRICE\",\"INTRA\",\"52W\")-1":0.28875148,"TRYNL10Y-FDS^PCTCHG(FG_YIELD(0,,,,\"YTM\"),FG_YIELD(-1AM,,,,\"YTM\"))":2.1595275,"EWN^FMA_PE(LTM,0,,,\"PORTAGG\",\"MEANR\")":20.2933942346028,"USDNZD^STD(FG_PRICE_CHANGE(0,-1AY,AM))":3.1077017986997,"QQQ^FG_TOTAL_RETURNC(-10AY,0,AM)":[4.485643,3.1236053,1.181972,5.0094724,-0.7566869,2.641964,4.546356,-2.2423923,-2.082324,7.220578,-2.3603678,1.9223452,2.248454,-2.4828374,4.5577645,-6.8244753,-2.203852,11.3698845,0.6088376,-1.5886188,-6.910425,-1.5653491,6.8519115,-3.18681,4.3700337,-2.2752523,7.150829,1.0500789,2.2135496,-1.4572144,0.43593645,1.1332989,5.140102,4.3750525,2.0270705,2.726996,3.8973331,-2.3164928,4.0613174,2.073586,-0.29468536,4.60639,1.9717336,0.60163736,8.757067,-1.292789,-4.075706,0.5058408,5.6729198,1.1453867,2.7963877,5.780673,-0.28226376,-8.595716,-0.2649963,-8.654338,9.010768,2.9911995,3.9242387,5.4992676,-8.225173,7.589793,2.3347974,-1.8995345,0.9178877,4.380071,4.0694118,3.885603,3.0384302,-6.0574236,-7.286149,14.973747,6.6008806,6.2845945,7.346523,10.944724,-5.641884,-3.0449152,11.225772,4.902911,0.26136637,-0.1335144,1.7142892,5.9098125,-1.2012184,6.261301,2.8609395,4.2186737,-5.680972,7.8640103,1.996851,1.1537075,-8.747017,-4.4759693,4.6681643,-13.595742,-1.5865922,-8.912057,12.551737,-5.1321864,-10.536909,3.9998531,5.54415,-9.010434,10.642934,-0.35978556,9.492207,0.5079031,7.883799,6.3040257,3.860104,-1.4830053,-5.080122,-2.0654798,10.818815,5.5855513,1.8192053,5.2833557,1.2738109,-4.373777,6.151819],"SPY^FMA_PE(LTMA,-10AY,0,AM,\"PORTAGG\",\"MEANR\")":[16.2953238156548,16.3973381550998,16.1698671644831,16.5165946550167,16.3909101440955,16.7341229559942,17.1148636188273,17.3010358861258,16.7185963770641,17.59103730002,17.4882420897012,17.5027217363424,17.5147419982975,17.3285036837458,17.5282892922124,16.8195737373106,16.4507486364067,17.3980491760626,17.4091988165783,17.1423143271944,16.2966838906097,16.18819342752,16.4452153070474,16.565182572191,16.7575366352268,16.8930620098699,17.3852036643489,17.553922187925,17.7472227651928,17.5429251676046,18.2587961005746,18.7888782880815,18.925841919614,19.4949236055791,19.3434696885449,19.2294920728576,19.1610917097126,19.0829110788387,19.1691877745895,19.0754165585191,19.3338918115731,19.6009324750759,20.028472980703,20.2347233132771,20.9972813080589,19.7961415133282,19.442240691761,19.0775311964782,18.8573523873582,18.6134370089549,18.6215199452716,18.7016893540282,18.5967626970535,17.2971586739341,17.2533705877263,15.4897044891365,16.6955306424228,17.1101396920555,17.136536634805,17.3199641718157,16.8699525537769,17.4039736500125,17.6495606365581,17.5214082773281,17.8723272783681,18.3339021282811,19.0907003534949,19.8780204779491,19.6689283170853,17.9045011516544,17.6070289760391,19.340836708991,20.4473825837164,21.2259083995477,22.0892593032468,23.68113484344,23.5667485477203,22.8456466163072,25.3302236676853,27.4234729383004,26.2991881567304,26.2931693996623,25.9924107861177,25.579834145149,25.1175797979051,24.8222578009705,24.1699611148285,24.0104865690963,22.9022844874081,23.3454320363752,22.6499669530279,23.2347863056791,21.7859275728511,20.7184478635386,20.7041490966197,20.0247566203234,19.7463477202389,18.7458746285164,19.372230412058,18.6533722381607,17.2655556711666,18.0578415081489,18.6643361037516,17.4105939472441,18.5014384469102,18.0557703106641,18.2162863705631,18.3316453468671,18.4083592611078,19.1373266219174,19.7137211680135,19.5575762015162,19.0499238497821,18.8667747930604,20.4539509380675,21.7256395112884,21.9569453534576,22.7770019860478,22.7675024402134,22.3248297739701,22.4255737974657],"NI-FDS^FG_PRICE(0)":19830.0,"COPP-FDS^FG_PRICE_MAVG(0,,,,30)":4.7124834,"SPY^FG_PRICE_MAVG(0,,,,60)":516.2762,"ENZL^FG_TOTAL_RETURNC(0,-6AM)":2.4433494,"SPY^SIZE(FG_CONSTITUENTS)":504,"TRYNL10Y-FDS^FG_YIELD_NAME":"Netherlands Benchmark Bond - 10 Year","TRYGB10Y-FDS^FG_YIELD(0,,,,\"YTM\")":4.313,"VWO^FG_FCF_YIELD_NTM(0)":5.38071052006143,"TRYIN10Y-FDS^FG_YIELD(-10AY,0,Y,,\"YTM\")":[7.86,7.89,6.63,7.35,7.35,6.55,5.9,6.45,7.33,7.19],"USDSEK^FG_COMPANY_NAME":"Swedish Krona per U.S. Dollar","VGK^FMA_PCT_ABOVE_MAVG(200,0,,,,\"PORTAGG\")":67.3015873015873,"TRYFR10Y-FDS^PCTCHG(FG_YIELD(0,,,,\"YTM\"),FG_YIELD(-3AM,,,,\"YTM\"))":8.301626,"VWO^FG_PE(0)":14.3826098477444,"EWN^JULIAN(FMA_DIV_YLD(NTMA,NOW,NOW,M,\"PORTAGG\",\"MEANR\").DATES)":45442,"ENZL^FMA_PE(NTMA,0,,,\"PORTAGG\",\"MEANR\")":24.9767849885702,"VWO^FG_TOTAL_RETURNC(0,-1AM)":2.1579385,"CAGDPY@FR^EE_ACTUAL_ANNUAL(MED,0)":-0.758020195472472,"USDNZD^FG_PRICE_CHANGE(0,-6AM)":0.5289674,"EWU^FG_TOTAL_RETURNC(-10AY,0,AM)":[0.9758353,0.8143544,-2.3946345,0.78508854,-5.647528,-1.9091785,0.10521412,-3.3848226,0.055468082,5.875826,-5.706805,6.662953,0.6246805,-3.8664758,1.5890479,-7.982749,-3.9273143,6.589389,-1.6599834,-4.1776476,-4.832715,-3.125,5.376351,4.0178537,-1.1649191,-2.2998035,1.4964223,1.0897398,0.4438758,-5.303031,0.19999743,3.509593,2.4763823,1.4626384,2.0056367,1.6897082,4.561937,-1.5382707,2.3702264,-0.8206308,2.984631,0.60259104,-0.11409521,4.217088,3.7409306,-6.70076,0.23075342,4.3165445,-0.60690045,-1.1732638,0.9488225,-4.386216,1.6383648,-6.7702236,-1.1945903,-4.5764627,7.291305,3.4296632,1.3509274,2.2720337,-6.1315117,4.6052814,-2.4133623,-3.8046956,3.5926223,3.4998417,1.2296438,5.3659916,-4.281521,-10.2328415,-18.498295,5.7370186,1.9009829,1.6341805,0.6599426,2.738142,-4.3168125,-4.511571,16.105175,4.832244,-0.23899674,3.9356709,3.09515,3.8965106,3.8733602,-1.5906334,0.2752304,0.6709337,-2.3023248,4.4341087,-4.86936,6.280625,2.2631288,-1.1802852,0.44789314,-3.9833546,2.6934981,-8.019132,3.1708956,-6.4704,-9.339333,6.982076,12.446499,-1.3042808,6.229615,-0.89039207,-0.06195903,5.176699,-5.9829054,3.3806205,2.9366374,-3.9039016,-1.1250019,-3.6030352,6.1967134,4.386735,-1.875943,0.986743,4.45801,1.4323354,4.6685815],"QQQ^FMA_PE(LTMA,-10AY,0,AM,\"PORTAGG\",\"MEANR\")":[18.9088944573408,19.0493297955975,18.9401403285788,19.4608535100563,19.3393125546235,19.7109218244523,20.5332905806804,20.1096275394862,19.4513791235403,20.7927523096553,20.4917906153844,20.3477062160439,20.2708026242024,19.8861388300821,20.4269856102997,19.4490725855202,18.9874276641812,20.2749133493708,20.409234334328,20.3489696602954,18.8271811631151,18.171940910564,18.3943049093417,18.3157234271995,18.6386000251153,18.5890906218831,19.3471848278029,19.5222454934444,19.971558870215,19.7587692270475,19.8925058223708,20.2941205773802,21.1025312162113,21.7141306880179,21.6628465067159,21.7013956552269,21.9663666256006,21.6377295866646,22.091233456092,22.3082955917245,22.3042785946712,22.8898425208517,23.1712703923686,23.5271162523326,25.1623030184504,24.1192849747836,23.6415291626979,23.1572813551424,23.1586477091917,22.9760281305682,22.9294418883112,23.4622072819795,23.2714903030339,21.1577722300235,20.7527256929268,18.6396623122827,20.4109511419258,20.8978946598702,21.0307549409424,21.4441069271417,20.7919206066475,21.6053896951725,21.9696815582864,21.8368739225458,22.1083168333452,22.9348268862713,24.1622282318709,25.4709466074783,25.5797300133346,23.8036531052565,23.5245778695945,25.0822503379865,26.4841290462988,27.6696302145787,28.717693811546,31.5197857189405,30.8591969471784,29.74254705397,33.1645666218469,35.2372737395196,34.1163793056014,32.9457007699314,32.5673284675074,32.1483462619996,31.5157306023278,31.8745660517676,31.4117273385011,31.7576910310946,30.2402293140226,31.4591250243978,31.6313009067847,31.9012291369718,28.6983786605693,26.702801833479,26.8282137792759,25.8249989774962,25.3401526546511,24.0607443386755,25.6618449582714,24.7424339663294,22.6957009953717,23.2739898967765,24.1167345457555,22.7307339981462,25.0827156962451,25.2426632599227,25.6827595575912,25.6688299934999,26.3361349736436,27.2777332010365,27.1510678065286,26.8055714622803,25.9499091751989,25.3006292582798,27.6389309742113,29.1637514305089,29.2667418299174,30.3210668909199,30.0748944351255,29.3786482093436,29.5499872769703],"PLATI-FDS^MAX(FG_PRICE(0,-5AY))":1272.59,"COPP-FDS^FG_PRICE(0)":4.61,"SPY^FG_PRICE_MAVG(0,,,,30)":517.4327,"EWL^JULIAN(FMA_DIV_YLD(NTMA,NOW,NOW,M,\"PORTAGG\",\"MEANR\").DATES)":45441,"TLT^FG_TOTAL_RETURNC(0,-3AM)":-2.9992402,"TRYUS10Y-FDS^FG_YIELD(-10AY,0,Y,,\"YTM\")":[2.1881,2.2961,2.4752,2.4325,2.6836,1.9185,0.9174,1.5119,3.8776,3.8791],"USDANG^STD(FG_PRICE_CHANGE(0,-3AY,M))":0.0586284178983467,"USDAUD^STD(FG_PRICE_CHANGE(0,-3AY,M))":3.05025589181645,"EWC^FMA_DIV_YLD(NTMA,-10AY,0,AM,\"PORTAGG\",\"MEANR\")":[2.89670712365053,2.80799866440763,2.77535080428917,2.75013004366271,2.87856874467884,2.96281853899497,2.94726098853546,2.92691965115154,2.9582966929684,2.84975029796081,2.91255766992827,2.84228190154128,2.9035305544884,3.0186372856572,3.06299969268628,3.1584845718002,3.30475888306735,3.26721661089548,3.29154399448276,3.3535405693637,3.35714533709028,3.34256100760867,3.15091788784959,3.05014927767596,3.04069497734654,3.07663352900386,2.97221708976925,2.96565461561485,2.93724662923556,2.93066719630278,2.87194800448432,2.84844159413114,2.83899231820656,2.88074790409572,2.91893378364749,2.93573978875242,3.0052902496125,3.04960316508655,3.0460247428575,3.06025945312174,2.98033222192467,2.91561087469541,2.92152545487883,2.90768089224411,2.97073040743189,3.13272547253015,3.18679481647357,3.15357641136164,3.08222742484363,3.06731781683034,3.06188188260431,3.12182649824625,3.17398287086951,3.40537425314083,3.39016347737641,3.58980144760299,3.33687245731477,3.27702630141593,3.28183325236327,3.19143584821002,3.38181444492034,3.31897631701878,3.34763198437027,3.39213479429931,3.32965802699399,3.36241949702391,3.24688046235831,3.26356056899418,3.28104813208701,3.54561819129622,4.28426464465209,3.86599875502394,3.64801319633486,3.55070937428345,3.42456448502804,3.34953694927173,3.45155886673739,3.55025297501576,3.21433577942853,3.13893857768554,3.14992608623059,2.9804457227924,2.84608720868312,2.76250451755712,2.62112529194407,2.71202729499343,2.71174355517182,2.74275936838187,2.833228881162,2.74364002013317,2.85014085855667,2.78733273169164,2.82699696381811,2.87507502204958,2.83457554570645,3.07116332644503,3.10368489533288,3.42631803976524,3.32211746054201,3.46791377024269,3.63468459642186,3.44395083487456,3.27463947317885,3.4707922433344,3.26374781950248,3.35357065127257,3.34635251017124,3.22698166537333,3.39770801270419,3.2521051096131,3.1345663337759,3.49634647870294,3.63507320584458,3.78588702883687,3.47551187294823,3.35737266903611,3.33422595937892,3.25811010136747,3.10692325273597,3.14136477279701,3.29124499170617],"SPY^FG_PRICE(0)":527.37,"EWI^FG_TOTAL_RETURNC(0,-12AM)":35.730064,"EWU^FG_TOTAL_RETURNC(0,-3AM)":10.90076,"EWA^PERCENT_CHANGE(FMA_EPS(+1,0,,,,\"PORTAGG\",\"MEAN\"),FMA_EPS(+1,-1AM,,,,\"PORTAGG\",\"MEAN\"))":4.23962398449786,"VGK^FG_FCF_YIELD_NTM(0)":5.34893392825677,"PLATI-FDS^FG_PRICE(0)/MAX(FG_PRICE(0,-1AY))":0.968194574368569,"QQQ^FG_PRICE(0)":450.71,"EWI^PERCENT_CHANGE(FMA_EPS(+1,0,,,,\"PORTAGG\",\"MEAN\"),FMA_EPS(+1,-1AM,,,,\"PORTAGG\",\"MEAN\"))":2.93138643389561,"EWU^PERCENT_CHANGE(FMA_EPS(+1,0,,,,\"PORTAGG\",\"MEAN\"),FMA_EPS(+1,-3AM,,,,\"PORTAGG\",\"MEAN\"))":2.81097483699118,"EWA^FG_ROE(0)":12.6256551146176,"REFCHMPR-FDS^(SUBARRAY(NOT_NA(NO_REPEAT_F(FG_YIELD(NOW,-10AY,D))),0,1)-SUBARRAY(NOT_NA(NO_REPEAT_F(FG_YIELD(NOW,-10AY,D))),1,1))*100":-25.0,"QQQ^FMA_PE(NTMA,0,,,\"PORTAGG\",\"MEANR\")":25.7464296072419,"EWA^FMA_DIV_YLD(NTMA,NOW,NOW,M,\"PORTAGG\",\"MEANR\")":4.03071317759373,"UUP^FG_TOTAL_RETURNC(0,-3AM)":2.0647883,"USDNZD^FG_PRICE_CHANGE(0,-3AM)":-0.8382201,"FXI^FG_TOTAL_RETURNC(0,-12AM)":5.85109,"ENZL^FG_TOTAL_RETURNC(0,-1AM)":5.304742,"EWC^FMA_COS_UP(\"EPS\",\"1M\",+1,0,,,\"PORTAGG\",\"MEANR\")":43.0,"TRYIT10Y-FDS^FG_YIELD(0,,,,\"YTM\")":3.955,"VGK^FMA_DIV_YLD(NTMA,NOW,NOW,M,\"PORTAGG\",\"MEANR\")":3.52344423095699,"CAGDPY@US^EE_ACTUAL_ANNUAL(MED,0)":-2.99561673751749,"EWI^FMA_PCT_ABOVE_MAVG(200,0,,,,\"PORTAGG\")":60.0,"EWU^FMA_PCT_ABOVE_MAVG(200,0,,,,\"PORTAGG\")":63.0952380952381,"ENZL^FG_ROE(0)":5.01322152775298,"EWU^FMA_EVAL_EBIT(LTMA,NOW,NOW,M,\"PORTAGG\",\"MEANR\")":10.5458610036081,"EWA^FMA_PE(NTMA,0,,,\"PORTAGG\",\"MEANR\")":16.4006782644244,"UUP^FG_TOTAL_RETURNC(0,-1AM)":-1.0697007,"USDUSD^FG_COMPANY_NAME":"U.S. Dollar per U.S. Dollar","USDNZD^FG_PRICE_CHANGE(0,-1AM)":-3.6865234,"EWU^FMA_PE(NTMA,-10AY,0,AM,\"PORTAGG\",\"MEANR\")":[13.6686342138199,13.5741530285133,13.5578187334002,13.5557307291156,13.0656420372183,13.1604728966266,13.5634694393154,13.8378427236722,14.9714517027184,15.7673388929755,15.3709184485006,16.0614627835823,15.9826389200667,14.9534600255921,15.4029204684913,14.369057628721,14.2666304047092,15.3196187474176,15.3728546532406,15.2053139260079,15.5045578309475,15.612412794759,16.1595068225194,16.2175590994556,15.8743674764832,15.9991981811096,16.1830905739224,15.9080729651937,15.7154072811657,14.9040565403123,14.2231753641962,14.4510565442094,14.1597858094171,14.3874260448601,14.4190694742358,14.3108472927418,14.8012972524472,14.3989278646626,14.7019187928699,14.5510550377484,14.5413076611886,14.5231755949159,14.1766262414814,14.7771218833858,14.3691189962291,13.116669102772,13.2236066575751,13.8126762412488,13.5758896429766,13.2933875981989,13.3440474944267,12.6358290761544,12.7726243200956,11.8276552639453,11.7049560237895,11.3877881290485,12.173444114254,12.3996300525624,12.5347448196817,12.6677820390447,12.1321932869227,12.6020831393815,12.6350625999954,12.0100629121872,12.4787086352598,12.6328368462817,13.0108732074319,13.469423852567,13.0931297253783,11.8829556289106,12.0796182502959,14.9489203922834,15.8127675010876,15.8428508722166,15.1369169965873,15.3835456418731,14.3974913184336,13.0060077952806,14.5552521013513,14.4161324782778,13.6708901394477,13.7793074967779,13.4535954277664,13.2574413323787,13.2017664326985,12.6427936408023,12.2767203759514,12.2071058170223,11.9008950126071,12.2088080942973,11.6196424592164,12.2247813660463,12.1808330223634,11.9662719937991,11.2733117831634,10.8325203805629,10.5880093937351,9.65693833062477,9.91346121522977,9.29471018985479,8.56408553102023,9.02026839027405,9.82345962657814,9.81442426544529,10.538177721911,10.5285089913559,10.352619357974,10.845245369593,10.0332999972089,10.3883093658564,10.8025044191129,10.3286897272198,10.4426442915571,9.98236908701359,10.4860147005345,11.0064275434716,11.0830975275046,11.1495338546415,11.5418671567193,11.6219827305396,11.5530330507331],"CPALM-FDS^FG_PRICE_CHANGE(0,-1AY)":25.0076804915515,"EWU^FG_PRICE(0)":36.32,"FXI^P_PRICE(0)/P_PRICE_LOW_PR(0,,,,,,\"PRICE\",\"INTRA\",\"52W\")-1":0.27660584,"EWD^FG_TOTAL_RETURNC(0,-12AM)":25.117731,"EWA^SIZE(FG_CONSTITUENTS)":60,"TRYDE10Y-FDS^FG_YIELD_NAME":"Germany Benchmark Bond - 10 Year","VGK^FG_PE_NTM(0,,,90,0)":13.2986636872722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EWL^FG_TOTAL_RETURNC(0,-12AM)":8.63111,"FXI^FMA_COS_UP(\"EPS\",\"1M\",+1,0,,,\"PORTAGG\",\"MEANR\")":22.0,"ENZL^FMA_PE(LTM,0,,,\"PORTAGG\",\"MEANR\")":34.3672785273935,"USDITL^STD(FG_PRICE_CHANGE(0,-1AY,AM))":1.93913301261177,"USDJPY^FG_PRICE_CHANGE(0,-3AM)":4.994321,"EWQ^FG_TOTAL_RETURNC(0,-3AM)":3.7055492,"EWG^FG_TOTAL_RETURNC(0,-6AM)":12.853503,"SPY^FMA_RBICS_REV_CURRENT(30, LOC, \"PORTAGG\")":12.6373564575531,"EWN^FG_FCF_YIELD_NTM(0)":3.71666559516705,"USDEUR^STD(FG_PRICE_CHANGE(0,-3AY,M))":2.17066400551634,"WL-FDS^MAX(FG_PRICE(0,-5AY))":763.4,"EWQ^PERCENT_CHANGE(FMA_EPS(+1,0,,,,\"PORTAGG\",\"MEAN\"),FMA_EPS(+1,-1AM,,,,\"PORTAGG\",\"MEAN\"))":3.33371945894884,"QQQ^FMA_RBICS_REV_CURRENT(30, LOC, \"PORTAGG\")":0.907617891806808,"EWN^FMA_DIV_YLD(NTMA,NOW,NOW,M,\"PORTAGG\",\"MEANR\")":2.50136950481345,"VGK^P_PRICE(0)/P_PRICE_HIGH_PR(0,,,USD,,,\"PRICE\",\"INTRA\",\"52W\")":0.99345756,"CC_GB^IMF_IFS_RCPI_Q(0)":3.9194994,"TRYGR10Y-FDS^FG_YIELD(-10AY,0,Y,,\"YTM\")":[9.61,8.24,7.15,4.14,4.37,1.45,0.618,1.315,4.585,3.099],"USDEUR^FG_PRICE_CHANGE(0,-3AM)":-0.31780005,"TIOS-FDS^MAX(FG_PRICE(0,-5AY))":219.77,"EWD^FG_ROE(0)":16.8541783143673,"CC_CH^IMF_IFS_RCPI_Q(0)":1.1636324,"EWC^FG_FCF_YIELD_NTM(0)":5.03338168817803,"TRYCH10Y-FDS^FG_YIELD(-10AY,0,Y,,\"YTM\")":[0.314,null,-0.12,-0.09,-0.176,-0.434,-0.49,-0.111,1.617,0.703],"USDEUR^FG_PRICE_CHANGE(0,-1AY)":-1.7962396,"EWD^FG_PRICE_MAVG(0,,,,200)":36.8835,"EWC^PERCENT_CHANGE(FMA_EPS(+1,0,,,,\"PORTAGG\",\"MEAN\"),FMA_EPS(+1,-3AM,,,,\"PORTAGG\",\"MEAN\"))":-0.166750372354616,"EWN^FG_ROE(0)":11.5963179754304,"SPY^FMA_EVAL_EBIT(LTMA,NOW,NOW,M,\"PORTAGG\",\"MEANR\")":20.4422908324806,"USDANG^STD(FG_PRICE_CHANGE(0,-1AY,AM))":0.101547390548198,"EWG^FG_TOTAL_RETURNC(-10AY,0,AM)":[1.4520168,-0.7124722,-6.8094673,-0.78902245,-4.2185307,-1.6967535,5.728984,-4.793334,2.3349166,5.8823586,0.47137737,-0.7372618,-1.7218113,-2.5632262,1.614058,-7.024354,-6.0744104,9.579635,0.51641464,-3.8899064,-7.101947,-3.9868474,10.145545,1.9432545,-1.1437237,-4.9965024,6.652808,2.1832347,0.22892952,-1.3703883,-4.168272,6.6818357,3.8897276,0.036346912,4.469478,3.2347798,4.5148253,-0.51738024,1.4535785,0.16281605,5.429125,1.973474,0.5140662,-0.411129,6.0266495,-7.3693156,-1.2025893,1.3108611,-2.526188,-2.9587448,4.4362903,-3.4493744,-1.6209066,-8.372563,-1.5045881,-5.5514154,5.6804776,1.9036889,-1.3919413,6.9836497,-6.527776,7.053387,-4.385024,-2.125281,2.5142908,6.094384,1.3660312,1.589489,-2.9591799,-8.096743,-18.077803,9.776533,9.372354,6.2144876,4.205084,6.548679,-3.2225966,-9.783721,16.286146,5.2691817,-0.97576976,1.7482519,4.467356,3.5287142,3.3506632,-1.6548514,-0.23120642,1.2456536,-5.8083057,2.5820255,-5.8039722,3.940916,-2.3489952,-9.153384,-2.3727655,-8.383232,5.074966,-13.203526,2.477181,-7.3791323,-9.615385,10.536981,16.361141,-2.566719,13.384557,-2.6747525,4.2872787,3.338027,-4.8622904,4.912436,2.6251316,-4.7748985,-6.1604557,-3.893131,12.827635,4.510927,-2.0882487,5.400753,3.6227226,-4.062992,5.2528024],"CC_JP^IMF_IFS_RCPI_Q(0)":2.5231562,"TRYTR7Y-FDS^FG_YIELD(-10AY,0,Y,,\"YTM\")":[7.979133,10.679033,11.110786,11.586128,15.896213,12.034795,12.534946,23.870693,7.323803,21.984322],"EWQ^FG_ROE(0)":12.7414861527925,"TRYCA10Y-FDS^PCTCHG(FG_YIELD(0,,,,\"YTM\"),FG_YIELD(-1AM,,,,\"YTM\"))":-4.8541393,"USDANG^FG_PRICE_CHANGE(0,-6AM)":0.0,"VWO^PERCENT_CHANGE(FMA_EPS(+1,0,,,,\"PORTAGG\",\"MEAN\"),FMA_EPS(+1,-3AM,,,,\"PORTAGG\",\"MEAN\"))":-2.61754779477781,"EWU^FMA_COS_UP(\"EPS\",\"1M\",+1,0,,,\"PORTAGG\",\"MEANR\")":37.0,"TRYAU10Y-FDS^PCTCHG(FG_YIELD(0,,,,\"YTM\"),FG_YIELD(-3AM,,,,\"YTM\"))":6.624751,"EWC^FMA_PE(NTMA,0,,,\"PORTAGG\",\"MEANR\")":14.1644589400734,"DBA^P_PRICE(0)/P_PRICE_HIGH_PR(0,,,USD,,,\"PRICE\",\"INTRA\",\"52W\")":0.9445593,"TRYDE10Y-FDS^FG_YIELD(-10AY,0,Y,,\"YTM\")":[0.5475,0.636,0.22,0.47,0.239,-0.189,-0.575,-0.181,2.534,2.004],"USDCAD^FG_PRICE_CHANGE(0,-1AM)":-0.77883005,"TRYPH10Y-FDS^FG_YIELD(-10AY,0,Y,,\"YTM\")":[3.8633,4.1,4.6281,5.6986,7.1730304,4.847582,3.4208684,4.796723,6.9293385,6.0028777],"EWG^P_PRICE_RETURNS_PR('52W',2,-10AY,0,AM)":[23.311674,29.194366,12.986469,13.956749,1.6137838,-5.319333,-3.3219814,-11.955476,-5.8379354,-3.5980344,-2.896452,-4.616398,-7.456422,-9.322744,-1.1263967,-7.340521,-9.13592,2.7588725,-3.7064612,-2.79271,-13.271772,-19.981808,-12.277037,-9.938538,-9.378206,-11.6413,-6.8983374,1.9244194,8.764577,-2.1040082,-6.666565,1.9262791,15.857649,19.2322,14.491785,15.283024,22.578848,28.358067,22.100712,19.686485,28.738546,30.164505,36.524345,28.124655,30.06872,20.439768,13.781881,11.777914,4.247594,1.3211012,4.678941,0.9038806,-4.6081305,-15.396494,-17.095613,-21.374733,-21.631443,-13.786173,-13.951403,-9.133202,-12.863559,-2.4084985,-11.992783,-12.065733,-7.035881,7.6421022,9.797514,19.154919,9.413683,-1.3237476,-18.021149,-15.881032,-2.3698092,-2.3432434,6.430316,15.862476,9.378624,-7.218504,6.6990256,10.563791,10.423923,20.497835,59.28507,50.21949,42.224648,31.431997,23.347795,19.573582,16.37882,31.331135,7.1926236,5.840075,4.3723226,-6.8104625,-12.912154,-23.92131,-21.646618,-30.847656,-29.562145,-35.021187,-37.647526,-32.812263,-17.002422,-22.198814,-9.663468,-3.2212138,3.3809423,15.233874,5.579376,27.615654,27.799892,31.393278,36.277664,18.607271,15.005565,21.783829,6.5256357,15.364552,18.630993,6.4196944,17.7343],"BRENT-FDS^FG_PRICE_CHANGE(0,-1AM)":0.0,"EWA^FG_PRICE(0)":24.65,"URTH^PERCENT_CHANGE(FMA_EPS(+1,0,,,,\"PORTAGG\",\"MEAN\"),FMA_EPS(+1,-1AM,,,,\"PORTAGG\",\"MEAN\"))":0.987600295496124,"EWI^FMA_COS_UP(\"EPS\",\"1M\",+1,0,,,\"PORTAGG\",\"MEANR\")":15.0,"CC_IT^IMF_IFS_RCPI_Q(0)":0.92385906,"USDITL^FG_PRICE_CHANGE(0,-6AM)":0.50662756,"EWG^FMA_EVAL_EBITDA(NTMA,0,,,\"PORTAGG\",\"MEANR\")":8.41056947196396,"EWC^P_PRICE_RETURNS_PR('52W',2,-10AY,0,AM)":[11.285913,25.788807,18.866146,22.249817,10.708261,4.0884495,5.505812,1.0822177,-3.384763,-1.3864279,-6.058401,-2.6158571,-7.4305477,-15.409994,-18.836344,-24.544842,-23.43722,-18.298363,-20.598019,-23.909348,-19.649559,-21.154387,-10.901326,-12.176168,-9.99465,-6.111133,1.121378,6.5408587,14.111673,8.816528,14.192545,22.90405,32.326973,25.616014,15.411925,5.831349,8.787573,11.180282,12.564063,12.132061,15.073109,15.650808,13.303447,15.656078,12.260019,6.324649,4.079807,9.387827,12.187123,8.639013,6.878102,5.491352,1.5204668,-5.999666,-6.0283127,-17.157238,-7.224637,2.70288,2.7791023,4.0117264,-2.5461853,4.422462,-0.28201938,-0.84872246,3.0259728,11.383462,14.156378,27.563404,12.159813,1.3009429,-19.164825,-13.037986,-6.5877495,-7.444334,-1.5388966,4.242909,-2.9222608,-6.023836,4.600239,5.5211782,3.9695382,13.449931,59.37377,49.994205,52.60012,46.710682,38.592754,32.497524,34.916233,49.941887,25.762177,27.000809,27.197529,21.08494,20.355915,4.8905015,1.8102527,-7.7803493,-3.7562132,-7.92591,-13.525009,-13.969016,-3.9293528,-12.537366,-4.102969,-8.9385805,-13.114768,-5.018151,-10.134327,6.471312,4.7199726,5.527103,10.333061,-1.5174985,1.8735051,13.87651,3.875482,10.568655,18.091917,7.392633,17.781807],"COPP-FDS^FG_PRICE_CHANGE(0,-3AM)":20.2242795670883,"EWI^FG_PRICE_MAVG(0,,,,200)":33.94325,"EWC^FG_TOTAL_RETURNC(0,-3AM)":4.05221,"TRYCH10Y-FDS^PCTCHG(FG_YIELD(0,,,,\"YTM\"),FG_YIELD(-1AM,,,,\"YTM\"))":19.75968,"USDITL^FG_PRICE_CHANGE(0,-1AM)":-1.5060782,"WL-FDS^FG_PRICE_MAVG(0,,,,30)":558.5867,"EWN^FMA_COS_DOWN(\"EPS\",\"1M\",+1,0,,,\"PORTAGG\",\"MEANR\")":21.0,"EWQ^JULIAN(FMA_DIV_YLD(NTMA,NOW,NOW,M,\"PORTAGG\",\"MEANR\").DATES)":45441,"EWG^FMA_PE(LTM,0,,,\"PORTAGG\",\"MEANR\")":16.1208178019667,"EWJ^FG_TOTAL_RETURNC(-10AY,0,AM)":[4.512632,4.6839714,-0.33222437,-1.6666651,-0.25423765,2.4638891,-3.64843,-2.7009964,2.224195,7.48477,1.4574885,2.633679,1.4774561,-1.3438344,0.93677044,-6.2645016,-5.693066,7.7865243,0.48701763,-1.387459,-5.115509,-5.3043423,4.7750235,0.08764267,3.2399297,-1.6857207,4.8695683,1.8242121,2.1172643,0.7176995,-1.2470305,-0.91589093,3.499794,1.3051271,0.5270362,0.69903135,2.75743,1.3241053,2.0689607,-0.091308355,1.8278241,5.2773356,2.1483302,0.70364475,5.022526,-2.971083,-0.6386101,-0.06592274,-1.4841676,-2.304113,1.0706306,-0.5296409,3.4524202,-8.94903,0.9117484,-7.692194,7.0822597,0.14739037,0.6622553,1.2792349,-4.871881,4.4680476,-0.42140484,-0.7911682,5.229974,3.4191012,1.2781143,0.8640766,-2.5151968,-8.2943735,-6.7409334,4.7985435,7.051778,-0.08968711,-1.0742843,6.79183,1.8097162,-1.405108,10.55975,5.33427,-0.8436918,1.8360972,0.43975115,-1.6053677,1.7205596,-0.7935941,-0.63666105,1.922214,2.70468,-2.6334524,-3.0263126,2.2901654,-4.301071,-1.7790318,-2.1131217,-8.099336,1.7308354,-7.3839483,6.2843084,-4.559219,-8.844936,2.3336768,11.622322,-2.2204459,7.7700257,-4.653144,4.9159765,0.25558472,0.8497596,5.050552,2.4555683,-2.8066814,-2.190131,-2.2060096,6.1906457,3.8876295,3.2273173,4.3951154,3.2262683,-5.718291,2.5271416],"USO^P_PRICE(0)/P_PRICE_HIGH_PR(0,,,USD,,,\"PRICE\",\"INTRA\",\"52W\")":0.8970147,"PASP-FDS^FG_PRICE(0)/MAX(FG_PRICE(0,-1AY))":0.671328671328671,"TIOS-FDS^FG_PRICE_CHANGE(0,-1AM)":6.04995041024254,"QQQ^P_PRICE(0)/P_PRICE_LOW_PR(0,,,,,,\"PRICE\",\"INTRA\",\"52W\")-1":0.3165182,"EWC^FMA_PCT_ABOVE_MAVG(200,0,,,,\"PORTAGG\")":65.9090909090909,"EWU^FMA_COS_DOWN(\"EPS\",\"1M\",+1,0,,,\"PORTAGG\",\"MEANR\")":37.0,"TRYDE10Y-FDS^PCTCHG(FG_YIELD(0,,,,\"YTM\"),FG_YIELD(-1AM,,,,\"YTM\"))":2.554179,"EWC^FMA_DIV_YLD(NTMA,NOW,NOW,M,\"PORTAGG\",\"MEANR\")":3.29124499170617,"USDCAD^STD(FG_PRICE_CHANGE(0,-1AY,AM))":1.87795070595889,"EWD^FG_PRICE_MAVG(0,,,,30)":40.291832,"SPY^FMA_EVAL_EBITDA(NTMA,0,,,\"PORTAGG\",\"MEANR\")":14.0174321079134,"PASP-FDS^FG_PRICE_CHANGE(0,-6AM)":-7.69230769230769,"QQQ^P_PRICE(0)/P_PRICE_HIGH_PR(0,,,,,,\"PRICE\",\"INTRA\",\"52W\")":0.9785705,"EWA^FG_TOTAL_RETURNC(0,-12AM)":17.20804,"CC_DE^IMF_IFS_RCPI_Q(0)":2.5173564,"SPY^FMA_DIV_YLD(NTMA,-10AY,0,AM,\"PORTAGG\",\"MEANR\")":[2.12337879640548,2.09570463357521,2.14947079620148,2.08613123405872,2.13245081194279,2.10653241131414,2.07002631581591,2.10026093509841,2.19446282471469,2.09873762013911,2.17880307138382,2.17218934608535,2.1596182086592,2.21044090523288,2.18739124047345,2.34991311909914,2.42056136890452,2.24984846935225,2.27569929001516,2.31468341119618,2.45182025901469,2.47519773454617,2.29179874134034,2.29270141173246,2.27315180261463,2.28200574926318,2.21237101127921,2.22134536513504,2.22038243921728,2.27646209870725,2.21537787655594,2.18859151652776,2.16870380596126,2.10455079975663,2.11464581814407,2.10879459552998,2.0990388826246,2.10344270989808,2.08585486501534,2.09758817086249,2.06074268842083,2.02936045773719,1.97051672394644,1.9630925267995,1.88449586434694,1.98433360458719,2.05715340307065,2.07429411518898,2.04367279603551,2.05172486254481,2.00330899085957,1.95551789133049,1.95598188865906,2.10923522461796,2.08669050371727,2.31975633088368,2.16102264317105,2.10759963480262,2.08594448799516,2.02603420393325,2.17784237831635,2.04816008868976,2.03280288882727,2.08063231134793,2.05179220997489,2.02923325010667,1.97569979641632,1.93350465659419,1.95202992703531,2.1457295024269,2.43315172648703,2.10268419056791,1.98317131541866,1.93525385169332,1.81788451651092,1.70382179255329,1.77337414057162,1.83288236103323,1.65814600831979,1.57770774766304,1.60434742854214,1.57925339429634,1.52366165989755,1.46012557345929,1.45861702644183,1.44251760620993,1.42856785073642,1.40064715754166,1.47517951564826,1.39349387228374,1.41041130826651,1.35459202448055,1.44801737002659,1.51096902065247,1.45532138224525,1.59898245025281,1.60615591644253,1.77276920641245,1.63238780999488,1.72629534527709,1.91157674221866,1.78498659593081,1.69997310038627,1.80889407839403,1.71582296774257,1.76861393156543,1.71388883272638,1.69249471074931,1.69670231241583,1.59650435282419,1.5564473356865,1.5942000887164,1.68910821907462,1.73348993621248,1.59559364920055,1.54343197414577,1.52698651059553,1.47134148240322,1.42698300698687,1.50897382186799,1.4636113624261],"EWG^FMA_PE(NTMA,-10AY,0,AM,\"PORTAGG\",\"MEANR\")":[13.3525876650323,13.0856754223696,12.569832872199,12.5684138824964,12.4983496964228,12.2997736717441,13.0889943655129,12.8434669890816,13.9831599569778,14.8213749994138,15.4243111701265,14.5687719047174,14.0968650326133,13.3610959292245,13.7553346204986,12.4524703433758,11.8525198878621,13.3647461553588,14.1684872769296,13.3509645902165,12.3195530888269,12.1481120219163,12.7103735596592,12.7755065394228,12.7070518434154,11.9616931461294,12.7496981471905,12.9395229813876,12.875623321803,12.9235789210187,12.7951059129632,13.6385817263297,13.6113095822535,13.6862963204782,14.0644180489508,13.9737694644847,13.7340018946943,13.2857038333978,13.039104321887,12.9139941723114,13.6674893399511,14.0514970755995,13.8156129509429,13.7384136589018,13.9091832648249,13.1139166925308,12.7480705914781,13.1951986195276,12.9254045554545,12.7246507591889,13.2016305303199,12.8487783933063,12.6567280375032,11.7133531362793,11.5262510132241,10.9212601040765,11.7332307693746,12.1105530419794,12.1338253409302,12.9872797056593,12.1109148274646,12.7511913848013,12.8397788012627,12.5139450991495,13.0496184924956,13.5276376099798,14.0872778464288,14.0793923786763,13.8458279539415,12.6907237186621,12.0728787649402,15.1071238044782,16.5971365663729,17.7200977209409,17.4132627231127,17.7182636462601,16.8699101955222,14.5512280266285,16.1155823432988,16.0451618403573,15.3688849271311,15.3083667940233,16.1165396918087,15.1918256612677,14.8841803245684,14.6854686979446,14.2274549215954,14.1991346483662,13.5516290711622,13.6984344527226,12.8399521595601,13.3826184607391,12.9016603656077,11.8620758358814,11.6184543010363,11.1607123813548,10.9675817916226,9.69283494279892,10.2619094530624,9.55635079104174,8.99432918296975,9.86976407343747,10.7769062050921,10.4616660277966,11.4985716196259,11.5392153914345,11.4300989069475,11.3746518957681,10.6616154413108,10.8633793984956,11.0256151026448,10.663899700946,10.3206036467796,9.89056467394874,10.9374174144798,11.167694094965,11.5199218930643,12.0102087445963,12.3924706262758,11.8891729149041,11.8498561318536],"EWJ^FG_TOTAL_RETURNC(0,-12AM)":18.69886,"EWG^FG_TOTAL_RETURNC(0,-12AM)":17.7343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39,20.5983105929019,20.3505037761569],"REFNZOCR-FDS^FG_YIELD(NOW,,,0)":5.5,"VWO^P_PRICE(0)/P_PRICE_HIGH_PR(0,,,USD,,,\"PRICE\",\"INTRA\",\"52W\")":0.9580594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1,7.43859928704762,9.22076567652677,9.22544557398871,9.29937608846777],"EWU^FMA_PE(LTMA,-10AY,0,AM,\"PORTAGG\",\"MEANR\")":[14.3926165606294,14.327837730412,14.3023330371433,14.2925925149719,13.9066723583202,13.7939795690512,14.0070217222602,13.7928204998699,14.1767710880989,15.1831166741616,15.2252688636764,15.5807954714911,15.731722719819,15.4190639558293,15.7515100816941,15.1467984147563,14.93849148781,15.8152124711938,15.9705113937451,15.6728845885555,15.2564397368487,15.5134985685262,15.7588678521774,15.9506779249857,16.0194419923976,16.2904102970238,16.6926973835479,16.8642573245758,17.073490822109,16.7698730267868,16.4087768814925,17.2050718769924,16.9170612137032,17.3731213198354,17.1205694382888,16.8675870270699,16.7972764731012,16.4216199612828,16.3641592995377,16.0661571809043,15.8458154642555,15.622717985333,15.135486432799,15.5492985215324,15.3633731963132,13.9107841959167,13.8898657312745,14.0522513012969,13.97521081159,13.848330194823,13.9667816126439,13.5125453110635,13.6250788663895,12.848369351872,12.5509714836934,11.9434339120145,12.587114094204,12.9344829141285,12.9477071182046,13.0061462553982,12.8170105442727,13.0587080839204,13.1346861031572,12.7992158157478,13.1937174934933,13.2269474933509,13.5533398219348,14.1498606836551,13.7918554772621,12.3461505849041,12.4319544914076,13.6429188342853,14.5560866640481,15.157621974194,15.4436795299238,16.6926491664378,16.7974782751777,15.7468984494646,18.500124446795,19.7675701788905,19.0737983607471,18.8420188437019,18.2646285099842,17.6966793512784,17.2025263334682,16.3715000764658,15.4795031807506,14.7797310401706,13.9725142898982,13.6389874787536,12.454774390325,12.4017307730779,12.6042862195826,12.5643973568605,12.3248160229918,12.0756410567851,11.791462810697,11.1752193418653,11.0402794573197,10.3302435387547,9.49604117509468,9.54443185232189,9.88005102186773,9.57417569269107,10.1533048234586,10.2657922652406,10.2651976104885,10.4531092345739,10.1936864399238,10.3804780467537,10.6828294195994,10.4812601755338,10.620164611203,10.319448413571,10.8112541725146,11.3200801754861,11.3736343472031,11.4353203404438,11.5363868023913,11.620504796463,11.6634870177961],"EWG^P_PRICE(0)/P_PRICE_LOW_PR(0,,,,,,\"PRICE\",\"INTRA\",\"52W\")-1":0.29771304,"EWD^FMA_DIV_YLD(NTMA,NOW,NOW,M,\"PORTAGG\",\"MEANR\")":3.21957058157903,"EWI^FMA_RBICS_REV_CURRENT(30, LOC, \"PORTAGG\")":36.6089143757674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EWJ^FMA_PE(LTMA,-10AY,0,AM,\"PORTAGG\",\"MEANR\")":[15.1829141745011,15.3012397249482,15.2888825198255,15.0149201880092,15.4764093680241,15.3501722772435,15.8589010011577,15.9743435221029,15.523350036289,16.9321203067015,16.8257214064251,16.9059381305768,17.2168527003656,16.7618105575761,16.8590830233591,15.9004354693776,14.7978713104301,15.8897336621607,16.1118872437872,15.7241220272528,14.6339361659907,13.8051582203488,13.8284470903504,13.7931562937423,14.1556870264556,13.6592487560129,14.0810064402976,14.2856614659265,14.1918651950187,14.8109022300832,15.6703506606805,16.336549755413,16.2829883231844,15.9475569637409,15.7187584660595,15.5963855462278,15.6046159728585,15.5614075878747,15.4017922239161,14.9665947828059,15.0466824256912,15.449079910775,16.0286680729306,16.3566554731427,16.279022879672,14.4932574540538,14.2542395217387,14.2967769480474,14.0706555170014,13.9104417820475,13.8768966570591,13.6506504736833,13.9803538867761,12.8398526102144,12.8279675403355,11.4780634857225,12.1417878039103,12.6835180820457,12.687555236804,12.786808906553,12.6047285191562,12.8569130332454,12.9955778748587,12.7294124117303,13.415446466988,14.0857705741796,14.7328737445074,15.3183648508336,15.041330177922,13.9774595347207,13.7472101337229,14.3371429390979,15.5262142384167,16.9342099826686,17.3845613454213,18.9068623945884,19.9828069684574,20.1516996007093,22.5333083977084,23.6107677762699,22.9628107571436,21.6770993626188,21.3117376442009,20.7215401133062,20.3594317914714,19.7705700018904,19.0042166909759,18.3976184558982,18.1390414761114,17.4988758556358,16.3803101529415,16.1019754878596,15.0817154215936,14.753576483141,14.620861399818,14.357138614586,14.2287403167562,13.8517255554239,13.9346949220086,13.8231879996379,12.9355938544323,13.2576912707412,13.5770438672863,12.7449453205506,13.4096101621484,13.6544223947897,13.6528380728028,13.756685204465,14.0024505248482,14.5900146292265,14.8039501740444,14.7659618324921,14.7739100865456,14.487367116559,15.2273256467939,15.2923439191278,16.5282536355019,17.044832444662,17.0076678820377,16.8419972480573,16.7437055221493],"SPY^FG_ROE(0)":18.4252579359648,"SPY^FMA_PE(NTMA,0,,,\"PORTAGG\",\"MEANR\")":20.3156903048109,"DDR3512M-FDS^FG_PRICE(0)/MAX(FG_PRICE(0,-1AY))":0.924796211538461,"SPY^JULIAN(FMA_DIV_YLD(NTMA,NOW,NOW,M,\"PORTAGG\",\"MEANR\").DATES)":45442,"PASP-FDS^FG_PRICE_CHANGE(0,-3AM)":-0.518134715025909,"EWA^FG_TOTAL_RETURNC(0,-1AM)":5.6126833,"EWQ^FG_PRICE(0)":41.7,"EWU^FG_ROE(0)":14.5352939013628,"PASP-FDS^FG_PRICE_CHANGE(0,-1AM)":0.523560209424079,"EWD^P_PRICE(0)/P_PRICE_LOW_PR(0,,,,,,\"PRICE\",\"INTRA\",\"52W\")-1":0.3664657,"EWU^FG_FCF_YIELD_NTM(0)":6.17144512530346,"USDCAD^FG_PRICE(0)":1.36315,"CPALM-FDS^FG_PRICE_CHANGE(0,-6AM)":8.39104954714971,"EWJ^FG_PRICE_MAVG(0,,,,30)":68.083,"EWD^PERCENT_CHANGE(FMA_EPS(+1,0,,,,\"PORTAGG\",\"MEAN\"),FMA_EPS(+1,-1AM,,,,\"PORTAGG\",\"MEAN\"))":6.13135638889332,"TRYCH10Y-FDS^FG_YIELD(0,,,,\"YTM\")":0.897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559165,2.21325053681031,2.48981565223205,2.56381617157873,2.51009258677616],"EWN^P_PRICE(0)/P_PRICE_HIGH_PR(0,,,,,,\"PRICE\",\"INTRA\",\"52W\")":0.98366636,"EWL^FMA_EVAL_EBITDA(NTMA,0,,,\"PORTAGG\",\"MEANR\")":12.6782335856393,"EWN^FG_TOTAL_RETURNC(0,-1AM)":7.1593046,"EWL^FG_FCF_YIELD_NTM(0)":4.99156196428375,"EWC^FG_PRICE(0)":38.26,"EWL^FMA_PE(NTMA,0,,,\"PORTAGG\",\"MEANR\")":16.953925543285,"EWN^PERCENT_CHANGE(FMA_EPS(+1,0,,,,\"PORTAGG\",\"MEAN\"),FMA_EPS(+1,-3AM,,,,\"PORTAGG\",\"MEAN\"))":3.98840689481755,"VGK^SIZE(FG_CONSTITUENTS)":1281,"EWL^FG_TOTAL_RETURNC(0,-1AM)":8.37742,"REFAUCASH-FDS^PROPER_NAME(0,,,\"SECURITY\",\"NAME\")":"Australia Target Cash Rate","EWD^FMA_EVAL_EBITDA(NTMA,0,,,\"PORTAGG\",\"MEANR\")":11.0815096813129,"TRYSE10Y-FDS^PCTCHG(FG_YIELD(0,,,,\"YTM\"),FG_YIELD(-1AM,,,,\"YTM\"))":-2.4038439,"EWG^P_PRICE(0)/P_PRICE_HIGH_PR(0,,,,,,\"PRICE\",\"INTRA\",\"52W\")":0.97900605,"EWA^JULIAN(FMA_ROE(NTMA,-20AY,NOW,FY,\"PORTAGG\",\"MEANR\").DATES)":[38352,38716,39080,39447,39813,40178,40543,40907,41274,41639,42004,42369,42734,43098,43465,43830,44196,44561,44925,45289],"ENZL^FMA_PE(LTMA,-10AY,0,AM,\"PORTAGG\",\"MEANR\")":[17.9753010847125,17.9786900819352,18.0461288139876,18.0499421595283,17.9444898314828,18.3922776203662,18.4770941038802,19.1978195738568,19.8353719172872,20.5337322033324,20.1637639432777,20.0928985186972,20.0576477764403,19.6681020420949,19.8477085315348,19.2699420952798,18.6371679508517,19.4731393543498,19.5711643103755,19.8617758299773,19.1505838899285,19.2608458712223,19.3653614936468,19.4245354060829,19.815095581722,19.6690528510669,20.5680266521813,20.9317980813109,20.9571967123212,20.0985246992754,19.9903882445882,19.9705823649528,20.4163664869855,19.7021358680457,19.7808677360449,19.9491833529165,19.9907934235889,20.1012546266455,20.3820830765531,20.6769771942106,20.6402295727802,21.4082622377535,21.503132159392,22.3889251547657,22.4868909508771,22.6915007290246,22.3954716683229,22.3177414404435,22.3924160485054,22.8475905494538,22.8871486196427,23.757388864391,23.5544135019859,22.6067105936316,22.721928670499,22.9740924814715,23.2507354827855,24.1815760550784,24.1751665012234,24.2039690047466,24.2756481212711,24.6848111926374,25.37690170099,27.6180524236735,28.5828969973231,28.833038667675,31.2537203147485,32.3417714961783,32.637837937192,31.1164202842496,30.4058892600378,31.5637840630387,32.5400463154974,32.715118672149,33.6752292840071,34.1571253950792,33.7070015327243,34.8687428432479,35.6443987227356,37.9280375106667,37.1346259511647,34.3437409257866,34.5128326113795,34.5850753527358,34.8523571738549,36.0465163553223,36.4057314824182,38.2949513989551,38.9249664522703,39.2928678220484,38.2542846246003,39.3549452476964,35.9547497516757,35.2856899235504,35.0943854930366,34.6100890008135,33.9146135493092,32.8884634253261,33.1517368904988,34.4756062445772,31.7065092068335,31.5887057199602,30.4141026491167,29.0383466191266,29.7050883538144,29.6107728543115,28.9469486321736,28.5523055121322,27.9180858852699,26.0947908042071,25.4146959226675,24.4139639299126,23.8230599621873,22.349646183697,22.2932433552854,24.0799065843605,23.2436689984228,23.3289896193867,24.0463237926062,24.4045804450787,24.4868905874189],"EWD^FG_PRICE(0)":41.93,"VWO^PERCENT_CHANGE(FMA_EPS(+1,0,,,,\"PORTAGG\",\"MEAN\"),FMA_EPS(+1,-1AM,,,,\"PORTAGG\",\"MEAN\"))":0.0,"QQQ^FG_FCF_YIELD_NTM(0)":3.68986407220635,"EWL^FG_PRICE_MAVG(0,,,,200)":46.03475,"W-FDS^FG_PRICE(0)/MAX(FG_PRICE(0,-1AY))":0.892469582374219,"EWC^FG_PRICE_MAVG(0,,,,30)":37.861332,"VWO^FMA_COS_UP(\"EPS\",\"1M\",+1,0,,,\"PORTAGG\",\"MEANR\")":857.0,"TRYJP10Y-FDS^FG_YIELD(0,,,,\"YTM\")":1.0663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CAGDPY@DE^EE_ACTUAL_ANNUAL(MED,0)":6.09669740069846,"BRENT-FDS^MAX(FG_PRICE(0,-5AY))":140.85,"EWA^FG_PRICE_MAVG(0,,,,200)":23.08425,"EWJ^FMA_EVAL_EBIT(LTMA,NOW,NOW,M,\"PORTAGG\",\"MEANR\")":17.7402698223714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N^PERCENT_CHANGE(FMA_EPS(+1,0,,,,\"PORTAGG\",\"MEAN\"),FMA_EPS(+1,-1AM,,,,\"PORTAGG\",\"MEAN\"))":2.47629420275701,"VGK^FMA_COS_DOWN(\"EPS\",\"1M\",+1,0,,,\"PORTAGG\",\"MEANR\")":541.0,"TRYNZ10Y-FDS^FG_YIELD(0,,,,\"YTM\")":4.8109,"CAGDPY@AU^EE_ACTUAL_ANNUAL(MED,0)":1.21871580460395,"BRENT-FDS^FG_PRICE_CHANGE(0,-6AM)":0.0,"EWA^FG_PRICE_MAVG(0,,,,60)":24.3075,"EWJ^P_PRICE(0)/P_PRICE_HIGH_PR(0,,,USD,,,\"PRICE\",\"INTRA\",\"52W\")":0.95705265,"EWQ^P_PRICE_RETURNS_PR('52W',2,-10AY,0,AM)":[21.696198,28.241467,9.678483,11.927187,1.2902141,-6.071639,-3.2256424,-10.757172,-5.969304,-5.814022,-8.357912,-6.8745193,-7.908386,-9.441728,0.89969635,-6.894052,-6.988108,4.997194,-1.7722428,0.23943186,-6.5642414,-12.573981,-5.010003,-6.7202687,-6.39019,-8.492529,-7.0959272,-1.7810464,3.3358574,-3.9949894,-4.160434,3.4080744,10.54976,12.671757,12.867022,16.032768,22.4944,28.388237,25.497414,27.030075,32.55131,33.25355,36.53239,30.07884,35.98286,29.565084,20.996893,19.008076,10.474777,8.55254,10.329712,6.950426,5.1460624,-7.321912,-8.310795,-12.881112,-13.380682,-4.8342586,-3.745246,-3.0589879,-6.530583,4.5194983,-3.3131719,-3.6489785,-1.148814,13.169837,15.377844,26.66837,14.554572,1.2282014,-18.315685,-18.61307,-8.268887,-9.762067,-5.362451,0.081026554,-6.4948916,-14.244759,3.5120726,2.8523922,2.5445938,14.276338,50.30334,52.801704,52.235092,40.27076,36.081635,34.297718,35.44159,49.834454,18.19414,21.472895,21.559525,8.393645,5.406034,-8.985215,-8.56182,-16.116613,-11.986751,-18.907654,-23.862099,-20.09334,-5.4288745,-11.827093,0.78498125,6.801069,10.544372,22.224545,11.454117,31.734324,25.647867,30.367125,36.30797,19.05427,14.116251,20.348692,7.940781,13.298714,16.743874,4.1237473,15.972781],"EWI^FMA_COS_DOWN(\"EPS\",\"1M\",+1,0,,,\"PORTAGG\",\"MEANR\")":4.0,"EWJ^JULIAN(FMA_DIV_YLD(NTMA,NOW,NOW,M,\"PORTAGG\",\"MEANR\").DATES)":45441,"BRENT-FDS^FG_PRICE_CHANGE(0,-3AM)":0.0,"EWL^SIZE(FG_CONSTITUENTS)":47,"REFGBBANK-FDS^(SUBARRAY(NOT_NA(NO_REPEAT_F(FG_YIELD(NOW,-10AY,D))),0,1)-SUBARRAY(NOT_NA(NO_REPEAT_F(FG_YIELD(NOW,-10AY,D))),1,1))*100":25.0,"EWL^P_PRICE_RETURNS_PR('52W',2,-10AY,0,AM)":[18.788624,22.543537,12.408018,16.857576,6.320739,2.822256,5.4105997,-1.7329991,0.525105,0.13437271,-1.0680974,0.8672118,2.6751995,-2.2954583,6.446469,-3.1222582,-3.658533,0.89576244,-4.7069254,0.28828382,-6.8441334,-12.945294,-8.340651,-9.418821,-11.668319,-7.055509,-8.512604,-2.6290655,2.5278926,-6.256586,-5.779499,-4.4724345,8.257044,11.724615,10.500622,11.479545,17.492653,18.264568,16.613615,16.18769,17.535448,21.648693,26.102983,23.987507,23.542881,14.905346,9.224844,4.596281,-2.7158797,-2.717781,3.1916022,3.881967,2.537191,-1.7375469,-2.6792884,-9.189421,-8.109915,1.4801979,5.4901004,9.012222,10.795748,19.376682,9.319401,9.4134445,10.910141,18.951107,19.468521,31.583559,24.781502,11.826515,2.0261288,3.9720297,8.906019,5.414009,10.81258,13.180006,10.710382,2.5479913,11.1094,11.787022,8.610689,11.9610195,27.127695,27.622772,30.047905,27.189041,23.595858,24.14279,15.568423,29.993916,18.30963,20.193804,14.103758,12.940645,13.109339,0.95244646,-4.801643,-12.857652,-11.298579,-18.492216,-17.960316,-19.911797,-11.37085,-18.951529,-6.3993034,-7.686967,-5.8153687,4.4067383,3.6532044,13.766885,12.166155,16.142797,18.447542,9.591091,8.276176,15.9624815,7.3515415,10.378337,10.912919,-3.559351,8.63111],"EWC^FMA_PE(LTM,0,,,\"PORTAGG\",\"MEANR\")":17.0824871756977,"CC_GB^FG_COMPANY_NAME":"United Kingdom","EWU^FG_TOTAL_RETURNC(0,-6AM)":14.714861,"EWL^FMA_COS_UP(\"EPS\",\"1M\",+1,0,,,\"PORTAGG\",\"MEANR\")":22.0,"REFGBBANK-FDS^PROPER_NAME(0,,,\"SECURITY\",\"NAME\")":"UK Bank Rate","VGK^FMA_EVAL_EBIT(LTMA,NOW,NOW,M,\"PORTAGG\",\"MEANR\")":13.2013985378462,"EWL^FMA_DIV_YLD(NTMA,-10AY,0,AM,\"PORTAGG\",\"MEANR\")":[3.20701469639901,3.31990110691067,3.39498213702427,3.32530100104957,3.32842474523031,3.32346860354946,3.20128607857254,3.30343855307156,3.38086836776971,3.15848356988339,3.15108034814385,3.10461979595241,3.11968017597202,3.28749829518841,3.1022687086928,3.32387185698665,3.4499413137054,3.26121053829813,3.24308670880322,3.27040945041367,3.4571379634011,3.54828042321088,3.53253245225555,3.50550200625508,3.45980250169825,3.55112550520703,3.48615151384692,3.46489211150175,3.4921843468164,3.6346423150241,3.66232153798587,3.5533111966061,3.48607489713181,3.3772564752183,3.41799191065289,3.35116143554805,3.29593396628869,3.28848308107885,3.27334642005786,3.3307480492697,3.26883982541692,3.24386426572131,3.22974021985566,3.21930724944088,3.19597769120233,3.40401769292851,3.49854681834639,3.46484344495937,3.59797231405849,3.5660646339402,3.37123932074228,3.41830060980553,3.40547656696375,3.49684043378138,3.52407662738803,3.70550297641543,3.46407316651338,3.33618169851596,3.32452480499752,3.24673140905875,3.3445579813945,3.20945601946695,3.22491290114469,3.24884662076499,3.2024162259939,3.1546155415941,3.09756733932483,3.04328914915543,3.02734981477521,3.30262117982551,3.49911112959701,3.27643185033979,3.16019848697846,3.08545884201128,3.02019645615973,2.95140966274656,2.97280213963376,3.15198115057443,2.89275115542315,2.82077523850231,2.88706632338615,2.91272826287135,2.81214434619449,2.77483059944566,2.70348796377062,2.63865757289053,2.59129954385517,2.56655294869382,2.76529529432689,2.64988636229782,2.67994124439637,2.52766057359219,2.7224050983856,2.799736450005,2.78139881422491,2.84152955009802,2.95783181158912,3.20137542618259,3.05767462958791,3.20880777096009,3.4263138214808,3.28382959363118,3.12457913185738,3.22514247311463,3.06034342540388,3.13212059946089,3.15678083781982,3.06914292279135,3.19042653607759,3.16485288239112,3.13725596886208,3.22704656008907,3.35482479377066,3.55331919528117,3.3633936139957,3.27188692633068,3.27910625543675,3.30363572883904,3.26238627704191,3.41440942785273,3.26795935688626],"FXI^FG_TOTAL_RETURNC(0,-3AM)":13.706231,"EWA^FMA_COS_DOWN(\"EPS\",\"1M\",+1,0,,,\"PORTAGG\",\"MEANR\")":27.0,"REFCATARG-FDS^FG_YIELD(NOW,,,0)":5.0,"EWI^FMA_DIV_YLD(NTMA,NOW,NOW,M,\"PORTAGG\",\"MEANR\")":5.25523133527998,"USDANG^FG_COMPANY_NAME":"Netherlands Antilles Guilder per U.S. Dollar","EWL^P_PRICE(0)/P_PRICE_LOW_PR(0,,,,,,\"PRICE\",\"INTRA\",\"52W\")-1":0.1831528,"ENZL^JULIAN(FMA_DIV_YLD(NTMA,NOW,NOW,M,\"PORTAGG\",\"MEANR\").DATES)":45441,"EWL^FMA_PE(NTMA,-10AY,0,AM,\"PORTAGG\",\"MEANR\")":[16.3919649167552,16.0664521056103,15.838830360299,16.1158865051966,15.9647385354935,15.9486062855683,16.3738988714137,15.6774388962394,16.3297532069083,17.6281338147808,17.6084505659721,17.7320953459968,17.6337153950386,16.7814457783277,17.7286593613652,16.5813186309309,15.9454089953965,16.9691527737845,17.0063770212467,16.8788893702635,16.2358473101891,16.2822068640712,16.456361079446,16.7255752354645,17.150174503772,16.7416989528956,17.1947093969876,17.2554179389628,17.1320757681278,16.47686899835,16.3176780680301,16.782175135433,17.0738894710053,17.5438016459009,17.4040404249103,17.8214731202023,18.04251048095,17.73516256302,17.8185793074865,17.4280190924736,17.7546068746608,17.8998145687174,17.7382809651166,17.6917910480203,17.6284053878007,16.5582122766861,16.0706668651794,16.1869435164607,15.5046920358956,15.5840372409696,16.3139489568828,16.0320587816632,16.0676655498757,15.7000156277464,15.646935610208,14.4906295812933,15.5577862084732,16.3380739480788,16.579177769501,16.9467012132734,16.4630232621215,17.1768867870763,17.0750310255773,16.8990330378957,17.1371584864898,17.3233941516385,17.5284411459798,17.8179771621407,17.8411205610265,16.481213972625,16.0714352739017,18.253518737636,19.0085351770023,19.2741663652738,19.2253827885576,19.4214714718674,18.9621809626773,17.5384728532529,18.7552366468106,18.8631388298919,18.4239060344743,18.2374865926649,18.6874790148565,18.2269849452322,19.3911816465349,19.7310036117143,19.7584499847848,19.845799242727,18.3179272296766,18.9759850900261,18.5960179744497,19.8058466704819,18.2054725535467,18.0709321099099,18.3367344356649,17.9257583177869,17.0489743789299,15.7363508516218,16.8854921880258,16.0505136583617,14.9673832905973,15.740169174045,16.7032855459262,16.2295004732045,17.241064071156,17.041634285392,17.1606533380692,17.540422422225,16.8107927031816,16.5053467701609,16.9653045302492,16.6780136003432,16.1711476608732,15.3601261918615,16.378555380487,16.8530354530591,17.2545385386944,17.444085372292,17.6957761743743,16.6114035175918,16.953925543285],"REFCATARG-FDS^PROPER_NAME(0,,,\"SECURITY\",\"NAME\")":"Canada Target Rate","GLD^FG_TOTAL_RETURNC(0,-6AM)":14.066231,"EWD^FMA_EVAL_EBIT(LTMA,NOW,NOW,M,\"PORTAGG\",\"MEANR\")":15.9529912187152,"EWJ^FMA_PE(NTMA,-10AY,0,AM,\"PORTAGG\",\"MEANR\")":[13.2186784272834,13.7662935246078,13.909143291908,13.5853551672164,14.1074103886624,13.9869905302651,14.4804093238916,14.2976940656876,14.0144152447374,15.1015622612669,15.2045809592468,15.7201430543941,16.4442959111096,15.4113344159719,15.5549826524311,14.1816123984354,12.9489920785456,14.3851291143222,14.5615933966001,14.0592028995939,13.0426919626841,12.2461647226099,12.8159054496988,12.8681650989449,13.6967057670383,12.5912265309426,13.3997319137909,13.5320528027376,13.3536745368456,13.8491674079158,14.473513839944,14.666066308777,14.3957254291616,14.1099273732975,13.7674669359031,13.8517339091738,14.2092865952887,14.3027048416095,14.1725273039718,13.7178737190061,14.0118512503269,14.5842277043917,14.6885134053455,14.7172858599221,14.6917518303686,13.2622462956589,12.6801796785625,13.2469539027739,12.9038133019152,12.7818554015054,12.8993275818564,12.6994134229768,13.3330644352468,12.01856958305,12.2456849881368,11.1043383882119,11.9101063196952,12.4615144830221,12.4698544979362,12.751371336849,12.1876913137614,12.7197215765898,12.8516514993815,12.3809220234027,13.1964611789398,13.8308901796635,14.2181336517598,14.5324936463438,14.2143773145466,12.9860799008398,12.2869191574333,14.0826152080703,16.236189601677,17.6242075904228,17.0912510092985,18.13508523149,18.0717796528903,17.1184854879912,18.4714464836053,18.3692009294026,18.064015554934,17.6430215356617,17.5359673647359,16.6871022605131,16.6482846856501,16.2286322012094,15.5393409642056,15.3218768813703,15.5025867945397,15.1726133599841,14.3853789088811,14.5056304133844,13.6207562568434,13.308614401752,13.2828218639236,12.8254076942102,12.8414184490587,12.3349315355098,12.7444681695237,12.8201759239952,11.8310229073371,12.4873628931645,12.9144665562746,12.203889572336,12.8677829605514,13.0807608953308,13.158625513456,13.4722163970074,13.9503925563709,14.8867175302062,14.8897502425281,14.5307050016855,14.353548830819,13.7746878401843,14.2815161192919,14.0462144783131,15.0728817345714,15.5364976770219,15.7895394181969,15.516303534408,15.4383438074015],"DUMMY^ECON_DATE(45324,,, 'MM/YYYY')":"02/2024","DUMMY^ECON_DATE(45414,,, 'MM/YYYY')":"05/2024","DUMMY^ECON_EXPR_DATA('FDS_ECON[PMIDMMANHE]',05/2024,,Q)":49.13533,"DUMMY^ECON_EXPR_DATA('FDS_ECON[PMIDMMANHE]',02/2024,,Q)":47.377975,"DUMMY^ECON_EXPR_DATA('FDS_ECON[NTCPMIMFGSA@EME]',05/2024,,Q)":51.51058,"DUMMY^ECON_EXPR_DATA('FDS_ECON[NTCPMIMFGSA@EME]',02/2024,,Q)":50.624123,"DUMMY^ECON_EXPR_DATA('FDS_ECON[NTCPMIMFGSA@NZ]',05/2024,,Q)":47.799873,"DUMMY^ECON_EXPR_DATA('FDS_ECON[NTCPMIMFGSA@NZ]',02/2024,,Q)":44.485504,"DUMMY^ECON_EXPR_DATA('FDS_ECON[NTCPMIMFGSA@AU]',05/2024,,Q)":48.39547,"DUMMY^ECON_EXPR_DATA('FDS_ECON[NTCPMIMFGSA@AU]',02/2024,,Q)":47.862293,"DUMMY^ECON_EXPR_DATA('FDS_ECON[NTCPMIMFGSA@CA]',05/2024,,Q)":49.30091,"DUMMY^ECON_EXPR_DATA('FDS_ECON[NTCPMIMFGSA@CA]',02/2024,,Q)":47.255585,"DUMMY^ECON_EXPR_DATA('FDS_ECON[NTCPMIMFGSA@DE]',05/2024,,Q)":43.319096,"DUMMY^ECON_EXPR_DATA('FDS_ECON[NTCPMIMFGSA@DE]',02/2024,,Q)":42.238945,"DUMMY^ECON_EXPR_DATA('FDS_ECON[NTCPMIMFGSA@JP]',05/2024,,Q)":47.808857,"DUMMY^ECON_EXPR_DATA('FDS_ECON[NTCPMIMFGSA@JP]',02/2024,,Q)":48.31877,"DUMMY^ECON_EXPR_DATA('FDS_ECON[NTCPMIMFGSA@CH]',05/2024,,Q)":44.08605,"DUMMY^ECON_EXPR_DATA('FDS_ECON[NTCPMIMFGSA@CH]',02/2024,,Q)":41.921543,"DUMMY^ECON_EXPR_DATA('FDS_ECON[NTCPMIMFGSA@GB]',05/2024,,Q)":48.24796,"DUMMY^ECON_EXPR_DATA('FDS_ECON[NTCPMIMFGSA@GB]',02/2024,,Q)":46.0587,"DUMMY^ECON_EXPR_DATA('FDS_ECON[NTCPMIMFGMESA@US]',05/2024,,Q)":51.582687,"DUMMY^ECON_EXPR_DATA('FDS_ECON[NTCPMIMFGMESA@US]',02/2024,,Q)":49.098827,"DUMMY^ECON_EXPR_DATA('FDS_ECON[NTCPMIMFGSA@FR]',05/2024,,Q)":45.498753,"DUMMY^ECON_EXPR_DATA('FDS_ECON[NTCPMIMFGSA@FR]',02/2024,,Q)":42.573967,"DUMMY^ECON_EXPR_DATA('FDS_ECON[NTCPMIMFGSA@NL]',05/2024,,Q)":49.325874,"DUMMY^ECON_EXPR_DATA('FDS_ECON[NTCPMIMFGSA@NL]',02/2024,,Q)":44.495136,"DUMMY^ECON_EXPR_DATA('FDS_ECON[]',05/2024,,Q)":null,"DUMMY^ECON_EXPR_DATA('FDS_ECON[]',02/2024,,Q)":null,"DUMMY^ECON_EXPR_DATA('FDS_ECON[NTCPMIMFGSA@IT]',05/2024,,Q)":49.208153,"DUMMY^ECON_EXPR_DATA('FDS_ECON[NTCPMIMFGSA@IT]',02/2024,,Q)":44.859455}]]></FdsFormulaCache>
</file>

<file path=customXml/itemProps1.xml><?xml version="1.0" encoding="utf-8"?>
<ds:datastoreItem xmlns:ds="http://schemas.openxmlformats.org/officeDocument/2006/customXml" ds:itemID="{A48F1578-0D5E-41A4-80A0-7B334245935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2024-06-01T20:35:18Z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