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C8A74EF0-2F48-40F1-8DEC-78CC1015B25C}" xr6:coauthVersionLast="47" xr6:coauthVersionMax="47" xr10:uidLastSave="{00000000-0000-0000-0000-000000000000}"/>
  <bookViews>
    <workbookView xWindow="-110" yWindow="-110" windowWidth="25820" windowHeight="15500" firstSheet="1" activeTab="4" xr2:uid="{00000000-000D-0000-FFFF-FFFF00000000}"/>
  </bookViews>
  <sheets>
    <sheet name="__FDSCACHE__" sheetId="2" state="veryHidden" r:id="rId1"/>
    <sheet name="Assumption" sheetId="8" r:id="rId2"/>
    <sheet name="Aset class Rankings" sheetId="59" r:id="rId3"/>
    <sheet name="Asset class" sheetId="60" r:id="rId4"/>
    <sheet name="OUTPUT_COUNTRY" sheetId="40" r:id="rId5"/>
    <sheet name="PORTFOLIO" sheetId="55" r:id="rId6"/>
    <sheet name="OUTPUT_PPT" sheetId="49" r:id="rId7"/>
    <sheet name="mnemonics" sheetId="20" r:id="rId8"/>
    <sheet name="Value -2 " sheetId="1" r:id="rId9"/>
    <sheet name="LIQIDITY 2" sheetId="28" r:id="rId10"/>
    <sheet name="Quality - 2" sheetId="39" r:id="rId11"/>
    <sheet name="Momnetum ranking" sheetId="12" r:id="rId12"/>
    <sheet name="Safety" sheetId="13" r:id="rId13"/>
    <sheet name="Timing" sheetId="56" r:id="rId14"/>
    <sheet name="Leading Indicator" sheetId="52" r:id="rId15"/>
    <sheet name="t -PE" sheetId="46" r:id="rId16"/>
    <sheet name="Forwa Pe" sheetId="47" r:id="rId17"/>
    <sheet name="DY " sheetId="7" r:id="rId18"/>
    <sheet name="Monthly Returns" sheetId="5" r:id="rId19"/>
    <sheet name="Yearly returns" sheetId="15" r:id="rId20"/>
    <sheet name="Index earnings" sheetId="18" r:id="rId21"/>
    <sheet name="GDP_GROWTH" sheetId="45" r:id="rId22"/>
    <sheet name="Currency- 2" sheetId="42" r:id="rId23"/>
    <sheet name="Chart1" sheetId="36" state="hidden" r:id="rId24"/>
    <sheet name="CAD" sheetId="43" r:id="rId25"/>
    <sheet name="Country Int rates " sheetId="9" r:id="rId26"/>
    <sheet name="Index ROE" sheetId="38" r:id="rId27"/>
    <sheet name="Economic Momentum" sheetId="48" r:id="rId28"/>
    <sheet name="Market Capitalisation" sheetId="57" r:id="rId29"/>
  </sheets>
  <definedNames>
    <definedName name="_xlnm._FilterDatabase" localSheetId="11" hidden="1">'Momnetum ranking'!$A$2:$AK$18</definedName>
    <definedName name="_xlnm._FilterDatabase" localSheetId="4" hidden="1">OUTPUT_COUNTRY!$B$4:$N$14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57" l="1" a="1"/>
  <c r="G12" i="57" a="1"/>
  <c r="G14" i="57" a="1"/>
  <c r="D13" i="57" a="1"/>
  <c r="G13" i="57" a="1"/>
  <c r="D12" i="57" a="1"/>
  <c r="D11" i="57" a="1"/>
  <c r="D10" i="57" a="1"/>
  <c r="D6" i="57" a="1"/>
  <c r="D2" i="57" a="1"/>
  <c r="G11" i="57" a="1"/>
  <c r="G8" i="57" a="1"/>
  <c r="G2" i="57" a="1"/>
  <c r="D17" i="57" a="1"/>
  <c r="D9" i="57" a="1"/>
  <c r="G6" i="57" a="1"/>
  <c r="G10" i="57" a="1"/>
  <c r="G7" i="57" a="1"/>
  <c r="D8" i="57" a="1"/>
  <c r="D5" i="57" a="1"/>
  <c r="B17" i="57" a="1"/>
  <c r="G9" i="57" a="1"/>
  <c r="D7" i="57" a="1"/>
  <c r="E17" i="57" a="1"/>
  <c r="G5" i="57" a="1"/>
  <c r="D4" i="57" a="1"/>
  <c r="G4" i="57" a="1"/>
  <c r="D3" i="57" a="1"/>
  <c r="G3" i="57" a="1"/>
  <c r="D14" i="57" a="1"/>
  <c r="D14" i="57" l="1"/>
  <c r="G3" i="57"/>
  <c r="D3" i="57"/>
  <c r="G4" i="57"/>
  <c r="D4" i="57"/>
  <c r="G5" i="57"/>
  <c r="E17" i="57"/>
  <c r="D7" i="57"/>
  <c r="G9" i="57"/>
  <c r="B17" i="57"/>
  <c r="D5" i="57"/>
  <c r="D8" i="57"/>
  <c r="G7" i="57"/>
  <c r="G10" i="57"/>
  <c r="G6" i="57"/>
  <c r="D9" i="57"/>
  <c r="D17" i="57"/>
  <c r="G2" i="57"/>
  <c r="G8" i="57"/>
  <c r="G11" i="57"/>
  <c r="D2" i="57"/>
  <c r="D6" i="57"/>
  <c r="D10" i="57"/>
  <c r="D11" i="57"/>
  <c r="D12" i="57"/>
  <c r="G13" i="57"/>
  <c r="D13" i="57"/>
  <c r="G14" i="57"/>
  <c r="G12" i="57"/>
  <c r="G17" i="57"/>
  <c r="M13" i="48" a="1"/>
  <c r="M11" i="48" a="1"/>
  <c r="M8" i="48" a="1"/>
  <c r="M7" i="48" a="1"/>
  <c r="M5" i="48" a="1"/>
  <c r="M12" i="48" a="1"/>
  <c r="M10" i="48" a="1"/>
  <c r="M10" i="48" l="1"/>
  <c r="M12" i="48"/>
  <c r="M5" i="48"/>
  <c r="M7" i="48"/>
  <c r="M8" i="48"/>
  <c r="M11" i="48"/>
  <c r="M13" i="48"/>
  <c r="Y2" i="12" l="1"/>
  <c r="F24" i="8"/>
  <c r="E24" i="8"/>
  <c r="H12" i="43" a="1"/>
  <c r="H4" i="43" a="1"/>
  <c r="G15" i="42" a="1"/>
  <c r="G13" i="42" a="1"/>
  <c r="G11" i="42" a="1"/>
  <c r="G9" i="42" a="1"/>
  <c r="G7" i="42" a="1"/>
  <c r="G5" i="42" a="1"/>
  <c r="G3" i="42" a="1"/>
  <c r="C2" i="18" a="1"/>
  <c r="A2" i="15" a="1"/>
  <c r="M2" i="7" a="1"/>
  <c r="K2" i="47" a="1"/>
  <c r="I2" i="46" a="1"/>
  <c r="C12" i="52" a="1"/>
  <c r="C10" i="52" a="1"/>
  <c r="C8" i="52" a="1"/>
  <c r="C6" i="52" a="1"/>
  <c r="C4" i="52" a="1"/>
  <c r="S16" i="56" a="1"/>
  <c r="S12" i="56" a="1"/>
  <c r="S8" i="56" a="1"/>
  <c r="G17" i="56" a="1"/>
  <c r="G13" i="56" a="1"/>
  <c r="G9" i="56" a="1"/>
  <c r="G5" i="56" a="1"/>
  <c r="B6" i="56" a="1"/>
  <c r="R23" i="12" a="1"/>
  <c r="K22" i="12" a="1"/>
  <c r="M20" i="12" a="1"/>
  <c r="O18" i="12" a="1"/>
  <c r="Q14" i="12" a="1"/>
  <c r="S12" i="12" a="1"/>
  <c r="N9" i="12" a="1"/>
  <c r="P7" i="12" a="1"/>
  <c r="K4" i="12" a="1"/>
  <c r="F14" i="12" a="1"/>
  <c r="E9" i="12" a="1"/>
  <c r="G3" i="12" a="1"/>
  <c r="F8" i="39" a="1"/>
  <c r="L6" i="28" a="1"/>
  <c r="G13" i="28" a="1"/>
  <c r="G5" i="28" a="1"/>
  <c r="D11" i="28" a="1"/>
  <c r="M2" i="38" a="1"/>
  <c r="AK4" i="9" a="1"/>
  <c r="U4" i="9" a="1"/>
  <c r="E4" i="9" a="1"/>
  <c r="J11" i="52" a="1"/>
  <c r="V15" i="56" a="1"/>
  <c r="V11" i="56" a="1"/>
  <c r="V7" i="56" a="1"/>
  <c r="J16" i="56" a="1"/>
  <c r="J12" i="56" a="1"/>
  <c r="J8" i="56" a="1"/>
  <c r="C26" i="56" a="1"/>
  <c r="B5" i="56" a="1"/>
  <c r="Q23" i="12" a="1"/>
  <c r="S21" i="12" a="1"/>
  <c r="L20" i="12" a="1"/>
  <c r="N18" i="12" a="1"/>
  <c r="P14" i="12" a="1"/>
  <c r="R12" i="12" a="1"/>
  <c r="K11" i="12" a="1"/>
  <c r="G12" i="43" a="1"/>
  <c r="G4" i="43" a="1"/>
  <c r="F15" i="42" a="1"/>
  <c r="F13" i="42" a="1"/>
  <c r="F11" i="42" a="1"/>
  <c r="F9" i="42" a="1"/>
  <c r="F7" i="42" a="1"/>
  <c r="F5" i="42" a="1"/>
  <c r="F3" i="42" a="1"/>
  <c r="B2" i="18" a="1"/>
  <c r="N2" i="5" a="1"/>
  <c r="L2" i="7" a="1"/>
  <c r="J2" i="47" a="1"/>
  <c r="H2" i="46" a="1"/>
  <c r="J9" i="52" a="1"/>
  <c r="J7" i="52" a="1"/>
  <c r="J5" i="52" a="1"/>
  <c r="J3" i="52" a="1"/>
  <c r="L2" i="38" a="1"/>
  <c r="AJ4" i="9" a="1"/>
  <c r="T4" i="9" a="1"/>
  <c r="D4" i="9" a="1"/>
  <c r="K2" i="7" a="1"/>
  <c r="G2" i="46" a="1"/>
  <c r="I11" i="52" a="1"/>
  <c r="I9" i="52" a="1"/>
  <c r="I7" i="52" a="1"/>
  <c r="I5" i="52" a="1"/>
  <c r="I3" i="52" a="1"/>
  <c r="U15" i="56" a="1"/>
  <c r="U11" i="56" a="1"/>
  <c r="U7" i="56" a="1"/>
  <c r="I16" i="56" a="1"/>
  <c r="I12" i="56" a="1"/>
  <c r="I8" i="56" a="1"/>
  <c r="C25" i="56" a="1"/>
  <c r="C16" i="13" a="1"/>
  <c r="P23" i="12" a="1"/>
  <c r="K20" i="12" a="1"/>
  <c r="O14" i="12" a="1"/>
  <c r="Q12" i="12" a="1"/>
  <c r="G13" i="12" a="1"/>
  <c r="F8" i="12" a="1"/>
  <c r="E3" i="12" a="1"/>
  <c r="J12" i="39" a="1"/>
  <c r="H9" i="39" a="1"/>
  <c r="F6" i="39" a="1"/>
  <c r="H11" i="43" a="1"/>
  <c r="H3" i="43" a="1"/>
  <c r="E15" i="42" a="1"/>
  <c r="E13" i="42" a="1"/>
  <c r="E11" i="42" a="1"/>
  <c r="E9" i="42" a="1"/>
  <c r="E7" i="42" a="1"/>
  <c r="E5" i="42" a="1"/>
  <c r="E3" i="42" a="1"/>
  <c r="A2" i="18" a="1"/>
  <c r="M2" i="5" a="1"/>
  <c r="I2" i="47" a="1"/>
  <c r="R21" i="12" a="1"/>
  <c r="M18" i="12" a="1"/>
  <c r="S10" i="12" a="1"/>
  <c r="L9" i="12" a="1"/>
  <c r="N7" i="12" a="1"/>
  <c r="P5" i="12" a="1"/>
  <c r="R3" i="12" a="1"/>
  <c r="E21" i="12" a="1"/>
  <c r="J16" i="48" a="1"/>
  <c r="K2" i="38" a="1"/>
  <c r="AI4" i="9" a="1"/>
  <c r="S4" i="9" a="1"/>
  <c r="C4" i="9" a="1"/>
  <c r="F2" i="46" a="1"/>
  <c r="H11" i="52" a="1"/>
  <c r="H9" i="52" a="1"/>
  <c r="H7" i="52" a="1"/>
  <c r="H5" i="52" a="1"/>
  <c r="H3" i="52" a="1"/>
  <c r="T15" i="56" a="1"/>
  <c r="T11" i="56" a="1"/>
  <c r="T7" i="56" a="1"/>
  <c r="H16" i="56" a="1"/>
  <c r="H12" i="56" a="1"/>
  <c r="H8" i="56" a="1"/>
  <c r="C24" i="56" a="1"/>
  <c r="C15" i="13" a="1"/>
  <c r="O23" i="12" a="1"/>
  <c r="Q21" i="12" a="1"/>
  <c r="S19" i="12" a="1"/>
  <c r="L18" i="12" a="1"/>
  <c r="N14" i="12" a="1"/>
  <c r="P12" i="12" a="1"/>
  <c r="R10" i="12" a="1"/>
  <c r="K9" i="12" a="1"/>
  <c r="M7" i="12" a="1"/>
  <c r="G11" i="43" a="1"/>
  <c r="G3" i="43" a="1"/>
  <c r="D15" i="42" a="1"/>
  <c r="D13" i="42" a="1"/>
  <c r="D11" i="42" a="1"/>
  <c r="D9" i="42" a="1"/>
  <c r="D7" i="42" a="1"/>
  <c r="D5" i="42" a="1"/>
  <c r="D3" i="42" a="1"/>
  <c r="N2" i="15" a="1"/>
  <c r="L2" i="5" a="1"/>
  <c r="J2" i="7" a="1"/>
  <c r="H2" i="47" a="1"/>
  <c r="J15" i="48" a="1"/>
  <c r="J2" i="38" a="1"/>
  <c r="AH4" i="9" a="1"/>
  <c r="R4" i="9" a="1"/>
  <c r="B4" i="9" a="1"/>
  <c r="K2" i="5" a="1"/>
  <c r="I2" i="7" a="1"/>
  <c r="G2" i="47" a="1"/>
  <c r="E2" i="46" a="1"/>
  <c r="G11" i="52" a="1"/>
  <c r="G7" i="52" a="1"/>
  <c r="G5" i="52" a="1"/>
  <c r="G3" i="52" a="1"/>
  <c r="S15" i="56" a="1"/>
  <c r="S7" i="56" a="1"/>
  <c r="G16" i="56" a="1"/>
  <c r="G12" i="56" a="1"/>
  <c r="G8" i="56" a="1"/>
  <c r="C23" i="56" a="1"/>
  <c r="C14" i="13" a="1"/>
  <c r="H10" i="43" a="1"/>
  <c r="C11" i="43" a="1"/>
  <c r="C15" i="42" a="1"/>
  <c r="C13" i="42" a="1"/>
  <c r="C11" i="42" a="1"/>
  <c r="C9" i="42" a="1"/>
  <c r="C7" i="42" a="1"/>
  <c r="C5" i="42" a="1"/>
  <c r="C3" i="42" a="1"/>
  <c r="M2" i="15" a="1"/>
  <c r="G9" i="52" a="1"/>
  <c r="S11" i="56" a="1"/>
  <c r="J14" i="48" a="1"/>
  <c r="I2" i="38" a="1"/>
  <c r="AG4" i="9" a="1"/>
  <c r="Q4" i="9" a="1"/>
  <c r="G10" i="43" a="1"/>
  <c r="C10" i="43" a="1"/>
  <c r="J14" i="42" a="1"/>
  <c r="J13" i="48" a="1"/>
  <c r="H2" i="38" a="1"/>
  <c r="AF4" i="9" a="1"/>
  <c r="P4" i="9" a="1"/>
  <c r="H9" i="43" a="1"/>
  <c r="C9" i="43" a="1"/>
  <c r="I14" i="42" a="1"/>
  <c r="I12" i="42" a="1"/>
  <c r="I10" i="42" a="1"/>
  <c r="I8" i="42" a="1"/>
  <c r="I6" i="42" a="1"/>
  <c r="I4" i="42" a="1"/>
  <c r="M2" i="18" a="1"/>
  <c r="K2" i="15" a="1"/>
  <c r="I2" i="5" a="1"/>
  <c r="G2" i="7" a="1"/>
  <c r="E2" i="47" a="1"/>
  <c r="C2" i="46" a="1"/>
  <c r="E11" i="52" a="1"/>
  <c r="E9" i="52" a="1"/>
  <c r="E7" i="52" a="1"/>
  <c r="E5" i="52" a="1"/>
  <c r="E3" i="52" a="1"/>
  <c r="U14" i="56" a="1"/>
  <c r="U10" i="56" a="1"/>
  <c r="U6" i="56" a="1"/>
  <c r="I15" i="56" a="1"/>
  <c r="I11" i="56" a="1"/>
  <c r="I7" i="56" a="1"/>
  <c r="B16" i="56" a="1"/>
  <c r="C12" i="13" a="1"/>
  <c r="L23" i="12" a="1"/>
  <c r="N21" i="12" a="1"/>
  <c r="P19" i="12" a="1"/>
  <c r="J12" i="48" a="1"/>
  <c r="G2" i="38" a="1"/>
  <c r="AE4" i="9" a="1"/>
  <c r="G9" i="43" a="1"/>
  <c r="C8" i="43" a="1"/>
  <c r="H14" i="42" a="1"/>
  <c r="H12" i="42" a="1"/>
  <c r="H10" i="42" a="1"/>
  <c r="H8" i="42" a="1"/>
  <c r="H6" i="42" a="1"/>
  <c r="H4" i="42" a="1"/>
  <c r="L2" i="18" a="1"/>
  <c r="J2" i="15" a="1"/>
  <c r="J11" i="48" a="1"/>
  <c r="F2" i="38" a="1"/>
  <c r="AD4" i="9" a="1"/>
  <c r="N4" i="9" a="1"/>
  <c r="H8" i="43" a="1"/>
  <c r="C7" i="43" a="1"/>
  <c r="G14" i="42" a="1"/>
  <c r="G12" i="42" a="1"/>
  <c r="G10" i="42" a="1"/>
  <c r="G8" i="42" a="1"/>
  <c r="G6" i="42" a="1"/>
  <c r="G4" i="42" a="1"/>
  <c r="K2" i="18" a="1"/>
  <c r="I2" i="15" a="1"/>
  <c r="G2" i="5" a="1"/>
  <c r="E2" i="7" a="1"/>
  <c r="C2" i="47" a="1"/>
  <c r="A2" i="46" a="1"/>
  <c r="C11" i="52" a="1"/>
  <c r="C9" i="52" a="1"/>
  <c r="C7" i="52" a="1"/>
  <c r="C5" i="52" a="1"/>
  <c r="C3" i="52" a="1"/>
  <c r="S14" i="56" a="1"/>
  <c r="S10" i="56" a="1"/>
  <c r="S6" i="56" a="1"/>
  <c r="G15" i="56" a="1"/>
  <c r="G11" i="56" a="1"/>
  <c r="G7" i="56" a="1"/>
  <c r="B14" i="56" a="1"/>
  <c r="C10" i="13" a="1"/>
  <c r="S22" i="12" a="1"/>
  <c r="L21" i="12" a="1"/>
  <c r="J10" i="48" a="1"/>
  <c r="E2" i="38" a="1"/>
  <c r="AC4" i="9" a="1"/>
  <c r="M4" i="9" a="1"/>
  <c r="A4" i="9" a="1"/>
  <c r="G8" i="43" a="1"/>
  <c r="C6" i="43" a="1"/>
  <c r="F14" i="42" a="1"/>
  <c r="F12" i="42" a="1"/>
  <c r="F10" i="42" a="1"/>
  <c r="F8" i="42" a="1"/>
  <c r="F6" i="42" a="1"/>
  <c r="F4" i="42" a="1"/>
  <c r="J2" i="18" a="1"/>
  <c r="H2" i="15" a="1"/>
  <c r="J9" i="48" a="1"/>
  <c r="D2" i="38" a="1"/>
  <c r="AB4" i="9" a="1"/>
  <c r="L4" i="9" a="1"/>
  <c r="J4" i="39" a="1"/>
  <c r="H15" i="43" a="1"/>
  <c r="H7" i="43" a="1"/>
  <c r="C5" i="43" a="1"/>
  <c r="E14" i="42" a="1"/>
  <c r="E12" i="42" a="1"/>
  <c r="E10" i="42" a="1"/>
  <c r="E8" i="42" a="1"/>
  <c r="E6" i="42" a="1"/>
  <c r="E4" i="42" a="1"/>
  <c r="I2" i="18" a="1"/>
  <c r="G2" i="15" a="1"/>
  <c r="E2" i="5" a="1"/>
  <c r="C2" i="7" a="1"/>
  <c r="A2" i="47" a="1"/>
  <c r="I12" i="52" a="1"/>
  <c r="I10" i="52" a="1"/>
  <c r="I8" i="52" a="1"/>
  <c r="I6" i="52" a="1"/>
  <c r="I4" i="52" a="1"/>
  <c r="U17" i="56" a="1"/>
  <c r="U13" i="56" a="1"/>
  <c r="U9" i="56" a="1"/>
  <c r="U5" i="56" a="1"/>
  <c r="I14" i="56" a="1"/>
  <c r="I10" i="56" a="1"/>
  <c r="I6" i="56" a="1"/>
  <c r="B12" i="56" a="1"/>
  <c r="C8" i="13" a="1"/>
  <c r="Q22" i="12" a="1"/>
  <c r="S20" i="12" a="1"/>
  <c r="L19" i="12" a="1"/>
  <c r="N15" i="12" a="1"/>
  <c r="P13" i="12" a="1"/>
  <c r="R11" i="12" a="1"/>
  <c r="K10" i="12" a="1"/>
  <c r="M8" i="12" a="1"/>
  <c r="O6" i="12" a="1"/>
  <c r="Q4" i="12" a="1"/>
  <c r="G23" i="12" a="1"/>
  <c r="F18" i="12" a="1"/>
  <c r="E11" i="12" a="1"/>
  <c r="G5" i="12" a="1"/>
  <c r="B8" i="12" a="1"/>
  <c r="F14" i="39" a="1"/>
  <c r="J8" i="48" a="1"/>
  <c r="C2" i="38" a="1"/>
  <c r="AA4" i="9" a="1"/>
  <c r="G15" i="43" a="1"/>
  <c r="G7" i="43" a="1"/>
  <c r="C4" i="43" a="1"/>
  <c r="D14" i="42" a="1"/>
  <c r="D12" i="42" a="1"/>
  <c r="D10" i="42" a="1"/>
  <c r="D8" i="42" a="1"/>
  <c r="D6" i="42" a="1"/>
  <c r="D4" i="42" a="1"/>
  <c r="H2" i="18" a="1"/>
  <c r="F2" i="15" a="1"/>
  <c r="D2" i="5" a="1"/>
  <c r="B2" i="7" a="1"/>
  <c r="N2" i="46" a="1"/>
  <c r="H12" i="52" a="1"/>
  <c r="H10" i="52" a="1"/>
  <c r="H8" i="52" a="1"/>
  <c r="H6" i="52" a="1"/>
  <c r="H4" i="52" a="1"/>
  <c r="T17" i="56" a="1"/>
  <c r="T13" i="56" a="1"/>
  <c r="T9" i="56" a="1"/>
  <c r="T5" i="56" a="1"/>
  <c r="H14" i="56" a="1"/>
  <c r="H10" i="56" a="1"/>
  <c r="H6" i="56" a="1"/>
  <c r="B11" i="56" a="1"/>
  <c r="C7" i="13" a="1"/>
  <c r="P22" i="12" a="1"/>
  <c r="J7" i="48" a="1"/>
  <c r="B2" i="38" a="1"/>
  <c r="Z4" i="9" a="1"/>
  <c r="J4" i="9" a="1"/>
  <c r="G10" i="52" a="1"/>
  <c r="G6" i="52" a="1"/>
  <c r="G4" i="52" a="1"/>
  <c r="S13" i="56" a="1"/>
  <c r="S9" i="56" a="1"/>
  <c r="S5" i="56" a="1"/>
  <c r="G14" i="56" a="1"/>
  <c r="G10" i="56" a="1"/>
  <c r="G6" i="56" a="1"/>
  <c r="O22" i="12" a="1"/>
  <c r="Q20" i="12" a="1"/>
  <c r="S18" i="12" a="1"/>
  <c r="L15" i="12" a="1"/>
  <c r="N13" i="12" a="1"/>
  <c r="P11" i="12" a="1"/>
  <c r="R9" i="12" a="1"/>
  <c r="K8" i="12" a="1"/>
  <c r="M6" i="12" a="1"/>
  <c r="H14" i="43" a="1"/>
  <c r="H6" i="43" a="1"/>
  <c r="C3" i="43" a="1"/>
  <c r="C14" i="42" a="1"/>
  <c r="C12" i="42" a="1"/>
  <c r="C10" i="42" a="1"/>
  <c r="C8" i="42" a="1"/>
  <c r="C6" i="42" a="1"/>
  <c r="C4" i="42" a="1"/>
  <c r="G2" i="18" a="1"/>
  <c r="E2" i="15" a="1"/>
  <c r="C2" i="5" a="1"/>
  <c r="A2" i="7" a="1"/>
  <c r="M2" i="46" a="1"/>
  <c r="G12" i="52" a="1"/>
  <c r="G8" i="52" a="1"/>
  <c r="S17" i="56" a="1"/>
  <c r="B10" i="56" a="1"/>
  <c r="C6" i="13" a="1"/>
  <c r="J6" i="48" a="1"/>
  <c r="A2" i="38" a="1"/>
  <c r="Y4" i="9" a="1"/>
  <c r="I4" i="9" a="1"/>
  <c r="G14" i="43" a="1"/>
  <c r="G6" i="43" a="1"/>
  <c r="J15" i="42" a="1"/>
  <c r="J13" i="42" a="1"/>
  <c r="J11" i="42" a="1"/>
  <c r="J9" i="42" a="1"/>
  <c r="J7" i="42" a="1"/>
  <c r="J5" i="42" a="1"/>
  <c r="J3" i="42" a="1"/>
  <c r="F2" i="18" a="1"/>
  <c r="D2" i="15" a="1"/>
  <c r="B2" i="5" a="1"/>
  <c r="N2" i="47" a="1"/>
  <c r="L2" i="46" a="1"/>
  <c r="F12" i="52" a="1"/>
  <c r="F10" i="52" a="1"/>
  <c r="F8" i="52" a="1"/>
  <c r="F6" i="52" a="1"/>
  <c r="F4" i="52" a="1"/>
  <c r="V16" i="56" a="1"/>
  <c r="V12" i="56" a="1"/>
  <c r="V8" i="56" a="1"/>
  <c r="J17" i="56" a="1"/>
  <c r="J13" i="56" a="1"/>
  <c r="J9" i="56" a="1"/>
  <c r="J5" i="56" a="1"/>
  <c r="B9" i="56" a="1"/>
  <c r="C5" i="13" a="1"/>
  <c r="N22" i="12" a="1"/>
  <c r="P20" i="12" a="1"/>
  <c r="R18" i="12" a="1"/>
  <c r="K15" i="12" a="1"/>
  <c r="M13" i="12" a="1"/>
  <c r="O11" i="12" a="1"/>
  <c r="J5" i="48" a="1"/>
  <c r="AN4" i="9" a="1"/>
  <c r="X4" i="9" a="1"/>
  <c r="H4" i="9" a="1"/>
  <c r="M2" i="47" a="1"/>
  <c r="E12" i="52" a="1"/>
  <c r="E10" i="52" a="1"/>
  <c r="E8" i="52" a="1"/>
  <c r="E6" i="52" a="1"/>
  <c r="E4" i="52" a="1"/>
  <c r="U12" i="56" a="1"/>
  <c r="U8" i="56" a="1"/>
  <c r="I17" i="56" a="1"/>
  <c r="I13" i="56" a="1"/>
  <c r="H13" i="43" a="1"/>
  <c r="H5" i="43" a="1"/>
  <c r="I15" i="42" a="1"/>
  <c r="I13" i="42" a="1"/>
  <c r="I11" i="42" a="1"/>
  <c r="I9" i="42" a="1"/>
  <c r="I7" i="42" a="1"/>
  <c r="I5" i="42" a="1"/>
  <c r="I3" i="42" a="1"/>
  <c r="E2" i="18" a="1"/>
  <c r="C2" i="15" a="1"/>
  <c r="A2" i="5" a="1"/>
  <c r="K2" i="46" a="1"/>
  <c r="U16" i="56" a="1"/>
  <c r="J4" i="48" a="1"/>
  <c r="AM4" i="9" a="1"/>
  <c r="W4" i="9" a="1"/>
  <c r="G4" i="9" a="1"/>
  <c r="L2" i="47" a="1"/>
  <c r="J2" i="46" a="1"/>
  <c r="D12" i="52" a="1"/>
  <c r="D10" i="52" a="1"/>
  <c r="D8" i="52" a="1"/>
  <c r="D6" i="52" a="1"/>
  <c r="D4" i="52" a="1"/>
  <c r="G13" i="43" a="1"/>
  <c r="G5" i="43" a="1"/>
  <c r="H15" i="42" a="1"/>
  <c r="H13" i="42" a="1"/>
  <c r="H11" i="42" a="1"/>
  <c r="H9" i="42" a="1"/>
  <c r="H7" i="42" a="1"/>
  <c r="H5" i="42" a="1"/>
  <c r="H3" i="42" a="1"/>
  <c r="D2" i="18" a="1"/>
  <c r="B2" i="15" a="1"/>
  <c r="N2" i="7" a="1"/>
  <c r="T16" i="56" a="1"/>
  <c r="T12" i="56" a="1"/>
  <c r="T8" i="56" a="1"/>
  <c r="H17" i="56" a="1"/>
  <c r="H13" i="56" a="1"/>
  <c r="H9" i="56" a="1"/>
  <c r="H5" i="56" a="1"/>
  <c r="B7" i="56" a="1"/>
  <c r="N2" i="38" a="1"/>
  <c r="AL4" i="9" a="1"/>
  <c r="V4" i="9" a="1"/>
  <c r="F4" i="9" a="1"/>
  <c r="L11" i="12" a="1"/>
  <c r="R5" i="12" a="1"/>
  <c r="G21" i="12" a="1"/>
  <c r="J14" i="39" a="1"/>
  <c r="H11" i="39" a="1"/>
  <c r="C5" i="39" a="1"/>
  <c r="M11" i="28" a="1"/>
  <c r="D3" i="28" a="1"/>
  <c r="J20" i="1" a="1"/>
  <c r="H15" i="1" a="1"/>
  <c r="F13" i="1" a="1"/>
  <c r="K10" i="1" a="1"/>
  <c r="O4" i="9" a="1"/>
  <c r="B2" i="46" a="1"/>
  <c r="D5" i="52" a="1"/>
  <c r="T6" i="56" a="1"/>
  <c r="B17" i="56" a="1"/>
  <c r="M11" i="12" a="1"/>
  <c r="O7" i="12" a="1"/>
  <c r="M4" i="12" a="1"/>
  <c r="G18" i="12" a="1"/>
  <c r="E7" i="12" a="1"/>
  <c r="B3" i="12" a="1"/>
  <c r="M7" i="28" a="1"/>
  <c r="G10" i="28" a="1"/>
  <c r="K15" i="1" a="1"/>
  <c r="F12" i="1" a="1"/>
  <c r="K8" i="1" a="1"/>
  <c r="C6" i="40" a="1"/>
  <c r="H6" i="60" a="1"/>
  <c r="J15" i="1" a="1"/>
  <c r="J8" i="1" a="1"/>
  <c r="G5" i="1" a="1"/>
  <c r="C10" i="1" a="1"/>
  <c r="H12" i="60" a="1"/>
  <c r="H9" i="28" a="1"/>
  <c r="C9" i="1" a="1"/>
  <c r="F11" i="39" a="1"/>
  <c r="F15" i="1" a="1"/>
  <c r="G8" i="1" a="1"/>
  <c r="C7" i="1" a="1"/>
  <c r="F12" i="60" a="1"/>
  <c r="C15" i="55" a="1"/>
  <c r="E12" i="60" a="1"/>
  <c r="E6" i="60" a="1"/>
  <c r="G8" i="28" a="1"/>
  <c r="D9" i="28" a="1"/>
  <c r="J14" i="1" a="1"/>
  <c r="H5" i="60" a="1"/>
  <c r="B8" i="56" a="1"/>
  <c r="F5" i="12" a="1"/>
  <c r="K5" i="28" a="1"/>
  <c r="O5" i="1" a="1"/>
  <c r="J4" i="1" a="1"/>
  <c r="C3" i="1" a="1"/>
  <c r="C13" i="55" a="1"/>
  <c r="N20" i="12" a="1"/>
  <c r="L10" i="12" a="1"/>
  <c r="P6" i="12" a="1"/>
  <c r="M3" i="12" a="1"/>
  <c r="F13" i="12" a="1"/>
  <c r="E5" i="12" a="1"/>
  <c r="K4" i="9" a="1"/>
  <c r="M21" i="12" a="1"/>
  <c r="M15" i="12" a="1"/>
  <c r="Q10" i="12" a="1"/>
  <c r="L7" i="12" a="1"/>
  <c r="L4" i="12" a="1"/>
  <c r="J13" i="39" a="1"/>
  <c r="F13" i="39" a="1"/>
  <c r="K15" i="28" a="1"/>
  <c r="E12" i="28" a="1"/>
  <c r="O9" i="1" a="1"/>
  <c r="C17" i="55" a="1"/>
  <c r="G6" i="60" a="1"/>
  <c r="I15" i="1" a="1"/>
  <c r="I8" i="1" a="1"/>
  <c r="H7" i="28" a="1"/>
  <c r="I14" i="1" a="1"/>
  <c r="D16" i="49" a="1"/>
  <c r="E11" i="60" a="1"/>
  <c r="F11" i="1" a="1"/>
  <c r="I7" i="1" a="1"/>
  <c r="D7" i="28" a="1"/>
  <c r="N2" i="18" a="1"/>
  <c r="B15" i="56" a="1"/>
  <c r="P10" i="12" a="1"/>
  <c r="K7" i="12" a="1"/>
  <c r="S3" i="12" a="1"/>
  <c r="E18" i="12" a="1"/>
  <c r="G6" i="12" a="1"/>
  <c r="J11" i="39" a="1"/>
  <c r="F12" i="39" a="1"/>
  <c r="L7" i="28" a="1"/>
  <c r="D12" i="28" a="1"/>
  <c r="L11" i="1" a="1"/>
  <c r="E4" i="60" a="1"/>
  <c r="J12" i="52" a="1"/>
  <c r="J4" i="52" a="1"/>
  <c r="V5" i="56" a="1"/>
  <c r="S14" i="12" a="1"/>
  <c r="O10" i="12" a="1"/>
  <c r="S6" i="12" a="1"/>
  <c r="Q3" i="12" a="1"/>
  <c r="G15" i="12" a="1"/>
  <c r="J10" i="39" a="1"/>
  <c r="M14" i="28" a="1"/>
  <c r="K7" i="28" a="1"/>
  <c r="E11" i="28" a="1"/>
  <c r="O8" i="1" a="1"/>
  <c r="G15" i="1" a="1"/>
  <c r="H8" i="1" a="1"/>
  <c r="F5" i="1" a="1"/>
  <c r="C8" i="1" a="1"/>
  <c r="C16" i="55" a="1"/>
  <c r="G12" i="60" a="1"/>
  <c r="F6" i="60" a="1"/>
  <c r="R14" i="12" a="1"/>
  <c r="E10" i="28" a="1"/>
  <c r="K7" i="1" a="1"/>
  <c r="H15" i="56" a="1"/>
  <c r="F5" i="39" a="1"/>
  <c r="S13" i="12" a="1"/>
  <c r="I4" i="1" a="1"/>
  <c r="G5" i="60" a="1"/>
  <c r="H4" i="1" a="1"/>
  <c r="G4" i="60" a="1"/>
  <c r="K21" i="12" a="1"/>
  <c r="P3" i="12" a="1"/>
  <c r="F6" i="12" a="1"/>
  <c r="J9" i="39" a="1"/>
  <c r="M6" i="28" a="1"/>
  <c r="G9" i="28" a="1"/>
  <c r="K11" i="1" a="1"/>
  <c r="I11" i="1" a="1"/>
  <c r="C4" i="1" a="1"/>
  <c r="C14" i="55" a="1"/>
  <c r="G11" i="60" a="1"/>
  <c r="O20" i="12" a="1"/>
  <c r="M13" i="28" a="1"/>
  <c r="E8" i="28" a="1"/>
  <c r="H11" i="1" a="1"/>
  <c r="M4" i="28" a="1"/>
  <c r="O4" i="1" a="1"/>
  <c r="D12" i="49" a="1"/>
  <c r="B13" i="56" a="1"/>
  <c r="M14" i="12" a="1"/>
  <c r="N10" i="12" a="1"/>
  <c r="R6" i="12" a="1"/>
  <c r="O3" i="12" a="1"/>
  <c r="F15" i="12" a="1"/>
  <c r="F10" i="39" a="1"/>
  <c r="L14" i="28" a="1"/>
  <c r="K6" i="28" a="1"/>
  <c r="D10" i="28" a="1"/>
  <c r="O7" i="1" a="1"/>
  <c r="L14" i="1" a="1"/>
  <c r="J11" i="1" a="1"/>
  <c r="F8" i="1" a="1"/>
  <c r="L4" i="1" a="1"/>
  <c r="C6" i="1" a="1"/>
  <c r="D15" i="49" a="1"/>
  <c r="C11" i="55" a="1"/>
  <c r="G6" i="28" a="1"/>
  <c r="K20" i="1" a="1"/>
  <c r="H4" i="60" a="1"/>
  <c r="J3" i="39" a="1"/>
  <c r="L2" i="15" a="1"/>
  <c r="F11" i="52" a="1"/>
  <c r="F3" i="52" a="1"/>
  <c r="J15" i="56" a="1"/>
  <c r="R20" i="12" a="1"/>
  <c r="L14" i="12" a="1"/>
  <c r="E15" i="12" a="1"/>
  <c r="E6" i="12" a="1"/>
  <c r="J8" i="39" a="1"/>
  <c r="F9" i="39" a="1"/>
  <c r="M5" i="28" a="1"/>
  <c r="H8" i="28" a="1"/>
  <c r="E9" i="28" a="1"/>
  <c r="O6" i="1" a="1"/>
  <c r="K14" i="1" a="1"/>
  <c r="L7" i="1" a="1"/>
  <c r="K4" i="1" a="1"/>
  <c r="C5" i="1" a="1"/>
  <c r="H11" i="60" a="1"/>
  <c r="K14" i="12" a="1"/>
  <c r="M10" i="12" a="1"/>
  <c r="Q6" i="12" a="1"/>
  <c r="N3" i="12" a="1"/>
  <c r="K14" i="28" a="1"/>
  <c r="E14" i="12" a="1"/>
  <c r="J7" i="39" a="1"/>
  <c r="F11" i="60" a="1"/>
  <c r="C13" i="13" a="1"/>
  <c r="F4" i="39" a="1"/>
  <c r="G14" i="12" a="1"/>
  <c r="F7" i="39" a="1"/>
  <c r="L5" i="28" a="1"/>
  <c r="J7" i="1" a="1"/>
  <c r="E4" i="12" a="1"/>
  <c r="M12" i="28" a="1"/>
  <c r="K4" i="28" a="1"/>
  <c r="C14" i="39" a="1"/>
  <c r="L3" i="1" a="1"/>
  <c r="D6" i="28" a="1"/>
  <c r="D11" i="52" a="1"/>
  <c r="D3" i="52" a="1"/>
  <c r="G10" i="60" a="1"/>
  <c r="E5" i="60" a="1"/>
  <c r="F12" i="12" a="1"/>
  <c r="J2" i="5" a="1"/>
  <c r="R19" i="12" a="1"/>
  <c r="E13" i="12" a="1"/>
  <c r="J6" i="39" a="1"/>
  <c r="F3" i="39" a="1"/>
  <c r="L13" i="28" a="1"/>
  <c r="G7" i="28" a="1"/>
  <c r="D8" i="28" a="1"/>
  <c r="G11" i="1" a="1"/>
  <c r="C12" i="55" a="1"/>
  <c r="H10" i="60" a="1"/>
  <c r="F5" i="60" a="1"/>
  <c r="H14" i="1" a="1"/>
  <c r="J10" i="52" a="1"/>
  <c r="V17" i="56" a="1"/>
  <c r="J14" i="56" a="1"/>
  <c r="C11" i="13" a="1"/>
  <c r="Q19" i="12" a="1"/>
  <c r="R13" i="12" a="1"/>
  <c r="S9" i="12" a="1"/>
  <c r="N6" i="12" a="1"/>
  <c r="L3" i="12" a="1"/>
  <c r="G12" i="12" a="1"/>
  <c r="G4" i="12" a="1"/>
  <c r="K13" i="28" a="1"/>
  <c r="L4" i="28" a="1"/>
  <c r="O3" i="1" a="1"/>
  <c r="H2" i="5" a="1"/>
  <c r="F4" i="12" a="1"/>
  <c r="J5" i="39" a="1"/>
  <c r="F2" i="39" a="1"/>
  <c r="H6" i="28" a="1"/>
  <c r="E7" i="28" a="1"/>
  <c r="L20" i="1" a="1"/>
  <c r="L10" i="1" a="1"/>
  <c r="G4" i="1" a="1"/>
  <c r="F2" i="5" a="1"/>
  <c r="O19" i="12" a="1"/>
  <c r="Q13" i="12" a="1"/>
  <c r="Q9" i="12" a="1"/>
  <c r="L6" i="12" a="1"/>
  <c r="K3" i="12" a="1"/>
  <c r="J12" i="42" a="1"/>
  <c r="F9" i="52" a="1"/>
  <c r="V14" i="56" a="1"/>
  <c r="J11" i="56" a="1"/>
  <c r="C9" i="13" a="1"/>
  <c r="I3" i="1" a="1"/>
  <c r="H9" i="60" a="1"/>
  <c r="N19" i="12" a="1"/>
  <c r="O13" i="12" a="1"/>
  <c r="O9" i="12" a="1"/>
  <c r="S5" i="12" a="1"/>
  <c r="F23" i="12" a="1"/>
  <c r="E12" i="12" a="1"/>
  <c r="B15" i="12" a="1"/>
  <c r="J2" i="39" a="1"/>
  <c r="K12" i="28" a="1"/>
  <c r="M3" i="28" a="1"/>
  <c r="H4" i="28" a="1"/>
  <c r="H20" i="1" a="1"/>
  <c r="F14" i="1" a="1"/>
  <c r="H10" i="1" a="1"/>
  <c r="G7" i="1" a="1"/>
  <c r="K3" i="1" a="1"/>
  <c r="D13" i="49" a="1"/>
  <c r="C18" i="40" a="1"/>
  <c r="E10" i="60" a="1"/>
  <c r="F10" i="1" a="1"/>
  <c r="H2" i="7" a="1"/>
  <c r="D9" i="52" a="1"/>
  <c r="T14" i="56" a="1"/>
  <c r="H11" i="56" a="1"/>
  <c r="M9" i="12" a="1"/>
  <c r="Q5" i="12" a="1"/>
  <c r="E23" i="12" a="1"/>
  <c r="B14" i="12" a="1"/>
  <c r="C13" i="39" a="1"/>
  <c r="L11" i="28" a="1"/>
  <c r="G4" i="28" a="1"/>
  <c r="E6" i="28" a="1"/>
  <c r="G20" i="1" a="1"/>
  <c r="L13" i="1" a="1"/>
  <c r="G10" i="1" a="1"/>
  <c r="F7" i="1" a="1"/>
  <c r="J3" i="1" a="1"/>
  <c r="C4" i="13" a="1"/>
  <c r="M19" i="12" a="1"/>
  <c r="L13" i="12" a="1"/>
  <c r="S8" i="12" a="1"/>
  <c r="O5" i="12" a="1"/>
  <c r="G11" i="12" a="1"/>
  <c r="B13" i="12" a="1"/>
  <c r="H14" i="39" a="1"/>
  <c r="J10" i="42" a="1"/>
  <c r="F2" i="7" a="1"/>
  <c r="S23" i="12" a="1"/>
  <c r="K13" i="12" a="1"/>
  <c r="R8" i="12" a="1"/>
  <c r="N5" i="12" a="1"/>
  <c r="G22" i="12" a="1"/>
  <c r="H13" i="39" a="1"/>
  <c r="C12" i="39" a="1"/>
  <c r="M10" i="28" a="1"/>
  <c r="K3" i="28" a="1"/>
  <c r="G3" i="28" a="1"/>
  <c r="L19" i="1" a="1"/>
  <c r="K13" i="1" a="1"/>
  <c r="L6" i="1" a="1"/>
  <c r="H3" i="1" a="1"/>
  <c r="D11" i="49" a="1"/>
  <c r="C15" i="40" a="1"/>
  <c r="H3" i="60" a="1"/>
  <c r="L10" i="28" a="1"/>
  <c r="L9" i="1" a="1"/>
  <c r="K6" i="1" a="1"/>
  <c r="G3" i="1" a="1"/>
  <c r="J8" i="52" a="1"/>
  <c r="V13" i="56" a="1"/>
  <c r="J10" i="56" a="1"/>
  <c r="N23" i="12" a="1"/>
  <c r="K19" i="12" a="1"/>
  <c r="O12" i="12" a="1"/>
  <c r="Q8" i="12" a="1"/>
  <c r="M5" i="12" a="1"/>
  <c r="F22" i="12" a="1"/>
  <c r="F11" i="12" a="1"/>
  <c r="B12" i="12" a="1"/>
  <c r="H12" i="39" a="1"/>
  <c r="C11" i="39" a="1"/>
  <c r="E18" i="28" a="1"/>
  <c r="E5" i="28" a="1"/>
  <c r="J13" i="1" a="1"/>
  <c r="C14" i="40" a="1"/>
  <c r="G9" i="60" a="1"/>
  <c r="G3" i="60" a="1"/>
  <c r="D2" i="7" a="1"/>
  <c r="M23" i="12" a="1"/>
  <c r="N12" i="12" a="1"/>
  <c r="L5" i="12" a="1"/>
  <c r="E22" i="12" a="1"/>
  <c r="H10" i="39" a="1"/>
  <c r="K10" i="28" a="1"/>
  <c r="H15" i="28" a="1"/>
  <c r="D5" i="28" a="1"/>
  <c r="K19" i="1" a="1"/>
  <c r="D10" i="49" a="1"/>
  <c r="C13" i="40" a="1"/>
  <c r="F9" i="60" a="1"/>
  <c r="F3" i="60" a="1"/>
  <c r="C14" i="1" a="1"/>
  <c r="C11" i="1" a="1"/>
  <c r="C18" i="55" a="1"/>
  <c r="P9" i="12" a="1"/>
  <c r="L12" i="28" a="1"/>
  <c r="H5" i="28" a="1"/>
  <c r="I20" i="1" a="1"/>
  <c r="I10" i="1" a="1"/>
  <c r="F20" i="1" a="1"/>
  <c r="C16" i="40" a="1"/>
  <c r="Q18" i="12" a="1"/>
  <c r="M12" i="12" a="1"/>
  <c r="P8" i="12" a="1"/>
  <c r="F21" i="12" a="1"/>
  <c r="G10" i="12" a="1"/>
  <c r="B11" i="12" a="1"/>
  <c r="H8" i="39" a="1"/>
  <c r="C10" i="39" a="1"/>
  <c r="G15" i="28" a="1"/>
  <c r="D18" i="28" a="1"/>
  <c r="I13" i="1" a="1"/>
  <c r="K9" i="1" a="1"/>
  <c r="J6" i="1" a="1"/>
  <c r="F3" i="1" a="1"/>
  <c r="D9" i="49" a="1"/>
  <c r="C12" i="40" a="1"/>
  <c r="E3" i="60" a="1"/>
  <c r="L12" i="1" a="1"/>
  <c r="G6" i="1" a="1"/>
  <c r="D7" i="49" a="1"/>
  <c r="C4" i="39" a="1"/>
  <c r="G12" i="28" a="1"/>
  <c r="O13" i="1" a="1"/>
  <c r="K5" i="1" a="1"/>
  <c r="F3" i="12" a="1"/>
  <c r="C9" i="55" a="1"/>
  <c r="J8" i="42" a="1"/>
  <c r="F7" i="52" a="1"/>
  <c r="V10" i="56" a="1"/>
  <c r="I9" i="56" a="1"/>
  <c r="K23" i="12" a="1"/>
  <c r="P18" i="12" a="1"/>
  <c r="K5" i="12" a="1"/>
  <c r="G20" i="12" a="1"/>
  <c r="F10" i="12" a="1"/>
  <c r="H7" i="39" a="1"/>
  <c r="C9" i="39" a="1"/>
  <c r="M9" i="28" a="1"/>
  <c r="E4" i="28" a="1"/>
  <c r="J19" i="1" a="1"/>
  <c r="H13" i="1" a="1"/>
  <c r="I6" i="1" a="1"/>
  <c r="E9" i="60" a="1"/>
  <c r="D8" i="49" a="1"/>
  <c r="S4" i="12" a="1"/>
  <c r="I19" i="1" a="1"/>
  <c r="K12" i="1" a="1"/>
  <c r="I9" i="1" a="1"/>
  <c r="C15" i="1" a="1"/>
  <c r="D6" i="49" a="1"/>
  <c r="C10" i="40" a="1"/>
  <c r="F8" i="60" a="1"/>
  <c r="G19" i="1" a="1"/>
  <c r="F2" i="47" a="1"/>
  <c r="J7" i="56" a="1"/>
  <c r="K18" i="12" a="1"/>
  <c r="L12" i="12" a="1"/>
  <c r="O8" i="12" a="1"/>
  <c r="F20" i="12" a="1"/>
  <c r="B10" i="12" a="1"/>
  <c r="H6" i="39" a="1"/>
  <c r="H14" i="28" a="1"/>
  <c r="E15" i="28" a="1"/>
  <c r="D4" i="28" a="1"/>
  <c r="G13" i="1" a="1"/>
  <c r="J9" i="1" a="1"/>
  <c r="H6" i="1" a="1"/>
  <c r="D23" i="1" a="1"/>
  <c r="C11" i="40" a="1"/>
  <c r="H8" i="60" a="1"/>
  <c r="D7" i="52" a="1"/>
  <c r="T10" i="56" a="1"/>
  <c r="S15" i="12" a="1"/>
  <c r="E20" i="12" a="1"/>
  <c r="E10" i="12" a="1"/>
  <c r="C8" i="39" a="1"/>
  <c r="L9" i="28" a="1"/>
  <c r="G14" i="28" a="1"/>
  <c r="E3" i="28" a="1"/>
  <c r="O15" i="1" a="1"/>
  <c r="F6" i="1" a="1"/>
  <c r="G8" i="60" a="1"/>
  <c r="B7" i="12" a="1"/>
  <c r="C9" i="40" a="1"/>
  <c r="E7" i="60" a="1"/>
  <c r="C17" i="40" a="1"/>
  <c r="H3" i="28" a="1"/>
  <c r="D2" i="47" a="1"/>
  <c r="H7" i="56" a="1"/>
  <c r="R22" i="12" a="1"/>
  <c r="R15" i="12" a="1"/>
  <c r="K12" i="12" a="1"/>
  <c r="N8" i="12" a="1"/>
  <c r="G9" i="12" a="1"/>
  <c r="B9" i="12" a="1"/>
  <c r="H5" i="39" a="1"/>
  <c r="C7" i="39" a="1"/>
  <c r="H13" i="28" a="1"/>
  <c r="D15" i="28" a="1"/>
  <c r="H4" i="39" a="1"/>
  <c r="E14" i="28" a="1"/>
  <c r="I12" i="1" a="1"/>
  <c r="D4" i="49" a="1"/>
  <c r="J10" i="1" a="1"/>
  <c r="F4" i="1" a="1"/>
  <c r="F10" i="60" a="1"/>
  <c r="F4" i="60" a="1"/>
  <c r="K11" i="28" a="1"/>
  <c r="J6" i="42" a="1"/>
  <c r="R4" i="12" a="1"/>
  <c r="G19" i="12" a="1"/>
  <c r="F9" i="12" a="1"/>
  <c r="C6" i="39" a="1"/>
  <c r="K9" i="28" a="1"/>
  <c r="H12" i="28" a="1"/>
  <c r="O14" i="1" a="1"/>
  <c r="H19" i="1" a="1"/>
  <c r="J12" i="1" a="1"/>
  <c r="H9" i="1" a="1"/>
  <c r="L5" i="1" a="1"/>
  <c r="D5" i="49" a="1"/>
  <c r="B2" i="47" a="1"/>
  <c r="J6" i="52" a="1"/>
  <c r="V9" i="56" a="1"/>
  <c r="Q15" i="12" a="1"/>
  <c r="S11" i="12" a="1"/>
  <c r="L8" i="12" a="1"/>
  <c r="G8" i="12" a="1"/>
  <c r="E8" i="60" a="1"/>
  <c r="C10" i="55" a="1"/>
  <c r="J6" i="56" a="1"/>
  <c r="M22" i="12" a="1"/>
  <c r="P4" i="12" a="1"/>
  <c r="F19" i="12" a="1"/>
  <c r="E8" i="12" a="1"/>
  <c r="B6" i="12" a="1"/>
  <c r="C3" i="39" a="1"/>
  <c r="M8" i="28" a="1"/>
  <c r="H11" i="28" a="1"/>
  <c r="D14" i="28" a="1"/>
  <c r="O12" i="1" a="1"/>
  <c r="H12" i="1" a="1"/>
  <c r="G9" i="1" a="1"/>
  <c r="J5" i="1" a="1"/>
  <c r="C13" i="1" a="1"/>
  <c r="C21" i="55" a="1"/>
  <c r="H7" i="60" a="1"/>
  <c r="C7" i="40" a="1"/>
  <c r="F7" i="60" a="1"/>
  <c r="Q7" i="12" a="1"/>
  <c r="N4" i="12" a="1"/>
  <c r="B4" i="12" a="1"/>
  <c r="L15" i="28" a="1"/>
  <c r="K8" i="28" a="1"/>
  <c r="O10" i="1" a="1"/>
  <c r="H5" i="1" a="1"/>
  <c r="G14" i="1" a="1"/>
  <c r="H7" i="1" a="1"/>
  <c r="D14" i="49" a="1"/>
  <c r="K6" i="12" a="1"/>
  <c r="L3" i="28" a="1"/>
  <c r="L22" i="12" a="1"/>
  <c r="P15" i="12" a="1"/>
  <c r="Q11" i="12" a="1"/>
  <c r="S7" i="12" a="1"/>
  <c r="O4" i="12" a="1"/>
  <c r="G7" i="12" a="1"/>
  <c r="H3" i="39" a="1"/>
  <c r="C2" i="39" a="1"/>
  <c r="L8" i="28" a="1"/>
  <c r="G11" i="28" a="1"/>
  <c r="O11" i="1" a="1"/>
  <c r="F19" i="1" a="1"/>
  <c r="F9" i="1" a="1"/>
  <c r="I5" i="1" a="1"/>
  <c r="C20" i="55" a="1"/>
  <c r="C8" i="40" a="1"/>
  <c r="G7" i="60" a="1"/>
  <c r="V6" i="56" a="1"/>
  <c r="P21" i="12" a="1"/>
  <c r="R7" i="12" a="1"/>
  <c r="E19" i="12" a="1"/>
  <c r="F7" i="12" a="1"/>
  <c r="B5" i="12" a="1"/>
  <c r="M15" i="28" a="1"/>
  <c r="H10" i="28" a="1"/>
  <c r="E13" i="28" a="1"/>
  <c r="N11" i="12" a="1"/>
  <c r="H2" i="39" a="1"/>
  <c r="D13" i="28" a="1"/>
  <c r="L8" i="1" a="1"/>
  <c r="J4" i="42" a="1"/>
  <c r="D2" i="46" a="1"/>
  <c r="F5" i="52" a="1"/>
  <c r="L15" i="1" a="1"/>
  <c r="G12" i="1" a="1"/>
  <c r="C12" i="1" a="1"/>
  <c r="C19" i="55" a="1"/>
  <c r="I5" i="56" a="1"/>
  <c r="O21" i="12" a="1"/>
  <c r="O15" i="12" a="1"/>
  <c r="O15" i="12" l="1"/>
  <c r="O21" i="12"/>
  <c r="I5" i="56"/>
  <c r="C19" i="55"/>
  <c r="C12" i="1"/>
  <c r="G12" i="1"/>
  <c r="L15" i="1"/>
  <c r="F5" i="52"/>
  <c r="D2" i="46"/>
  <c r="J4" i="42"/>
  <c r="L8" i="1"/>
  <c r="D13" i="28"/>
  <c r="H2" i="39"/>
  <c r="N11" i="12"/>
  <c r="E13" i="28"/>
  <c r="H10" i="28"/>
  <c r="M15" i="28"/>
  <c r="B5" i="12"/>
  <c r="F7" i="12"/>
  <c r="E19" i="12"/>
  <c r="R7" i="12"/>
  <c r="P21" i="12"/>
  <c r="V6" i="56"/>
  <c r="G7" i="60"/>
  <c r="C8" i="40"/>
  <c r="C20" i="55"/>
  <c r="I5" i="1"/>
  <c r="F9" i="1"/>
  <c r="F19" i="1"/>
  <c r="O11" i="1"/>
  <c r="G11" i="28"/>
  <c r="L8" i="28"/>
  <c r="C2" i="39"/>
  <c r="H3" i="39"/>
  <c r="G7" i="12"/>
  <c r="O4" i="12"/>
  <c r="S7" i="12"/>
  <c r="Q11" i="12"/>
  <c r="P15" i="12"/>
  <c r="L22" i="12"/>
  <c r="L3" i="28"/>
  <c r="K6" i="12"/>
  <c r="D14" i="49"/>
  <c r="H7" i="1"/>
  <c r="G14" i="1"/>
  <c r="H5" i="1"/>
  <c r="O10" i="1"/>
  <c r="K8" i="28"/>
  <c r="L15" i="28"/>
  <c r="B4" i="12"/>
  <c r="N4" i="12"/>
  <c r="Q7" i="12"/>
  <c r="F7" i="60"/>
  <c r="C7" i="40"/>
  <c r="H7" i="60"/>
  <c r="C21" i="55"/>
  <c r="C13" i="1"/>
  <c r="J5" i="1"/>
  <c r="G9" i="1"/>
  <c r="H12" i="1"/>
  <c r="O12" i="1"/>
  <c r="D14" i="28"/>
  <c r="H11" i="28"/>
  <c r="M8" i="28"/>
  <c r="C3" i="39"/>
  <c r="B6" i="12"/>
  <c r="E8" i="12"/>
  <c r="F19" i="12"/>
  <c r="P4" i="12"/>
  <c r="M22" i="12"/>
  <c r="J6" i="56"/>
  <c r="C10" i="55"/>
  <c r="E8" i="60"/>
  <c r="G8" i="12"/>
  <c r="L8" i="12"/>
  <c r="S11" i="12"/>
  <c r="Q15" i="12"/>
  <c r="V9" i="56"/>
  <c r="J6" i="52"/>
  <c r="B2" i="47"/>
  <c r="D5" i="49"/>
  <c r="L5" i="1"/>
  <c r="H9" i="1"/>
  <c r="J12" i="1"/>
  <c r="H19" i="1"/>
  <c r="O14" i="1"/>
  <c r="H12" i="28"/>
  <c r="K9" i="28"/>
  <c r="C6" i="39"/>
  <c r="F9" i="12"/>
  <c r="G19" i="12"/>
  <c r="R4" i="12"/>
  <c r="J6" i="42"/>
  <c r="K11" i="28"/>
  <c r="F4" i="60"/>
  <c r="F10" i="60"/>
  <c r="F4" i="1"/>
  <c r="J10" i="1"/>
  <c r="D4" i="49"/>
  <c r="I12" i="1"/>
  <c r="E14" i="28"/>
  <c r="H4" i="39"/>
  <c r="D15" i="28"/>
  <c r="H13" i="28"/>
  <c r="C7" i="39"/>
  <c r="H5" i="39"/>
  <c r="B9" i="12"/>
  <c r="G9" i="12"/>
  <c r="N8" i="12"/>
  <c r="K12" i="12"/>
  <c r="R15" i="12"/>
  <c r="R22" i="12"/>
  <c r="H7" i="56"/>
  <c r="D2" i="47"/>
  <c r="H3" i="28"/>
  <c r="C17" i="40"/>
  <c r="E7" i="60"/>
  <c r="C9" i="40"/>
  <c r="B7" i="12"/>
  <c r="G8" i="60"/>
  <c r="F6" i="1"/>
  <c r="O15" i="1"/>
  <c r="E3" i="28"/>
  <c r="G14" i="28"/>
  <c r="L9" i="28"/>
  <c r="C8" i="39"/>
  <c r="E10" i="12"/>
  <c r="E20" i="12"/>
  <c r="S15" i="12"/>
  <c r="T10" i="56"/>
  <c r="D7" i="52"/>
  <c r="H8" i="60"/>
  <c r="C11" i="40"/>
  <c r="D23" i="1"/>
  <c r="H6" i="1"/>
  <c r="J9" i="1"/>
  <c r="G13" i="1"/>
  <c r="D4" i="28"/>
  <c r="E15" i="28"/>
  <c r="H14" i="28"/>
  <c r="H6" i="39"/>
  <c r="B10" i="12"/>
  <c r="F20" i="12"/>
  <c r="O8" i="12"/>
  <c r="L12" i="12"/>
  <c r="K18" i="12"/>
  <c r="J7" i="56"/>
  <c r="F2" i="47"/>
  <c r="G19" i="1"/>
  <c r="F8" i="60"/>
  <c r="C10" i="40"/>
  <c r="D6" i="49"/>
  <c r="C15" i="1"/>
  <c r="I9" i="1"/>
  <c r="K12" i="1"/>
  <c r="I19" i="1"/>
  <c r="S4" i="12"/>
  <c r="Y13" i="12" s="1" a="1"/>
  <c r="Y13" i="12" s="1"/>
  <c r="D8" i="49"/>
  <c r="E9" i="60"/>
  <c r="I6" i="1"/>
  <c r="H13" i="1"/>
  <c r="J19" i="1"/>
  <c r="E4" i="28"/>
  <c r="M9" i="28"/>
  <c r="C9" i="39"/>
  <c r="H7" i="39"/>
  <c r="F10" i="12"/>
  <c r="G20" i="12"/>
  <c r="K5" i="12"/>
  <c r="P18" i="12"/>
  <c r="K23" i="12"/>
  <c r="I9" i="56"/>
  <c r="V10" i="56"/>
  <c r="F7" i="52"/>
  <c r="J8" i="42"/>
  <c r="C9" i="55"/>
  <c r="F3" i="12"/>
  <c r="K5" i="1"/>
  <c r="O13" i="1"/>
  <c r="G12" i="28"/>
  <c r="C4" i="39"/>
  <c r="D7" i="49"/>
  <c r="G6" i="1"/>
  <c r="L12" i="1"/>
  <c r="E3" i="60"/>
  <c r="C12" i="40"/>
  <c r="D9" i="49"/>
  <c r="F3" i="1"/>
  <c r="J6" i="1"/>
  <c r="K9" i="1"/>
  <c r="I13" i="1"/>
  <c r="D18" i="28"/>
  <c r="G15" i="28"/>
  <c r="C10" i="39"/>
  <c r="H8" i="39"/>
  <c r="B11" i="12"/>
  <c r="G10" i="12"/>
  <c r="F21" i="12"/>
  <c r="P8" i="12"/>
  <c r="M12" i="12"/>
  <c r="Q18" i="12"/>
  <c r="C16" i="40"/>
  <c r="F20" i="1"/>
  <c r="I10" i="1"/>
  <c r="I20" i="1"/>
  <c r="H5" i="28"/>
  <c r="L12" i="28"/>
  <c r="P9" i="12"/>
  <c r="C18" i="55"/>
  <c r="C11" i="1"/>
  <c r="C14" i="1"/>
  <c r="F3" i="60"/>
  <c r="F9" i="60"/>
  <c r="C13" i="40"/>
  <c r="D10" i="49"/>
  <c r="K19" i="1"/>
  <c r="D5" i="28"/>
  <c r="H15" i="28"/>
  <c r="K10" i="28"/>
  <c r="H10" i="39"/>
  <c r="E22" i="12"/>
  <c r="L5" i="12"/>
  <c r="N12" i="12"/>
  <c r="M23" i="12"/>
  <c r="D2" i="7"/>
  <c r="G3" i="60"/>
  <c r="G9" i="60"/>
  <c r="C14" i="40"/>
  <c r="J13" i="1"/>
  <c r="E5" i="28"/>
  <c r="E18" i="28"/>
  <c r="C11" i="39"/>
  <c r="H12" i="39"/>
  <c r="B12" i="12"/>
  <c r="F11" i="12"/>
  <c r="F22" i="12"/>
  <c r="M5" i="12"/>
  <c r="Q8" i="12"/>
  <c r="O12" i="12"/>
  <c r="K19" i="12"/>
  <c r="N23" i="12"/>
  <c r="J10" i="56"/>
  <c r="V13" i="56"/>
  <c r="J8" i="52"/>
  <c r="G3" i="1"/>
  <c r="K6" i="1"/>
  <c r="L9" i="1"/>
  <c r="L10" i="28"/>
  <c r="H3" i="60"/>
  <c r="C15" i="40"/>
  <c r="D11" i="49"/>
  <c r="H3" i="1"/>
  <c r="L6" i="1"/>
  <c r="K13" i="1"/>
  <c r="L19" i="1"/>
  <c r="G3" i="28"/>
  <c r="K3" i="28"/>
  <c r="M10" i="28"/>
  <c r="C12" i="39"/>
  <c r="H13" i="39"/>
  <c r="G22" i="12"/>
  <c r="N5" i="12"/>
  <c r="R8" i="12"/>
  <c r="K13" i="12"/>
  <c r="S23" i="12"/>
  <c r="F2" i="7"/>
  <c r="J10" i="42"/>
  <c r="H14" i="39"/>
  <c r="B13" i="12"/>
  <c r="G11" i="12"/>
  <c r="O5" i="12"/>
  <c r="S8" i="12"/>
  <c r="L13" i="12"/>
  <c r="M19" i="12"/>
  <c r="C4" i="13"/>
  <c r="J3" i="1"/>
  <c r="F7" i="1"/>
  <c r="G10" i="1"/>
  <c r="L13" i="1"/>
  <c r="G20" i="1"/>
  <c r="E6" i="28"/>
  <c r="G4" i="28"/>
  <c r="L11" i="28"/>
  <c r="C13" i="39"/>
  <c r="B14" i="12"/>
  <c r="E23" i="12"/>
  <c r="Q5" i="12"/>
  <c r="M9" i="12"/>
  <c r="H11" i="56"/>
  <c r="T14" i="56"/>
  <c r="D9" i="52"/>
  <c r="H2" i="7"/>
  <c r="F10" i="1"/>
  <c r="E10" i="60"/>
  <c r="C18" i="40"/>
  <c r="D13" i="49"/>
  <c r="K3" i="1"/>
  <c r="G7" i="1"/>
  <c r="H10" i="1"/>
  <c r="F14" i="1"/>
  <c r="H20" i="1"/>
  <c r="H4" i="28"/>
  <c r="M3" i="28"/>
  <c r="K12" i="28"/>
  <c r="J2" i="39"/>
  <c r="B15" i="12"/>
  <c r="E12" i="12"/>
  <c r="F23" i="12"/>
  <c r="S5" i="12"/>
  <c r="O9" i="12"/>
  <c r="O13" i="12"/>
  <c r="N19" i="12"/>
  <c r="H9" i="60"/>
  <c r="I3" i="1"/>
  <c r="C9" i="13"/>
  <c r="J11" i="56"/>
  <c r="V14" i="56"/>
  <c r="F9" i="52"/>
  <c r="J12" i="42"/>
  <c r="K3" i="12"/>
  <c r="L6" i="12"/>
  <c r="Q9" i="12"/>
  <c r="Q13" i="12"/>
  <c r="O19" i="12"/>
  <c r="F2" i="5"/>
  <c r="G4" i="1"/>
  <c r="L10" i="1"/>
  <c r="L20" i="1"/>
  <c r="E7" i="28"/>
  <c r="H6" i="28"/>
  <c r="F2" i="39"/>
  <c r="J5" i="39"/>
  <c r="F4" i="12"/>
  <c r="H2" i="5"/>
  <c r="O3" i="1"/>
  <c r="L4" i="28"/>
  <c r="K13" i="28"/>
  <c r="G4" i="12"/>
  <c r="G12" i="12"/>
  <c r="L3" i="12"/>
  <c r="N6" i="12"/>
  <c r="S9" i="12"/>
  <c r="R13" i="12"/>
  <c r="Q19" i="12"/>
  <c r="C11" i="13"/>
  <c r="J14" i="56"/>
  <c r="V17" i="56"/>
  <c r="J10" i="52"/>
  <c r="H14" i="1"/>
  <c r="F5" i="60"/>
  <c r="H10" i="60"/>
  <c r="C12" i="55"/>
  <c r="G11" i="1"/>
  <c r="D8" i="28"/>
  <c r="G7" i="28"/>
  <c r="L13" i="28"/>
  <c r="F3" i="39"/>
  <c r="J6" i="39"/>
  <c r="E13" i="12"/>
  <c r="R19" i="12"/>
  <c r="J2" i="5"/>
  <c r="F12" i="12"/>
  <c r="E5" i="60"/>
  <c r="G10" i="60"/>
  <c r="D3" i="52"/>
  <c r="D11" i="52"/>
  <c r="D6" i="28"/>
  <c r="L3" i="1"/>
  <c r="C14" i="39"/>
  <c r="K4" i="28"/>
  <c r="M12" i="28"/>
  <c r="E4" i="12"/>
  <c r="J7" i="1"/>
  <c r="L5" i="28"/>
  <c r="F7" i="39"/>
  <c r="G14" i="12"/>
  <c r="F4" i="39"/>
  <c r="C13" i="13"/>
  <c r="F11" i="60"/>
  <c r="J7" i="39"/>
  <c r="E14" i="12"/>
  <c r="K14" i="28"/>
  <c r="N3" i="12"/>
  <c r="Q6" i="12"/>
  <c r="M10" i="12"/>
  <c r="K14" i="12"/>
  <c r="H11" i="60"/>
  <c r="C5" i="1"/>
  <c r="K4" i="1"/>
  <c r="L7" i="1"/>
  <c r="K14" i="1"/>
  <c r="O6" i="1"/>
  <c r="E9" i="28"/>
  <c r="H8" i="28"/>
  <c r="M5" i="28"/>
  <c r="F9" i="39"/>
  <c r="J8" i="39"/>
  <c r="E6" i="12"/>
  <c r="E15" i="12"/>
  <c r="L14" i="12"/>
  <c r="R20" i="12"/>
  <c r="J15" i="56"/>
  <c r="F3" i="52"/>
  <c r="F11" i="52"/>
  <c r="L2" i="15"/>
  <c r="J3" i="39"/>
  <c r="H4" i="60"/>
  <c r="K20" i="1"/>
  <c r="G6" i="28"/>
  <c r="C11" i="55"/>
  <c r="D15" i="49"/>
  <c r="C6" i="1"/>
  <c r="L4" i="1"/>
  <c r="F8" i="1"/>
  <c r="J11" i="1"/>
  <c r="L14" i="1"/>
  <c r="O7" i="1"/>
  <c r="D10" i="28"/>
  <c r="K6" i="28"/>
  <c r="L14" i="28"/>
  <c r="F10" i="39"/>
  <c r="F15" i="12"/>
  <c r="O3" i="12"/>
  <c r="R6" i="12"/>
  <c r="N10" i="12"/>
  <c r="M14" i="12"/>
  <c r="B13" i="56"/>
  <c r="D12" i="49"/>
  <c r="O4" i="1"/>
  <c r="M4" i="28"/>
  <c r="H11" i="1"/>
  <c r="E8" i="28"/>
  <c r="M13" i="28"/>
  <c r="O20" i="12"/>
  <c r="G11" i="60"/>
  <c r="C14" i="55"/>
  <c r="C4" i="1"/>
  <c r="I11" i="1"/>
  <c r="K11" i="1"/>
  <c r="G9" i="28"/>
  <c r="M6" i="28"/>
  <c r="J9" i="39"/>
  <c r="F6" i="12"/>
  <c r="P3" i="12"/>
  <c r="K21" i="12"/>
  <c r="G4" i="60"/>
  <c r="H4" i="1"/>
  <c r="G5" i="60"/>
  <c r="I4" i="1"/>
  <c r="S13" i="12"/>
  <c r="F5" i="39"/>
  <c r="H15" i="56"/>
  <c r="K7" i="1"/>
  <c r="E10" i="28"/>
  <c r="R14" i="12"/>
  <c r="F6" i="60"/>
  <c r="G12" i="60"/>
  <c r="C16" i="55"/>
  <c r="C8" i="1"/>
  <c r="F5" i="1"/>
  <c r="H8" i="1"/>
  <c r="G15" i="1"/>
  <c r="O8" i="1"/>
  <c r="E11" i="28"/>
  <c r="K7" i="28"/>
  <c r="M14" i="28"/>
  <c r="J10" i="39"/>
  <c r="G15" i="12"/>
  <c r="Q3" i="12"/>
  <c r="S6" i="12"/>
  <c r="O10" i="12"/>
  <c r="S14" i="12"/>
  <c r="V5" i="56"/>
  <c r="J4" i="52"/>
  <c r="J12" i="52"/>
  <c r="E4" i="60"/>
  <c r="L11" i="1"/>
  <c r="D12" i="28"/>
  <c r="L7" i="28"/>
  <c r="F12" i="39"/>
  <c r="J11" i="39"/>
  <c r="G6" i="12"/>
  <c r="E18" i="12"/>
  <c r="S3" i="12"/>
  <c r="K7" i="12"/>
  <c r="P10" i="12"/>
  <c r="B15" i="56"/>
  <c r="N2" i="18"/>
  <c r="D7" i="28"/>
  <c r="I7" i="1"/>
  <c r="F11" i="1"/>
  <c r="E11" i="60"/>
  <c r="D16" i="49"/>
  <c r="I14" i="1"/>
  <c r="H7" i="28"/>
  <c r="I8" i="1"/>
  <c r="I15" i="1"/>
  <c r="G6" i="60"/>
  <c r="C17" i="55"/>
  <c r="O9" i="1"/>
  <c r="E12" i="28"/>
  <c r="K15" i="28"/>
  <c r="F13" i="39"/>
  <c r="J13" i="39"/>
  <c r="L4" i="12"/>
  <c r="L7" i="12"/>
  <c r="Q10" i="12"/>
  <c r="M15" i="12"/>
  <c r="M21" i="12"/>
  <c r="K4" i="9"/>
  <c r="E5" i="12"/>
  <c r="F13" i="12"/>
  <c r="M3" i="12"/>
  <c r="P6" i="12"/>
  <c r="L10" i="12"/>
  <c r="N20" i="12"/>
  <c r="C13" i="55"/>
  <c r="C3" i="1"/>
  <c r="J4" i="1"/>
  <c r="O5" i="1"/>
  <c r="K5" i="28"/>
  <c r="F5" i="12"/>
  <c r="B8" i="56"/>
  <c r="H5" i="60"/>
  <c r="J14" i="1"/>
  <c r="D9" i="28"/>
  <c r="G8" i="28"/>
  <c r="E6" i="60"/>
  <c r="E12" i="60"/>
  <c r="C15" i="55"/>
  <c r="F12" i="60"/>
  <c r="C7" i="1"/>
  <c r="G8" i="1"/>
  <c r="F15" i="1"/>
  <c r="F11" i="39"/>
  <c r="C9" i="1"/>
  <c r="H9" i="28"/>
  <c r="H12" i="60"/>
  <c r="C10" i="1"/>
  <c r="G5" i="1"/>
  <c r="J8" i="1"/>
  <c r="J15" i="1"/>
  <c r="H6" i="60"/>
  <c r="C6" i="40"/>
  <c r="K8" i="1"/>
  <c r="F12" i="1"/>
  <c r="K15" i="1"/>
  <c r="G10" i="28"/>
  <c r="M7" i="28"/>
  <c r="B3" i="12"/>
  <c r="E7" i="12"/>
  <c r="G18" i="12"/>
  <c r="M4" i="12"/>
  <c r="O7" i="12"/>
  <c r="M11" i="12"/>
  <c r="B17" i="56"/>
  <c r="T6" i="56"/>
  <c r="D5" i="52"/>
  <c r="B2" i="46"/>
  <c r="O4" i="9"/>
  <c r="K10" i="1"/>
  <c r="F13" i="1"/>
  <c r="H15" i="1"/>
  <c r="J20" i="1"/>
  <c r="D3" i="28"/>
  <c r="M11" i="28"/>
  <c r="C5" i="39"/>
  <c r="H11" i="39"/>
  <c r="J14" i="39"/>
  <c r="G21" i="12"/>
  <c r="R5" i="12"/>
  <c r="L11" i="12"/>
  <c r="F4" i="9"/>
  <c r="V4" i="9"/>
  <c r="AL4" i="9"/>
  <c r="N2" i="38"/>
  <c r="B7" i="56"/>
  <c r="H5" i="56"/>
  <c r="H9" i="56"/>
  <c r="H13" i="56"/>
  <c r="H17" i="56"/>
  <c r="T8" i="56"/>
  <c r="T12" i="56"/>
  <c r="T16" i="56"/>
  <c r="N2" i="7"/>
  <c r="B2" i="15"/>
  <c r="D2" i="18"/>
  <c r="H3" i="42"/>
  <c r="H5" i="42"/>
  <c r="H7" i="42"/>
  <c r="H9" i="42"/>
  <c r="H11" i="42"/>
  <c r="H13" i="42"/>
  <c r="H15" i="42"/>
  <c r="G5" i="43"/>
  <c r="G13" i="43"/>
  <c r="D4" i="52"/>
  <c r="D6" i="52"/>
  <c r="D8" i="52"/>
  <c r="D10" i="52"/>
  <c r="D12" i="52"/>
  <c r="J2" i="46"/>
  <c r="L2" i="47"/>
  <c r="G4" i="9"/>
  <c r="W4" i="9"/>
  <c r="AM4" i="9"/>
  <c r="J4" i="48"/>
  <c r="U16" i="56"/>
  <c r="K2" i="46"/>
  <c r="A2" i="5"/>
  <c r="C2" i="15"/>
  <c r="E2" i="18"/>
  <c r="I3" i="42"/>
  <c r="I5" i="42"/>
  <c r="I7" i="42"/>
  <c r="I9" i="42"/>
  <c r="I11" i="42"/>
  <c r="I13" i="42"/>
  <c r="I15" i="42"/>
  <c r="H5" i="43"/>
  <c r="H13" i="43"/>
  <c r="I13" i="56"/>
  <c r="I17" i="56"/>
  <c r="U8" i="56"/>
  <c r="U12" i="56"/>
  <c r="E4" i="52"/>
  <c r="E6" i="52"/>
  <c r="E8" i="52"/>
  <c r="E10" i="52"/>
  <c r="E12" i="52"/>
  <c r="M2" i="47"/>
  <c r="H4" i="9"/>
  <c r="X4" i="9"/>
  <c r="AN4" i="9"/>
  <c r="J5" i="48"/>
  <c r="O11" i="12"/>
  <c r="M13" i="12"/>
  <c r="K15" i="12"/>
  <c r="R18" i="12"/>
  <c r="P20" i="12"/>
  <c r="N22" i="12"/>
  <c r="C5" i="13"/>
  <c r="B9" i="56"/>
  <c r="J5" i="56"/>
  <c r="J9" i="56"/>
  <c r="J13" i="56"/>
  <c r="J17" i="56"/>
  <c r="V8" i="56"/>
  <c r="V12" i="56"/>
  <c r="V16" i="56"/>
  <c r="F4" i="52"/>
  <c r="F6" i="52"/>
  <c r="F8" i="52"/>
  <c r="F10" i="52"/>
  <c r="F12" i="52"/>
  <c r="L2" i="46"/>
  <c r="N2" i="47"/>
  <c r="B2" i="5"/>
  <c r="D2" i="15"/>
  <c r="F2" i="18"/>
  <c r="J3" i="42"/>
  <c r="J5" i="42"/>
  <c r="J7" i="42"/>
  <c r="J9" i="42"/>
  <c r="J11" i="42"/>
  <c r="J13" i="42"/>
  <c r="J15" i="42"/>
  <c r="G6" i="43"/>
  <c r="G14" i="43"/>
  <c r="I4" i="9"/>
  <c r="Y4" i="9"/>
  <c r="A2" i="38"/>
  <c r="J6" i="48"/>
  <c r="C6" i="13"/>
  <c r="B10" i="56"/>
  <c r="S17" i="56"/>
  <c r="G8" i="52"/>
  <c r="G12" i="52"/>
  <c r="M2" i="46"/>
  <c r="A2" i="7"/>
  <c r="C2" i="5"/>
  <c r="E2" i="15"/>
  <c r="G2" i="18"/>
  <c r="C4" i="42"/>
  <c r="C6" i="42"/>
  <c r="C8" i="42"/>
  <c r="C10" i="42"/>
  <c r="C12" i="42"/>
  <c r="C14" i="42"/>
  <c r="C3" i="43"/>
  <c r="H6" i="43"/>
  <c r="H14" i="43"/>
  <c r="M6" i="12"/>
  <c r="K8" i="12"/>
  <c r="R9" i="12"/>
  <c r="P11" i="12"/>
  <c r="N13" i="12"/>
  <c r="L15" i="12"/>
  <c r="S18" i="12"/>
  <c r="Q20" i="12"/>
  <c r="O22" i="12"/>
  <c r="G6" i="56"/>
  <c r="G10" i="56"/>
  <c r="G14" i="56"/>
  <c r="S5" i="56"/>
  <c r="S9" i="56"/>
  <c r="S13" i="56"/>
  <c r="G4" i="52"/>
  <c r="G6" i="52"/>
  <c r="G10" i="52"/>
  <c r="J4" i="9"/>
  <c r="Z4" i="9"/>
  <c r="B2" i="38"/>
  <c r="J7" i="48"/>
  <c r="P22" i="12"/>
  <c r="C7" i="13"/>
  <c r="B11" i="56"/>
  <c r="H6" i="56"/>
  <c r="H10" i="56"/>
  <c r="H14" i="56"/>
  <c r="T5" i="56"/>
  <c r="T9" i="56"/>
  <c r="T13" i="56"/>
  <c r="T17" i="56"/>
  <c r="H4" i="52"/>
  <c r="H6" i="52"/>
  <c r="H8" i="52"/>
  <c r="H10" i="52"/>
  <c r="H12" i="52"/>
  <c r="N2" i="46"/>
  <c r="B2" i="7"/>
  <c r="D2" i="5"/>
  <c r="F2" i="15"/>
  <c r="H2" i="18"/>
  <c r="D4" i="42"/>
  <c r="D6" i="42"/>
  <c r="D8" i="42"/>
  <c r="D10" i="42"/>
  <c r="D12" i="42"/>
  <c r="D14" i="42"/>
  <c r="C4" i="43"/>
  <c r="G7" i="43"/>
  <c r="G15" i="43"/>
  <c r="AA4" i="9"/>
  <c r="C2" i="38"/>
  <c r="J8" i="48"/>
  <c r="F14" i="39"/>
  <c r="B8" i="12"/>
  <c r="G5" i="12"/>
  <c r="E11" i="12"/>
  <c r="F18" i="12"/>
  <c r="G23" i="12"/>
  <c r="Q4" i="12"/>
  <c r="O6" i="12"/>
  <c r="M8" i="12"/>
  <c r="K10" i="12"/>
  <c r="R11" i="12"/>
  <c r="P13" i="12"/>
  <c r="N15" i="12"/>
  <c r="L19" i="12"/>
  <c r="S20" i="12"/>
  <c r="Q22" i="12"/>
  <c r="C8" i="13"/>
  <c r="B12" i="56"/>
  <c r="I6" i="56"/>
  <c r="I10" i="56"/>
  <c r="I14" i="56"/>
  <c r="U5" i="56"/>
  <c r="U9" i="56"/>
  <c r="U13" i="56"/>
  <c r="U17" i="56"/>
  <c r="I4" i="52"/>
  <c r="I6" i="52"/>
  <c r="I8" i="52"/>
  <c r="I10" i="52"/>
  <c r="I12" i="52"/>
  <c r="A2" i="47"/>
  <c r="C2" i="7"/>
  <c r="E2" i="5"/>
  <c r="G2" i="15"/>
  <c r="I2" i="18"/>
  <c r="E4" i="42"/>
  <c r="E6" i="42"/>
  <c r="E8" i="42"/>
  <c r="E10" i="42"/>
  <c r="E12" i="42"/>
  <c r="E14" i="42"/>
  <c r="C5" i="43"/>
  <c r="H7" i="43"/>
  <c r="H15" i="43"/>
  <c r="J4" i="39"/>
  <c r="L4" i="9"/>
  <c r="AB4" i="9"/>
  <c r="D2" i="38"/>
  <c r="J9" i="48"/>
  <c r="H2" i="15"/>
  <c r="J2" i="18"/>
  <c r="F4" i="42"/>
  <c r="F6" i="42"/>
  <c r="F8" i="42"/>
  <c r="F10" i="42"/>
  <c r="F12" i="42"/>
  <c r="F14" i="42"/>
  <c r="C6" i="43"/>
  <c r="G8" i="43"/>
  <c r="A13" i="9"/>
  <c r="A12" i="9"/>
  <c r="A11" i="9"/>
  <c r="A10" i="9"/>
  <c r="A9" i="9"/>
  <c r="A7" i="9"/>
  <c r="A6" i="9"/>
  <c r="A5" i="9"/>
  <c r="A4" i="9"/>
  <c r="A8" i="9"/>
  <c r="M4" i="9"/>
  <c r="AC4" i="9"/>
  <c r="E2" i="38"/>
  <c r="J10" i="48"/>
  <c r="L21" i="12"/>
  <c r="S22" i="12"/>
  <c r="C10" i="13"/>
  <c r="B14" i="56"/>
  <c r="G7" i="56"/>
  <c r="G11" i="56"/>
  <c r="G15" i="56"/>
  <c r="S6" i="56"/>
  <c r="S10" i="56"/>
  <c r="S14" i="56"/>
  <c r="C3" i="52"/>
  <c r="C5" i="52"/>
  <c r="C7" i="52"/>
  <c r="C9" i="52"/>
  <c r="C11" i="52"/>
  <c r="A2" i="46"/>
  <c r="C2" i="47"/>
  <c r="E2" i="7"/>
  <c r="G2" i="5"/>
  <c r="I2" i="15"/>
  <c r="K2" i="18"/>
  <c r="G4" i="42"/>
  <c r="G6" i="42"/>
  <c r="G8" i="42"/>
  <c r="G10" i="42"/>
  <c r="G12" i="42"/>
  <c r="G14" i="42"/>
  <c r="C7" i="43"/>
  <c r="H8" i="43"/>
  <c r="N4" i="9"/>
  <c r="AD4" i="9"/>
  <c r="F2" i="38"/>
  <c r="J11" i="48"/>
  <c r="J2" i="15"/>
  <c r="L2" i="18"/>
  <c r="H4" i="42"/>
  <c r="H6" i="42"/>
  <c r="H8" i="42"/>
  <c r="H10" i="42"/>
  <c r="H12" i="42"/>
  <c r="H14" i="42"/>
  <c r="C8" i="43"/>
  <c r="G9" i="43"/>
  <c r="AE4" i="9"/>
  <c r="G2" i="38"/>
  <c r="J12" i="48"/>
  <c r="P19" i="12"/>
  <c r="N21" i="12"/>
  <c r="L23" i="12"/>
  <c r="C12" i="13"/>
  <c r="B16" i="56"/>
  <c r="I7" i="56"/>
  <c r="I11" i="56"/>
  <c r="I15" i="56"/>
  <c r="U6" i="56"/>
  <c r="U10" i="56"/>
  <c r="U14" i="56"/>
  <c r="E3" i="52"/>
  <c r="E5" i="52"/>
  <c r="E7" i="52"/>
  <c r="E9" i="52"/>
  <c r="E11" i="52"/>
  <c r="C2" i="46"/>
  <c r="E2" i="47"/>
  <c r="G2" i="7"/>
  <c r="I2" i="5"/>
  <c r="K2" i="15"/>
  <c r="M2" i="18"/>
  <c r="I4" i="42"/>
  <c r="I6" i="42"/>
  <c r="I8" i="42"/>
  <c r="I10" i="42"/>
  <c r="I12" i="42"/>
  <c r="I14" i="42"/>
  <c r="C9" i="43"/>
  <c r="H9" i="43"/>
  <c r="P4" i="9"/>
  <c r="AF4" i="9"/>
  <c r="H2" i="38"/>
  <c r="J13" i="48"/>
  <c r="J14" i="42"/>
  <c r="C10" i="43"/>
  <c r="G10" i="43"/>
  <c r="Q4" i="9"/>
  <c r="AG4" i="9"/>
  <c r="I2" i="38"/>
  <c r="J14" i="48"/>
  <c r="S11" i="56"/>
  <c r="G9" i="52"/>
  <c r="M2" i="15"/>
  <c r="C3" i="42"/>
  <c r="C5" i="42"/>
  <c r="C7" i="42"/>
  <c r="C9" i="42"/>
  <c r="C11" i="42"/>
  <c r="C13" i="42"/>
  <c r="C15" i="42"/>
  <c r="C11" i="43"/>
  <c r="H10" i="43"/>
  <c r="C14" i="13"/>
  <c r="C23" i="56"/>
  <c r="G8" i="56"/>
  <c r="G12" i="56"/>
  <c r="G16" i="56"/>
  <c r="S7" i="56"/>
  <c r="S15" i="56"/>
  <c r="G3" i="52"/>
  <c r="G5" i="52"/>
  <c r="G7" i="52"/>
  <c r="G11" i="52"/>
  <c r="E2" i="46"/>
  <c r="G2" i="47"/>
  <c r="I2" i="7"/>
  <c r="K2" i="5"/>
  <c r="B4" i="9"/>
  <c r="R4" i="9"/>
  <c r="AH4" i="9"/>
  <c r="J2" i="38"/>
  <c r="J15" i="48"/>
  <c r="H2" i="47"/>
  <c r="J2" i="7"/>
  <c r="L2" i="5"/>
  <c r="N2" i="15"/>
  <c r="D3" i="42"/>
  <c r="D5" i="42"/>
  <c r="D7" i="42"/>
  <c r="D9" i="42"/>
  <c r="D11" i="42"/>
  <c r="D13" i="42"/>
  <c r="D15" i="42"/>
  <c r="G3" i="43"/>
  <c r="G11" i="43"/>
  <c r="M7" i="12"/>
  <c r="K9" i="12"/>
  <c r="R10" i="12"/>
  <c r="P12" i="12"/>
  <c r="N14" i="12"/>
  <c r="L18" i="12"/>
  <c r="S19" i="12"/>
  <c r="Q21" i="12"/>
  <c r="O23" i="12"/>
  <c r="C15" i="13"/>
  <c r="C24" i="56"/>
  <c r="H8" i="56"/>
  <c r="H12" i="56"/>
  <c r="H16" i="56"/>
  <c r="T7" i="56"/>
  <c r="T11" i="56"/>
  <c r="T15" i="56"/>
  <c r="H3" i="52"/>
  <c r="H5" i="52"/>
  <c r="H7" i="52"/>
  <c r="H9" i="52"/>
  <c r="H11" i="52"/>
  <c r="F2" i="46"/>
  <c r="C4" i="9"/>
  <c r="S4" i="9"/>
  <c r="AI4" i="9"/>
  <c r="K2" i="38"/>
  <c r="J16" i="48"/>
  <c r="E21" i="12"/>
  <c r="R3" i="12"/>
  <c r="P5" i="12"/>
  <c r="N7" i="12"/>
  <c r="L9" i="12"/>
  <c r="S10" i="12"/>
  <c r="M18" i="12"/>
  <c r="R21" i="12"/>
  <c r="I2" i="47"/>
  <c r="M2" i="5"/>
  <c r="A2" i="18"/>
  <c r="E3" i="42"/>
  <c r="E5" i="42"/>
  <c r="E7" i="42"/>
  <c r="E9" i="42"/>
  <c r="E11" i="42"/>
  <c r="E13" i="42"/>
  <c r="E15" i="42"/>
  <c r="H3" i="43"/>
  <c r="H11" i="43"/>
  <c r="F6" i="39"/>
  <c r="H9" i="39"/>
  <c r="J12" i="39"/>
  <c r="E3" i="12"/>
  <c r="F8" i="12"/>
  <c r="G13" i="12"/>
  <c r="Q12" i="12"/>
  <c r="O14" i="12"/>
  <c r="K20" i="12"/>
  <c r="P23" i="12"/>
  <c r="C16" i="13"/>
  <c r="C25" i="56"/>
  <c r="I8" i="56"/>
  <c r="I12" i="56"/>
  <c r="I16" i="56"/>
  <c r="U7" i="56"/>
  <c r="U11" i="56"/>
  <c r="U15" i="56"/>
  <c r="I3" i="52"/>
  <c r="I5" i="52"/>
  <c r="I7" i="52"/>
  <c r="I9" i="52"/>
  <c r="I11" i="52"/>
  <c r="G2" i="46"/>
  <c r="K2" i="7"/>
  <c r="D4" i="9"/>
  <c r="T4" i="9"/>
  <c r="AJ4" i="9"/>
  <c r="L2" i="38"/>
  <c r="J3" i="52"/>
  <c r="J5" i="52"/>
  <c r="J7" i="52"/>
  <c r="J9" i="52"/>
  <c r="H2" i="46"/>
  <c r="J2" i="47"/>
  <c r="L2" i="7"/>
  <c r="N2" i="5"/>
  <c r="B2" i="18"/>
  <c r="F3" i="42"/>
  <c r="F5" i="42"/>
  <c r="F7" i="42"/>
  <c r="F9" i="42"/>
  <c r="F11" i="42"/>
  <c r="F13" i="42"/>
  <c r="F15" i="42"/>
  <c r="G4" i="43"/>
  <c r="G12" i="43"/>
  <c r="K11" i="12"/>
  <c r="R12" i="12"/>
  <c r="P14" i="12"/>
  <c r="N18" i="12"/>
  <c r="L20" i="12"/>
  <c r="S21" i="12"/>
  <c r="Q23" i="12"/>
  <c r="B5" i="56"/>
  <c r="C26" i="56"/>
  <c r="J8" i="56"/>
  <c r="J12" i="56"/>
  <c r="J16" i="56"/>
  <c r="V7" i="56"/>
  <c r="V11" i="56"/>
  <c r="V15" i="56"/>
  <c r="J11" i="52"/>
  <c r="E4" i="9"/>
  <c r="U4" i="9"/>
  <c r="AK4" i="9"/>
  <c r="M2" i="38"/>
  <c r="D11" i="28"/>
  <c r="G5" i="28"/>
  <c r="G13" i="28"/>
  <c r="L6" i="28"/>
  <c r="F8" i="39"/>
  <c r="G3" i="12"/>
  <c r="E9" i="12"/>
  <c r="F14" i="12"/>
  <c r="K4" i="12"/>
  <c r="P7" i="12"/>
  <c r="N9" i="12"/>
  <c r="S12" i="12"/>
  <c r="Q14" i="12"/>
  <c r="O18" i="12"/>
  <c r="M20" i="12"/>
  <c r="K22" i="12"/>
  <c r="R23" i="12"/>
  <c r="B6" i="56"/>
  <c r="G5" i="56"/>
  <c r="G9" i="56"/>
  <c r="G13" i="56"/>
  <c r="G17" i="56"/>
  <c r="S8" i="56"/>
  <c r="S12" i="56"/>
  <c r="S16" i="56"/>
  <c r="C4" i="52"/>
  <c r="C6" i="52"/>
  <c r="C8" i="52"/>
  <c r="C10" i="52"/>
  <c r="C12" i="52"/>
  <c r="I2" i="46"/>
  <c r="K2" i="47"/>
  <c r="M2" i="7"/>
  <c r="A2" i="15"/>
  <c r="C2" i="18"/>
  <c r="G3" i="42"/>
  <c r="G5" i="42"/>
  <c r="G7" i="42"/>
  <c r="G9" i="42"/>
  <c r="G11" i="42"/>
  <c r="G13" i="42"/>
  <c r="G15" i="42"/>
  <c r="H4" i="43"/>
  <c r="H12" i="43"/>
  <c r="AG2" i="12"/>
  <c r="AF2" i="12"/>
  <c r="AE2" i="12"/>
  <c r="Y11" i="12" l="1" a="1"/>
  <c r="Y11" i="12" s="1"/>
  <c r="Y9" i="12" a="1"/>
  <c r="Y9" i="12" s="1"/>
  <c r="Y12" i="12" a="1"/>
  <c r="Y12" i="12" s="1"/>
  <c r="Y10" i="12" a="1"/>
  <c r="Y10" i="12" s="1"/>
  <c r="Y8" i="12" a="1"/>
  <c r="Y8" i="12" s="1"/>
  <c r="Y4" i="12" a="1"/>
  <c r="Y4" i="12" s="1"/>
  <c r="Y7" i="12" a="1"/>
  <c r="Y7" i="12" s="1"/>
  <c r="Y6" i="12" a="1"/>
  <c r="Y6" i="12" s="1"/>
  <c r="Y5" i="12" a="1"/>
  <c r="Y5" i="12" s="1"/>
  <c r="Y3" i="12" a="1"/>
  <c r="Y3" i="12" s="1"/>
  <c r="Y15" i="12" a="1"/>
  <c r="Y15" i="12" s="1"/>
  <c r="Y14" i="12" a="1"/>
  <c r="Y14" i="12" s="1"/>
  <c r="E31" i="8"/>
  <c r="F28" i="8"/>
  <c r="E28" i="8"/>
  <c r="E20" i="8"/>
  <c r="H16" i="8"/>
  <c r="G16" i="8"/>
  <c r="F16" i="8"/>
  <c r="E16" i="8"/>
  <c r="G12" i="8"/>
  <c r="F12" i="8"/>
  <c r="E12" i="8"/>
  <c r="L2" i="48" l="1"/>
  <c r="L1" i="48"/>
  <c r="K18" i="48" a="1"/>
  <c r="N3" i="48" a="1"/>
  <c r="L18" i="48" a="1"/>
  <c r="O3" i="48" a="1"/>
  <c r="O3" i="48" l="1"/>
  <c r="L18" i="48"/>
  <c r="N3" i="48"/>
  <c r="K18" i="48"/>
  <c r="C23" i="12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L19" i="48" a="1"/>
  <c r="L20" i="48" a="1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K19" i="48" a="1"/>
  <c r="K20" i="48" a="1"/>
  <c r="K20" i="48" l="1"/>
  <c r="K19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L20" i="48"/>
  <c r="L19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I23" i="12"/>
  <c r="E25" i="59" s="1"/>
  <c r="H23" i="12"/>
  <c r="O4" i="28"/>
  <c r="F36" i="59"/>
  <c r="F37" i="59"/>
  <c r="O3" i="28"/>
  <c r="O8" i="28"/>
  <c r="O13" i="28"/>
  <c r="O5" i="28"/>
  <c r="O15" i="28"/>
  <c r="O11" i="28"/>
  <c r="F38" i="59"/>
  <c r="O9" i="28"/>
  <c r="F35" i="59"/>
  <c r="S4" i="52"/>
  <c r="S16" i="52"/>
  <c r="S5" i="52"/>
  <c r="S9" i="52"/>
  <c r="F39" i="59"/>
  <c r="J20" i="48" a="1"/>
  <c r="J19" i="48" a="1"/>
  <c r="J19" i="48" l="1"/>
  <c r="J20" i="48"/>
  <c r="O6" i="28"/>
  <c r="O7" i="28"/>
  <c r="O10" i="28"/>
  <c r="O12" i="28"/>
  <c r="O14" i="28"/>
  <c r="S13" i="52"/>
  <c r="S3" i="52"/>
  <c r="M16" i="56"/>
  <c r="N16" i="56"/>
  <c r="L16" i="56"/>
  <c r="M12" i="56"/>
  <c r="N12" i="56"/>
  <c r="L12" i="56"/>
  <c r="M8" i="56"/>
  <c r="N8" i="56"/>
  <c r="L8" i="56"/>
  <c r="M15" i="56"/>
  <c r="N15" i="56"/>
  <c r="L15" i="56"/>
  <c r="M11" i="56"/>
  <c r="N11" i="56"/>
  <c r="L11" i="56"/>
  <c r="M7" i="56"/>
  <c r="N7" i="56"/>
  <c r="L7" i="56"/>
  <c r="M14" i="56"/>
  <c r="N14" i="56"/>
  <c r="L14" i="56"/>
  <c r="M10" i="56"/>
  <c r="N10" i="56"/>
  <c r="L10" i="56"/>
  <c r="M6" i="56"/>
  <c r="N6" i="56"/>
  <c r="L6" i="56"/>
  <c r="M17" i="56"/>
  <c r="N17" i="56"/>
  <c r="L17" i="56"/>
  <c r="M13" i="56"/>
  <c r="N13" i="56"/>
  <c r="L13" i="56"/>
  <c r="M9" i="56"/>
  <c r="N9" i="56"/>
  <c r="L9" i="56"/>
  <c r="M5" i="56"/>
  <c r="L5" i="56"/>
  <c r="N5" i="56"/>
  <c r="J23" i="12"/>
  <c r="C25" i="59"/>
  <c r="M9" i="48" a="1"/>
  <c r="M6" i="48" a="1"/>
  <c r="M14" i="48" a="1"/>
  <c r="M4" i="48" a="1"/>
  <c r="M15" i="48" a="1"/>
  <c r="M16" i="48" a="1"/>
  <c r="M16" i="48" l="1"/>
  <c r="M15" i="48"/>
  <c r="M4" i="48"/>
  <c r="M14" i="48"/>
  <c r="M6" i="48"/>
  <c r="M9" i="48"/>
  <c r="P14" i="56"/>
  <c r="M20" i="48"/>
  <c r="M19" i="48"/>
  <c r="P8" i="56"/>
  <c r="P15" i="56"/>
  <c r="P9" i="56"/>
  <c r="P13" i="56"/>
  <c r="P10" i="56"/>
  <c r="P5" i="56"/>
  <c r="M19" i="56"/>
  <c r="M20" i="56"/>
  <c r="N19" i="56"/>
  <c r="N20" i="56"/>
  <c r="P6" i="56"/>
  <c r="P11" i="56"/>
  <c r="P16" i="56"/>
  <c r="L20" i="56"/>
  <c r="L19" i="56"/>
  <c r="P17" i="56"/>
  <c r="P7" i="56"/>
  <c r="P12" i="56"/>
  <c r="C12" i="60"/>
  <c r="C11" i="60"/>
  <c r="C10" i="60"/>
  <c r="C9" i="60"/>
  <c r="C8" i="60"/>
  <c r="C7" i="60"/>
  <c r="C6" i="60"/>
  <c r="C5" i="60"/>
  <c r="C4" i="60"/>
  <c r="C3" i="60"/>
  <c r="L35" i="59"/>
  <c r="L22" i="56" l="1"/>
  <c r="I9" i="59" s="1"/>
  <c r="M22" i="56"/>
  <c r="I10" i="59" s="1"/>
  <c r="N22" i="56"/>
  <c r="I11" i="59" s="1"/>
  <c r="K3" i="60"/>
  <c r="L37" i="59"/>
  <c r="L38" i="59"/>
  <c r="L39" i="59"/>
  <c r="L36" i="59"/>
  <c r="M10" i="60"/>
  <c r="M5" i="60"/>
  <c r="M9" i="60"/>
  <c r="M6" i="60"/>
  <c r="K8" i="60"/>
  <c r="L12" i="60"/>
  <c r="L6" i="60"/>
  <c r="K6" i="60"/>
  <c r="M8" i="60"/>
  <c r="L10" i="60"/>
  <c r="K10" i="60"/>
  <c r="L8" i="60"/>
  <c r="L5" i="60"/>
  <c r="K5" i="60"/>
  <c r="L9" i="60"/>
  <c r="K9" i="60"/>
  <c r="M11" i="60"/>
  <c r="M3" i="60" l="1"/>
  <c r="P6" i="60"/>
  <c r="Q6" i="60"/>
  <c r="K4" i="60"/>
  <c r="K7" i="60"/>
  <c r="P9" i="60"/>
  <c r="Q9" i="60"/>
  <c r="P5" i="60"/>
  <c r="Q5" i="60"/>
  <c r="K12" i="60"/>
  <c r="M12" i="60"/>
  <c r="M4" i="60"/>
  <c r="Q8" i="60"/>
  <c r="P8" i="60"/>
  <c r="L11" i="60"/>
  <c r="L7" i="60"/>
  <c r="L3" i="60"/>
  <c r="M7" i="60"/>
  <c r="P10" i="60"/>
  <c r="Q10" i="60"/>
  <c r="L4" i="60"/>
  <c r="K11" i="60"/>
  <c r="Q11" i="60" l="1"/>
  <c r="P11" i="60"/>
  <c r="Q12" i="60"/>
  <c r="P12" i="60"/>
  <c r="Q7" i="60"/>
  <c r="P7" i="60"/>
  <c r="Q4" i="60"/>
  <c r="P4" i="60"/>
  <c r="Q3" i="60"/>
  <c r="P3" i="60"/>
  <c r="S9" i="60" l="1"/>
  <c r="D14" i="59" s="1"/>
  <c r="S3" i="60"/>
  <c r="D8" i="59" s="1"/>
  <c r="S10" i="60"/>
  <c r="D15" i="59" s="1"/>
  <c r="S6" i="60"/>
  <c r="D11" i="59" s="1"/>
  <c r="S8" i="60"/>
  <c r="D13" i="59" s="1"/>
  <c r="S5" i="60"/>
  <c r="D10" i="59" s="1"/>
  <c r="S4" i="60"/>
  <c r="D9" i="59" s="1"/>
  <c r="S12" i="60"/>
  <c r="D17" i="59" s="1"/>
  <c r="S7" i="60"/>
  <c r="D12" i="59" s="1"/>
  <c r="S11" i="60"/>
  <c r="D16" i="59" s="1"/>
  <c r="Q5" i="48" l="1" a="1"/>
  <c r="Q5" i="48" s="1"/>
  <c r="AF4" i="12" s="1"/>
  <c r="Q8" i="48" a="1"/>
  <c r="Q8" i="48" s="1"/>
  <c r="AF7" i="12" s="1"/>
  <c r="Q13" i="48" a="1"/>
  <c r="Q13" i="48" s="1"/>
  <c r="AF12" i="12" s="1"/>
  <c r="Q16" i="48" a="1"/>
  <c r="Q16" i="48" s="1"/>
  <c r="AF15" i="12" s="1"/>
  <c r="Q12" i="48" a="1"/>
  <c r="Q12" i="48" s="1"/>
  <c r="AF11" i="12" s="1"/>
  <c r="Q7" i="48" a="1"/>
  <c r="Q7" i="48" s="1"/>
  <c r="AF6" i="12" s="1"/>
  <c r="Q15" i="48" a="1"/>
  <c r="Q15" i="48" s="1"/>
  <c r="AF14" i="12" s="1"/>
  <c r="Q6" i="48" a="1"/>
  <c r="Q6" i="48" s="1"/>
  <c r="AF5" i="12" s="1"/>
  <c r="Q11" i="48" a="1"/>
  <c r="Q11" i="48" s="1"/>
  <c r="AF10" i="12" s="1"/>
  <c r="Q14" i="48" a="1"/>
  <c r="Q14" i="48" s="1"/>
  <c r="AF13" i="12" s="1"/>
  <c r="Q9" i="48" a="1"/>
  <c r="Q9" i="48" s="1"/>
  <c r="AF8" i="12" s="1"/>
  <c r="Q4" i="48" a="1"/>
  <c r="Q4" i="48" s="1"/>
  <c r="AF3" i="12" s="1"/>
  <c r="Q10" i="48" a="1"/>
  <c r="Q10" i="48" s="1"/>
  <c r="AF9" i="12" s="1"/>
  <c r="J4" i="43" l="1" a="1"/>
  <c r="J4" i="43" s="1"/>
  <c r="Q4" i="42" s="1"/>
  <c r="J5" i="43" a="1"/>
  <c r="J5" i="43" s="1"/>
  <c r="Q5" i="42" s="1"/>
  <c r="J6" i="43" a="1"/>
  <c r="J6" i="43" s="1"/>
  <c r="Q6" i="42" s="1"/>
  <c r="J7" i="43" a="1"/>
  <c r="J7" i="43" s="1"/>
  <c r="Q7" i="42" s="1"/>
  <c r="J8" i="43" a="1"/>
  <c r="J8" i="43" s="1"/>
  <c r="Q8" i="42" s="1"/>
  <c r="J9" i="43" a="1"/>
  <c r="J9" i="43" s="1"/>
  <c r="Q9" i="42" s="1"/>
  <c r="J10" i="43" a="1"/>
  <c r="J10" i="43" s="1"/>
  <c r="Q10" i="42" s="1"/>
  <c r="J11" i="43" a="1"/>
  <c r="J11" i="43" s="1"/>
  <c r="Q11" i="42" s="1"/>
  <c r="J12" i="43" a="1"/>
  <c r="J12" i="43" s="1"/>
  <c r="Q12" i="42" s="1"/>
  <c r="J13" i="43" a="1"/>
  <c r="J13" i="43" s="1"/>
  <c r="Q13" i="42" s="1"/>
  <c r="J14" i="43" a="1"/>
  <c r="J14" i="43" s="1"/>
  <c r="Q14" i="42" s="1"/>
  <c r="J15" i="43" a="1"/>
  <c r="J15" i="43" s="1"/>
  <c r="Q15" i="42" s="1"/>
  <c r="J3" i="43" a="1"/>
  <c r="J3" i="43" s="1"/>
  <c r="Q3" i="42" s="1"/>
  <c r="F12" i="43"/>
  <c r="F13" i="43"/>
  <c r="F14" i="43"/>
  <c r="F15" i="43"/>
  <c r="P4" i="42"/>
  <c r="P5" i="42"/>
  <c r="P6" i="42"/>
  <c r="P7" i="42"/>
  <c r="P8" i="42"/>
  <c r="P9" i="42"/>
  <c r="P10" i="42"/>
  <c r="P11" i="42"/>
  <c r="P12" i="42"/>
  <c r="P13" i="42"/>
  <c r="P14" i="42"/>
  <c r="P15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3" i="42"/>
  <c r="K126" i="15" l="1" a="1"/>
  <c r="K126" i="15" s="1"/>
  <c r="L126" i="15" a="1"/>
  <c r="L126" i="15" s="1"/>
  <c r="M126" i="15" a="1"/>
  <c r="M126" i="15" s="1"/>
  <c r="N126" i="15" a="1"/>
  <c r="N126" i="15" s="1"/>
  <c r="K127" i="15" a="1"/>
  <c r="K127" i="15" s="1"/>
  <c r="L127" i="15" a="1"/>
  <c r="L127" i="15" s="1"/>
  <c r="M127" i="15" a="1"/>
  <c r="M127" i="15" s="1"/>
  <c r="N127" i="15" a="1"/>
  <c r="N127" i="15" s="1"/>
  <c r="K128" i="15" a="1"/>
  <c r="K128" i="15" s="1"/>
  <c r="L128" i="15" a="1"/>
  <c r="L128" i="15" s="1"/>
  <c r="M128" i="15" a="1"/>
  <c r="M128" i="15" s="1"/>
  <c r="N128" i="15" a="1"/>
  <c r="N128" i="15" s="1"/>
  <c r="K130" i="15"/>
  <c r="L130" i="15"/>
  <c r="M130" i="15"/>
  <c r="N130" i="15"/>
  <c r="K131" i="15"/>
  <c r="L131" i="15"/>
  <c r="M131" i="15"/>
  <c r="N131" i="15"/>
  <c r="K136" i="15" a="1"/>
  <c r="K136" i="15" s="1"/>
  <c r="L136" i="15" a="1"/>
  <c r="L136" i="15" s="1"/>
  <c r="M136" i="15" a="1"/>
  <c r="M136" i="15" s="1"/>
  <c r="N136" i="15" a="1"/>
  <c r="N136" i="15" s="1"/>
  <c r="K137" i="15" a="1"/>
  <c r="K137" i="15" s="1"/>
  <c r="L137" i="15" a="1"/>
  <c r="L137" i="15" s="1"/>
  <c r="M137" i="15" a="1"/>
  <c r="M137" i="15" s="1"/>
  <c r="N137" i="15" a="1"/>
  <c r="N137" i="15" s="1"/>
  <c r="K138" i="15" a="1"/>
  <c r="K138" i="15" s="1"/>
  <c r="L138" i="15" a="1"/>
  <c r="L138" i="15" s="1"/>
  <c r="M138" i="15" a="1"/>
  <c r="M138" i="15" s="1"/>
  <c r="N138" i="15" a="1"/>
  <c r="N138" i="15" s="1"/>
  <c r="L133" i="15" l="1"/>
  <c r="K133" i="15"/>
  <c r="L140" i="15"/>
  <c r="N140" i="15"/>
  <c r="M133" i="15"/>
  <c r="N133" i="15"/>
  <c r="M140" i="15"/>
  <c r="K140" i="15"/>
  <c r="K125" i="7" l="1" a="1"/>
  <c r="K125" i="7" s="1"/>
  <c r="L125" i="7" a="1"/>
  <c r="L125" i="7" s="1"/>
  <c r="M125" i="7" a="1"/>
  <c r="M125" i="7" s="1"/>
  <c r="N125" i="7" a="1"/>
  <c r="N125" i="7" s="1"/>
  <c r="K126" i="7" a="1"/>
  <c r="K126" i="7" s="1"/>
  <c r="L126" i="7" a="1"/>
  <c r="L126" i="7" s="1"/>
  <c r="M126" i="7" a="1"/>
  <c r="M126" i="7" s="1"/>
  <c r="N126" i="7" a="1"/>
  <c r="N126" i="7" s="1"/>
  <c r="K128" i="7" a="1"/>
  <c r="K128" i="7" s="1"/>
  <c r="L128" i="7" a="1"/>
  <c r="L128" i="7" s="1"/>
  <c r="M128" i="7" a="1"/>
  <c r="M128" i="7" s="1"/>
  <c r="N128" i="7" a="1"/>
  <c r="N128" i="7" s="1"/>
  <c r="K124" i="47" a="1"/>
  <c r="K124" i="47" s="1"/>
  <c r="L124" i="47" a="1"/>
  <c r="L124" i="47" s="1"/>
  <c r="M124" i="47" a="1"/>
  <c r="M124" i="47" s="1"/>
  <c r="N124" i="47" a="1"/>
  <c r="N124" i="47" s="1"/>
  <c r="K125" i="47" a="1"/>
  <c r="K125" i="47" s="1"/>
  <c r="L125" i="47" a="1"/>
  <c r="L125" i="47" s="1"/>
  <c r="M125" i="47" a="1"/>
  <c r="M125" i="47" s="1"/>
  <c r="N125" i="47" a="1"/>
  <c r="N125" i="47" s="1"/>
  <c r="K127" i="47" a="1"/>
  <c r="K127" i="47" s="1"/>
  <c r="L127" i="47" a="1"/>
  <c r="L127" i="47" s="1"/>
  <c r="M127" i="47" a="1"/>
  <c r="M127" i="47" s="1"/>
  <c r="N127" i="47" a="1"/>
  <c r="N127" i="47" s="1"/>
  <c r="K124" i="46" a="1"/>
  <c r="K124" i="46" s="1"/>
  <c r="L124" i="46" a="1"/>
  <c r="L124" i="46" s="1"/>
  <c r="M124" i="46" a="1"/>
  <c r="M124" i="46" s="1"/>
  <c r="N124" i="46" a="1"/>
  <c r="N124" i="46" s="1"/>
  <c r="K125" i="46" a="1"/>
  <c r="K125" i="46" s="1"/>
  <c r="L125" i="46" a="1"/>
  <c r="L125" i="46" s="1"/>
  <c r="M125" i="46" a="1"/>
  <c r="M125" i="46" s="1"/>
  <c r="N125" i="46" a="1"/>
  <c r="N125" i="46" s="1"/>
  <c r="K127" i="46" a="1"/>
  <c r="K127" i="46" s="1"/>
  <c r="L127" i="46" a="1"/>
  <c r="L127" i="46" s="1"/>
  <c r="M127" i="46" a="1"/>
  <c r="M127" i="46" s="1"/>
  <c r="N127" i="46" a="1"/>
  <c r="N127" i="46" s="1"/>
  <c r="AD4" i="12" l="1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F11" i="57"/>
  <c r="F12" i="57"/>
  <c r="F13" i="57"/>
  <c r="F14" i="57"/>
  <c r="H14" i="12" l="1"/>
  <c r="K17" i="40" s="1"/>
  <c r="U13" i="12"/>
  <c r="I15" i="12"/>
  <c r="H13" i="12"/>
  <c r="K16" i="40" s="1"/>
  <c r="U12" i="12"/>
  <c r="U14" i="12"/>
  <c r="U15" i="12"/>
  <c r="I14" i="12"/>
  <c r="K126" i="5" a="1"/>
  <c r="K126" i="5" s="1"/>
  <c r="L126" i="5" a="1"/>
  <c r="L126" i="5" s="1"/>
  <c r="M126" i="5" a="1"/>
  <c r="M126" i="5" s="1"/>
  <c r="N126" i="5" a="1"/>
  <c r="N126" i="5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K129" i="5"/>
  <c r="L129" i="5"/>
  <c r="M129" i="5"/>
  <c r="N129" i="5"/>
  <c r="K130" i="5"/>
  <c r="L130" i="5"/>
  <c r="M130" i="5"/>
  <c r="N130" i="5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K136" i="5" a="1"/>
  <c r="K136" i="5" s="1"/>
  <c r="L136" i="5" a="1"/>
  <c r="L136" i="5" s="1"/>
  <c r="M136" i="5" a="1"/>
  <c r="M136" i="5" s="1"/>
  <c r="N136" i="5" a="1"/>
  <c r="N136" i="5" s="1"/>
  <c r="K138" i="5"/>
  <c r="K139" i="5" s="1"/>
  <c r="E18" i="55" s="1"/>
  <c r="L138" i="5"/>
  <c r="L139" i="5" s="1"/>
  <c r="E19" i="55" s="1"/>
  <c r="M138" i="5"/>
  <c r="M139" i="5" s="1"/>
  <c r="E20" i="55" s="1"/>
  <c r="N138" i="5"/>
  <c r="N139" i="5" s="1"/>
  <c r="E21" i="55" s="1"/>
  <c r="L132" i="5" l="1"/>
  <c r="E14" i="13" s="1"/>
  <c r="J14" i="13" s="1"/>
  <c r="K132" i="5"/>
  <c r="E13" i="13" s="1"/>
  <c r="J13" i="13" s="1"/>
  <c r="N132" i="5"/>
  <c r="E16" i="13" s="1"/>
  <c r="J16" i="13" s="1"/>
  <c r="M132" i="5"/>
  <c r="E15" i="13" s="1"/>
  <c r="J15" i="13" s="1"/>
  <c r="H12" i="12"/>
  <c r="K15" i="40" s="1"/>
  <c r="I12" i="12"/>
  <c r="J14" i="12"/>
  <c r="I13" i="12"/>
  <c r="J13" i="12" s="1"/>
  <c r="H15" i="12"/>
  <c r="K18" i="40" s="1"/>
  <c r="J12" i="12" l="1"/>
  <c r="J15" i="12"/>
  <c r="I13" i="13" l="1"/>
  <c r="I14" i="13"/>
  <c r="I15" i="13"/>
  <c r="I16" i="13"/>
  <c r="H15" i="13"/>
  <c r="H14" i="13"/>
  <c r="H13" i="13" l="1"/>
  <c r="H16" i="13"/>
  <c r="L11" i="39" l="1"/>
  <c r="L12" i="39"/>
  <c r="L13" i="39"/>
  <c r="L14" i="39"/>
  <c r="K23" i="18"/>
  <c r="K25" i="18" s="1" a="1"/>
  <c r="K25" i="18" s="1"/>
  <c r="K11" i="39" s="1"/>
  <c r="L23" i="18"/>
  <c r="L25" i="18" s="1" a="1"/>
  <c r="L25" i="18" s="1"/>
  <c r="K12" i="39" s="1"/>
  <c r="M23" i="18"/>
  <c r="M25" i="18" s="1" a="1"/>
  <c r="M25" i="18" s="1"/>
  <c r="K13" i="39" s="1"/>
  <c r="N23" i="18"/>
  <c r="N25" i="18" s="1" a="1"/>
  <c r="N25" i="18" s="1"/>
  <c r="K14" i="39" s="1"/>
  <c r="O3" i="39" l="1" a="1"/>
  <c r="O3" i="39" s="1"/>
  <c r="O4" i="39" a="1"/>
  <c r="O4" i="39" s="1"/>
  <c r="O5" i="39" a="1"/>
  <c r="O5" i="39" s="1"/>
  <c r="O6" i="39" a="1"/>
  <c r="O6" i="39" s="1"/>
  <c r="O7" i="39" a="1"/>
  <c r="O7" i="39" s="1"/>
  <c r="O8" i="39" a="1"/>
  <c r="O8" i="39" s="1"/>
  <c r="O9" i="39" a="1"/>
  <c r="O9" i="39" s="1"/>
  <c r="O10" i="39" a="1"/>
  <c r="O10" i="39" s="1"/>
  <c r="O11" i="39" a="1"/>
  <c r="O11" i="39" s="1"/>
  <c r="O12" i="39" a="1"/>
  <c r="O12" i="39" s="1"/>
  <c r="O13" i="39" a="1"/>
  <c r="O13" i="39" s="1"/>
  <c r="O14" i="39" a="1"/>
  <c r="O14" i="39" s="1"/>
  <c r="O2" i="39" a="1"/>
  <c r="O2" i="39" s="1"/>
  <c r="G11" i="39"/>
  <c r="G12" i="39"/>
  <c r="G13" i="39"/>
  <c r="G14" i="39"/>
  <c r="G3" i="39"/>
  <c r="G4" i="39"/>
  <c r="G5" i="39"/>
  <c r="G6" i="39"/>
  <c r="G7" i="39"/>
  <c r="G8" i="39"/>
  <c r="G9" i="39"/>
  <c r="G10" i="39"/>
  <c r="G2" i="39"/>
  <c r="T4" i="28" l="1"/>
  <c r="T5" i="28"/>
  <c r="T6" i="28"/>
  <c r="T7" i="28"/>
  <c r="T8" i="28"/>
  <c r="T9" i="28"/>
  <c r="T10" i="28"/>
  <c r="T11" i="28"/>
  <c r="T12" i="28"/>
  <c r="T13" i="28"/>
  <c r="T14" i="28"/>
  <c r="T15" i="28"/>
  <c r="S6" i="28"/>
  <c r="S7" i="28"/>
  <c r="S8" i="28"/>
  <c r="S9" i="28"/>
  <c r="S10" i="28"/>
  <c r="S11" i="28"/>
  <c r="S12" i="28"/>
  <c r="S13" i="28"/>
  <c r="S14" i="28"/>
  <c r="S15" i="28"/>
  <c r="S4" i="28"/>
  <c r="S5" i="28"/>
  <c r="K25" i="38" l="1"/>
  <c r="M12" i="1" s="1"/>
  <c r="L25" i="38"/>
  <c r="M13" i="1" s="1"/>
  <c r="M25" i="38"/>
  <c r="M14" i="1" s="1"/>
  <c r="N25" i="38"/>
  <c r="M15" i="1" s="1"/>
  <c r="K24" i="38"/>
  <c r="I11" i="39" s="1"/>
  <c r="M11" i="39" s="1"/>
  <c r="L24" i="38"/>
  <c r="I12" i="39" s="1"/>
  <c r="M12" i="39" s="1"/>
  <c r="M24" i="38"/>
  <c r="I13" i="39" s="1"/>
  <c r="M13" i="39" s="1"/>
  <c r="N24" i="38"/>
  <c r="I14" i="39" s="1"/>
  <c r="M14" i="39" s="1"/>
  <c r="K23" i="38"/>
  <c r="L23" i="38"/>
  <c r="M23" i="38"/>
  <c r="N23" i="38"/>
  <c r="J4" i="28" l="1"/>
  <c r="J5" i="28"/>
  <c r="J6" i="28"/>
  <c r="J7" i="28"/>
  <c r="J8" i="28"/>
  <c r="J9" i="28"/>
  <c r="J10" i="28"/>
  <c r="J11" i="28"/>
  <c r="J12" i="28"/>
  <c r="J13" i="28"/>
  <c r="J14" i="28"/>
  <c r="J15" i="28"/>
  <c r="J3" i="28"/>
  <c r="U12" i="28"/>
  <c r="U13" i="28"/>
  <c r="U14" i="28"/>
  <c r="U15" i="28"/>
  <c r="N15" i="28" l="1"/>
  <c r="N14" i="28"/>
  <c r="N13" i="28" l="1"/>
  <c r="N12" i="28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3" i="1" a="1"/>
  <c r="Y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3" i="1" a="1"/>
  <c r="X3" i="1" s="1"/>
  <c r="N12" i="1" l="1"/>
  <c r="P12" i="1"/>
  <c r="N13" i="1"/>
  <c r="P13" i="1"/>
  <c r="N14" i="1"/>
  <c r="S14" i="1" s="1"/>
  <c r="P14" i="1"/>
  <c r="N15" i="1"/>
  <c r="P15" i="1"/>
  <c r="S12" i="1" l="1"/>
  <c r="S13" i="1"/>
  <c r="S15" i="1"/>
  <c r="Q15" i="1"/>
  <c r="T14" i="1"/>
  <c r="R14" i="1"/>
  <c r="Q13" i="1"/>
  <c r="T12" i="1"/>
  <c r="R12" i="1"/>
  <c r="T15" i="1"/>
  <c r="R15" i="1"/>
  <c r="Q14" i="1"/>
  <c r="T13" i="1"/>
  <c r="R13" i="1"/>
  <c r="Q12" i="1"/>
  <c r="F17" i="57" l="1"/>
  <c r="S23" i="52" l="1"/>
  <c r="F10" i="57" l="1"/>
  <c r="F9" i="57"/>
  <c r="F8" i="57"/>
  <c r="F7" i="57"/>
  <c r="F6" i="57"/>
  <c r="F5" i="57"/>
  <c r="F4" i="57"/>
  <c r="F3" i="57"/>
  <c r="F2" i="57"/>
  <c r="B138" i="5" l="1"/>
  <c r="B139" i="5" s="1"/>
  <c r="E9" i="55" s="1"/>
  <c r="C138" i="5"/>
  <c r="C139" i="5" s="1"/>
  <c r="E10" i="55" s="1"/>
  <c r="D138" i="5"/>
  <c r="D139" i="5" s="1"/>
  <c r="E11" i="55" s="1"/>
  <c r="E138" i="5"/>
  <c r="E139" i="5" s="1"/>
  <c r="E12" i="55" s="1"/>
  <c r="F138" i="5"/>
  <c r="F139" i="5" s="1"/>
  <c r="E13" i="55" s="1"/>
  <c r="G138" i="5"/>
  <c r="G139" i="5" s="1"/>
  <c r="E14" i="55" s="1"/>
  <c r="H138" i="5"/>
  <c r="H139" i="5" s="1"/>
  <c r="E15" i="55" s="1"/>
  <c r="I138" i="5"/>
  <c r="I139" i="5" s="1"/>
  <c r="E16" i="55" s="1"/>
  <c r="J138" i="5"/>
  <c r="J139" i="5" s="1"/>
  <c r="E17" i="55" s="1"/>
  <c r="C21" i="12" l="1"/>
  <c r="C22" i="12"/>
  <c r="L2" i="40"/>
  <c r="J2" i="40"/>
  <c r="I2" i="40"/>
  <c r="F2" i="40"/>
  <c r="E2" i="40"/>
  <c r="D2" i="40"/>
  <c r="D82" i="8"/>
  <c r="G39" i="59" l="1"/>
  <c r="H39" i="59"/>
  <c r="G38" i="59"/>
  <c r="H38" i="59"/>
  <c r="H22" i="12"/>
  <c r="C23" i="59" s="1"/>
  <c r="H21" i="12"/>
  <c r="C26" i="59" s="1"/>
  <c r="P2" i="40"/>
  <c r="I21" i="12" l="1"/>
  <c r="I22" i="12"/>
  <c r="J21" i="12" l="1"/>
  <c r="E38" i="59" s="1"/>
  <c r="E26" i="59"/>
  <c r="J22" i="12"/>
  <c r="E39" i="59" s="1"/>
  <c r="E23" i="59"/>
  <c r="T16" i="52"/>
  <c r="T4" i="52"/>
  <c r="T9" i="52"/>
  <c r="T5" i="52"/>
  <c r="T23" i="52"/>
  <c r="T13" i="52" l="1"/>
  <c r="T3" i="52"/>
  <c r="B131" i="15" l="1"/>
  <c r="C131" i="15"/>
  <c r="D131" i="15"/>
  <c r="E131" i="15"/>
  <c r="F131" i="15"/>
  <c r="G131" i="15"/>
  <c r="H131" i="15"/>
  <c r="I131" i="15"/>
  <c r="J131" i="15"/>
  <c r="B130" i="15"/>
  <c r="C130" i="15"/>
  <c r="D130" i="15"/>
  <c r="E130" i="15"/>
  <c r="F130" i="15"/>
  <c r="G130" i="15"/>
  <c r="H130" i="15"/>
  <c r="I130" i="15"/>
  <c r="J130" i="15"/>
  <c r="B128" i="15" a="1"/>
  <c r="B128" i="15" s="1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B127" i="15" a="1"/>
  <c r="B127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B126" i="15" a="1"/>
  <c r="B126" i="15" s="1"/>
  <c r="L2" i="39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Q6" i="39" l="1" a="1"/>
  <c r="Q6" i="39" s="1"/>
  <c r="Q10" i="39" a="1"/>
  <c r="Q10" i="39" s="1"/>
  <c r="Q14" i="39" a="1"/>
  <c r="Q14" i="39" s="1"/>
  <c r="Q3" i="39" a="1"/>
  <c r="Q3" i="39" s="1"/>
  <c r="Q7" i="39" a="1"/>
  <c r="Q7" i="39" s="1"/>
  <c r="Q11" i="39" a="1"/>
  <c r="Q11" i="39" s="1"/>
  <c r="Q2" i="39" a="1"/>
  <c r="Q2" i="39" s="1"/>
  <c r="Q4" i="39" a="1"/>
  <c r="Q4" i="39" s="1"/>
  <c r="Q8" i="39" a="1"/>
  <c r="Q8" i="39" s="1"/>
  <c r="Q12" i="39" a="1"/>
  <c r="Q12" i="39" s="1"/>
  <c r="Q5" i="39" a="1"/>
  <c r="Q5" i="39" s="1"/>
  <c r="Q9" i="39" a="1"/>
  <c r="Q9" i="39" s="1"/>
  <c r="Q13" i="39" a="1"/>
  <c r="Q13" i="39" s="1"/>
  <c r="B134" i="5" a="1"/>
  <c r="B134" i="5" s="1"/>
  <c r="F5" i="56" s="1"/>
  <c r="C134" i="5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B130" i="5"/>
  <c r="C130" i="5"/>
  <c r="D130" i="5"/>
  <c r="E130" i="5"/>
  <c r="F130" i="5"/>
  <c r="G130" i="5"/>
  <c r="H130" i="5"/>
  <c r="I130" i="5"/>
  <c r="J130" i="5"/>
  <c r="B129" i="5"/>
  <c r="C129" i="5"/>
  <c r="D129" i="5"/>
  <c r="E129" i="5"/>
  <c r="F129" i="5"/>
  <c r="G129" i="5"/>
  <c r="H129" i="5"/>
  <c r="I129" i="5"/>
  <c r="J129" i="5"/>
  <c r="B127" i="5" a="1"/>
  <c r="B127" i="5" s="1"/>
  <c r="D4" i="13" s="1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B126" i="5" a="1"/>
  <c r="B126" i="5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B126" i="7" l="1" a="1"/>
  <c r="B126" i="7" s="1"/>
  <c r="C126" i="7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B128" i="7" a="1"/>
  <c r="B128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B125" i="7" a="1"/>
  <c r="B125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C20" i="12" l="1"/>
  <c r="G37" i="59" l="1"/>
  <c r="H37" i="59"/>
  <c r="I20" i="12"/>
  <c r="H20" i="12" l="1"/>
  <c r="J20" i="12" s="1"/>
  <c r="E37" i="59" s="1"/>
  <c r="C19" i="12" l="1"/>
  <c r="L40" i="8"/>
  <c r="G36" i="59" l="1"/>
  <c r="H36" i="59"/>
  <c r="I19" i="12"/>
  <c r="E28" i="59" s="1"/>
  <c r="H19" i="12"/>
  <c r="C28" i="59" s="1"/>
  <c r="J19" i="12" l="1"/>
  <c r="E36" i="59" s="1"/>
  <c r="P15" i="48" l="1"/>
  <c r="P16" i="48"/>
  <c r="P14" i="48"/>
  <c r="P13" i="48"/>
  <c r="P10" i="48"/>
  <c r="P7" i="48"/>
  <c r="P9" i="48"/>
  <c r="P11" i="48"/>
  <c r="P8" i="48"/>
  <c r="P12" i="48"/>
  <c r="P5" i="48"/>
  <c r="P6" i="48"/>
  <c r="P4" i="48"/>
  <c r="P3" i="1"/>
  <c r="P4" i="1"/>
  <c r="P5" i="1"/>
  <c r="P6" i="1"/>
  <c r="P7" i="1"/>
  <c r="P8" i="1"/>
  <c r="P9" i="1"/>
  <c r="P10" i="1"/>
  <c r="P11" i="1"/>
  <c r="AA4" i="1" l="1" a="1"/>
  <c r="AA4" i="1" s="1"/>
  <c r="AA15" i="1" a="1"/>
  <c r="AA15" i="1" s="1"/>
  <c r="AA5" i="1" a="1"/>
  <c r="AA5" i="1" s="1"/>
  <c r="AA12" i="1" a="1"/>
  <c r="AA12" i="1" s="1"/>
  <c r="AA13" i="1" a="1"/>
  <c r="AA13" i="1" s="1"/>
  <c r="AA14" i="1" a="1"/>
  <c r="AA14" i="1" s="1"/>
  <c r="AA11" i="1" a="1"/>
  <c r="AA11" i="1" s="1"/>
  <c r="AA3" i="1" a="1"/>
  <c r="AA3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R5" i="48" a="1"/>
  <c r="R5" i="48" s="1"/>
  <c r="R7" i="48" a="1"/>
  <c r="R7" i="48" s="1"/>
  <c r="R9" i="48" a="1"/>
  <c r="R9" i="48" s="1"/>
  <c r="R11" i="48" a="1"/>
  <c r="R11" i="48" s="1"/>
  <c r="R13" i="48" a="1"/>
  <c r="R13" i="48" s="1"/>
  <c r="R8" i="48" a="1"/>
  <c r="R8" i="48" s="1"/>
  <c r="R10" i="48" a="1"/>
  <c r="R10" i="48" s="1"/>
  <c r="R14" i="48" a="1"/>
  <c r="R14" i="48" s="1"/>
  <c r="R16" i="48" a="1"/>
  <c r="R16" i="48" s="1"/>
  <c r="R6" i="48" a="1"/>
  <c r="R6" i="48" s="1"/>
  <c r="R12" i="48" a="1"/>
  <c r="R12" i="48" s="1"/>
  <c r="R15" i="48" a="1"/>
  <c r="R15" i="48" s="1"/>
  <c r="R4" i="48" a="1"/>
  <c r="R4" i="48" s="1"/>
  <c r="H136" i="5" a="1"/>
  <c r="H136" i="5" s="1"/>
  <c r="B136" i="5" a="1"/>
  <c r="B136" i="5" s="1"/>
  <c r="J136" i="5" a="1"/>
  <c r="J136" i="5" s="1"/>
  <c r="E136" i="5" a="1"/>
  <c r="E136" i="5" s="1"/>
  <c r="C136" i="5" a="1"/>
  <c r="C136" i="5" s="1"/>
  <c r="D136" i="5" a="1"/>
  <c r="D136" i="5" s="1"/>
  <c r="I136" i="5" a="1"/>
  <c r="I136" i="5" s="1"/>
  <c r="G136" i="5" a="1"/>
  <c r="G136" i="5" s="1"/>
  <c r="F136" i="5" a="1"/>
  <c r="F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B127" i="47" a="1"/>
  <c r="B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B125" i="47" a="1"/>
  <c r="B125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B124" i="47" a="1"/>
  <c r="B124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S15" i="48" l="1"/>
  <c r="AG14" i="12"/>
  <c r="S16" i="48"/>
  <c r="AG15" i="12"/>
  <c r="S12" i="48"/>
  <c r="AG11" i="12"/>
  <c r="S11" i="48"/>
  <c r="AG10" i="12"/>
  <c r="S6" i="48"/>
  <c r="AG5" i="12"/>
  <c r="S5" i="48"/>
  <c r="AG4" i="12"/>
  <c r="S14" i="48"/>
  <c r="AG13" i="12"/>
  <c r="S9" i="48"/>
  <c r="AG8" i="12"/>
  <c r="S8" i="48"/>
  <c r="AG7" i="12"/>
  <c r="S13" i="48"/>
  <c r="AG12" i="12"/>
  <c r="S10" i="48"/>
  <c r="AG9" i="12"/>
  <c r="S7" i="48"/>
  <c r="AG6" i="12"/>
  <c r="S4" i="48"/>
  <c r="AG3" i="12"/>
  <c r="E125" i="46" a="1"/>
  <c r="E125" i="46" s="1"/>
  <c r="E127" i="46" a="1"/>
  <c r="E127" i="46" s="1"/>
  <c r="E124" i="46" a="1"/>
  <c r="E124" i="46" s="1"/>
  <c r="C127" i="46" a="1"/>
  <c r="C127" i="46" s="1"/>
  <c r="C125" i="46" a="1"/>
  <c r="C125" i="46" s="1"/>
  <c r="C124" i="46" a="1"/>
  <c r="C124" i="46" s="1"/>
  <c r="F124" i="46" a="1"/>
  <c r="F124" i="46" s="1"/>
  <c r="F125" i="46" a="1"/>
  <c r="F125" i="46" s="1"/>
  <c r="F127" i="46" a="1"/>
  <c r="F127" i="46" s="1"/>
  <c r="I124" i="46" a="1"/>
  <c r="I124" i="46" s="1"/>
  <c r="I127" i="46" a="1"/>
  <c r="I127" i="46" s="1"/>
  <c r="I125" i="46" a="1"/>
  <c r="I125" i="46" s="1"/>
  <c r="D127" i="46" a="1"/>
  <c r="D127" i="46" s="1"/>
  <c r="D125" i="46" a="1"/>
  <c r="D125" i="46" s="1"/>
  <c r="D124" i="46" a="1"/>
  <c r="D124" i="46" s="1"/>
  <c r="H127" i="46" a="1"/>
  <c r="H127" i="46" s="1"/>
  <c r="H125" i="46" a="1"/>
  <c r="H125" i="46" s="1"/>
  <c r="H124" i="46" a="1"/>
  <c r="H124" i="46" s="1"/>
  <c r="G127" i="46" a="1"/>
  <c r="G127" i="46" s="1"/>
  <c r="G124" i="46" a="1"/>
  <c r="G124" i="46" s="1"/>
  <c r="G125" i="46" a="1"/>
  <c r="G125" i="46" s="1"/>
  <c r="J124" i="46" a="1"/>
  <c r="J124" i="46" s="1"/>
  <c r="J127" i="46" a="1"/>
  <c r="J127" i="46" s="1"/>
  <c r="J125" i="46" a="1"/>
  <c r="J125" i="46" s="1"/>
  <c r="B127" i="46" a="1"/>
  <c r="B127" i="46" s="1"/>
  <c r="B124" i="46" a="1"/>
  <c r="B124" i="46" s="1"/>
  <c r="B125" i="46" a="1"/>
  <c r="B125" i="46" s="1"/>
  <c r="T6" i="48" l="1" a="1"/>
  <c r="T6" i="48" s="1"/>
  <c r="T4" i="48" a="1"/>
  <c r="T4" i="48" s="1"/>
  <c r="T9" i="48" a="1"/>
  <c r="T9" i="48" s="1"/>
  <c r="T5" i="48" a="1"/>
  <c r="T5" i="48" s="1"/>
  <c r="T12" i="48" a="1"/>
  <c r="T12" i="48" s="1"/>
  <c r="T11" i="48" a="1"/>
  <c r="T11" i="48" s="1"/>
  <c r="T14" i="48" a="1"/>
  <c r="T14" i="48" s="1"/>
  <c r="T10" i="48" a="1"/>
  <c r="T10" i="48" s="1"/>
  <c r="T15" i="48" a="1"/>
  <c r="T15" i="48" s="1"/>
  <c r="T7" i="48" a="1"/>
  <c r="T7" i="48" s="1"/>
  <c r="T8" i="48" a="1"/>
  <c r="T8" i="48" s="1"/>
  <c r="T13" i="48" a="1"/>
  <c r="T13" i="48" s="1"/>
  <c r="T16" i="48" a="1"/>
  <c r="T16" i="48" s="1"/>
  <c r="B138" i="15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N12" i="13" l="1"/>
  <c r="N11" i="13"/>
  <c r="N7" i="13"/>
  <c r="N10" i="13"/>
  <c r="N6" i="13"/>
  <c r="N9" i="13"/>
  <c r="N5" i="13"/>
  <c r="N8" i="13"/>
  <c r="N4" i="13"/>
  <c r="N14" i="13"/>
  <c r="N15" i="13"/>
  <c r="N13" i="13"/>
  <c r="N16" i="13"/>
  <c r="F10" i="43"/>
  <c r="F11" i="43"/>
  <c r="F3" i="43"/>
  <c r="F4" i="43"/>
  <c r="F5" i="43"/>
  <c r="F6" i="43"/>
  <c r="F7" i="43"/>
  <c r="F8" i="43"/>
  <c r="F9" i="43"/>
  <c r="Q1" i="42" l="1"/>
  <c r="P1" i="42"/>
  <c r="O1" i="42"/>
  <c r="N1" i="42"/>
  <c r="M1" i="42"/>
  <c r="L1" i="42"/>
  <c r="O3" i="42" l="1"/>
  <c r="O15" i="42"/>
  <c r="S15" i="42" s="1"/>
  <c r="O12" i="42"/>
  <c r="S12" i="42" s="1"/>
  <c r="O13" i="42"/>
  <c r="S13" i="42" s="1"/>
  <c r="O14" i="42"/>
  <c r="S14" i="42" s="1"/>
  <c r="O11" i="42"/>
  <c r="C18" i="12"/>
  <c r="G35" i="59" l="1"/>
  <c r="H35" i="59"/>
  <c r="O10" i="42"/>
  <c r="S10" i="42" s="1"/>
  <c r="O6" i="42"/>
  <c r="S6" i="42" s="1"/>
  <c r="O9" i="42"/>
  <c r="D20" i="1"/>
  <c r="D19" i="1"/>
  <c r="N35" i="59" l="1"/>
  <c r="N38" i="59"/>
  <c r="N39" i="59"/>
  <c r="N37" i="59"/>
  <c r="N36" i="59"/>
  <c r="M35" i="59"/>
  <c r="M38" i="59"/>
  <c r="M39" i="59"/>
  <c r="M37" i="59"/>
  <c r="M36" i="59"/>
  <c r="O7" i="42"/>
  <c r="O8" i="42"/>
  <c r="O4" i="42"/>
  <c r="O5" i="42"/>
  <c r="I18" i="12"/>
  <c r="E27" i="59" s="1"/>
  <c r="H18" i="12" l="1"/>
  <c r="C27" i="59" s="1"/>
  <c r="J18" i="12" l="1"/>
  <c r="E35" i="59" s="1"/>
  <c r="M2" i="13" l="1"/>
  <c r="N2" i="13"/>
  <c r="L2" i="13"/>
  <c r="J25" i="38" l="1"/>
  <c r="I25" i="38"/>
  <c r="H25" i="38"/>
  <c r="G25" i="38"/>
  <c r="F25" i="38"/>
  <c r="E25" i="38"/>
  <c r="D25" i="38"/>
  <c r="C25" i="38"/>
  <c r="B25" i="38"/>
  <c r="M4" i="1" l="1"/>
  <c r="T4" i="1" s="1"/>
  <c r="M6" i="1"/>
  <c r="T6" i="1" s="1"/>
  <c r="M10" i="1"/>
  <c r="T10" i="1" s="1"/>
  <c r="M8" i="1"/>
  <c r="T8" i="1" s="1"/>
  <c r="M5" i="1"/>
  <c r="T5" i="1" s="1"/>
  <c r="M9" i="1"/>
  <c r="T9" i="1" s="1"/>
  <c r="M3" i="1"/>
  <c r="T3" i="1" s="1"/>
  <c r="M7" i="1"/>
  <c r="T7" i="1" s="1"/>
  <c r="M11" i="1"/>
  <c r="T11" i="1" s="1"/>
  <c r="N3" i="1"/>
  <c r="R3" i="1" s="1"/>
  <c r="N4" i="1"/>
  <c r="R4" i="1" s="1"/>
  <c r="N5" i="1"/>
  <c r="R5" i="1" s="1"/>
  <c r="N6" i="1"/>
  <c r="R6" i="1" s="1"/>
  <c r="N7" i="1"/>
  <c r="R7" i="1" s="1"/>
  <c r="N8" i="1"/>
  <c r="R8" i="1" s="1"/>
  <c r="N9" i="1"/>
  <c r="R9" i="1" s="1"/>
  <c r="N10" i="1"/>
  <c r="R10" i="1" s="1"/>
  <c r="N11" i="1"/>
  <c r="R11" i="1" s="1"/>
  <c r="Z5" i="1" l="1" a="1"/>
  <c r="Z5" i="1" s="1"/>
  <c r="Z7" i="1" a="1"/>
  <c r="Z7" i="1" s="1"/>
  <c r="Z9" i="1" a="1"/>
  <c r="Z9" i="1" s="1"/>
  <c r="Z11" i="1" a="1"/>
  <c r="Z11" i="1" s="1"/>
  <c r="Z13" i="1" a="1"/>
  <c r="Z13" i="1" s="1"/>
  <c r="Z15" i="1" a="1"/>
  <c r="Z15" i="1" s="1"/>
  <c r="Z6" i="1" a="1"/>
  <c r="Z6" i="1" s="1"/>
  <c r="Z10" i="1" a="1"/>
  <c r="Z10" i="1" s="1"/>
  <c r="Z14" i="1" a="1"/>
  <c r="Z14" i="1" s="1"/>
  <c r="Z4" i="1" a="1"/>
  <c r="Z4" i="1" s="1"/>
  <c r="Z8" i="1" a="1"/>
  <c r="Z8" i="1" s="1"/>
  <c r="Z12" i="1" a="1"/>
  <c r="Z12" i="1" s="1"/>
  <c r="Z3" i="1" a="1"/>
  <c r="Z3" i="1" s="1"/>
  <c r="V6" i="1" a="1"/>
  <c r="V6" i="1" s="1"/>
  <c r="V9" i="1" a="1"/>
  <c r="V9" i="1" s="1"/>
  <c r="V14" i="1" a="1"/>
  <c r="V14" i="1" s="1"/>
  <c r="V8" i="1" a="1"/>
  <c r="V8" i="1" s="1"/>
  <c r="V3" i="1" a="1"/>
  <c r="V3" i="1" s="1"/>
  <c r="V4" i="1" a="1"/>
  <c r="V4" i="1" s="1"/>
  <c r="V7" i="1" a="1"/>
  <c r="V7" i="1" s="1"/>
  <c r="V12" i="1" a="1"/>
  <c r="V12" i="1" s="1"/>
  <c r="V15" i="1" a="1"/>
  <c r="V15" i="1" s="1"/>
  <c r="V11" i="1" a="1"/>
  <c r="V11" i="1" s="1"/>
  <c r="V5" i="1" a="1"/>
  <c r="V5" i="1" s="1"/>
  <c r="V10" i="1" a="1"/>
  <c r="V10" i="1" s="1"/>
  <c r="V13" i="1" a="1"/>
  <c r="V13" i="1" s="1"/>
  <c r="J23" i="38"/>
  <c r="J24" i="38"/>
  <c r="H23" i="38"/>
  <c r="H24" i="38"/>
  <c r="D24" i="38"/>
  <c r="D23" i="38"/>
  <c r="I23" i="38"/>
  <c r="I24" i="38"/>
  <c r="E24" i="38"/>
  <c r="E23" i="38"/>
  <c r="C24" i="38"/>
  <c r="C23" i="38"/>
  <c r="F23" i="38"/>
  <c r="F24" i="38"/>
  <c r="B24" i="38"/>
  <c r="B23" i="38"/>
  <c r="G23" i="38"/>
  <c r="G24" i="38"/>
  <c r="Q11" i="1"/>
  <c r="Q7" i="1"/>
  <c r="Q3" i="1"/>
  <c r="Q10" i="1"/>
  <c r="Q6" i="1"/>
  <c r="Q9" i="1"/>
  <c r="Q5" i="1"/>
  <c r="Q8" i="1"/>
  <c r="Q4" i="1"/>
  <c r="I10" i="39" l="1"/>
  <c r="M10" i="39" s="1"/>
  <c r="I5" i="39"/>
  <c r="M5" i="39" s="1"/>
  <c r="I4" i="39"/>
  <c r="M4" i="39" s="1"/>
  <c r="I7" i="39"/>
  <c r="M7" i="39" s="1"/>
  <c r="I9" i="39"/>
  <c r="M9" i="39" s="1"/>
  <c r="I8" i="39"/>
  <c r="M8" i="39" s="1"/>
  <c r="I6" i="39"/>
  <c r="M6" i="39" s="1"/>
  <c r="I2" i="39"/>
  <c r="M2" i="39" s="1"/>
  <c r="I3" i="39"/>
  <c r="M3" i="39" s="1"/>
  <c r="U4" i="1" a="1"/>
  <c r="U4" i="1" s="1"/>
  <c r="U7" i="1" a="1"/>
  <c r="U7" i="1" s="1"/>
  <c r="U12" i="1" a="1"/>
  <c r="U12" i="1" s="1"/>
  <c r="U15" i="1" a="1"/>
  <c r="U15" i="1" s="1"/>
  <c r="U9" i="1" a="1"/>
  <c r="U9" i="1" s="1"/>
  <c r="U5" i="1" a="1"/>
  <c r="U5" i="1" s="1"/>
  <c r="U10" i="1" a="1"/>
  <c r="U10" i="1" s="1"/>
  <c r="U13" i="1" a="1"/>
  <c r="U13" i="1" s="1"/>
  <c r="U11" i="1" a="1"/>
  <c r="U11" i="1" s="1"/>
  <c r="U6" i="1" a="1"/>
  <c r="U6" i="1" s="1"/>
  <c r="U14" i="1" a="1"/>
  <c r="U14" i="1" s="1"/>
  <c r="U8" i="1" a="1"/>
  <c r="U8" i="1" s="1"/>
  <c r="U3" i="1" a="1"/>
  <c r="U3" i="1" s="1"/>
  <c r="N4" i="39" l="1" a="1"/>
  <c r="N4" i="39" s="1"/>
  <c r="N9" i="39" a="1"/>
  <c r="N9" i="39" s="1"/>
  <c r="N12" i="39" a="1"/>
  <c r="N12" i="39" s="1"/>
  <c r="N7" i="39" a="1"/>
  <c r="N7" i="39" s="1"/>
  <c r="N10" i="39" a="1"/>
  <c r="N10" i="39" s="1"/>
  <c r="N2" i="39" a="1"/>
  <c r="N2" i="39" s="1"/>
  <c r="N5" i="39" a="1"/>
  <c r="N5" i="39" s="1"/>
  <c r="N8" i="39" a="1"/>
  <c r="N8" i="39" s="1"/>
  <c r="N13" i="39" a="1"/>
  <c r="N13" i="39" s="1"/>
  <c r="N3" i="39" a="1"/>
  <c r="N3" i="39" s="1"/>
  <c r="N6" i="39" a="1"/>
  <c r="N6" i="39" s="1"/>
  <c r="N11" i="39" a="1"/>
  <c r="N11" i="39" s="1"/>
  <c r="N14" i="39" a="1"/>
  <c r="N14" i="39" s="1"/>
  <c r="U2" i="12"/>
  <c r="U11" i="12" l="1"/>
  <c r="U7" i="12"/>
  <c r="U3" i="12"/>
  <c r="U10" i="12"/>
  <c r="U9" i="12"/>
  <c r="U8" i="12"/>
  <c r="U6" i="12"/>
  <c r="U5" i="12"/>
  <c r="U4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8" i="1"/>
  <c r="S4" i="1"/>
  <c r="S3" i="1"/>
  <c r="S5" i="1" l="1"/>
  <c r="S7" i="1"/>
  <c r="S11" i="1"/>
  <c r="S9" i="1"/>
  <c r="S6" i="1"/>
  <c r="S10" i="1"/>
  <c r="W5" i="1" l="1" a="1"/>
  <c r="W5" i="1" s="1"/>
  <c r="AB5" i="1" s="1"/>
  <c r="W12" i="1" a="1"/>
  <c r="W12" i="1" s="1"/>
  <c r="AB12" i="1" s="1"/>
  <c r="W9" i="1" a="1"/>
  <c r="W9" i="1" s="1"/>
  <c r="W8" i="1" a="1"/>
  <c r="W8" i="1" s="1"/>
  <c r="AB8" i="1" s="1"/>
  <c r="W7" i="1" a="1"/>
  <c r="W7" i="1" s="1"/>
  <c r="AB7" i="1" s="1"/>
  <c r="W6" i="1" a="1"/>
  <c r="W6" i="1" s="1"/>
  <c r="AB6" i="1" s="1"/>
  <c r="W13" i="1" a="1"/>
  <c r="W13" i="1" s="1"/>
  <c r="AB13" i="1" s="1"/>
  <c r="W4" i="1" a="1"/>
  <c r="W4" i="1" s="1"/>
  <c r="AB4" i="1" s="1"/>
  <c r="W15" i="1" a="1"/>
  <c r="W15" i="1" s="1"/>
  <c r="AB15" i="1" s="1"/>
  <c r="W10" i="1" a="1"/>
  <c r="W10" i="1" s="1"/>
  <c r="AB10" i="1" s="1"/>
  <c r="W14" i="1" a="1"/>
  <c r="W14" i="1" s="1"/>
  <c r="AB14" i="1" s="1"/>
  <c r="W11" i="1" a="1"/>
  <c r="W11" i="1" s="1"/>
  <c r="AB11" i="1" s="1"/>
  <c r="W3" i="1" a="1"/>
  <c r="W3" i="1" s="1"/>
  <c r="AB3" i="1" s="1"/>
  <c r="AB9" i="1"/>
  <c r="AC6" i="1" l="1" a="1"/>
  <c r="AC6" i="1" s="1"/>
  <c r="D10" i="40" s="1"/>
  <c r="AC9" i="1" a="1"/>
  <c r="AC9" i="1" s="1"/>
  <c r="D11" i="40" s="1"/>
  <c r="AC14" i="1" a="1"/>
  <c r="AC14" i="1" s="1"/>
  <c r="D17" i="40" s="1"/>
  <c r="AC4" i="1" a="1"/>
  <c r="AC4" i="1" s="1"/>
  <c r="D13" i="40" s="1"/>
  <c r="AC7" i="1" a="1"/>
  <c r="AC7" i="1" s="1"/>
  <c r="D7" i="40" s="1"/>
  <c r="AC12" i="1" a="1"/>
  <c r="AC12" i="1" s="1"/>
  <c r="D15" i="40" s="1"/>
  <c r="AC15" i="1" a="1"/>
  <c r="AC15" i="1" s="1"/>
  <c r="D18" i="40" s="1"/>
  <c r="AC5" i="1" a="1"/>
  <c r="AC5" i="1" s="1"/>
  <c r="D12" i="40" s="1"/>
  <c r="AC10" i="1" a="1"/>
  <c r="AC10" i="1" s="1"/>
  <c r="D8" i="40" s="1"/>
  <c r="AC13" i="1" a="1"/>
  <c r="AC13" i="1" s="1"/>
  <c r="D16" i="40" s="1"/>
  <c r="AC3" i="1" a="1"/>
  <c r="AC3" i="1" s="1"/>
  <c r="D14" i="40" s="1"/>
  <c r="AC8" i="1" a="1"/>
  <c r="AC8" i="1" s="1"/>
  <c r="D6" i="40" s="1"/>
  <c r="AC11" i="1" a="1"/>
  <c r="AC11" i="1" s="1"/>
  <c r="D9" i="40" s="1"/>
  <c r="E7" i="49" l="1"/>
  <c r="E4" i="49"/>
  <c r="E10" i="49"/>
  <c r="E11" i="49"/>
  <c r="E12" i="49"/>
  <c r="E16" i="49"/>
  <c r="E15" i="49"/>
  <c r="E14" i="49"/>
  <c r="E13" i="49"/>
  <c r="E9" i="49"/>
  <c r="E6" i="49"/>
  <c r="E5" i="49"/>
  <c r="E8" i="49"/>
  <c r="S11" i="42"/>
  <c r="S9" i="42" l="1"/>
  <c r="S3" i="42"/>
  <c r="S5" i="42"/>
  <c r="S7" i="42"/>
  <c r="S8" i="42"/>
  <c r="S4" i="42"/>
  <c r="U5" i="42" l="1" a="1"/>
  <c r="U5" i="42" s="1"/>
  <c r="L12" i="40" s="1"/>
  <c r="U10" i="42" a="1"/>
  <c r="U10" i="42" s="1"/>
  <c r="L8" i="40" s="1"/>
  <c r="U13" i="42" a="1"/>
  <c r="U13" i="42" s="1"/>
  <c r="L16" i="40" s="1"/>
  <c r="U4" i="42" a="1"/>
  <c r="U4" i="42" s="1"/>
  <c r="L13" i="40" s="1"/>
  <c r="U15" i="42" a="1"/>
  <c r="U15" i="42" s="1"/>
  <c r="L18" i="40" s="1"/>
  <c r="U8" i="42" a="1"/>
  <c r="U8" i="42" s="1"/>
  <c r="L6" i="40" s="1"/>
  <c r="U11" i="42" a="1"/>
  <c r="U11" i="42" s="1"/>
  <c r="L9" i="40" s="1"/>
  <c r="U3" i="42" a="1"/>
  <c r="U3" i="42" s="1"/>
  <c r="L14" i="40" s="1"/>
  <c r="U7" i="42" a="1"/>
  <c r="U7" i="42" s="1"/>
  <c r="L7" i="40" s="1"/>
  <c r="U6" i="42" a="1"/>
  <c r="U6" i="42" s="1"/>
  <c r="L10" i="40" s="1"/>
  <c r="U9" i="42" a="1"/>
  <c r="U9" i="42" s="1"/>
  <c r="L11" i="40" s="1"/>
  <c r="U14" i="42" a="1"/>
  <c r="U14" i="42" s="1"/>
  <c r="L17" i="40" s="1"/>
  <c r="U12" i="42" a="1"/>
  <c r="U12" i="42" s="1"/>
  <c r="L15" i="40" s="1"/>
  <c r="K8" i="49" l="1"/>
  <c r="I12" i="55"/>
  <c r="P12" i="55" s="1"/>
  <c r="K5" i="49"/>
  <c r="I13" i="55"/>
  <c r="P13" i="55" s="1"/>
  <c r="K10" i="49"/>
  <c r="I11" i="55"/>
  <c r="P11" i="55" s="1"/>
  <c r="K15" i="49"/>
  <c r="I20" i="55"/>
  <c r="P20" i="55" s="1"/>
  <c r="K12" i="49"/>
  <c r="I9" i="55"/>
  <c r="K11" i="49"/>
  <c r="I10" i="55"/>
  <c r="P10" i="55" s="1"/>
  <c r="K13" i="49"/>
  <c r="I18" i="55"/>
  <c r="P18" i="55" s="1"/>
  <c r="K16" i="49"/>
  <c r="I21" i="55"/>
  <c r="P21" i="55" s="1"/>
  <c r="K9" i="49"/>
  <c r="I15" i="55"/>
  <c r="P15" i="55" s="1"/>
  <c r="K7" i="49"/>
  <c r="I17" i="55"/>
  <c r="P17" i="55" s="1"/>
  <c r="K14" i="49"/>
  <c r="I19" i="55"/>
  <c r="P19" i="55" s="1"/>
  <c r="K6" i="49"/>
  <c r="I16" i="55"/>
  <c r="P16" i="55" s="1"/>
  <c r="K4" i="49"/>
  <c r="I14" i="55"/>
  <c r="P14" i="55" s="1"/>
  <c r="U1" i="28"/>
  <c r="T1" i="28"/>
  <c r="S1" i="28"/>
  <c r="V12" i="28" l="1"/>
  <c r="V14" i="28"/>
  <c r="V13" i="28"/>
  <c r="V15" i="28"/>
  <c r="U11" i="28"/>
  <c r="U10" i="28" l="1"/>
  <c r="U9" i="28" l="1"/>
  <c r="U8" i="28" l="1"/>
  <c r="U7" i="28" l="1"/>
  <c r="U6" i="28" l="1"/>
  <c r="V6" i="28" l="1"/>
  <c r="U5" i="28" l="1"/>
  <c r="U4" i="28" l="1"/>
  <c r="U3" i="28" l="1"/>
  <c r="T3" i="28" l="1"/>
  <c r="N17" i="8" l="1"/>
  <c r="V8" i="28" l="1"/>
  <c r="N4" i="28"/>
  <c r="V5" i="28"/>
  <c r="N9" i="28"/>
  <c r="N11" i="28"/>
  <c r="N6" i="28"/>
  <c r="N10" i="28"/>
  <c r="N3" i="28"/>
  <c r="N7" i="28"/>
  <c r="N16" i="8"/>
  <c r="V4" i="28"/>
  <c r="V10" i="28"/>
  <c r="S3" i="28"/>
  <c r="V3" i="28" s="1"/>
  <c r="V7" i="28"/>
  <c r="O13" i="8"/>
  <c r="O21" i="8" s="1"/>
  <c r="N5" i="28" l="1"/>
  <c r="N8" i="28"/>
  <c r="V11" i="28"/>
  <c r="V9" i="28"/>
  <c r="X5" i="28" s="1"/>
  <c r="I12" i="40" s="1"/>
  <c r="N22" i="8"/>
  <c r="N21" i="8"/>
  <c r="X11" i="28" l="1"/>
  <c r="I9" i="40" s="1"/>
  <c r="I7" i="49" s="1"/>
  <c r="I10" i="49"/>
  <c r="H11" i="55"/>
  <c r="N11" i="55" s="1"/>
  <c r="X12" i="28"/>
  <c r="I15" i="40" s="1"/>
  <c r="X8" i="28"/>
  <c r="I6" i="40" s="1"/>
  <c r="X7" i="28"/>
  <c r="I7" i="40" s="1"/>
  <c r="X13" i="28"/>
  <c r="I16" i="40" s="1"/>
  <c r="X4" i="28"/>
  <c r="I13" i="40" s="1"/>
  <c r="X14" i="28"/>
  <c r="I17" i="40" s="1"/>
  <c r="X9" i="28"/>
  <c r="I11" i="40" s="1"/>
  <c r="X15" i="28"/>
  <c r="I18" i="40" s="1"/>
  <c r="X10" i="28"/>
  <c r="I8" i="40" s="1"/>
  <c r="X6" i="28"/>
  <c r="I10" i="40" s="1"/>
  <c r="X3" i="28"/>
  <c r="I14" i="40" s="1"/>
  <c r="H17" i="55" l="1"/>
  <c r="N17" i="55" s="1"/>
  <c r="I16" i="49"/>
  <c r="H21" i="55"/>
  <c r="N21" i="55" s="1"/>
  <c r="I14" i="49"/>
  <c r="H19" i="55"/>
  <c r="N19" i="55" s="1"/>
  <c r="I12" i="49"/>
  <c r="H9" i="55"/>
  <c r="N9" i="55" s="1"/>
  <c r="I9" i="49"/>
  <c r="H15" i="55"/>
  <c r="N15" i="55" s="1"/>
  <c r="I5" i="49"/>
  <c r="H13" i="55"/>
  <c r="N13" i="55" s="1"/>
  <c r="I8" i="49"/>
  <c r="H12" i="55"/>
  <c r="N12" i="55" s="1"/>
  <c r="I15" i="49"/>
  <c r="H20" i="55"/>
  <c r="N20" i="55" s="1"/>
  <c r="I4" i="49"/>
  <c r="H14" i="55"/>
  <c r="N14" i="55" s="1"/>
  <c r="I6" i="49"/>
  <c r="H16" i="55"/>
  <c r="N16" i="55" s="1"/>
  <c r="I11" i="49"/>
  <c r="H10" i="55"/>
  <c r="N10" i="55" s="1"/>
  <c r="I13" i="49"/>
  <c r="H18" i="55"/>
  <c r="N18" i="55" s="1"/>
  <c r="I140" i="15"/>
  <c r="J140" i="15"/>
  <c r="H140" i="15"/>
  <c r="B140" i="15"/>
  <c r="G140" i="15"/>
  <c r="F140" i="15"/>
  <c r="E140" i="15"/>
  <c r="C140" i="15"/>
  <c r="D140" i="15"/>
  <c r="N22" i="55" l="1"/>
  <c r="AC2" i="12"/>
  <c r="AD2" i="12"/>
  <c r="O17" i="55" l="1"/>
  <c r="O11" i="55"/>
  <c r="O13" i="55"/>
  <c r="O9" i="55"/>
  <c r="O16" i="55"/>
  <c r="O10" i="55"/>
  <c r="O19" i="55"/>
  <c r="O20" i="55"/>
  <c r="O21" i="55"/>
  <c r="O18" i="55"/>
  <c r="O14" i="55"/>
  <c r="O15" i="55"/>
  <c r="O12" i="55"/>
  <c r="G23" i="18"/>
  <c r="G25" i="18" s="1" a="1"/>
  <c r="G25" i="18" s="1"/>
  <c r="K7" i="39" s="1"/>
  <c r="B23" i="18"/>
  <c r="H23" i="18"/>
  <c r="H25" i="18" s="1" a="1"/>
  <c r="H25" i="18" s="1"/>
  <c r="K8" i="39" s="1"/>
  <c r="C23" i="18"/>
  <c r="C25" i="18" s="1" a="1"/>
  <c r="C25" i="18" s="1"/>
  <c r="K3" i="39" s="1"/>
  <c r="I23" i="18"/>
  <c r="I25" i="18" s="1" a="1"/>
  <c r="I25" i="18" s="1"/>
  <c r="K9" i="39" s="1"/>
  <c r="J23" i="18"/>
  <c r="J25" i="18" s="1" a="1"/>
  <c r="J25" i="18" s="1"/>
  <c r="K10" i="39" s="1"/>
  <c r="E23" i="18"/>
  <c r="D23" i="18"/>
  <c r="F23" i="18"/>
  <c r="F25" i="18" s="1" a="1"/>
  <c r="F25" i="18" s="1"/>
  <c r="K6" i="39" s="1"/>
  <c r="D25" i="18" l="1" a="1"/>
  <c r="D25" i="18" s="1"/>
  <c r="K4" i="39" s="1"/>
  <c r="E25" i="18" a="1"/>
  <c r="E25" i="18" s="1"/>
  <c r="K5" i="39" s="1"/>
  <c r="B25" i="18" a="1"/>
  <c r="B25" i="18" s="1"/>
  <c r="K2" i="39" s="1"/>
  <c r="P3" i="39" l="1" a="1"/>
  <c r="P3" i="39" s="1"/>
  <c r="R3" i="39" s="1"/>
  <c r="P6" i="39" a="1"/>
  <c r="P6" i="39" s="1"/>
  <c r="R6" i="39" s="1"/>
  <c r="P11" i="39" a="1"/>
  <c r="P11" i="39" s="1"/>
  <c r="R11" i="39" s="1"/>
  <c r="P14" i="39" a="1"/>
  <c r="P14" i="39" s="1"/>
  <c r="R14" i="39" s="1"/>
  <c r="P4" i="39" a="1"/>
  <c r="P4" i="39" s="1"/>
  <c r="R4" i="39" s="1"/>
  <c r="P9" i="39" a="1"/>
  <c r="P9" i="39" s="1"/>
  <c r="R9" i="39" s="1"/>
  <c r="P12" i="39" a="1"/>
  <c r="P12" i="39" s="1"/>
  <c r="R12" i="39" s="1"/>
  <c r="P7" i="39" a="1"/>
  <c r="P7" i="39" s="1"/>
  <c r="R7" i="39" s="1"/>
  <c r="P10" i="39" a="1"/>
  <c r="P10" i="39" s="1"/>
  <c r="R10" i="39" s="1"/>
  <c r="P2" i="39" a="1"/>
  <c r="P2" i="39" s="1"/>
  <c r="R2" i="39" s="1"/>
  <c r="P5" i="39" a="1"/>
  <c r="P5" i="39" s="1"/>
  <c r="R5" i="39" s="1"/>
  <c r="P8" i="39" a="1"/>
  <c r="P8" i="39" s="1"/>
  <c r="R8" i="39" s="1"/>
  <c r="P13" i="39" a="1"/>
  <c r="P13" i="39" s="1"/>
  <c r="R13" i="39" s="1"/>
  <c r="B133" i="15"/>
  <c r="H4" i="13" s="1"/>
  <c r="S5" i="39" l="1" a="1"/>
  <c r="S5" i="39" s="1"/>
  <c r="E10" i="40" s="1"/>
  <c r="S8" i="39" a="1"/>
  <c r="S8" i="39" s="1"/>
  <c r="E11" i="40" s="1"/>
  <c r="S13" i="39" a="1"/>
  <c r="S13" i="39" s="1"/>
  <c r="E17" i="40" s="1"/>
  <c r="S3" i="39" a="1"/>
  <c r="S3" i="39" s="1"/>
  <c r="E13" i="40" s="1"/>
  <c r="S6" i="39" a="1"/>
  <c r="S6" i="39" s="1"/>
  <c r="E7" i="40" s="1"/>
  <c r="S11" i="39" a="1"/>
  <c r="S11" i="39" s="1"/>
  <c r="E15" i="40" s="1"/>
  <c r="S14" i="39" a="1"/>
  <c r="S14" i="39" s="1"/>
  <c r="E18" i="40" s="1"/>
  <c r="S4" i="39" a="1"/>
  <c r="S4" i="39" s="1"/>
  <c r="E12" i="40" s="1"/>
  <c r="S9" i="39" a="1"/>
  <c r="S9" i="39" s="1"/>
  <c r="E8" i="40" s="1"/>
  <c r="S12" i="39" a="1"/>
  <c r="S12" i="39" s="1"/>
  <c r="E16" i="40" s="1"/>
  <c r="S7" i="39" a="1"/>
  <c r="S7" i="39" s="1"/>
  <c r="E6" i="40" s="1"/>
  <c r="S10" i="39" a="1"/>
  <c r="S10" i="39" s="1"/>
  <c r="E9" i="40" s="1"/>
  <c r="S2" i="39" a="1"/>
  <c r="S2" i="39" s="1"/>
  <c r="E14" i="40" s="1"/>
  <c r="D133" i="15"/>
  <c r="H6" i="13" s="1"/>
  <c r="J133" i="15"/>
  <c r="H12" i="13" s="1"/>
  <c r="I133" i="15"/>
  <c r="H11" i="13" s="1"/>
  <c r="G133" i="15"/>
  <c r="H9" i="13" s="1"/>
  <c r="F133" i="15"/>
  <c r="H8" i="13" s="1"/>
  <c r="H133" i="15"/>
  <c r="H10" i="13" s="1"/>
  <c r="E133" i="15"/>
  <c r="H7" i="13" s="1"/>
  <c r="C133" i="15"/>
  <c r="H5" i="13" s="1"/>
  <c r="F7" i="49" l="1"/>
  <c r="F10" i="49"/>
  <c r="F11" i="49"/>
  <c r="F4" i="49"/>
  <c r="F16" i="49"/>
  <c r="F15" i="49"/>
  <c r="F14" i="49"/>
  <c r="F13" i="49"/>
  <c r="F9" i="49"/>
  <c r="F12" i="49"/>
  <c r="F6" i="49"/>
  <c r="F5" i="49"/>
  <c r="F8" i="49"/>
  <c r="M5" i="13"/>
  <c r="M9" i="13"/>
  <c r="M12" i="13"/>
  <c r="M7" i="13"/>
  <c r="M11" i="13"/>
  <c r="M13" i="13"/>
  <c r="M15" i="13"/>
  <c r="M10" i="13"/>
  <c r="M8" i="13"/>
  <c r="M6" i="13"/>
  <c r="M14" i="13"/>
  <c r="M16" i="13"/>
  <c r="M4" i="13"/>
  <c r="E132" i="5" l="1"/>
  <c r="E7" i="13" s="1"/>
  <c r="J7" i="13" s="1"/>
  <c r="F132" i="5"/>
  <c r="E8" i="13" s="1"/>
  <c r="J8" i="13" s="1"/>
  <c r="G132" i="5"/>
  <c r="E9" i="13" s="1"/>
  <c r="J9" i="13" s="1"/>
  <c r="H132" i="5"/>
  <c r="E10" i="13" s="1"/>
  <c r="J10" i="13" s="1"/>
  <c r="I132" i="5"/>
  <c r="E11" i="13" s="1"/>
  <c r="J11" i="13" s="1"/>
  <c r="J132" i="5"/>
  <c r="E12" i="13" s="1"/>
  <c r="J12" i="13" s="1"/>
  <c r="D132" i="5" l="1"/>
  <c r="E6" i="13" s="1"/>
  <c r="J6" i="13" s="1"/>
  <c r="C132" i="5"/>
  <c r="E5" i="13" s="1"/>
  <c r="B132" i="5"/>
  <c r="E4" i="13" s="1"/>
  <c r="J4" i="13" s="1"/>
  <c r="L5" i="13" l="1"/>
  <c r="J5" i="13"/>
  <c r="K5" i="13" s="1"/>
  <c r="K7" i="13"/>
  <c r="K8" i="13"/>
  <c r="K9" i="13"/>
  <c r="K10" i="13"/>
  <c r="K11" i="13"/>
  <c r="K12" i="13"/>
  <c r="L9" i="13"/>
  <c r="L12" i="13"/>
  <c r="L6" i="13"/>
  <c r="L8" i="13"/>
  <c r="L7" i="13"/>
  <c r="L4" i="13"/>
  <c r="L13" i="13"/>
  <c r="P13" i="13" s="1"/>
  <c r="L14" i="13"/>
  <c r="P14" i="13" s="1"/>
  <c r="L15" i="13"/>
  <c r="P15" i="13" s="1"/>
  <c r="L16" i="13"/>
  <c r="P16" i="13" s="1"/>
  <c r="L11" i="13"/>
  <c r="L10" i="13"/>
  <c r="Z2" i="12"/>
  <c r="AB2" i="12"/>
  <c r="AA2" i="12"/>
  <c r="W2" i="12"/>
  <c r="X2" i="12"/>
  <c r="V2" i="12"/>
  <c r="K6" i="13" l="1"/>
  <c r="AH2" i="12"/>
  <c r="K14" i="13"/>
  <c r="K13" i="13"/>
  <c r="K16" i="13"/>
  <c r="K15" i="13"/>
  <c r="K4" i="13"/>
  <c r="P5" i="13"/>
  <c r="P11" i="13"/>
  <c r="P7" i="13"/>
  <c r="P10" i="13"/>
  <c r="P4" i="13"/>
  <c r="P9" i="13"/>
  <c r="P6" i="13"/>
  <c r="P8" i="13"/>
  <c r="P12" i="13"/>
  <c r="R5" i="13" l="1" a="1"/>
  <c r="R5" i="13" s="1"/>
  <c r="F13" i="40" s="1"/>
  <c r="R8" i="13" a="1"/>
  <c r="R8" i="13" s="1"/>
  <c r="F7" i="40" s="1"/>
  <c r="R13" i="13" a="1"/>
  <c r="R13" i="13" s="1"/>
  <c r="F15" i="40" s="1"/>
  <c r="R16" i="13" a="1"/>
  <c r="R16" i="13" s="1"/>
  <c r="F18" i="40" s="1"/>
  <c r="R6" i="13" a="1"/>
  <c r="R6" i="13" s="1"/>
  <c r="F12" i="40" s="1"/>
  <c r="R11" i="13" a="1"/>
  <c r="R11" i="13" s="1"/>
  <c r="F8" i="40" s="1"/>
  <c r="R14" i="13" a="1"/>
  <c r="R14" i="13" s="1"/>
  <c r="F16" i="40" s="1"/>
  <c r="R9" i="13" a="1"/>
  <c r="R9" i="13" s="1"/>
  <c r="F6" i="40" s="1"/>
  <c r="R12" i="13" a="1"/>
  <c r="R12" i="13" s="1"/>
  <c r="F9" i="40" s="1"/>
  <c r="R4" i="13" a="1"/>
  <c r="R4" i="13" s="1"/>
  <c r="F14" i="40" s="1"/>
  <c r="R7" i="13" a="1"/>
  <c r="R7" i="13" s="1"/>
  <c r="F10" i="40" s="1"/>
  <c r="R10" i="13" a="1"/>
  <c r="R10" i="13" s="1"/>
  <c r="F11" i="40" s="1"/>
  <c r="R15" i="13" a="1"/>
  <c r="R15" i="13" s="1"/>
  <c r="F17" i="40" s="1"/>
  <c r="I4" i="12"/>
  <c r="H3" i="12"/>
  <c r="K14" i="40" s="1"/>
  <c r="I8" i="12"/>
  <c r="H4" i="12"/>
  <c r="K13" i="40" s="1"/>
  <c r="H10" i="12"/>
  <c r="K8" i="40" l="1"/>
  <c r="C24" i="59"/>
  <c r="G15" i="49"/>
  <c r="G17" i="40"/>
  <c r="G9" i="49"/>
  <c r="G11" i="40"/>
  <c r="G4" i="49"/>
  <c r="G6" i="40"/>
  <c r="G16" i="49"/>
  <c r="G18" i="40"/>
  <c r="G8" i="49"/>
  <c r="G10" i="40"/>
  <c r="G14" i="49"/>
  <c r="G16" i="40"/>
  <c r="G13" i="49"/>
  <c r="G15" i="40"/>
  <c r="G12" i="49"/>
  <c r="G14" i="40"/>
  <c r="G6" i="49"/>
  <c r="G8" i="40"/>
  <c r="G5" i="49"/>
  <c r="G7" i="40"/>
  <c r="G7" i="49"/>
  <c r="G9" i="40"/>
  <c r="G10" i="49"/>
  <c r="G12" i="40"/>
  <c r="G11" i="49"/>
  <c r="G13" i="40"/>
  <c r="P9" i="55"/>
  <c r="J4" i="12"/>
  <c r="I10" i="12"/>
  <c r="I11" i="12"/>
  <c r="H5" i="12"/>
  <c r="K12" i="40" s="1"/>
  <c r="I9" i="12"/>
  <c r="I7" i="12"/>
  <c r="I5" i="12"/>
  <c r="H11" i="12"/>
  <c r="K9" i="40" s="1"/>
  <c r="I3" i="12"/>
  <c r="J3" i="12" s="1"/>
  <c r="H6" i="12"/>
  <c r="K10" i="40" s="1"/>
  <c r="H8" i="12"/>
  <c r="K6" i="40" s="1"/>
  <c r="I6" i="12"/>
  <c r="H7" i="12"/>
  <c r="K7" i="40" s="1"/>
  <c r="H9" i="12"/>
  <c r="K11" i="40" s="1"/>
  <c r="P22" i="55" l="1"/>
  <c r="Q9" i="55" s="1"/>
  <c r="H8" i="40" a="1"/>
  <c r="H8" i="40" s="1"/>
  <c r="G16" i="55" s="1"/>
  <c r="H13" i="40" a="1"/>
  <c r="H13" i="40" s="1"/>
  <c r="G10" i="55" s="1"/>
  <c r="H16" i="40" a="1"/>
  <c r="H16" i="40" s="1"/>
  <c r="G19" i="55" s="1"/>
  <c r="H11" i="40" a="1"/>
  <c r="H11" i="40" s="1"/>
  <c r="G15" i="55" s="1"/>
  <c r="H14" i="40" a="1"/>
  <c r="H14" i="40" s="1"/>
  <c r="G9" i="55" s="1"/>
  <c r="H6" i="40" a="1"/>
  <c r="H6" i="40" s="1"/>
  <c r="G14" i="55" s="1"/>
  <c r="L14" i="55" s="1"/>
  <c r="H9" i="40" a="1"/>
  <c r="H9" i="40" s="1"/>
  <c r="G17" i="55" s="1"/>
  <c r="H12" i="40" a="1"/>
  <c r="H12" i="40" s="1"/>
  <c r="G11" i="55" s="1"/>
  <c r="H17" i="40" a="1"/>
  <c r="H17" i="40" s="1"/>
  <c r="G20" i="55" s="1"/>
  <c r="H7" i="40" a="1"/>
  <c r="H7" i="40" s="1"/>
  <c r="G13" i="55" s="1"/>
  <c r="H10" i="40" a="1"/>
  <c r="H10" i="40" s="1"/>
  <c r="G12" i="55" s="1"/>
  <c r="H15" i="40" a="1"/>
  <c r="H15" i="40" s="1"/>
  <c r="G18" i="55" s="1"/>
  <c r="H18" i="40" a="1"/>
  <c r="H18" i="40" s="1"/>
  <c r="G21" i="55" s="1"/>
  <c r="J10" i="12"/>
  <c r="E24" i="59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H4" i="49" l="1"/>
  <c r="Q16" i="55"/>
  <c r="Q14" i="55"/>
  <c r="Q17" i="55"/>
  <c r="Q15" i="55"/>
  <c r="Q18" i="55"/>
  <c r="Q10" i="55"/>
  <c r="Q20" i="55"/>
  <c r="Q12" i="55"/>
  <c r="Q19" i="55"/>
  <c r="Q21" i="55"/>
  <c r="Q11" i="55"/>
  <c r="Q13" i="55"/>
  <c r="AB7" i="12" a="1"/>
  <c r="AB7" i="12" s="1"/>
  <c r="AH7" i="12" s="1"/>
  <c r="H16" i="49"/>
  <c r="L21" i="55"/>
  <c r="H9" i="49"/>
  <c r="L15" i="55"/>
  <c r="H8" i="49"/>
  <c r="L12" i="55"/>
  <c r="H15" i="49"/>
  <c r="L20" i="55"/>
  <c r="H6" i="49"/>
  <c r="L16" i="55"/>
  <c r="H5" i="49"/>
  <c r="L13" i="55"/>
  <c r="H13" i="49"/>
  <c r="L18" i="55"/>
  <c r="H10" i="49"/>
  <c r="L11" i="55"/>
  <c r="H14" i="49"/>
  <c r="L19" i="55"/>
  <c r="H7" i="49"/>
  <c r="L17" i="55"/>
  <c r="H12" i="49"/>
  <c r="L9" i="55"/>
  <c r="H11" i="49"/>
  <c r="L10" i="55"/>
  <c r="AB14" i="12" a="1"/>
  <c r="AB14" i="12" s="1"/>
  <c r="AH14" i="12" s="1"/>
  <c r="AB11" i="12" a="1"/>
  <c r="AB11" i="12" s="1"/>
  <c r="AH11" i="12" s="1"/>
  <c r="AB5" i="12" a="1"/>
  <c r="AB5" i="12" s="1"/>
  <c r="AH5" i="12" s="1"/>
  <c r="AB4" i="12" a="1"/>
  <c r="AB4" i="12" s="1"/>
  <c r="AH4" i="12" s="1"/>
  <c r="AB9" i="12" a="1"/>
  <c r="AB9" i="12" s="1"/>
  <c r="AH9" i="12" s="1"/>
  <c r="AB8" i="12" a="1"/>
  <c r="AB8" i="12" s="1"/>
  <c r="AH8" i="12" s="1"/>
  <c r="AB15" i="12" a="1"/>
  <c r="AB15" i="12" s="1"/>
  <c r="AH15" i="12" s="1"/>
  <c r="AB6" i="12" a="1"/>
  <c r="AB6" i="12" s="1"/>
  <c r="AH6" i="12" s="1"/>
  <c r="AB13" i="12" a="1"/>
  <c r="AB13" i="12" s="1"/>
  <c r="AK13" i="12" s="1"/>
  <c r="AB12" i="12" a="1"/>
  <c r="AB12" i="12" s="1"/>
  <c r="AK12" i="12" s="1"/>
  <c r="AB3" i="12" a="1"/>
  <c r="AB3" i="12" s="1"/>
  <c r="AK3" i="12" s="1"/>
  <c r="AB10" i="12" a="1"/>
  <c r="AB10" i="12" s="1"/>
  <c r="AK10" i="12" s="1"/>
  <c r="AK7" i="12" l="1"/>
  <c r="AH10" i="12"/>
  <c r="AH12" i="12"/>
  <c r="AH13" i="12"/>
  <c r="AH3" i="12"/>
  <c r="AK8" i="12"/>
  <c r="AK15" i="12"/>
  <c r="AK14" i="12"/>
  <c r="L22" i="55"/>
  <c r="M14" i="55" s="1"/>
  <c r="AK11" i="12"/>
  <c r="AK4" i="12"/>
  <c r="AK6" i="12"/>
  <c r="AK9" i="12"/>
  <c r="AK5" i="12"/>
  <c r="AJ6" i="12" l="1" a="1"/>
  <c r="AJ6" i="12" s="1"/>
  <c r="J10" i="40" s="1"/>
  <c r="J8" i="49" s="1"/>
  <c r="AJ9" i="12" a="1"/>
  <c r="AJ9" i="12" s="1"/>
  <c r="AJ15" i="12" a="1"/>
  <c r="AJ15" i="12" s="1"/>
  <c r="AJ5" i="12" a="1"/>
  <c r="AJ5" i="12" s="1"/>
  <c r="AJ13" i="12" a="1"/>
  <c r="AJ13" i="12" s="1"/>
  <c r="M16" i="55"/>
  <c r="AJ7" i="12" a="1"/>
  <c r="AJ7" i="12" s="1"/>
  <c r="M17" i="55"/>
  <c r="AJ11" i="12" a="1"/>
  <c r="AJ11" i="12" s="1"/>
  <c r="AJ12" i="12" a="1"/>
  <c r="AJ12" i="12" s="1"/>
  <c r="M18" i="55"/>
  <c r="AJ14" i="12" a="1"/>
  <c r="AJ14" i="12" s="1"/>
  <c r="J17" i="40" s="1"/>
  <c r="AJ4" i="12" a="1"/>
  <c r="AJ4" i="12" s="1"/>
  <c r="J13" i="40" s="1"/>
  <c r="M12" i="55"/>
  <c r="M9" i="55"/>
  <c r="M15" i="55"/>
  <c r="M20" i="55"/>
  <c r="AJ10" i="12" a="1"/>
  <c r="AJ10" i="12" s="1"/>
  <c r="J8" i="40" s="1"/>
  <c r="M13" i="55"/>
  <c r="AJ3" i="12" a="1"/>
  <c r="AJ3" i="12" s="1"/>
  <c r="J14" i="40" s="1"/>
  <c r="AJ8" i="12" a="1"/>
  <c r="AJ8" i="12" s="1"/>
  <c r="M21" i="55"/>
  <c r="M19" i="55"/>
  <c r="M10" i="55"/>
  <c r="M11" i="55"/>
  <c r="M10" i="40" l="1"/>
  <c r="F12" i="55"/>
  <c r="J12" i="55" s="1"/>
  <c r="J7" i="40"/>
  <c r="J5" i="49" s="1"/>
  <c r="J16" i="40"/>
  <c r="F19" i="55" s="1"/>
  <c r="J19" i="55" s="1"/>
  <c r="J12" i="40"/>
  <c r="M12" i="40" s="1"/>
  <c r="J15" i="40"/>
  <c r="F18" i="55" s="1"/>
  <c r="J18" i="55" s="1"/>
  <c r="J18" i="40"/>
  <c r="M18" i="40" s="1"/>
  <c r="J9" i="40"/>
  <c r="M9" i="40" s="1"/>
  <c r="J11" i="40"/>
  <c r="F15" i="55" s="1"/>
  <c r="J15" i="55" s="1"/>
  <c r="J6" i="40"/>
  <c r="M6" i="40" s="1"/>
  <c r="J14" i="49"/>
  <c r="M7" i="40"/>
  <c r="F13" i="55"/>
  <c r="J13" i="55" s="1"/>
  <c r="J6" i="49"/>
  <c r="F16" i="55"/>
  <c r="J16" i="55" s="1"/>
  <c r="M8" i="40"/>
  <c r="J11" i="49"/>
  <c r="F10" i="55"/>
  <c r="J10" i="55" s="1"/>
  <c r="M13" i="40"/>
  <c r="J15" i="49"/>
  <c r="F20" i="55"/>
  <c r="J20" i="55" s="1"/>
  <c r="M17" i="40"/>
  <c r="J12" i="49"/>
  <c r="F9" i="55"/>
  <c r="J9" i="55" s="1"/>
  <c r="M14" i="40"/>
  <c r="M16" i="40" l="1"/>
  <c r="J10" i="49"/>
  <c r="F11" i="55"/>
  <c r="J11" i="55" s="1"/>
  <c r="F17" i="55"/>
  <c r="J17" i="55" s="1"/>
  <c r="J7" i="49"/>
  <c r="M15" i="40"/>
  <c r="F21" i="55"/>
  <c r="J21" i="55" s="1"/>
  <c r="J16" i="49"/>
  <c r="J13" i="49"/>
  <c r="M11" i="40"/>
  <c r="J9" i="49"/>
  <c r="F14" i="55"/>
  <c r="J14" i="55" s="1"/>
  <c r="J4" i="49"/>
  <c r="N6" i="40" l="1" a="1"/>
  <c r="N6" i="40" s="1"/>
  <c r="L4" i="49" s="1"/>
  <c r="N12" i="40" a="1"/>
  <c r="N12" i="40" s="1"/>
  <c r="L10" i="49" s="1"/>
  <c r="N10" i="40" a="1"/>
  <c r="N10" i="40" s="1"/>
  <c r="L8" i="49" s="1"/>
  <c r="J22" i="55"/>
  <c r="K14" i="55" s="1"/>
  <c r="R14" i="55" s="1"/>
  <c r="N16" i="40" a="1"/>
  <c r="N16" i="40" s="1"/>
  <c r="L14" i="49" s="1"/>
  <c r="N17" i="40" a="1"/>
  <c r="N17" i="40" s="1"/>
  <c r="L15" i="49" s="1"/>
  <c r="N18" i="40" a="1"/>
  <c r="N18" i="40" s="1"/>
  <c r="L16" i="49" s="1"/>
  <c r="N13" i="40" a="1"/>
  <c r="N13" i="40" s="1"/>
  <c r="L11" i="49" s="1"/>
  <c r="N9" i="40" a="1"/>
  <c r="N9" i="40" s="1"/>
  <c r="L7" i="49" s="1"/>
  <c r="N11" i="40" a="1"/>
  <c r="N11" i="40" s="1"/>
  <c r="L9" i="49" s="1"/>
  <c r="N8" i="40" a="1"/>
  <c r="N8" i="40" s="1"/>
  <c r="L6" i="49" s="1"/>
  <c r="N15" i="40" a="1"/>
  <c r="N15" i="40" s="1"/>
  <c r="L13" i="49" s="1"/>
  <c r="N14" i="40" a="1"/>
  <c r="N14" i="40" s="1"/>
  <c r="L12" i="49" s="1"/>
  <c r="N7" i="40" a="1"/>
  <c r="N7" i="40" s="1"/>
  <c r="L5" i="49" s="1"/>
  <c r="K10" i="55"/>
  <c r="R10" i="55" s="1"/>
  <c r="K20" i="55"/>
  <c r="R20" i="55" s="1"/>
  <c r="K16" i="55"/>
  <c r="R16" i="55" s="1"/>
  <c r="K12" i="55" l="1"/>
  <c r="R12" i="55" s="1"/>
  <c r="K9" i="55"/>
  <c r="R9" i="55" s="1"/>
  <c r="K18" i="55"/>
  <c r="R18" i="55" s="1"/>
  <c r="K15" i="55"/>
  <c r="R15" i="55" s="1"/>
  <c r="K21" i="55"/>
  <c r="R21" i="55" s="1"/>
  <c r="K11" i="55"/>
  <c r="R11" i="55" s="1"/>
  <c r="K17" i="55"/>
  <c r="R17" i="55" s="1"/>
  <c r="K13" i="55"/>
  <c r="R13" i="55" s="1"/>
  <c r="K19" i="55"/>
  <c r="R19" i="55" s="1"/>
  <c r="S19" i="55" s="1"/>
  <c r="S16" i="55"/>
  <c r="S20" i="55"/>
  <c r="S10" i="55"/>
  <c r="S14" i="55"/>
  <c r="S12" i="55" l="1"/>
  <c r="S17" i="55"/>
  <c r="S13" i="55"/>
  <c r="S21" i="55"/>
  <c r="S15" i="55"/>
  <c r="S11" i="55"/>
  <c r="S9" i="55"/>
  <c r="R3" i="55"/>
  <c r="S18" i="55"/>
  <c r="E13" i="59"/>
  <c r="E12" i="59"/>
  <c r="E15" i="59"/>
  <c r="E16" i="59"/>
  <c r="E8" i="59"/>
  <c r="E9" i="59"/>
  <c r="E11" i="59"/>
  <c r="E10" i="59"/>
  <c r="E17" i="59"/>
  <c r="E14" i="59"/>
  <c r="S3" i="55" l="1"/>
  <c r="K35" i="59"/>
  <c r="O35" i="59" s="1"/>
  <c r="K39" i="59"/>
  <c r="O39" i="59" s="1"/>
  <c r="K38" i="59"/>
  <c r="O38" i="59" s="1"/>
  <c r="K37" i="59"/>
  <c r="O37" i="59" s="1"/>
  <c r="K36" i="59"/>
  <c r="O36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A5D4B984-6414-4A68-BC39-A40F2F22B588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Timestamp="1719802181"&gt;&lt;FQL&gt;&lt;Q&gt;FC0000ZA^FG_MCAP_IDX(0,,,USD)&lt;/Q&gt;&lt;R&gt;1&lt;/R&gt;&lt;C&gt;1&lt;/C&gt;&lt;D xsi:type="xsd:double"&gt;326495.38&lt;/D&gt;&lt;/FQL&gt;&lt;FQL&gt;&lt;Q&gt;FC0000NL^FMA_MCAP(0,,,USD,"PORTAGG")&lt;/Q&gt;&lt;R&gt;1&lt;/R&gt;&lt;C&gt;1&lt;/C&gt;&lt;D xsi:type="xsd:double"&gt;1161401.5&lt;/D&gt;&lt;/FQL&gt;&lt;FQL&gt;&lt;Q&gt;FC0000IT^FMA_MCAP(0,,,USD,"PORTAGG")&lt;/Q&gt;&lt;R&gt;1&lt;/R&gt;&lt;C&gt;1&lt;/C&gt;&lt;D xsi:type="xsd:double"&gt;844926.94&lt;/D&gt;&lt;/FQL&gt;&lt;FQL&gt;&lt;Q&gt;EWD^FREF_MARKET_VALUE_COMPANY(0,,,USD,,0,,"LEGACY")&lt;/Q&gt;&lt;R&gt;1&lt;/R&gt;&lt;C&gt;1&lt;/C&gt;&lt;D xsi:type="xsd:double"&gt;377.34375&lt;/D&gt;&lt;/FQL&gt;&lt;FQL&gt;&lt;Q&gt;FC0000SE^FMA_MCAP(0,,,USD,"PORTAGG")&lt;/Q&gt;&lt;R&gt;1&lt;/R&gt;&lt;C&gt;1&lt;/C&gt;&lt;D xsi:type="xsd:double"&gt;1011404.6&lt;/D&gt;&lt;/FQL&gt;&lt;FQL&gt;&lt;Q&gt;EWN^FREF_MARKET_VALUE_COMPANY(0,,,USD,,0,,"LEGACY")&lt;/Q&gt;&lt;R&gt;1&lt;/R&gt;&lt;C&gt;1&lt;/C&gt;&lt;D xsi:type="xsd:double"&gt;286.311&lt;/D&gt;&lt;/FQL&gt;&lt;FQL&gt;&lt;Q&gt;EWQ^FREF_MARKET_VALUE_COMPANY(0,,,USD,,0,,"LEGACY")&lt;/Q&gt;&lt;R&gt;1&lt;/R&gt;&lt;C&gt;1&lt;/C&gt;&lt;D xsi:type="xsd:double"&gt;619.592&lt;/D&gt;&lt;/FQL&gt;&lt;FQL&gt;&lt;Q&gt;SPY^FREF_MARKET_VALUE_COMPANY(0,,,USD,,0,,"LEGACY")&lt;/Q&gt;&lt;R&gt;1&lt;/R&gt;&lt;C&gt;1&lt;/C&gt;&lt;D xsi:type="xsd:double"&gt;541135.415462&lt;/D&gt;&lt;/FQL&gt;&lt;FQL&gt;&lt;Q&gt;EWJ^FREF_MARKET_VALUE_COMPANY(0,,,USD,,0,,"LEGACY")&lt;/Q&gt;&lt;R&gt;1&lt;/R&gt;&lt;C&gt;1&lt;/C&gt;&lt;D xsi:type="xsd:double"&gt;15732.732&lt;/D&gt;&lt;/FQL&gt;&lt;FQL&gt;&lt;Q&gt;ENZL^FREF_MARKET_VALUE_COMPANY(0,,,USD,,0,,"LEGACY")&lt;/Q&gt;&lt;R&gt;1&lt;/R&gt;&lt;C&gt;1&lt;/C&gt;&lt;D xsi:type="xsd:double"&gt;84.101&lt;/D&gt;&lt;/FQL&gt;&lt;FQL&gt;&lt;Q&gt;FC0000FR^FMA_MCAP(0,,,USD,"PORTAGG")&lt;/Q&gt;&lt;R&gt;1&lt;/R&gt;&lt;C&gt;1&lt;/C&gt;&lt;D xsi:type="xsd:double"&gt;3095495&lt;/D&gt;&lt;/FQL&gt;&lt;FQL&gt;&lt;Q&gt;FC0000GB^FMA_MCAP(0,,,USD,"PORTAGG")&lt;/Q&gt;&lt;R&gt;1&lt;/R&gt;&lt;C&gt;1&lt;/C&gt;&lt;D xsi:type="xsd:double"&gt;3203385&lt;/D&gt;&lt;/FQL&gt;&lt;FQL&gt;&lt;Q&gt;FC0000NZ^FMA_MCAP(0,,,USD,"PORTAGG")&lt;/Q&gt;&lt;R&gt;1&lt;/R&gt;&lt;C&gt;1&lt;/C&gt;&lt;D xsi:type="xsd:double"&gt;91336.336&lt;/D&gt;&lt;/FQL&gt;&lt;FQL&gt;&lt;Q&gt;NQG00809^FMA_MCAP(0,,,USD,"PORTAGG")&lt;/Q&gt;&lt;R&gt;0&lt;/R&gt;&lt;C&gt;0&lt;/C&gt;&lt;/FQL&gt;&lt;FQL&gt;&lt;Q&gt;QQQ^FREF_MARKET_VALUE_COMPANY(0,,,USD,,0,,"LEGACY")&lt;/Q&gt;&lt;R&gt;1&lt;/R&gt;&lt;C&gt;1&lt;/C&gt;&lt;D xsi:type="xsd:double"&gt;286747.335&lt;/D&gt;&lt;/FQL&gt;&lt;FQL&gt;&lt;Q&gt;FC0000JP^FMA_MCAP(0,,,USD,"PORTAGG")&lt;/Q&gt;&lt;R&gt;1&lt;/R&gt;&lt;C&gt;1&lt;/C&gt;&lt;D xsi:type="xsd:double"&gt;6342091&lt;/D&gt;&lt;/FQL&gt;&lt;FQL&gt;&lt;Q&gt;FC0000US^FMA_MCAP(0,,,USD,"PORTAGG")&lt;/Q&gt;&lt;R&gt;1&lt;/R&gt;&lt;C&gt;1&lt;/C&gt;&lt;D xsi:type="xsd:double"&gt;56486140&lt;/D&gt;&lt;/FQL&gt;&lt;FQL&gt;&lt;Q&gt;FC0000CH^FMA_MCAP(0,,,USD,"PORTAGG")&lt;/Q&gt;&lt;R&gt;1&lt;/R&gt;&lt;C&gt;1&lt;/C&gt;&lt;D xsi:type="xsd:double"&gt;2163202.3&lt;/D&gt;&lt;/FQL&gt;&lt;FQL&gt;&lt;Q&gt;EWU^FREF_MARKET_VALUE_COMPANY(0,,,USD,,0,,"LEGACY")&lt;/Q&gt;&lt;R&gt;1&lt;/R&gt;&lt;C&gt;1&lt;/C&gt;&lt;D xsi:type="xsd:double"&gt;2828.768&lt;/D&gt;&lt;/FQL&gt;&lt;FQL&gt;&lt;Q&gt;EWG^FREF_MARKET_VALUE_COMPANY(0,,,USD,,0,,"LEGACY")&lt;/Q&gt;&lt;R&gt;1&lt;/R&gt;&lt;C&gt;1&lt;/C&gt;&lt;D xsi:type="xsd:double"&gt;909.414&lt;/D&gt;&lt;/FQL&gt;&lt;FQL&gt;&lt;Q&gt;NQG00809^FG_COMPANY_NAME&lt;/Q&gt;&lt;R&gt;1&lt;/R&gt;&lt;C&gt;1&lt;/C&gt;&lt;D xsi:type="xsd:string"&gt;Nasdaq South Africa&lt;/D&gt;&lt;/FQL&gt;&lt;FQL&gt;&lt;Q&gt;EWL^FREF_MARKET_VALUE_COMPANY(0,,,USD,,0,,"LEGACY")&lt;/Q&gt;&lt;R&gt;1&lt;/R&gt;&lt;C&gt;1&lt;/C&gt;&lt;D xsi:type="xsd:double"&gt;1151.01375&lt;/D&gt;&lt;/FQL&gt;&lt;FQL&gt;&lt;Q&gt;CC_ZA^FG_COMPANY_NAME&lt;/Q&gt;&lt;R&gt;1&lt;/R&gt;&lt;C&gt;1&lt;/C&gt;&lt;D xsi:type="xsd:string"&gt;South Africa&lt;/D&gt;&lt;/FQL&gt;&lt;FQL&gt;&lt;Q&gt;FC0000DE^FMA_MCAP(0,,,USD,"PORTAGG")&lt;/Q&gt;&lt;R&gt;1&lt;/R&gt;&lt;C&gt;1&lt;/C&gt;&lt;D xsi:type="xsd:double"&gt;2229665.5&lt;/D&gt;&lt;/FQL&gt;&lt;FQL&gt;&lt;Q&gt;EWC^FREF_MARKET_VALUE_COMPANY(0,,,USD,,0,,"LEGACY")&lt;/Q&gt;&lt;R&gt;1&lt;/R&gt;&lt;C&gt;1&lt;/C&gt;&lt;D xsi:type="xsd:double"&gt;2425.686&lt;/D&gt;&lt;/FQL&gt;&lt;FQL&gt;&lt;Q&gt;FC0000CA^FMA_MCAP(0,,,USD,"PORTAGG")&lt;/Q&gt;&lt;R&gt;1&lt;/R&gt;&lt;C&gt;1&lt;/C&gt;&lt;D xsi:type="xsd:double"&gt;2695164.3&lt;/D&gt;&lt;/FQL&gt;&lt;FQL&gt;&lt;Q&gt;EWA^FREF_MARKET_VALUE_COMPANY(0,,,USD,,0,,"LEGACY")&lt;/Q&gt;&lt;R&gt;1&lt;/R&gt;&lt;C&gt;1&lt;/C&gt;&lt;D xsi:type="xsd:double"&gt;1587.95&lt;/D&gt;&lt;/FQL&gt;&lt;FQL&gt;&lt;Q&gt;FC0000AU^FMA_MCAP(0,,,USD,"PORTAGG")&lt;/Q&gt;&lt;R&gt;1&lt;/R&gt;&lt;C&gt;1&lt;/C&gt;&lt;D xsi:type="xsd:double"&gt;1706446&lt;/D&gt;&lt;/FQL&gt;&lt;FQL&gt;&lt;Q&gt;EWI^FREF_MARKET_VALUE_COMPANY(0,,,USD,,0,,"LEGACY")&lt;/Q&gt;&lt;R&gt;1&lt;/R&gt;&lt;C&gt;1&lt;/C&gt;&lt;D xsi:type="xsd:double"&gt;440.955&lt;/D&gt;&lt;/FQL&gt;&lt;FQL&gt;&lt;Q&gt;DUMMY^ECON_EXPR_DATA('FDS_ECON[NTCPMIMFGSA@IT]',,,M)&lt;/Q&gt;&lt;R&gt;0&lt;/R&gt;&lt;C&gt;0&lt;/C&gt;&lt;/FQL&gt;&lt;FQL&gt;&lt;Q&gt;DUMMY^ECON_EXPR_DATA('FDS_ECON[NTCPMIMFGSA@FR]',,,M)&lt;/Q&gt;&lt;R&gt;1&lt;/R&gt;&lt;C&gt;1&lt;/C&gt;&lt;D xsi:type="xsd:double"&gt;45.262806&lt;/D&gt;&lt;/FQL&gt;&lt;FQL&gt;&lt;Q&gt;DUMMY^ECON_EXPR_DATA('FDS_ECON[NTCPMIMFGMESA@US]',,,M)&lt;/Q&gt;&lt;R&gt;1&lt;/R&gt;&lt;C&gt;1&lt;/C&gt;&lt;D xsi:type="xsd:double"&gt;51.65503&lt;/D&gt;&lt;/FQL&gt;&lt;FQL&gt;&lt;Q&gt;DUMMY^ECON_EXPR_DATA('FDS_ECON[NTCPMIMFGSA@JP]',,,M)&lt;/Q&gt;&lt;R&gt;1&lt;/R&gt;&lt;C&gt;1&lt;/C&gt;&lt;D xsi:type="xsd:double"&gt;50.046066&lt;/D&gt;&lt;/FQL&gt;&lt;FQL&gt;&lt;Q&gt;DUMMY^ECON_EXPR_DATA('FDS_ECON[]',,,M)&lt;/Q&gt;&lt;R&gt;0&lt;/R&gt;&lt;C&gt;0&lt;/C&gt;&lt;/FQL&gt;&lt;FQL&gt;&lt;Q&gt;DUMMY^ECON_EXPR_DATA('FDS_ECON[NTCPMIMFGSA@DE]',,,M)&lt;/Q&gt;&lt;R&gt;1&lt;/R&gt;&lt;C&gt;1&lt;/C&gt;&lt;D xsi:type="xsd:double"&gt;43.363316&lt;/D&gt;&lt;/FQL&gt;&lt;FQL&gt;&lt;Q&gt;DUMMY^ECON_EXPR_DATA('FDS_ECON[NTCPMIMFGSA@AU]',,,M)&lt;/Q&gt;&lt;R&gt;1&lt;/R&gt;&lt;C&gt;1&lt;/C&gt;&lt;D xsi:type="xsd:double"&gt;47.17306&lt;/D&gt;&lt;/FQL&gt;&lt;FQL&gt;&lt;Q&gt;DUMMY^ECON_EXPR_DATA('FDS_ECON[NTCPMIMFGSA@NZ]',,,M)&lt;/Q&gt;&lt;R&gt;0&lt;/R&gt;&lt;C&gt;0&lt;/C&gt;&lt;/FQL&gt;&lt;FQL&gt;&lt;Q&gt;DUMMY^ECON_EXPR_DATA('FDS_ECON[NTCPMIMFGSA@NL]',,,M)&lt;/Q&gt;&lt;R&gt;0&lt;/R&gt;&lt;C&gt;0&lt;/C&gt;&lt;/FQL&gt;&lt;FQL&gt;&lt;Q&gt;DUMMY^ECON_EXPR_DATA('FDS_ECON[NTCPMIMFGSA@GB]',,,M)&lt;/Q&gt;&lt;R&gt;1&lt;/R&gt;&lt;C&gt;1&lt;/C&gt;&lt;D xsi:type="xsd:double"&gt;51.413433&lt;/D&gt;&lt;/FQL&gt;&lt;FQL&gt;&lt;Q&gt;DUMMY^ECON_EXPR_DATA('FDS_ECON[NTCPMIMFGSA@CA]',,,M)&lt;/Q&gt;&lt;R&gt;0&lt;/R&gt;&lt;C&gt;0&lt;/C&gt;&lt;/FQL&gt;&lt;FQL&gt;&lt;Q&gt;DUMMY^ECON_EXPR_DATA('FDS_ECON[NTCPMIMFGSA@CH]',,,M)&lt;/Q&gt;&lt;R&gt;0&lt;/R&gt;&lt;C&gt;0&lt;/C&gt;&lt;/FQL&gt;&lt;FQL&gt;&lt;Q&gt;CAGDPY@FR^EE_ACTUAL_ANNUAL(MED,+1)&lt;/Q&gt;&lt;R&gt;1&lt;/R&gt;&lt;C&gt;1&lt;/C&gt;&lt;D xsi:type="xsd:double"&gt;-0.55&lt;/D&gt;&lt;/FQL&gt;&lt;FQL&gt;&lt;Q&gt;CAGDPY@AU^EE_ACTUAL_ANNUAL(MED,+1)&lt;/Q&gt;&lt;R&gt;1&lt;/R&gt;&lt;C&gt;1&lt;/C&gt;&lt;D xsi:type="xsd:double"&gt;0.5&lt;/D&gt;&lt;/FQL&gt;&lt;FQL&gt;&lt;Q&gt;USDITL^FG_PRICE_CHANGE(0,-3AM)&lt;/Q&gt;&lt;R&gt;1&lt;/R&gt;&lt;C&gt;1&lt;/C&gt;&lt;D xsi:type="xsd:double"&gt;0.76978207&lt;/D&gt;&lt;/FQL&gt;&lt;FQL&gt;&lt;Q&gt;USDANG^FG_PRICE_CHANGE(0,-3AM)&lt;/Q&gt;&lt;R&gt;1&lt;/R&gt;&lt;C&gt;1&lt;/C&gt;&lt;D xsi:type="xsd:double"&gt;0&lt;/D&gt;&lt;/FQL&gt;&lt;FQL&gt;&lt;Q&gt;USDUSD^FG_PRICE_CHANGE(0,-3AM)&lt;/Q&gt;&lt;R&gt;1&lt;/R&gt;&lt;C&gt;1&lt;/C&gt;&lt;D xsi:type="xsd:double"&gt;0&lt;/D&gt;&lt;/FQL&gt;&lt;FQL&gt;&lt;Q&gt;USDGBP^FG_PRICE_CHANGE(0,-3AM)&lt;/Q&gt;&lt;R&gt;1&lt;/R&gt;&lt;C&gt;1&lt;/C&gt;&lt;D xsi:type="xsd:double"&gt;-0.06724&lt;/D&gt;&lt;/FQL&gt;&lt;FQL&gt;&lt;Q&gt;USDJPY^FG_PRICE_CHANGE(0,-3AM)&lt;/Q&gt;&lt;R&gt;1&lt;/R&gt;&lt;C&gt;1&lt;/C&gt;&lt;D xsi:type="xsd:double"&gt;6.286955&lt;/D&gt;&lt;/FQL&gt;&lt;FQL&gt;&lt;Q&gt;USDCAD^FG_PRICE_CHANGE(0,-3AM)&lt;/Q&gt;&lt;R&gt;1&lt;/R&gt;&lt;C&gt;1&lt;/C&gt;&lt;D xsi:type="xsd:double"&gt;1.1158347&lt;/D&gt;&lt;/FQL&gt;&lt;FQL&gt;&lt;Q&gt;USDNZD^FG_PRICE_CHANGE(0,-3AM)&lt;/Q&gt;&lt;R&gt;1&lt;/R&gt;&lt;C&gt;1&lt;/C&gt;&lt;D xsi:type="xsd:double"&gt;-1.8380225&lt;/D&gt;&lt;/FQL&gt;&lt;FQL&gt;&lt;Q&gt;EWA^FMA_EPS(NTMA,-20AY,0,CY,,"PORTAGG","MEANR")&lt;/Q&gt;&lt;R&gt;20&lt;/R&gt;&lt;C&gt;1&lt;/C&gt;&lt;D xsi:type="xsd:double"&gt;1.18421421757289&lt;/D&gt;&lt;D xsi:type="xsd:double"&gt;1.35622936034371&lt;/D&gt;&lt;D xsi:type="xsd:double"&gt;1.68223219538503&lt;/D&gt;&lt;D xsi:type="xsd:double"&gt;2.01218211762237&lt;/D&gt;&lt;D xsi:type="xsd:double"&gt;1.47822239950882&lt;/D&gt;&lt;D xsi:type="xsd:double"&gt;1.49861477471222&lt;/D&gt;&lt;D xsi:type="xsd:double"&gt;2.04832230944667&lt;/D&gt;&lt;D xsi:type="xsd:double"&gt;2.08841813329258&lt;/D&gt;&lt;D xsi:type="xsd:double"&gt;1.8915836506348&lt;/D&gt;&lt;D xsi:type="xsd:double"&gt;1.71909344341549&lt;/D&gt;&lt;D xsi:type="xsd:double"&gt;1.51920222936301&lt;/D&gt;&lt;D xsi:type="xsd:double"&gt;1.20321447580294&lt;/D&gt;&lt;D xsi:type="xsd:double"&gt;1.28201594869045&lt;/D&gt;&lt;D xsi:type="xsd:double"&gt;1.44580701527009&lt;/D&gt;&lt;D xsi:type="xsd:double"&gt;1.37894957605166&lt;/D&gt;&lt;D xsi:type="xsd:double"&gt;1.3179970851092&lt;/D&gt;&lt;D xsi:type="xsd:double"&gt;1.26256164176903&lt;/D&gt;&lt;D xsi:type="xsd:double"&gt;1.41909398824033&lt;/D&gt;&lt;D xsi:type="xsd:double"&gt;1.56850336770513&lt;/D&gt;&lt;D xsi:type="xsd:double"&gt;1.47892717787447&lt;/D&gt;&lt;/FQL&gt;&lt;FQL&gt;&lt;Q&gt;ENZL^JULIAN(P_PRICE_RETURNS_PR('52W',2,-10AY,0,AM).DATES)&lt;/Q&gt;&lt;R&gt;121&lt;/R&gt;&lt;C&gt;1&lt;/C&gt;&lt;D xsi:type="xsd:long"&gt;41817&lt;/D&gt;&lt;D xsi:type="xsd:long"&gt;41848&lt;/D&gt;&lt;D xsi:type="xsd:long"&gt;41879&lt;/D&gt;&lt;D xsi:type="xsd:long"&gt;41908&lt;/D&gt;&lt;D xsi:type="xsd:long"&gt;41940&lt;/D&gt;&lt;D xsi:type="xsd:long"&gt;41971&lt;/D&gt;&lt;D xsi:type="xsd:long"&gt;41999&lt;/D&gt;&lt;D xsi:type="xsd:long"&gt;42032&lt;/D&gt;&lt;D xsi:type="xsd:long"&gt;42062&lt;/D&gt;&lt;D xsi:type="xsd:long"&gt;42090&lt;/D&gt;&lt;D xsi:type="xsd:long"&gt;42122&lt;/D&gt;&lt;D xsi:type="xsd:long"&gt;42152&lt;/D&gt;&lt;D xsi:type="xsd:long"&gt;42181&lt;/D&gt;&lt;D xsi:type="xsd:long"&gt;42213&lt;/D&gt;&lt;D xsi:type="xsd:long"&gt;42244&lt;/D&gt;&lt;D xsi:type="xsd:long"&gt;42275&lt;/D&gt;&lt;D xsi:type="xsd:long"&gt;42305&lt;/D&gt;&lt;D xsi:type="xsd:long"&gt;42335&lt;/D&gt;&lt;D xsi:type="xsd:long"&gt;42366&lt;/D&gt;&lt;D xsi:type="xsd:long"&gt;42397&lt;/D&gt;&lt;D xsi:type="xsd:long"&gt;42426&lt;/D&gt;&lt;D xsi:type="xsd:long"&gt;42457&lt;/D&gt;&lt;D xsi:type="xsd:long"&gt;42488&lt;/D&gt;&lt;D xsi:type="xsd:long"&gt;42517&lt;/D&gt;&lt;D xsi:type="xsd:long"&gt;42549&lt;/D&gt;&lt;D xsi:type="xsd:long"&gt;42579&lt;/D&gt;&lt;D xsi:type="xsd:long"&gt;42608&lt;/D&gt;&lt;D xsi:type="xsd:long"&gt;42641&lt;/D&gt;&lt;D xsi:type="xsd:long"&gt;42671&lt;/D&gt;&lt;D xsi:type="xsd:long"&gt;42702&lt;/D&gt;&lt;D xsi:type="xsd:long"&gt;42732&lt;/D&gt;&lt;D xsi:type="xsd:long"&gt;42762&lt;/D&gt;&lt;D xsi:type="xsd:long"&gt;42794&lt;/D&gt;&lt;D xsi:type="xsd:long"&gt;42822&lt;/D&gt;&lt;D xsi:type="xsd:long"&gt;42853&lt;/D&gt;&lt;D xsi:type="xsd:long"&gt;42881&lt;/D&gt;&lt;D xsi:type="xsd:long"&gt;42914&lt;/D&gt;&lt;D xsi:type="xsd:long"&gt;42944&lt;/D&gt;&lt;D xsi:type="xsd:long"&gt;42975&lt;/D&gt;&lt;D xsi:type="xsd:long"&gt;43006&lt;/D&gt;&lt;D xsi:type="xsd:long"&gt;43035&lt;/D&gt;&lt;D xsi:type="xsd:long"&gt;43067&lt;/D&gt;&lt;D xsi:type="xsd:long"&gt;43097&lt;/D&gt;&lt;D xsi:type="xsd:long"&gt;43126&lt;/D&gt;&lt;D xsi:type="xsd:long"&gt;43159&lt;/D&gt;&lt;D xsi:type="xsd:long"&gt;43187&lt;/D&gt;&lt;D xsi:type="xsd:long"&gt;43217&lt;/D&gt;&lt;D xsi:type="xsd:long"&gt;43245&lt;/D&gt;&lt;D xsi:type="xsd:long"&gt;43279&lt;/D&gt;&lt;D xsi:type="xsd:long"&gt;43308&lt;/D&gt;&lt;D xsi:type="xsd:long"&gt;43340&lt;/D&gt;&lt;D xsi:type="xsd:long"&gt;43371&lt;/D&gt;&lt;D xsi:type="xsd:long"&gt;43399&lt;/D&gt;&lt;D xsi:type="xsd:long"&gt;43432&lt;/D&gt;&lt;D xsi:type="xsd:long"&gt;43462&lt;/D&gt;&lt;D xsi:type="xsd:long"&gt;43493&lt;/D&gt;&lt;D xsi:type="xsd:long"&gt;43524&lt;/D&gt;&lt;D xsi:type="xsd:long"&gt;43552&lt;/D&gt;&lt;D xsi:type="xsd:long"&gt;43581&lt;/D&gt;&lt;D xsi:type="xsd:long"&gt;43613&lt;/D&gt;&lt;D xsi:type="xsd:long"&gt;43644&lt;/D&gt;&lt;D xsi:type="xsd:long"&gt;43672&lt;/D&gt;&lt;D xsi:type="xsd:long"&gt;43705&lt;/D&gt;&lt;D xsi:type="xsd:long"&gt;43735&lt;/D&gt;&lt;D xsi:type="xsd:long"&gt;43766&lt;/D&gt;&lt;D xsi:type="xsd:long"&gt;43796&lt;/D&gt;&lt;D xsi:type="xsd:long"&gt;43826&lt;/D&gt;&lt;D xsi:type="xsd:long"&gt;43858&lt;/D&gt;&lt;D xsi:type="xsd:long"&gt;43889&lt;/D&gt;&lt;D xsi:type="xsd:long"&gt;43917&lt;/D&gt;&lt;D xsi:type="xsd:long"&gt;43949&lt;/D&gt;&lt;D xsi:type="xsd:long"&gt;43979&lt;/D&gt;&lt;D xsi:type="xsd:long"&gt;44008&lt;/D&gt;&lt;D xsi:type="xsd:long"&gt;44040&lt;/D&gt;&lt;D xsi:type="xsd:long"&gt;44071&lt;/D&gt;&lt;D xsi:type="xsd:long"&gt;44102&lt;/D&gt;&lt;D xsi:type="xsd:long"&gt;44132&lt;/D&gt;&lt;D xsi:type="xsd:long"&gt;44162&lt;/D&gt;&lt;D xsi:type="xsd:long"&gt;44193&lt;/D&gt;&lt;D xsi:type="xsd:long"&gt;44224&lt;/D&gt;&lt;D xsi:type="xsd:long"&gt;44253&lt;/D&gt;&lt;D xsi:type="xsd:long"&gt;44281&lt;/D&gt;&lt;D xsi:type="xsd:long"&gt;44314&lt;/D&gt;&lt;D xsi:type="xsd:long"&gt;44344&lt;/D&gt;&lt;D xsi:type="xsd:long"&gt;44375&lt;/D&gt;&lt;D xsi:type="xsd:long"&gt;44405&lt;/D&gt;&lt;D xsi:type="xsd:long"&gt;44435&lt;/D&gt;&lt;D xsi:type="xsd:long"&gt;44467&lt;/D&gt;&lt;D xsi:type="xsd:long"&gt;44497&lt;/D&gt;&lt;D xsi:type="xsd:long"&gt;44526&lt;/D&gt;&lt;D xsi:type="xsd:long"&gt;44558&lt;/D&gt;&lt;D xsi:type="xsd:long"&gt;44589&lt;/D&gt;&lt;D xsi:type="xsd:long"&gt;44620&lt;/D&gt;&lt;D xsi:type="xsd:long"&gt;44648&lt;/D&gt;&lt;D xsi:type="xsd:long"&gt;44679&lt;/D&gt;&lt;D xsi:type="xsd:long"&gt;44708&lt;/D&gt;&lt;D xsi:type="xsd:long"&gt;44740&lt;/D&gt;&lt;D xsi:type="xsd:long"&gt;44770&lt;/D&gt;&lt;D xsi:type="xsd:long"&gt;44799&lt;/D&gt;&lt;D xsi:type="xsd:long"&gt;44832&lt;/D&gt;&lt;D xsi:type="xsd:long"&gt;44862&lt;/D&gt;&lt;D xsi:type="xsd:long"&gt;44893&lt;/D&gt;&lt;D xsi:type="xsd:long"&gt;44923&lt;/D&gt;&lt;D xsi:type="xsd:long"&gt;44953&lt;/D&gt;&lt;D xsi:type="xsd:long"&gt;44985&lt;/D&gt;&lt;D xsi:type="xsd:long"&gt;45013&lt;/D&gt;&lt;D xsi:type="xsd:long"&gt;45044&lt;/D&gt;&lt;D xsi:type="xsd:long"&gt;45072&lt;/D&gt;&lt;D xsi:type="xsd:long"&gt;45105&lt;/D&gt;&lt;D xsi:type="xsd:long"&gt;45135&lt;/D&gt;&lt;D xsi:type="xsd:long"&gt;45166&lt;/D&gt;&lt;D xsi:type="xsd:long"&gt;45197&lt;/D&gt;&lt;D xsi:type="xsd:long"&gt;45226&lt;/D&gt;&lt;D xsi:type="xsd:long"&gt;45258&lt;/D&gt;&lt;D xsi:type="xsd:long"&gt;45288&lt;/D&gt;&lt;D xsi:type="xsd:long"&gt;45317&lt;/D&gt;&lt;D xsi:type="xsd:long"&gt;45350&lt;/D&gt;&lt;D xsi:type="xsd:long"&gt;45379&lt;/D&gt;&lt;D xsi:type="xsd:long"&gt;45408&lt;/D&gt;&lt;D xsi:type="xsd:long"&gt;45440&lt;/D&gt;&lt;D xsi:type="xsd:long"&gt;45471&lt;/D&gt;&lt;/FQL&gt;&lt;FQL&gt;&lt;Q&gt;EWD^FMA_DIV_YLD(NTMA,-10AY,0,AM,"PORTAGG","MEANR")&lt;/Q&gt;&lt;R&gt;121&lt;/R&gt;&lt;C&gt;1&lt;/C&gt;&lt;D xsi:type="xsd:double"&gt;4.14366834561586&lt;/D&gt;&lt;D xsi:type="xsd:double"&gt;4.1590352043512&lt;/D&gt;&lt;D xsi:type="xsd:double"&gt;4.22699350230925&lt;/D&gt;&lt;D xsi:type="xsd:double"&gt;4.22701266814486&lt;/D&gt;&lt;D xsi:type="xsd:double"&gt;4.27360811637742&lt;/D&gt;&lt;D xsi:type="xsd:double"&gt;4.08056320879611&lt;/D&gt;&lt;D xsi:type="xsd:double"&gt;4.08193514473521&lt;/D&gt;&lt;D xsi:type="xsd:double"&gt;3.86918531109162&lt;/D&gt;&lt;D xsi:type="xsd:double"&gt;3.59445421457265&lt;/D&gt;&lt;D xsi:type="xsd:double"&gt;3.67953371607997&lt;/D&gt;&lt;D xsi:type="xsd:double"&gt;3.66727238375401&lt;/D&gt;&lt;D xsi:type="xsd:double"&gt;3.74354328001162&lt;/D&gt;&lt;D xsi:type="xsd:double"&gt;3.90332220593368&lt;/D&gt;&lt;D xsi:type="xsd:double"&gt;4.01585078004664&lt;/D&gt;&lt;D xsi:type="xsd:double"&gt;4.27366645677998&lt;/D&gt;&lt;D xsi:type="xsd:double"&gt;4.66238064930307&lt;/D&gt;&lt;D xsi:type="xsd:double"&gt;4.19905705095526&lt;/D&gt;&lt;D xsi:type="xsd:double"&gt;4.12339469056765&lt;/D&gt;&lt;D xsi:type="xsd:double"&gt;4.35775153857203&lt;/D&gt;&lt;D xsi:type="xsd:double"&gt;4.56016578788988&lt;/D&gt;&lt;D xsi:type="xsd:double"&gt;4.38417959520216&lt;/D&gt;&lt;D xsi:type="xsd:double"&gt;4.45740504807114&lt;/D&gt;&lt;D xsi:type="xsd:double"&gt;4.25872949546466&lt;/D&gt;&lt;D xsi:type="xsd:double"&gt;4.34675776980667&lt;/D&gt;&lt;D xsi:type="xsd:double"&gt;4.67647912582528&lt;/D&gt;&lt;D xsi:type="xsd:double"&gt;4.32336439944831&lt;/D&gt;&lt;D xsi:type="xsd:double"&gt;4.24310777583996&lt;/D&gt;&lt;D xsi:type="xsd:double"&gt;4.23073020550496&lt;/D&gt;&lt;D xsi:type="xsd:double"&gt;4.08819600530304&lt;/D&gt;&lt;D xsi:type="xsd:double"&gt;4.05408297753872&lt;/D&gt;&lt;D xsi:type="xsd:double"&gt;3.87850273798374&lt;/D&gt;&lt;D xsi:type="xsd:double"&gt;3.69026279021395&lt;/D&gt;&lt;D xsi:type="xsd:double"&gt;3.6475444971784&lt;/D&gt;&lt;D xsi:type="xsd:double"&gt;3.65359504925721&lt;/D&gt;&lt;D xsi:type="xsd:double"&gt;3.54135253784062&lt;/D&gt;&lt;D xsi:type="xsd:double"&gt;3.3724479854966&lt;/D&gt;&lt;D xsi:type="xsd:double"&gt;3.54525933043174&lt;/D&gt;&lt;D xsi:type="xsd:double"&gt;3.7140747519073&lt;/D&gt;&lt;D xsi:type="xsd:double"&gt;3.80274371560731&lt;/D&gt;&lt;D xsi:type="xsd:double"&gt;3.58256004346463&lt;/D&gt;&lt;D xsi:type="xsd:double"&gt;3.51776099160286&lt;/D&gt;&lt;D xsi:type="xsd:double"&gt;3.64071536692558&lt;/D&gt;&lt;D xsi:type="xsd:double"&gt;3.74580584868218&lt;/D&gt;&lt;D xsi:type="xsd:double"&gt;3.69100088675786&lt;/D&gt;&lt;D xsi:type="xsd:double"&gt;3.83889594769335&lt;/D&gt;&lt;D xsi:type="xsd:double"&gt;4.09256266702985&lt;/D&gt;&lt;D xsi:type="xsd:double"&gt;4.00281943337679&lt;/D&gt;&lt;D xsi:type="xsd:double"&gt;4.03765198311249&lt;/D&gt;&lt;D xsi:type="xsd:double"&gt;4.19980805850455&lt;/D&gt;&lt;D xsi:type="xsd:double"&gt;4.09231742101807&lt;/D&gt;&lt;D xsi:type="xsd:double"&gt;3.99559485145145&lt;/D&gt;&lt;D xsi:type="xsd:double"&gt;4.02562062467823&lt;/D&gt;&lt;D xsi:type="xsd:double"&gt;4.50752086522776&lt;/D&gt;&lt;D xsi:type="xsd:double"&gt;4.50268657259803&lt;/D&gt;&lt;D xsi:type="xsd:double"&gt;4.74857239704533&lt;/D&gt;&lt;D xsi:type="xsd:double"&gt;4.43631432879185&lt;/D&gt;&lt;D xsi:type="xsd:double"&gt;4.16382933288108&lt;/D&gt;&lt;D xsi:type="xsd:double"&gt;4.19226800678173&lt;/D&gt;&lt;D xsi:type="xsd:double"&gt;3.96308358728241&lt;/D&gt;&lt;D xsi:type="xsd:double"&gt;4.28927964484998&lt;/D&gt;&lt;D xsi:type="xsd:double"&gt;4.15795574555105&lt;/D&gt;&lt;D xsi:type="xsd:double"&gt;4.01312313789192&lt;/D&gt;&lt;D xsi:type="xsd:double"&gt;4.2820842388045&lt;/D&gt;&lt;D xsi:type="xsd:double"&gt;3.89454439455924&lt;/D&gt;&lt;D xsi:type="xsd:double"&gt;3.67407678127877&lt;/D&gt;&lt;D xsi:type="xsd:double"&gt;3.6896454151092&lt;/D&gt;&lt;D xsi:type="xsd:double"&gt;3.56829711076583&lt;/D&gt;&lt;D xsi:type="xsd:double"&gt;3.60039115468056&lt;/D&gt;&lt;D xsi:type="xsd:double"&gt;3.83184335373668&lt;/D&gt;&lt;D xsi:type="xsd:double"&gt;4.36061186694969&lt;/D&gt;&lt;D xsi:type="xsd:double"&gt;3.31668966109155&lt;/D&gt;&lt;D xsi:type="xsd:double"&gt;3.10928175228524&lt;/D&gt;&lt;D xsi:type="xsd:double"&gt;3.07075310818974&lt;/D&gt;&lt;D xsi:type="xsd:double"&gt;2.99568894924515&lt;/D&gt;&lt;D xsi:type="xsd:double"&gt;2.9979516755906&lt;/D&gt;&lt;D xsi:type="xsd:double"&gt;2.98278924230567&lt;/D&gt;&lt;D xsi:type="xsd:double"&gt;3.31458741543097&lt;/D&gt;&lt;D xsi:type="xsd:double"&gt;2.98356070894042&lt;/D&gt;&lt;D xsi:type="xsd:double"&gt;3.0885106468028&lt;/D&gt;&lt;D xsi:type="xsd:double"&gt;3.00427883873266&lt;/D&gt;&lt;D xsi:type="xsd:double"&gt;2.99054585448251&lt;/D&gt;&lt;D xsi:type="xsd:double"&gt;2.75954887939403&lt;/D&gt;&lt;D xsi:type="xsd:double"&gt;2.7943249513684&lt;/D&gt;&lt;D xsi:type="xsd:double"&gt;2.70462097375517&lt;/D&gt;&lt;D xsi:type="xsd:double"&gt;2.71266695836899&lt;/D&gt;&lt;D xsi:type="xsd:double"&gt;2.72027687201918&lt;/D&gt;&lt;D xsi:type="xsd:double"&gt;2.71239570144373&lt;/D&gt;&lt;D xsi:type="xsd:double"&gt;2.89705862124726&lt;/D&gt;&lt;D xsi:type="xsd:double"&gt;3.02034194537931&lt;/D&gt;&lt;D xsi:type="xsd:double"&gt;3.11705468052097&lt;/D&gt;&lt;D xsi:type="xsd:double"&gt;2.82455412135335&lt;/D&gt;&lt;D xsi:type="xsd:double"&gt;2.92207672576209&lt;/D&gt;&lt;D xsi:type="xsd:double"&gt;3.14735600064147&lt;/D&gt;&lt;D xsi:type="xsd:double"&gt;3.13187686161295&lt;/D&gt;&lt;D xsi:type="xsd:double"&gt;3.30765576383873&lt;/D&gt;&lt;D xsi:type="xsd:double"&gt;3.32529454579672&lt;/D&gt;&lt;D xsi:type="xsd:double"&gt;3.55875572054093&lt;/D&gt;&lt;D xsi:type="xsd:double"&gt;3.51180303407089&lt;/D&gt;&lt;D xsi:type="xsd:double"&gt;3.63903179423528&lt;/D&gt;&lt;D xsi:type="xsd:double"&gt;3.7740158635006&lt;/D&gt;&lt;D xsi:type="xsd:double"&gt;3.72219013922109&lt;/D&gt;&lt;D xsi:type="xsd:double"&gt;3.61674723699526&lt;/D&gt;&lt;D xsi:type="xsd:double"&gt;3.74234722842663&lt;/D&gt;&lt;D xsi:type="xsd:double"&gt;3.55803608624744&lt;/D&gt;&lt;D xsi:type="xsd:double"&gt;3.55284359218596&lt;/D&gt;&lt;D xsi:type="xsd:double"&gt;3.81696918486876&lt;/D&gt;&lt;D xsi:type="xsd:double"&gt;3.63869488743079&lt;/D&gt;&lt;D xsi:type="xsd:double"&gt;3.75433610133141&lt;/D&gt;&lt;D xsi:type="xsd:double"&gt;3.7844931291467&lt;/D&gt;&lt;D xsi:type="xsd:double"&gt;3.76861323945965&lt;/D&gt;&lt;D xsi:type="xsd:double"&gt;3.96076079652876&lt;/D&gt;&lt;D xsi:type="xsd:double"&gt;4.03887263943127&lt;/D&gt;&lt;D xsi:type="xsd:double"&gt;4.0256975178892&lt;/D&gt;&lt;D xsi:type="xsd:double"&gt;3.66833189377264&lt;/D&gt;&lt;D xsi:type="xsd:double"&gt;2.92393535200844&lt;/D&gt;&lt;D xsi:type="xsd:double"&gt;3.33853646170127&lt;/D&gt;&lt;D xsi:type="xsd:double"&gt;3.31148933860691&lt;/D&gt;&lt;D xsi:type="xsd:double"&gt;3.2305999509816&lt;/D&gt;&lt;D xsi:type="xsd:double"&gt;3.27893195417718&lt;/D&gt;&lt;D xsi:type="xsd:double"&gt;3.17962930073421&lt;/D&gt;&lt;D xsi:type="xsd:double"&gt;3.24313109850871&lt;/D&gt;&lt;/FQL&gt;&lt;FQL&gt;&lt;Q&gt;EWQ^FMA_PE(NTMA,-10AY,0,AM,"PORTAGG","MEANR")&lt;/Q&gt;&lt;R&gt;121&lt;/R&gt;&lt;C&gt;1&lt;/C&gt;&lt;D xsi:type="xsd:double"&gt;13.9745747198545&lt;/D&gt;&lt;D xsi:type="xsd:double"&gt;13.630406003076&lt;/D&gt;&lt;D xsi:type="xsd:double"&gt;13.6190467026111&lt;/D&gt;&lt;D xsi:type="xsd:double"&gt;13.5612155928874&lt;/D&gt;&lt;D xsi:type="xsd:double"&gt;12.8545623088732&lt;/D&gt;&lt;D xsi:type="xsd:double"&gt;13.8444256314468&lt;/D&gt;&lt;D xsi:type="xsd:double"&gt;13.8024253492795&lt;/D&gt;&lt;D xsi:type="xsd:double"&gt;15.2892106027747&lt;/D&gt;&lt;D xsi:type="xsd:double"&gt;16.3806904032679&lt;/D&gt;&lt;D xsi:type="xsd:double"&gt;16.4766337219812&lt;/D&gt;&lt;D xsi:type="xsd:double"&gt;16.6811454200977&lt;/D&gt;&lt;D xsi:type="xsd:double"&gt;16.4982002184389&lt;/D&gt;&lt;D xsi:type="xsd:double"&gt;16.0871155859939&lt;/D&gt;&lt;D xsi:type="xsd:double"&gt;15.6109609805381&lt;/D&gt;&lt;D xsi:type="xsd:double"&gt;14.4035168111627&lt;/D&gt;&lt;D xsi:type="xsd:double"&gt;13.6002140884976&lt;/D&gt;&lt;D xsi:type="xsd:double"&gt;15.1162199543607&lt;/D&gt;&lt;D xsi:type="xsd:double"&gt;15.3275994586794&lt;/D&gt;&lt;D xsi:type="xsd:double"&gt;14.493071421489&lt;/D&gt;&lt;D xsi:type="xsd:double"&gt;13.9536374449081&lt;/D&gt;&lt;D xsi:type="xsd:double"&gt;14.089952151828&lt;/D&gt;&lt;D xsi:type="xsd:double"&gt;14.1511381953065&lt;/D&gt;&lt;D xsi:type="xsd:double"&gt;14.856221773323&lt;/D&gt;&lt;D xsi:type="xsd:double"&gt;14.5972036241849&lt;/D&gt;&lt;D xsi:type="xsd:double"&gt;13.1117937533636&lt;/D&gt;&lt;D xsi:type="xsd:double"&gt;14.0882422899937&lt;/D&gt;&lt;D xsi:type="xsd:double"&gt;13.9714251082896&lt;/D&gt;&lt;D xsi:type="xsd:double"&gt;13.8216793857239&lt;/D&gt;&lt;D xsi:type="xsd:double"&gt;14.0642348596708&lt;/D&gt;&lt;D xsi:type="xsd:double"&gt;13.6806016984979&lt;/D&gt;&lt;D xsi:type="xsd:double"&gt;14.5218964462997&lt;/D&gt;&lt;D xsi:type="xsd:double"&gt;14.4162397548059&lt;/D&gt;&lt;D xsi:type="xsd:double"&gt;14.1974243755866&lt;/D&gt;&lt;D xsi:type="xsd:double"&gt;14.7543122372716&lt;/D&gt;&lt;D xsi:type="xsd:double"&gt;15.211280112837&lt;/D&gt;&lt;D xsi:type="xsd:double"&gt;15.235447872678&lt;/D&gt;&lt;D xsi:type="xsd:double"&gt;14.8974876219555&lt;/D&gt;&lt;D xsi:type="xsd:double"&gt;14.6070460869743&lt;/D&gt;&lt;D xsi:type="xsd:double"&gt;14.4239917701341&lt;/D&gt;&lt;D xsi:type="xsd:double"&gt;15.0200130530021&lt;/D&gt;&lt;D xsi:type="xsd:double"&gt;15.378269150774&lt;/D&gt;&lt;D xsi:type="xsd:double"&gt;15.0418138289398&lt;/D&gt;&lt;D xsi:type="xsd:double"&gt;14.8499230852568&lt;/D&gt;&lt;D xsi:type="xsd:double"&gt;15.3227740976272&lt;/D&gt;&lt;D xsi:type="xsd:double"&gt;14.6426222392187&lt;/D&gt;&lt;D xsi:type="xsd:double"&gt;14.1219306667875&lt;/D&gt;&lt;D xsi:type="xsd:double"&gt;14.7820471397329&lt;/D&gt;&lt;D xsi:type="xsd:double"&gt;14.7040720812829&lt;/D&gt;&lt;D xsi:type="xsd:double"&gt;13.8635512570652&lt;/D&gt;&lt;D xsi:type="xsd:double"&gt;14.2527946614026&lt;/D&gt;&lt;D xsi:type="xsd:double"&gt;14.0012270086228&lt;/D&gt;&lt;D xsi:type="xsd:double"&gt;13.8591447188231&lt;/D&gt;&lt;D xsi:type="xsd:double"&gt;12.5029569648839&lt;/D&gt;&lt;D xsi:type="xsd:double"&gt;12.473837076528&lt;/D&gt;&lt;D xsi:type="xsd:double"&gt;11.7632820738411&lt;/D&gt;&lt;D xsi:type="xsd:double"&gt;12.5966183032045&lt;/D&gt;&lt;D xsi:type="xsd:double"&gt;13.4777878618813&lt;/D&gt;&lt;D xsi:type="xsd:double"&gt;13.4641559710416&lt;/D&gt;&lt;D xsi:type="xsd:double"&gt;14.0997020785202&lt;/D&gt;&lt;D xsi:type="xsd:double"&gt;13.4252287593379&lt;/D&gt;&lt;D xsi:type="xsd:double"&gt;13.9078203954288&lt;/D&gt;&lt;D xsi:type="xsd:double"&gt;14.210611540928&lt;/D&gt;&lt;D xsi:type="xsd:double"&gt;13.5176127892728&lt;/D&gt;&lt;D xsi:type="xsd:double"&gt;14.1300461883432&lt;/D&gt;&lt;D xsi:type="xsd:double"&gt;14.4504167692316&lt;/D&gt;&lt;D xsi:type="xsd:double"&gt;14.8108168167262&lt;/D&gt;&lt;D xsi:type="xsd:double"&gt;15.0434682522783&lt;/D&gt;&lt;D xsi:type="xsd:double"&gt;14.7937596934945&lt;/D&gt;&lt;D xsi:type="xsd:double"&gt;13.4531981354815&lt;/D&gt;&lt;D xsi:type="xsd:double"&gt;12.3962681448673&lt;/D&gt;&lt;D xsi:type="xsd:double"&gt;16.1528348268056&lt;/D&gt;&lt;D xsi:type="xsd:double"&gt;17.7815027306489&lt;/D&gt;&lt;D xsi:type="xsd:double"&gt;18.62925378242&lt;/D&gt;&lt;D xsi:type="xsd:double"&gt;19.3596763023408&lt;/D&gt;&lt;D xsi:type="xsd:double"&gt;19.5381197528457&lt;/D&gt;&lt;D xsi:type="xsd:double"&gt;18.1902202718965&lt;/D&gt;&lt;D xsi:type="xsd:double"&gt;16.571032549755&lt;/D&gt;&lt;D xsi:type="xsd:double"&gt;19.2150152316124&lt;/D&gt;&lt;D xsi:type="xsd:double"&gt;18.1516697857936&lt;/D&gt;&lt;D xsi:type="xsd:double"&gt;17.6130478417819&lt;/D&gt;&lt;D xsi:type="xsd:double"&gt;17.7312658944218&lt;/D&gt;&lt;D xsi:type="xsd:double"&gt;18.1280030318589&lt;/D&gt;&lt;D xsi:type="xsd:double"&gt;18.226102916479&lt;/D&gt;&lt;D xsi:type="xsd:double"&gt;17.9229278592178&lt;/D&gt;&lt;D xsi:type="xsd:double"&gt;17.5654722161058&lt;/D&gt;&lt;D xsi:type="xsd:double"&gt;16.9879725763806&lt;/D&gt;&lt;D xsi:type="xsd:double"&gt;16.3091946435646&lt;/D&gt;&lt;D xsi:type="xsd:double"&gt;15.5948672839709&lt;/D&gt;&lt;D xsi:type="xsd:double"&gt;15.7249458492231&lt;/D&gt;&lt;D xsi:type="xsd:double"&gt;15.1145108309173&lt;/D&gt;&lt;D xsi:type="xsd:double"&gt;15.8595114931945&lt;/D&gt;&lt;D xsi:type="xsd:double"&gt;14.8219614480132&lt;/D&gt;&lt;D xsi:type="xsd:double"&gt;13.8957966733355&lt;/D&gt;&lt;D xsi:type="xsd:double"&gt;13.427134416997&lt;/D&gt;&lt;D xsi:type="xsd:double"&gt;12.8253897965847&lt;/D&gt;&lt;D xsi:type="xsd:double"&gt;12.4278904995655&lt;/D&gt;&lt;D xsi:type="xsd:double"&gt;11.5200377777343&lt;/D&gt;&lt;D xsi:type="xsd:double"&gt;11.5954501756186&lt;/D&gt;&lt;D xsi:type="xsd:double"&gt;11.2848215826281&lt;/D&gt;&lt;D xsi:type="xsd:double"&gt;10.1937168575442&lt;/D&gt;&lt;D xsi:type="xsd:double"&gt;11.215168756183&lt;/D&gt;&lt;D xsi:type="xsd:double"&gt;12.0031617766309&lt;/D&gt;&lt;D xsi:type="xsd:double"&gt;11.8547032767154&lt;/D&gt;&lt;D xsi:type="xsd:double"&gt;13.1722922652377&lt;/D&gt;&lt;D xsi:type="xsd:double"&gt;13.2122055873261&lt;/D&gt;&lt;D xsi:type="xsd:double"&gt;12.8622285095557&lt;/D&gt;&lt;D xsi:type="xsd:double"&gt;13.7329079964191&lt;/D&gt;&lt;D xsi:type="xsd:double"&gt;13.138907797509&lt;/D&gt;&lt;D xsi:type="xsd:double"&gt;13.1229007008614&lt;/D&gt;&lt;D xsi:type="xsd:double"&gt;13.3599250306245&lt;/D&gt;&lt;D xsi:type="xsd:double"&gt;12.9283206335162&lt;/D&gt;&lt;D xsi:type="xsd:double"&gt;12.4331984058885&lt;/D&gt;&lt;D xsi:type="xsd:double"&gt;11.9561600879339&lt;/D&gt;&lt;D xsi:type="xsd:double"&gt;12.8506610496173&lt;/D&gt;&lt;D xsi:type="xsd:double"&gt;13.4134009251206&lt;/D&gt;&lt;D xsi:type="xsd:double"&gt;13.730600731457&lt;/D&gt;&lt;D xsi:type="xsd:double"&gt;14.3183469610544&lt;/D&gt;&lt;D xsi:type="xsd:double"&gt;14.713062026363&lt;/D&gt;&lt;D xsi:type="xsd:double"&gt;14.5275707597126&lt;/D&gt;&lt;D xsi:type="xsd:double"&gt;14.4052188926765&lt;/D&gt;&lt;D xsi:type="xsd:double"&gt;13.6060361326933&lt;/D&gt;&lt;/FQL&gt;&lt;FQL&gt;&lt;Q&gt;QQQ^FMA_PE(LTMA,-10AY,0,AM,"PORTAGG","MEANR")&lt;/Q&gt;&lt;R&gt;121&lt;/R&gt;&lt;C&gt;1&lt;/C&gt;&lt;D xsi:type="xsd:double"&gt;19.0156736381135&lt;/D&gt;&lt;D xsi:type="xsd:double"&gt;19.1510077194945&lt;/D&gt;&lt;D xsi:type="xsd:double"&gt;19.4203312711593&lt;/D&gt;&lt;D xsi:type="xsd:double"&gt;19.3297191370039&lt;/D&gt;&lt;D xsi:type="xsd:double"&gt;19.4766134249901&lt;/D&gt;&lt;D xsi:type="xsd:double"&gt;20.5332905806804&lt;/D&gt;&lt;D xsi:type="xsd:double"&gt;20.4750692443012&lt;/D&gt;&lt;D xsi:type="xsd:double"&gt;19.4181617465448&lt;/D&gt;&lt;D xsi:type="xsd:double"&gt;20.7927523096553&lt;/D&gt;&lt;D xsi:type="xsd:double"&gt;20.4998593963006&lt;/D&gt;&lt;D xsi:type="xsd:double"&gt;20.4953388007681&lt;/D&gt;&lt;D xsi:type="xsd:double"&gt;20.3229104393772&lt;/D&gt;&lt;D xsi:type="xsd:double"&gt;20.0829378723056&lt;/D&gt;&lt;D xsi:type="xsd:double"&gt;20.2834744209352&lt;/D&gt;&lt;D xsi:type="xsd:double"&gt;19.6136027137307&lt;/D&gt;&lt;D xsi:type="xsd:double"&gt;18.7199923154411&lt;/D&gt;&lt;D xsi:type="xsd:double"&gt;20.4189102703026&lt;/D&gt;&lt;D xsi:type="xsd:double"&gt;20.4328732407483&lt;/D&gt;&lt;D xsi:type="xsd:double"&gt;20.2229332658725&lt;/D&gt;&lt;D xsi:type="xsd:double"&gt;18.4186555142115&lt;/D&gt;&lt;D xsi:type="xsd:double"&gt;18.3305613531365&lt;/D&gt;&lt;D xsi:type="xsd:double"&gt;18.3036355067851&lt;/D&gt;&lt;D xsi:type="xsd:double"&gt;18.3441091797808&lt;/D&gt;&lt;D xsi:type="xsd:double"&gt;18.6109432734689&lt;/D&gt;&lt;D xsi:type="xsd:double"&gt;18.3242562138647&lt;/D&gt;&lt;D xsi:type="xsd:double"&gt;19.3373277653709&lt;/D&gt;&lt;D xsi:type="xsd:double"&gt;19.5341477318184&lt;/D&gt;&lt;D xsi:type="xsd:double"&gt;19.9624370816696&lt;/D&gt;&lt;D xsi:type="xsd:double"&gt;19.7606111521239&lt;/D&gt;&lt;D xsi:type="xsd:double"&gt;20.0627780995207&lt;/D&gt;&lt;D xsi:type="xsd:double"&gt;20.5457249698541&lt;/D&gt;&lt;D xsi:type="xsd:double"&gt;21.3319746049565&lt;/D&gt;&lt;D xsi:type="xsd:double"&gt;21.7141306880179&lt;/D&gt;&lt;D xsi:type="xsd:double"&gt;21.648121982513&lt;/D&gt;&lt;D xsi:type="xsd:double"&gt;21.7013956552269&lt;/D&gt;&lt;D xsi:type="xsd:double"&gt;21.9680667752675&lt;/D&gt;&lt;D xsi:type="xsd:double"&gt;21.8561540786161&lt;/D&gt;&lt;D xsi:type="xsd:double"&gt;22.1489490097429&lt;/D&gt;&lt;D xsi:type="xsd:double"&gt;21.9320799000611&lt;/D&gt;&lt;D xsi:type="xsd:double"&gt;22.1748780410655&lt;/D&gt;&lt;D xsi:type="xsd:double"&gt;22.7761542647425&lt;/D&gt;&lt;D xsi:type="xsd:double"&gt;23.3772687825864&lt;/D&gt;&lt;D xsi:type="xsd:double"&gt;23.6889723356534&lt;/D&gt;&lt;D xsi:type="xsd:double"&gt;25.4918676147698&lt;/D&gt;&lt;D xsi:type="xsd:double"&gt;24.1192849747836&lt;/D&gt;&lt;D xsi:type="xsd:double"&gt;23.5642764964998&lt;/D&gt;&lt;D xsi:type="xsd:double"&gt;23.2433827500108&lt;/D&gt;&lt;D xsi:type="xsd:double"&gt;23.2120399352541&lt;/D&gt;&lt;D xsi:type="xsd:double"&gt;22.9700658587207&lt;/D&gt;&lt;D xsi:type="xsd:double"&gt;23.0798570563249&lt;/D&gt;&lt;D xsi:type="xsd:double"&gt;23.3102764210423&lt;/D&gt;&lt;D xsi:type="xsd:double"&gt;23.2714903030339&lt;/D&gt;&lt;D xsi:type="xsd:double"&gt;20.9812123471486&lt;/D&gt;&lt;D xsi:type="xsd:double"&gt;20.6853494780668&lt;/D&gt;&lt;D xsi:type="xsd:double"&gt;18.6396623122827&lt;/D&gt;&lt;D xsi:type="xsd:double"&gt;19.7912055667868&lt;/D&gt;&lt;D xsi:type="xsd:double"&gt;20.8978946598702&lt;/D&gt;&lt;D xsi:type="xsd:double"&gt;20.9920423363588&lt;/D&gt;&lt;D xsi:type="xsd:double"&gt;21.4597946368253&lt;/D&gt;&lt;D xsi:type="xsd:double"&gt;20.9688632271641&lt;/D&gt;&lt;D xsi:type="xsd:double"&gt;21.60538969715&lt;/D&gt;&lt;D xsi:type="xsd:double"&gt;22.2538715825275&lt;/D&gt;&lt;D xsi:type="xsd:double"&gt;21.6312886504405&lt;/D&gt;&lt;D xsi:type="xsd:double"&gt;21.9502091891086&lt;/D&gt;&lt;D xsi:type="xsd:double"&gt;22.9918044988389&lt;/D&gt;&lt;D xsi:type="xsd:double"&gt;24.2519364723533&lt;/D&gt;&lt;D xsi:type="xsd:double"&gt;25.5340956655059&lt;/D&gt;&lt;D xsi:type="xsd:double"&gt;26.1398679691272&lt;/D&gt;&lt;D xsi:type="xsd:double"&gt;23.8036531168872&lt;/D&gt;&lt;D xsi:type="xsd:double"&gt;23.360727749194&lt;/D&gt;&lt;D xsi:type="xsd:double"&gt;24.648968037669&lt;/D&gt;&lt;D xsi:type="xsd:double"&gt;26.2765503893548&lt;/D&gt;&lt;D xsi:type="xsd:double"&gt;27.1492678973021&lt;/D&gt;&lt;D xsi:type="xsd:double"&gt;28.6681656589726&lt;/D&gt;&lt;D xsi:type="xsd:double"&gt;31.2232506279688&lt;/D&gt;&lt;D xsi:type="xsd:double"&gt;30.6852353000913&lt;/D&gt;&lt;D xsi:type="xsd:double"&gt;30.6057710432071&lt;/D&gt;&lt;D xsi:type="xsd:double"&gt;33.0475065324974&lt;/D&gt;&lt;D xsi:type="xsd:double"&gt;35.0240437497514&lt;/D&gt;&lt;D xsi:type="xsd:double"&gt;34.9006899409573&lt;/D&gt;&lt;D xsi:type="xsd:double"&gt;32.9457007699314&lt;/D&gt;&lt;D xsi:type="xsd:double"&gt;32.5759048381364&lt;/D&gt;&lt;D xsi:type="xsd:double"&gt;32.497013344028&lt;/D&gt;&lt;D xsi:type="xsd:double"&gt;31.5157306079637&lt;/D&gt;&lt;D xsi:type="xsd:double"&gt;31.8694763697887&lt;/D&gt;&lt;D xsi:type="xsd:double"&gt;31.6358024722443&lt;/D&gt;&lt;D xsi:type="xsd:double"&gt;31.5937221368654&lt;/D&gt;&lt;D xsi:type="xsd:double"&gt;30.3510064235981&lt;/D&gt;&lt;D xsi:type="xsd:double"&gt;31.2271356914752&lt;/D&gt;&lt;D xsi:type="xsd:double"&gt;31.4643746474466&lt;/D&gt;&lt;D xsi:type="xsd:double"&gt;32.2542267718528&lt;/D&gt;&lt;D xsi:type="xsd:double"&gt;27.8008877138336&lt;/D&gt;&lt;D xsi:type="xsd:double"&gt;26.7028018254998&lt;/D&gt;&lt;D xsi:type="xsd:double"&gt;26.9037896020206&lt;/D&gt;&lt;D xsi:type="xsd:double"&gt;26.048941437429&lt;/D&gt;&lt;D xsi:type="xsd:double"&gt;25.4113662977862&lt;/D&gt;&lt;D xsi:type="xsd:double"&gt;24.2006172726988&lt;/D&gt;&lt;D xsi:type="xsd:double"&gt;25.2235237435424&lt;/D&gt;&lt;D xsi:type="xsd:double"&gt;25.2338284187733&lt;/D&gt;&lt;D xsi:type="xsd:double"&gt;23.4327844333361&lt;/D&gt;&lt;D xsi:type="xsd:double"&gt;23.5412008294461&lt;/D&gt;&lt;D xsi:type="xsd:double"&gt;23.3376557832058&lt;/D&gt;&lt;D xsi:type="xsd:double"&gt;22.2139052396555&lt;/D&gt;&lt;D xsi:type="xsd:double"&gt;25.234562926582&lt;/D&gt;&lt;D xsi:type="xsd:double"&gt;25.2426632927157&lt;/D&gt;&lt;D xsi:type="xsd:double"&gt;25.3839567308272&lt;/D&gt;&lt;D xsi:type="xsd:double"&gt;25.6688300089147&lt;/D&gt;&lt;D xsi:type="xsd:double"&gt;26.3439779815786&lt;/D&gt;&lt;D xsi:type="xsd:double"&gt;27.0553861324632&lt;/D&gt;&lt;D xsi:type="xsd:double"&gt;27.1331021781593&lt;/D&gt;&lt;D xsi:type="xsd:double"&gt;26.2879146946139&lt;/D&gt;&lt;D xsi:type="xsd:double"&gt;25.932053480946&lt;/D&gt;&lt;D xsi:type="xsd:double"&gt;24.9776401651035&lt;/D&gt;&lt;D xsi:type="xsd:double"&gt;27.7276261190803&lt;/D&gt;&lt;D xsi:type="xsd:double"&gt;29.2767789365031&lt;/D&gt;&lt;D xsi:type="xsd:double"&gt;29.8688750860768&lt;/D&gt;&lt;D xsi:type="xsd:double"&gt;30.0446265109657&lt;/D&gt;&lt;D xsi:type="xsd:double"&gt;30.0751683026612&lt;/D&gt;&lt;D xsi:type="xsd:double"&gt;29.5474081164702&lt;/D&gt;&lt;D xsi:type="xsd:double"&gt;29.7826604652331&lt;/D&gt;&lt;D xsi:type="xsd:double"&gt;30.1310192570343&lt;/D&gt;&lt;/FQL&gt;&lt;FQL&gt;&lt;Q&gt;DDR3512M-FDS^FG_PRICE(0)&lt;/Q&gt;&lt;R&gt;1&lt;/R&gt;&lt;C&gt;1&lt;/C&gt;&lt;D xsi:type="xsd:double"&gt;0.93317926&lt;/D&gt;&lt;/FQL&gt;&lt;FQL&gt;&lt;Q&gt;PASP-FDS^FG_PRICE(0)&lt;/Q&gt;&lt;R&gt;1&lt;/R&gt;&lt;C&gt;1&lt;/C&gt;&lt;D xsi:type="xsd:double"&gt;950&lt;/D&gt;&lt;/FQL&gt;&lt;FQL&gt;&lt;Q&gt;PLATI-FDS^FG_PRICE(0)&lt;/Q&gt;&lt;R&gt;1&lt;/R&gt;&lt;C&gt;1&lt;/C&gt;&lt;D xsi:type="xsd:double"&gt;1008&lt;/D&gt;&lt;/FQL&gt;&lt;FQL&gt;&lt;Q&gt;W-FDS^FG_PRICE(0)&lt;/Q&gt;&lt;R&gt;1&lt;/R&gt;&lt;C&gt;1&lt;/C&gt;&lt;D xsi:type="xsd:double"&gt;5.535&lt;/D&gt;&lt;/FQL&gt;&lt;FQL&gt;&lt;Q&gt;COPP-FDS^FG_PRICE(0)&lt;/Q&gt;&lt;R&gt;1&lt;/R&gt;&lt;C&gt;1&lt;/C&gt;&lt;D xsi:type="xsd:double"&gt;4.3905&lt;/D&gt;&lt;/FQL&gt;&lt;FQL&gt;&lt;Q&gt;FC0000US^FG_PRICE(0)&lt;/Q&gt;&lt;R&gt;1&lt;/R&gt;&lt;C&gt;1&lt;/C&gt;&lt;D xsi:type="xsd:double"&gt;407.30222&lt;/D&gt;&lt;/FQL&gt;&lt;FQL&gt;&lt;Q&gt;FC0000GR^FG_PRICE(0)&lt;/Q&gt;&lt;R&gt;1&lt;/R&gt;&lt;C&gt;1&lt;/C&gt;&lt;D xsi:type="xsd:double"&gt;9.346842&lt;/D&gt;&lt;/FQL&gt;&lt;FQL&gt;&lt;Q&gt;EWI^FG_PRICE(0)&lt;/Q&gt;&lt;R&gt;1&lt;/R&gt;&lt;C&gt;1&lt;/C&gt;&lt;D xsi:type="xsd:double"&gt;35.85&lt;/D&gt;&lt;/FQL&gt;&lt;FQL&gt;&lt;Q&gt;SPY^FG_PRICE(0)&lt;/Q&gt;&lt;R&gt;1&lt;/R&gt;&lt;C&gt;1&lt;/C&gt;&lt;D xsi:type="xsd:double"&gt;544.22&lt;/D&gt;&lt;/FQL&gt;&lt;FQL&gt;&lt;Q&gt;EWJ^FG_PRICE(0)&lt;/Q&gt;&lt;R&gt;1&lt;/R&gt;&lt;C&gt;1&lt;/C&gt;&lt;D xsi:type="xsd:double"&gt;68.24&lt;/D&gt;&lt;/FQL&gt;&lt;FQL&gt;&lt;Q&gt;ENZL^FG_PRICE(0)&lt;/Q&gt;&lt;R&gt;1&lt;/R&gt;&lt;C&gt;1&lt;/C&gt;&lt;D xsi:type="xsd:double"&gt;45.46&lt;/D&gt;&lt;/FQL&gt;&lt;FQL&gt;&lt;Q&gt;EWA^FG_COMPANY_NAME&lt;/Q&gt;&lt;R&gt;1&lt;/R&gt;&lt;C&gt;1&lt;/C&gt;&lt;D xsi:type="xsd:string"&gt;iShares MSCI Australia ETF&lt;/D&gt;&lt;/FQL&gt;&lt;FQL&gt;&lt;Q&gt;FXI^P_PRICE(0)/P_PRICE_LOW_PR(0,,,,,,"PRICE","INTRA","52W")-1&lt;/Q&gt;&lt;R&gt;1&lt;/R&gt;&lt;C&gt;1&lt;/C&gt;&lt;D xsi:type="xsd:double"&gt;0.24592519&lt;/D&gt;&lt;/FQL&gt;&lt;FQL&gt;&lt;Q&gt;SPY^FMA_PCT_ABOVE_MAVG(200,0,,,,"PORTAGG")&lt;/Q&gt;&lt;R&gt;1&lt;/R&gt;&lt;C&gt;1&lt;/C&gt;&lt;D xsi:type="xsd:double"&gt;66.4670658682635&lt;/D&gt;&lt;/FQL&gt;&lt;FQL&gt;&lt;Q&gt;URTH^PERCENT_CHANGE(FMA_EPS(+1,0,,,,"PORTAGG","MEAN"),FMA_EPS(+1,-3AM,,,,"PORTAGG","MEAN"))&lt;/Q&gt;&lt;R&gt;1&lt;/R&gt;&lt;C&gt;1&lt;/C&gt;&lt;D xsi:type="xsd:double"&gt;-0.529560430365778&lt;/D&gt;&lt;/FQL&gt;&lt;FQL&gt;&lt;Q&gt;VGK^FG_TOTAL_RETURNC(0,-3AM)&lt;/Q&gt;&lt;R&gt;1&lt;/R&gt;&lt;C&gt;1&lt;/C&gt;&lt;D xsi:type="xsd:double"&gt;0.6790042&lt;/D&gt;&lt;/FQL&gt;&lt;FQL&gt;&lt;Q&gt;EWD^P_PRICE(0)/P_PRICE_HIGH_PR(0,,,,,,"PRICE","INTRA","52W")&lt;/Q&gt;&lt;R&gt;1&lt;/R&gt;&lt;C&gt;1&lt;/C&gt;&lt;D xsi:type="xsd:double"&gt;0.94372797&lt;/D&gt;&lt;/FQL&gt;&lt;FQL&gt;&lt;Q&gt;EWQ^FG_TOTAL_RETURNC(0,-12AM)&lt;/Q&gt;&lt;R&gt;1&lt;/R&gt;&lt;C&gt;1&lt;/C&gt;&lt;D xsi:type="xsd:double"&gt;2.5551796&lt;/D&gt;&lt;/FQL&gt;&lt;FQL&gt;&lt;Q&gt;EWU^FG_TOTAL_RETURNC(0,-1AM)&lt;/Q&gt;&lt;R&gt;1&lt;/R&gt;&lt;C&gt;1&lt;/C&gt;&lt;D xsi:type="xsd:double"&gt;-1.5146196&lt;/D&gt;&lt;/FQL&gt;&lt;FQL&gt;&lt;Q&gt;EWJ^FG_TOTAL_RETURNC(0,-6AM)&lt;/Q&gt;&lt;R&gt;1&lt;/R&gt;&lt;C&gt;1&lt;/C&gt;&lt;D xsi:type="xsd:double"&gt;7.354772&lt;/D&gt;&lt;/FQL&gt;&lt;FQL&gt;&lt;Q&gt;EWA^FMA_PCT_ABOVE_MAVG(200,0,,,,"PORTAGG")&lt;/Q&gt;&lt;R&gt;1&lt;/R&gt;&lt;C&gt;1&lt;/C&gt;&lt;D xsi:type="xsd:double"&gt;54.2372881355932&lt;/D&gt;&lt;/FQL&gt;&lt;FQL&gt;&lt;Q&gt;EWD^FMA_COS_DOWN("EPS","1M",+1,0,,,"PORTAGG","MEANR")&lt;/Q&gt;&lt;R&gt;1&lt;/R&gt;&lt;C&gt;1&lt;/C&gt;&lt;D xsi:type="xsd:double"&gt;24&lt;/D&gt;&lt;/FQL&gt;&lt;FQL&gt;&lt;Q&gt;EWU^FMA_COS_UP("EPS","1M",+1,0,,,"PORTAGG","MEANR")&lt;/Q&gt;&lt;R&gt;1&lt;/R&gt;&lt;C&gt;1&lt;/C&gt;&lt;D xsi:type="xsd:double"&gt;39&lt;/D&gt;&lt;/FQL&gt;&lt;FQL&gt;&lt;Q&gt;ENZL^SIZE(FG_CONSTITUENTS)&lt;/Q&gt;&lt;R&gt;1&lt;/R&gt;&lt;C&gt;1&lt;/C&gt;&lt;D xsi:type="xsd:long"&gt;14&lt;/D&gt;&lt;/FQL&gt;&lt;FQL&gt;&lt;Q&gt;TRYGB10Y-FDS^FG_YIELD_NAME&lt;/Q&gt;&lt;R&gt;1&lt;/R&gt;&lt;C&gt;1&lt;/C&gt;&lt;D xsi:type="xsd:string"&gt;United Kingdom Benchmark Bond - 10 Year&lt;/D&gt;&lt;/FQL&gt;&lt;FQL&gt;&lt;Q&gt;REFEUREFI-FDS^FG_YIELD(NOW,,,0)&lt;/Q&gt;&lt;R&gt;1&lt;/R&gt;&lt;C&gt;1&lt;/C&gt;&lt;D xsi:type="xsd:double"&gt;4.25&lt;/D&gt;&lt;/FQL&gt;&lt;FQL&gt;&lt;Q&gt;TRYNL10Y-FDS^PCTCHG(FG_YIELD(0,,,,"YTM"),FG_YIELD(-1AM,,,,"YTM"))&lt;/Q&gt;&lt;R&gt;1&lt;/R&gt;&lt;C&gt;1&lt;/C&gt;&lt;D xsi:type="xsd:double"&gt;-1.8821855&lt;/D&gt;&lt;/FQL&gt;&lt;FQL&gt;&lt;Q&gt;TRYCA10Y-FDS^PCTCHG(FG_YIELD(0,,,,"YTM"),FG_YIELD(-1AM,,,,"YTM"))&lt;/Q&gt;&lt;R&gt;1&lt;/R&gt;&lt;C&gt;1&lt;/C&gt;&lt;D xsi:type="xsd:double"&gt;-5.3717556&lt;/D&gt;&lt;/FQL&gt;&lt;FQL&gt;&lt;Q&gt;TRYUS10Y-FDS^FG_YIELD_NAME&lt;/Q&gt;&lt;R&gt;1&lt;/R&gt;&lt;C&gt;1&lt;/C&gt;&lt;D xsi:type="xsd:string"&gt;US Benchmark Bond - 10 Year&lt;/D&gt;&lt;/FQL&gt;&lt;FQL&gt;&lt;Q&gt;DUMMY^ECON_EXPR_DATA('FDS_ECON[NTCPMIMFGSA@EME]',,,M)&lt;/Q&gt;&lt;R&gt;0&lt;/R&gt;&lt;C&gt;0&lt;/C&gt;&lt;/FQL&gt;&lt;FQL&gt;&lt;Q&gt;EWD^FMA_ROE(NTMA,-20AY,NOW,FY,"PORTAGG","MEANR")&lt;/Q&gt;&lt;R&gt;20&lt;/R&gt;&lt;C&gt;1&lt;/C&gt;&lt;D xsi:type="xsd:double"&gt;16.2261090864793&lt;/D&gt;&lt;D xsi:type="xsd:double"&gt;17.2247287220762&lt;/D&gt;&lt;D xsi:type="xsd:double"&gt;18.2100106841597&lt;/D&gt;&lt;D xsi:type="xsd:double"&gt;18.8871757625538&lt;/D&gt;&lt;D xsi:type="xsd:double"&gt;13.942889841066&lt;/D&gt;&lt;D xsi:type="xsd:double"&gt;10.3461745032911&lt;/D&gt;&lt;D xsi:type="xsd:double"&gt;15.8182159921786&lt;/D&gt;&lt;D xsi:type="xsd:double"&gt;15.7255547384444&lt;/D&gt;&lt;D xsi:type="xsd:double"&gt;14.800794930169&lt;/D&gt;&lt;D xsi:type="xsd:double"&gt;14.1943515647563&lt;/D&gt;&lt;D xsi:type="xsd:double"&gt;13.790896513923&lt;/D&gt;&lt;D xsi:type="xsd:double"&gt;13.0367586478869&lt;/D&gt;&lt;D xsi:type="xsd:double"&gt;12.3225531542011&lt;/D&gt;&lt;D xsi:type="xsd:double"&gt;13.8549633296522&lt;/D&gt;&lt;D xsi:type="xsd:double"&gt;13.3193557094803&lt;/D&gt;&lt;D xsi:type="xsd:double"&gt;13.4531336298968&lt;/D&gt;&lt;D xsi:type="xsd:double"&gt;11.9734316080377&lt;/D&gt;&lt;D xsi:type="xsd:double"&gt;15.4719420327405&lt;/D&gt;&lt;D xsi:type="xsd:double"&gt;14.7406058144791&lt;/D&gt;&lt;D xsi:type="xsd:double"&gt;15.368050598586&lt;/D&gt;&lt;/FQL&gt;&lt;FQL&gt;&lt;Q&gt;^FG_YIELD(-10AY,0,Y,,"YTM")&lt;/Q&gt;&lt;R&gt;10&lt;/R&gt;&lt;C&gt;1&lt;/C&gt;&lt;D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xsi:type="xsd:double"&gt;2.004&lt;/D&gt;&lt;/FQL&gt;&lt;FQL&gt;&lt;Q&gt;WL-FDS^MAX(FG_PRICE(0,-5AY))&lt;/Q&gt;&lt;R&gt;1&lt;/R&gt;&lt;C&gt;1&lt;/C&gt;&lt;D xsi:type="xsd:double"&gt;763.4&lt;/D&gt;&lt;/FQL&gt;&lt;FQL&gt;&lt;Q&gt;FC0000GB^FG_PRICE(0)&lt;/Q&gt;&lt;R&gt;1&lt;/R&gt;&lt;C&gt;1&lt;/C&gt;&lt;D xsi:type="xsd:double"&gt;125.9208&lt;/D&gt;&lt;/FQL&gt;&lt;FQL&gt;&lt;Q&gt;FC0000CA^FG_PRICE(0)&lt;/Q&gt;&lt;R&gt;1&lt;/R&gt;&lt;C&gt;1&lt;/C&gt;&lt;D xsi:type="xsd:double"&gt;287.57983&lt;/D&gt;&lt;/FQL&gt;&lt;FQL&gt;&lt;Q&gt;EWD^FG_PRICE_MAVG(0,,,,200)&lt;/Q&gt;&lt;R&gt;1&lt;/R&gt;&lt;C&gt;1&lt;/C&gt;&lt;D xsi</t>
        </r>
      </text>
    </comment>
    <comment ref="A2" authorId="0" shapeId="0" xr:uid="{47F7E9E9-217F-465D-8136-12A841B3A467}">
      <text>
        <r>
          <rPr>
            <b/>
            <sz val="9"/>
            <color indexed="81"/>
            <rFont val="Tahoma"/>
            <charset val="1"/>
          </rPr>
          <t>:type="xsd:double"&gt;37.64645&lt;/D&gt;&lt;/FQL&gt;&lt;FQL&gt;&lt;Q&gt;QQQ^FG_PRICE_MAVG(0,,,,200)&lt;/Q&gt;&lt;R&gt;1&lt;/R&gt;&lt;C&gt;1&lt;/C&gt;&lt;D xsi:type="xsd:double"&gt;415.66074&lt;/D&gt;&lt;/FQL&gt;&lt;FQL&gt;&lt;Q&gt;EWG^FG_PRICE_MAVG(0,,,,200)&lt;/Q&gt;&lt;R&gt;1&lt;/R&gt;&lt;C&gt;1&lt;/C&gt;&lt;D xsi:type="xsd:double"&gt;29.3109&lt;/D&gt;&lt;/FQL&gt;&lt;FQL&gt;&lt;Q&gt;EWI^FG_COMPANY_NAME&lt;/Q&gt;&lt;R&gt;1&lt;/R&gt;&lt;C&gt;1&lt;/C&gt;&lt;D xsi:type="xsd:string"&gt;iShares MSCI Italy ETF&lt;/D&gt;&lt;/FQL&gt;&lt;FQL&gt;&lt;Q&gt;ENZL^FG_COMPANY_NAME&lt;/Q&gt;&lt;R&gt;1&lt;/R&gt;&lt;C&gt;1&lt;/C&gt;&lt;D xsi:type="xsd:string"&gt;iShares MSCI New Zealand ETF&lt;/D&gt;&lt;/FQL&gt;&lt;FQL&gt;&lt;Q&gt;FXI^P_PRICE(0)/P_PRICE_HIGH_PR(0,,,,,,"PRICE","INTRA","52W")&lt;/Q&gt;&lt;R&gt;1&lt;/R&gt;&lt;C&gt;1&lt;/C&gt;&lt;D xsi:type="xsd:double"&gt;0.85101503&lt;/D&gt;&lt;/FQL&gt;&lt;FQL&gt;&lt;Q&gt;EWJ^FG_TOTAL_RETURNC(0,-12AM)&lt;/Q&gt;&lt;R&gt;1&lt;/R&gt;&lt;C&gt;1&lt;/C&gt;&lt;D xsi:type="xsd:double"&gt;12.77746&lt;/D&gt;&lt;/FQL&gt;&lt;FQL&gt;&lt;Q&gt;URTH^PERCENT_CHANGE(FMA_EPS(+1,0,,,,"PORTAGG","MEAN"),FMA_EPS(+1,-1AM,,,,"PORTAGG","MEAN"))&lt;/Q&gt;&lt;R&gt;1&lt;/R&gt;&lt;C&gt;1&lt;/C&gt;&lt;D xsi:type="xsd:double"&gt;-1.0969415184057&lt;/D&gt;&lt;/FQL&gt;&lt;FQL&gt;&lt;Q&gt;VGK^FG_TOTAL_RETURNC(0,-1AM)&lt;/Q&gt;&lt;R&gt;1&lt;/R&gt;&lt;C&gt;1&lt;/C&gt;&lt;D xsi:type="xsd:double"&gt;-2.5761783&lt;/D&gt;&lt;/FQL&gt;&lt;FQL&gt;&lt;Q&gt;EWD^FG_TOTAL_RETURNC(0,-6AM)&lt;/Q&gt;&lt;R&gt;1&lt;/R&gt;&lt;C&gt;1&lt;/C&gt;&lt;D xsi:type="xsd:double"&gt;2.8894782&lt;/D&gt;&lt;/FQL&gt;&lt;FQL&gt;&lt;Q&gt;EWQ^P_PRICE(0)/P_PRICE_LOW_PR(0,,,,,,"PRICE","INTRA","52W")-1&lt;/Q&gt;&lt;R&gt;1&lt;/R&gt;&lt;C&gt;1&lt;/C&gt;&lt;D xsi:type="xsd:double"&gt;0.1224004&lt;/D&gt;&lt;/FQL&gt;&lt;FQL&gt;&lt;Q&gt;CAGDPY@FR^EE_ACTUAL_ANNUAL(MED,0)&lt;/Q&gt;&lt;R&gt;1&lt;/R&gt;&lt;C&gt;1&lt;/C&gt;&lt;D xsi:type="xsd:double"&gt;-0.756817157305732&lt;/D&gt;&lt;/FQL&gt;&lt;FQL&gt;&lt;Q&gt;CAGDPY@AU^EE_ACTUAL_ANNUAL(MED,0)&lt;/Q&gt;&lt;R&gt;1&lt;/R&gt;&lt;C&gt;1&lt;/C&gt;&lt;D xsi:type="xsd:double"&gt;0.275776825503169&lt;/D&gt;&lt;/FQL&gt;&lt;FQL&gt;&lt;Q&gt;USDITL^FG_PRICE_CHANGE(0,-1AM)&lt;/Q&gt;&lt;R&gt;1&lt;/R&gt;&lt;C&gt;1&lt;/C&gt;&lt;D xsi:type="xsd:double"&gt;1.4649034&lt;/D&gt;&lt;/FQL&gt;&lt;FQL&gt;&lt;Q&gt;USDANG^FG_PRICE_CHANGE(0,-1AM)&lt;/Q&gt;&lt;R&gt;1&lt;/R&gt;&lt;C&gt;1&lt;/C&gt;&lt;D xsi:type="xsd:double"&gt;0&lt;/D&gt;&lt;/FQL&gt;&lt;FQL&gt;&lt;Q&gt;USDUSD^FG_PRICE_CHANGE(0,-1AM)&lt;/Q&gt;&lt;R&gt;1&lt;/R&gt;&lt;C&gt;1&lt;/C&gt;&lt;D xsi:type="xsd:double"&gt;0&lt;/D&gt;&lt;/FQL&gt;&lt;FQL&gt;&lt;Q&gt;USDGBP^FG_PRICE_CHANGE(0,-1AM)&lt;/Q&gt;&lt;R&gt;1&lt;/R&gt;&lt;C&gt;1&lt;/C&gt;&lt;D xsi:type="xsd:double"&gt;1.0798216&lt;/D&gt;&lt;/FQL&gt;&lt;FQL&gt;&lt;Q&gt;USDJPY^FG_PRICE_CHANGE(0,-1AM)&lt;/Q&gt;&lt;R&gt;1&lt;/R&gt;&lt;C&gt;1&lt;/C&gt;&lt;D xsi:type="xsd:double"&gt;2.5598526&lt;/D&gt;&lt;/FQL&gt;&lt;FQL&gt;&lt;Q&gt;USDCAD^FG_PRICE_CHANGE(0,-1AM)&lt;/Q&gt;&lt;R&gt;1&lt;/R&gt;&lt;C&gt;1&lt;/C&gt;&lt;D xsi:type="xsd:double"&gt;0.35202503&lt;/D&gt;&lt;/FQL&gt;&lt;FQL&gt;&lt;Q&gt;USDNZD^FG_PRICE_CHANGE(0,-1AM)&lt;/Q&gt;&lt;R&gt;1&lt;/R&gt;&lt;C&gt;1&lt;/C&gt;&lt;D xsi:type="xsd:double"&gt;1.0092735&lt;/D&gt;&lt;/FQL&gt;&lt;FQL&gt;&lt;Q&gt;ENZL^FMA_EPS(NTMA,-20AY,0,CY,,"PORTAGG","MEANR")&lt;/Q&gt;&lt;R&gt;20&lt;/R&gt;&lt;C&gt;1&lt;/C&gt;&lt;D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xsi:type="xsd:double"&gt;2.40890596176463&lt;/D&gt;&lt;D xsi:type="xsd:double"&gt;2.24117429803946&lt;/D&gt;&lt;D xsi:type="xsd:double"&gt;2.40285148565594&lt;/D&gt;&lt;D xsi:type="xsd:double"&gt;2.31210808961864&lt;/D&gt;&lt;D xsi:type="xsd:double"&gt;2.19492193820354&lt;/D&gt;&lt;D xsi:type="xsd:double"&gt;2.04943671601749&lt;/D&gt;&lt;D xsi:type="xsd:double"&gt;2.14962845087329&lt;/D&gt;&lt;D xsi:type="xsd:double"&gt;2.26706810161072&lt;/D&gt;&lt;D xsi:type="xsd:double"&gt;2.29721148308571&lt;/D&gt;&lt;D xsi:type="xsd:double"&gt;2.24732564412744&lt;/D&gt;&lt;D xsi:type="xsd:double"&gt;1.98522618259249&lt;/D&gt;&lt;D xsi:type="xsd:double"&gt;1.82093688879477&lt;/D&gt;&lt;D xsi:type="xsd:double"&gt;2.11037846476333&lt;/D&gt;&lt;D xsi:type="xsd:double"&gt;2.11106621771878&lt;/D&gt;&lt;/FQL&gt;&lt;FQL&gt;&lt;Q&gt;EWI^FG_TOTAL_RETURNC(-10AY,0,AM)&lt;/Q&gt;&lt;R&gt;121&lt;/R&gt;&lt;C&gt;1&lt;/C&gt;&lt;D xsi:type="xsd:double"&gt;0.64918995&lt;/D&gt;&lt;D xsi:type="xsd:double"&gt;-3.0442297&lt;/D&gt;&lt;D xsi:type="xsd:double"&gt;-5.4502306&lt;/D&gt;&lt;D xsi:type="xsd:double"&gt;-1.0025024&lt;/D&gt;&lt;D xsi:type="xsd:double"&gt;-5.886078&lt;/D&gt;&lt;D xsi:type="xsd:double"&gt;0.06724596&lt;/D&gt;&lt;D xsi:type="xsd:double"&gt;-4.854065&lt;/D&gt;&lt;D xsi:type="xsd:double"&gt;-3.7695646&lt;/D&gt;&lt;D xsi:type="xsd:double"&gt;9.977829&lt;/D&gt;&lt;D xsi:type="xsd:double"&gt;0.13440847&lt;/D&gt;&lt;D xsi:type="xsd:double"&gt;3.4228206&lt;/D&gt;&lt;D xsi:type="xsd:double"&gt;1.8818974&lt;/D&gt;&lt;D xsi:type="xsd:double"&gt;2.2803068&lt;/D&gt;&lt;D xsi:type="xsd:double"&gt;-2.0278811&lt;/D&gt;&lt;D xsi:type="xsd:double"&gt;-3.8809836&lt;/D&gt;&lt;D xsi:type="xsd:double"&gt;-6.5948844&lt;/D&gt;&lt;D xsi:type="xsd:double"&gt;7.9250693&lt;/D&gt;&lt;D xsi:type="xsd:double"&gt;-4.072094&lt;/D&gt;&lt;D xsi:type="xsd:double"&gt;-1.791811&lt;/D&gt;&lt;D xsi:type="xsd:double"&gt;-15.422887&lt;/D&gt;&lt;D xsi:type="xsd:double"&gt;-4.873949&lt;/D&gt;&lt;D xsi:type="xsd:double"&gt;7.508838&lt;/D&gt;&lt;D xsi:type="xsd:double"&gt;4.0262938&lt;/D&gt;&lt;D xsi:type="xsd:double"&gt;-3.2385468&lt;/D&gt;&lt;D xsi:type="xsd:double"&gt;-12.683159&lt;/D&gt;&lt;D xsi:type="xsd:double"&gt;5.480778&lt;/D&gt;&lt;D xsi:type="xsd:double"&gt;2.0054579&lt;/D&gt;&lt;D xsi:type="xsd:double"&gt;-1.8766761&lt;/D&gt;&lt;D xsi:type="xsd:double"&gt;3.0965447&lt;/D&gt;&lt;D xsi:type="xsd:double"&gt;-7.9063535&lt;/D&gt;&lt;D xsi:type="xsd:double"&gt;15.58919&lt;/D&gt;&lt;D xsi:type="xsd:double"&gt;2.0519376&lt;/D&gt;&lt;D xsi:type="xsd:double"&gt;-2.9544592&lt;/D&gt;&lt;D xsi:type="xsd:double"&gt;9.556031&lt;/D&gt;&lt;D xsi:type="xsd:double"&gt;2.084136&lt;/D&gt;&lt;D xsi:type="xsd:double"&gt;7.14556&lt;/D&gt;&lt;D xsi:type="xsd:double"&gt;1.4608026&lt;/D&gt;&lt;D xsi:type="xsd:double"&gt;4.67422&lt;/D&gt;&lt;D xsi:type="xsd:double"&gt;3.044653&lt;/D&gt;&lt;D xsi:type="xsd:double"&gt;2.1011233&lt;/D&gt;&lt;D xsi:type="xsd:double"&gt;-1.5755594&lt;/D&gt;&lt;D xsi:type="xsd:double"&gt;0.8820653&lt;/D&gt;&lt;D xsi:type="xsd:double"&gt;-0.099527836&lt;/D&gt;&lt;D xsi:type="xsd:double"&gt;12.255537&lt;/D&gt;&lt;D xsi:type="xsd:double"&gt;-7.9268274&lt;/D&gt;&lt;D xsi:type="xsd:double"&gt;0.7568598&lt;/D&gt;&lt;D xsi:type="xsd:double"&gt;5.539906&lt;/D&gt;&lt;D xsi:type="xsd:double"&gt;-9.223014&lt;/D&gt;&lt;D xsi:type="xsd:double"&gt;-4.116237&lt;/D&gt;&lt;D xsi:type="xsd:double"&gt;2.872157&lt;/D&gt;&lt;D xsi:type="xsd:double"&gt;-5.413687&lt;/D&gt;&lt;D xsi:type="xsd:double"&gt;-0.43196678&lt;/D&gt;&lt;D xsi:type="xsd:double"&gt;-9.8698435&lt;/D&gt;&lt;D xsi:type="xsd:double"&gt;2.6875257&lt;/D&gt;&lt;D xsi:type="xsd:double"&gt;-4.577279&lt;/D&gt;&lt;D xsi:type="xsd:double"&gt;7.2968364&lt;/D&gt;&lt;D xsi:type="xsd:double"&gt;4.9072623&lt;/D&gt;&lt;D xsi:type="xsd:double"&gt;1.6206264&lt;/D&gt;&lt;D xsi:type="xsd:double"&gt;1.232326&lt;/D&gt;&lt;D xsi:type="xsd:double"&gt;-4.9051228&lt;/D&gt;&lt;D xsi:type="xsd:double"&gt;7.3370337&lt;/D&gt;&lt;D xsi:type="xsd:double"&gt;0.6533623&lt;/D&gt;&lt;D xsi:type="xsd:double"&gt;-4.3274403&lt;/D&gt;&lt;D xsi:type="xsd:double"&gt;3.0531406&lt;/D&gt;&lt;D xsi:type="xsd:double"&gt;4.8280954&lt;/D&gt;&lt;D xsi:type="xsd:double"&gt;1.7445922&lt;/D&gt;&lt;D xsi:type="xsd:double"&gt;2.2847295&lt;/D&gt;&lt;D xsi:type="xsd:double"&gt;-0.27008653&lt;/D&gt;&lt;D xsi:type="xsd:double"&gt;-7.7860594&lt;/D&gt;&lt;D xsi:type="xsd:double"&gt;-23.861969&lt;/D&gt;&lt;D xsi:type="xsd:double"&gt;-0.048214197&lt;/D&gt;&lt;D xsi:type="xsd:double"&gt;7.959473&lt;/D&gt;&lt;D xsi:type="xsd:double"&gt;6.735122&lt;/D&gt;&lt;D xsi:type="xsd:double"&gt;8.41794&lt;/D&gt;&lt;D xsi:type="xsd:double"&gt;1.4436245&lt;/D&gt;&lt;D xsi:type="xsd:double"&gt;-5.576926&lt;/D&gt;&lt;D xsi:type="xsd:double"&gt;-6.761712&lt;/D&gt;&lt;D xsi:type="xsd:double"&gt;27.304506&lt;/D&gt;&lt;D xsi:type="xsd:double"&gt;2.6943803&lt;/D&gt;&lt;D xsi:type="xsd:double"&gt;-2.5943398&lt;/D&gt;&lt;D xsi:type="xsd:double"&gt;3.493607&lt;/D&gt;&lt;D xsi:type="xsd:double"&gt;5.080211&lt;/D&gt;&lt;D xsi:type="xsd:double"&gt;2.7035594&lt;/D&gt;&lt;D xsi:type="xsd:double"&gt;3.778255&lt;/D&gt;&lt;D xsi:type="xsd:double"&gt;-1.2575924&lt;/D&gt;&lt;D xsi:type="xsd:double"&gt;-0.948292&lt;/D&gt;&lt;D xsi:type="xsd:double"&gt;1.7294526&lt;/D&gt;&lt;D xsi:type="xsd:double"&gt;-2.914387&lt;/D&gt;&lt;D xsi:type="xsd:double"&gt;5.284548&lt;/D&gt;&lt;D xsi:type="xsd:double"&gt;-6.0588064&lt;/D&gt;&lt;D xsi:type="xsd:double"&gt;5.528319&lt;/D&gt;&lt;D xsi:type="xsd:double"&gt;-2.9474318&lt;/D&gt;&lt;D xsi:type="xsd:double"&gt;-5.29117&lt;/D&gt;&lt;D xsi:type="xsd:double"&gt;-3.3388436&lt;/D&gt;&lt;D xsi:type="xsd:double"&gt;-5.3009567&lt;/D&gt;&lt;D xsi:type="xsd:double"&gt;4.6226025&lt;/D&gt;&lt;D xsi:type="xsd:double"&gt;-12.086779&lt;/D&gt;&lt;D xsi:type="xsd:double"&gt;-2.913797&lt;/D&gt;&lt;D xsi:type="xsd:double"&gt;-2.8761983&lt;/D&gt;&lt;D xsi:type="xsd:double"&gt;-5.6652365&lt;/D&gt;&lt;D xsi:type="xsd:double"&gt;10.41857&lt;/D&gt;&lt;D xsi:type="xsd:double"&gt;11.907697&lt;/D&gt;&lt;D xsi:type="xsd:double"&gt;-0.028580427&lt;/D&gt;&lt;D xsi:type="xsd:double"&gt;12.149536&lt;/D&gt;&lt;D xsi:type="xsd:double"&gt;0.033330917&lt;/D&gt;&lt;D xsi:type="xsd:double"&gt;-1.1329591&lt;/D&gt;&lt;D xsi:type="xsd:double"&gt;6.707108&lt;/D&gt;&lt;D xsi:type="xsd:double"&gt;-3.7586868&lt;/D&gt;&lt;D xsi:type="xsd:double"&gt;4.8074365&lt;/D&gt;&lt;D xsi:type="xsd:double"&gt;6.9939017&lt;/D&gt;&lt;D xsi:type="xsd:double"&gt;-4.5877037&lt;/D&gt;&lt;D xsi:type="xsd:double"&gt;-4.556876&lt;/D&gt;&lt;D xsi:type="xsd:double"&gt;-4.2476177&lt;/D&gt;&lt;D xsi:type="xsd:double"&gt;12.861073&lt;/D&gt;&lt;D xsi:type="xsd:double"&gt;4.655504&lt;/D&gt;&lt;D xsi:type="xsd:double"&gt;-1.3561308&lt;/D&gt;&lt;D xsi:type="xsd:double"&gt;6.485367&lt;/D&gt;&lt;D xsi:type="xsd:double"&gt;5.865848&lt;/D&gt;&lt;D xsi:type="xsd:double"&gt;-1.2725353&lt;/D&gt;&lt;D xsi:type="xsd:double"&gt;4.296446&lt;/D&gt;&lt;D xsi:type="xsd:double"&gt;-5.4123697&lt;/D&gt;&lt;/FQL&gt;&lt;FQL&gt;&lt;Q&gt;EWN^FMA_DIV_YLD(NTMA,-10AY,0,AM,"PORTAGG","MEANR")&lt;/Q&gt;&lt;R&gt;121&lt;/R&gt;&lt;C&gt;1&lt;/C&gt;&lt;D xsi:type="xsd:double"&gt;2.85559188977059&lt;/D&gt;&lt;D xsi:type="xsd:double"&gt;2.9333147308296&lt;/D&gt;&lt;D xsi:type="xsd:double"&gt;2.99239945293699&lt;/D&gt;&lt;D xsi:type="xsd:double"&gt;3.00692373312957&lt;/D&gt;&lt;D xsi:type="xsd:double"&gt;3.18073719744831&lt;/D&gt;&lt;D xsi:type="xsd:double"&gt;3.01764484263218&lt;/D&gt;&lt;D xsi:type="xsd:double"&gt;3.06613499294765&lt;/D&gt;&lt;D xsi:type="xsd:double"&gt;2.9132130305838&lt;/D&gt;&lt;D xsi:type="xsd:double"&gt;2.71372282178949&lt;/D&gt;&lt;D xsi:type="xsd:double"&gt;2.70236145819363&lt;/D&gt;&lt;D xsi:type="xsd:double"&gt;2.66701093644489&lt;/D&gt;&lt;D xsi:type="xsd:double"&gt;2.77303444113385&lt;/D&gt;&lt;D xsi:type="xsd:double"&gt;2.83154020248197&lt;/D&gt;&lt;D xsi:type="xsd:double"&gt;2.91488070264759&lt;/D&gt;&lt;D xsi:type="xsd:double"&gt;3.39730929229893&lt;/D&gt;&lt;D xsi:type="xsd:double"&gt;3.64112380215782&lt;/D&gt;&lt;D xsi:type="xsd:double"&gt;3.25536144541342&lt;/D&gt;&lt;D xsi:type="xsd:double"&gt;3.10197971102992&lt;/D&gt;&lt;D xsi:type="xsd:double"&gt;3.29558352861622&lt;/D&gt;&lt;D xsi:type="xsd:double"&gt;3.32164085642916&lt;/D&gt;&lt;D xsi:type="xsd:double"&gt;3.38990219841549&lt;/D&gt;&lt;D xsi:type="xsd:double"&gt;3.3177084735624&lt;/D&gt;&lt;D xsi:type="xsd:double"&gt;3.28432491202584&lt;/D&gt;&lt;D xsi:type="xsd:double"&gt;3.25821120153716&lt;/D&gt;&lt;D xsi:type="xsd:double"&gt;3.48496862323098&lt;/D&gt;&lt;D xsi:type="xsd:double"&gt;3.21315017240436&lt;/D&gt;&lt;D xsi:type="xsd:double"&gt;3.13844750914302&lt;/D&gt;&lt;D xsi:type="xsd:double"&gt;3.14749653220455&lt;/D&gt;&lt;D xsi:type="xsd:double"&gt;3.11284710232072&lt;/D&gt;&lt;D xsi:type="xsd:double"&gt;3.13568527397787&lt;/D&gt;&lt;D xsi:type="xsd:double"&gt;2.95447665290583&lt;/D&gt;&lt;D xsi:type="xsd:double"&gt;2.95485150127102&lt;/D&gt;&lt;D xsi:type="xsd:double"&gt;2.86927841261977&lt;/D&gt;&lt;D xsi:type="xsd:double"&gt;2.77988219475308&lt;/D&gt;&lt;D xsi:type="xsd:double"&gt;2.73730496310731&lt;/D&gt;&lt;D xsi:type="xsd:double"&gt;2.72590854398477&lt;/D&gt;&lt;D xsi:type="xsd:double"&gt;2.77005418402983&lt;/D&gt;&lt;D xsi:type="xsd:double"&gt;2.76606719988563&lt;/D&gt;&lt;D xsi:type="xsd:double"&gt;2.8509020993489&lt;/D&gt;&lt;D xsi:type="xsd:double"&gt;2.80908398191909&lt;/D&gt;&lt;D xsi:type="xsd:double"&gt;2.7456784637202&lt;/D&gt;&lt;D xsi:type="xsd:double"&gt;2.81581828541524&lt;/D&gt;&lt;D xsi:type="xsd:double"&gt;2.84340405721775&lt;/D&gt;&lt;D xsi:type="xsd:double"&gt;2.77665802260765&lt;/D&gt;&lt;D xsi:type="xsd:double"&gt;2.93299424388678&lt;/D&gt;&lt;D xsi:type="xsd:double"&gt;3.00004532786415&lt;/D&gt;&lt;D xsi:type="xsd:double"&gt;2.93298881130635&lt;/D&gt;&lt;D xsi:type="xsd:double"&gt;2.88086523098899&lt;/D&gt;&lt;D xsi:type="xsd:double"&gt;2.97321527157434&lt;/D&gt;&lt;D xsi:type="xsd:double"&gt;2.84594917176049&lt;/D&gt;&lt;D xsi:type="xsd:double"&gt;2.89357906128988&lt;/D&gt;&lt;D xsi:type="xsd:double"&gt;3.01457564624423&lt;/D&gt;&lt;D xsi:type="xsd:double"&gt;3.26781195888478&lt;/D&gt;&lt;D xsi:type="xsd:double"&gt;3.22242287193273&lt;/D&gt;&lt;D xsi:type="xsd:double"&gt;3.49314416410446&lt;/D&gt;&lt;D xsi:type="xsd:double"&gt;3.30538223782852&lt;/D&gt;&lt;D xsi:type="xsd:double"&gt;3.12172646058908&lt;/D&gt;&lt;D xsi:type="xsd:double"&gt;3.08817898271736&lt;/D&gt;&lt;D xsi:type="xsd:double"&gt;2.9731074703266&lt;/D&gt;&lt;D xsi:type="xsd:double"&gt;3.11518218402919&lt;/D&gt;&lt;D xsi:type="xsd:double"&gt;3.00769132725033&lt;/D&gt;&lt;D xsi:type="xsd:double"&gt;2.88271115152012&lt;/D&gt;&lt;D xsi:type="xsd:double"&gt;3.00108232849327&lt;/D&gt;&lt;D xsi:type="xsd:double"&gt;2.75516504851131&lt;/D&gt;&lt;D xsi:type="xsd:double"&gt;2.72862019127629&lt;/D&gt;&lt;D xsi:type="xsd:double"&gt;2.64261937617804&lt;/D&gt;&lt;D xsi:type="xsd:double"&gt;2.57386219012914&lt;/D&gt;&lt;D xsi:type="xsd:double"&gt;2.64283657689247&lt;/D&gt;&lt;D xsi:type="xsd:double"&gt;2.87032197535569&lt;/D&gt;&lt;D xsi:type="xsd:double"&gt;3.40646050637911&lt;/D&gt;&lt;D xsi:type="xsd:double"&gt;2.71991556145998&lt;/D&gt;&lt;D xsi:type="xsd:double"&gt;2.46200147208993&lt;/D&gt;&lt;D xsi:type="xsd:double"&gt;2.39351188293154&lt;/D&gt;&lt;D xsi:type="xsd:double"&gt;2.33410641229993&lt;/D&gt;&lt;D xsi:type="xsd:double"&gt;2.3054843949615&lt;/D&gt;&lt;D xsi:type="xsd:double"&gt;2.35348347356427&lt;/D&gt;&lt;D xsi:type="xsd:double"&gt;2.40349491588261&lt;/D&gt;&lt;D xsi:type="xsd:double"&gt;2.15235241634423&lt;/D&gt;&lt;D xsi:type="xsd:double"&gt;2.01057233752912&lt;/D&gt;&lt;D xsi:type="xsd:double"&gt;1.99663796701948&lt;/D&gt;&lt;D xsi:type="xsd:double"&gt;2.00890154501115&lt;/D&gt;&lt;D xsi:type="xsd:double"&gt;1.96464460993529&lt;/D&gt;&lt;D xsi:type="xsd:double"&gt;1.91941201195055&lt;/D&gt;&lt;D xsi:type="xsd:double"&gt;2.00382871388999&lt;/D&gt;&lt;D xsi:type="xsd:double"&gt;1.99198842904144&lt;/D&gt;&lt;D xsi:type="xsd:double"&gt;1.95928286181643&lt;/D&gt;&lt;D xsi:type="xsd:double"&gt;1.83017579400906&lt;/D&gt;&lt;D xsi:type="xsd:double"&gt;1.94424189974657&lt;/D&gt;&lt;D xsi:type="xsd:double"&gt;1.90245697522397&lt;/D&gt;&lt;D xsi:type="xsd:double"&gt;1.96408127467891&lt;/D&gt;&lt;D xsi:type="xsd:double"&gt;1.92754063658601&lt;/D&gt;&lt;D xsi:type="xsd:double"&gt;2.22872037765147&lt;/D&gt;&lt;D xsi:type="xsd:double"&gt;2.3362342781575&lt;/D&gt;&lt;D xsi:type="xsd:double"&gt;2.25308256820242&lt;/D&gt;&lt;D xsi:type="xsd:double"&gt;2.3938328443916&lt;/D&gt;&lt;D xsi:type="xsd:double"&gt;2.52813053355561&lt;/D&gt;&lt;D xsi:type="xsd:double"&gt;3.39366244221195&lt;/D&gt;&lt;D xsi:type="xsd:double"&gt;3.0822551449029&lt;/D&gt;&lt;D xsi:type="xsd:double"&gt;3.65377868406087&lt;/D&gt;&lt;D xsi:type="xsd:double"&gt;3.05431675494306&lt;/D&gt;&lt;D xsi:type="xsd:double"&gt;2.93802522270526&lt;/D&gt;&lt;D xsi:type="xsd:double"&gt;2.66779816567375&lt;/D&gt;&lt;D xsi:type="xsd:double"&gt;2.81518218521266&lt;/D&gt;&lt;D xsi:type="xsd:double"&gt;2.52918838411431&lt;/D&gt;&lt;D xsi:type="xsd:double"&gt;2.67094595739118&lt;/D&gt;&lt;D xsi:type="xsd:double"&gt;2.74651693825077&lt;/D&gt;&lt;D xsi:type="xsd:double"&gt;2.68570320957914&lt;/D&gt;&lt;D xsi:type="xsd:double"&gt;2.63115429164613&lt;/D&gt;&lt;D xsi:type="xsd:double"&gt;2.72407946562718&lt;/D&gt;&lt;D xsi:type="xsd:double"&gt;2.6189842810053&lt;/D&gt;&lt;D xsi:type="xsd:double"&gt;2.88070216884162&lt;/D&gt;&lt;D xsi:type="xsd:double"&gt;3.07691888794276&lt;/D&gt;&lt;D xsi:type="xsd:double"&gt;3.11887852164135&lt;/D&gt;&lt;D xsi:type="xsd:double"&gt;2.8186618373774&lt;/D&gt;&lt;D xsi:type="xsd:double"&gt;2.67719669234165&lt;/D&gt;&lt;D xsi:type="xsd:double"&gt;2.58088213735721&lt;/D&gt;&lt;D xsi:type="xsd:double"&gt;2.48466498744342&lt;/D&gt;&lt;D xsi:type="xsd:double"&gt;2.51934391403883&lt;/D&gt;&lt;D xsi:type="xsd:double"&gt;2.57091523369297&lt;/D&gt;&lt;D xsi:type="xsd:double"&gt;2.46529936725711&lt;/D&gt;&lt;D xsi:type="xsd:double"&gt;2.49639276686077&lt;/D&gt;&lt;/FQL&gt;&lt;FQL&gt;&lt;Q&gt;SPY^FMA_PE(NTMA,-10AY,0,AM,"PORTAGG","MEANR")&lt;/Q&gt;&lt;R&gt;121&lt;/R&gt;&lt;C&gt;1&lt;/C&gt;&lt;D xsi:type="xsd:double"&gt;15.3620119206919&lt;/D&gt;&lt;D xsi:type="xsd:double"&gt;15.2777456846935&lt;/D&gt;&lt;D xsi:type="xsd:double"&gt;15.3147791733683&lt;/D&gt;&lt;D xsi:type="xsd:double"&gt;15.0996256442277&lt;/D&gt;&lt;D xsi:type="xsd:double"&gt;15.2298156856194&lt;/D&gt;&lt;D xsi:type="xsd:double"&gt;15.8455797276342&lt;/D&gt;&lt;D xsi:type="xsd:double"&gt;16.2067799251663&lt;/D&gt;&lt;D xsi:type="xsd:double"&gt;16.0426938347458&lt;/D&gt;&lt;D xsi:type="xsd:double"&gt;16.9007316344402&lt;/D&gt;&lt;D xsi:type="xsd:double"&gt;16.4871616525574&lt;/D&gt;&lt;D xsi:type="xsd:double"&gt;16.8039443223265&lt;/D&gt;&lt;D xsi:type="xsd:double"&gt;16.6548356206206&lt;/D&gt;&lt;D xsi:type="xsd:double"&gt;16.4037494531471&lt;/D&gt;&lt;D xsi:type="xsd:double"&gt;16.3334875439225&lt;/D&gt;&lt;D xsi:type="xsd:double"&gt;15.4793400021232&lt;/D&gt;&lt;D xsi:type="xsd:double"&gt;14.6509569055214&lt;/D&gt;&lt;D xsi:type="xsd:double"&gt;16.3678090376146&lt;/D&gt;&lt;D xsi:type="xsd:double"&gt;16.3453959893433&lt;/D&gt;&lt;D xsi:type="xsd:double"&gt;16.0681780258511&lt;/D&gt;&lt;D xsi:type="xsd:double"&gt;15.1165930381123&lt;/D&gt;&lt;D xsi:type="xsd:double"&gt;15.5099438140132&lt;/D&gt;&lt;D xsi:type="xsd:double"&gt;15.5167363536305&lt;/D&gt;&lt;D xsi:type="xsd:double"&gt;16.5004635460184&lt;/D&gt;&lt;D xsi:type="xsd:double"&gt;16.6302500091477&lt;/D&gt;&lt;D xsi:type="xsd:double"&gt;16.0044433286824&lt;/D&gt;&lt;D xsi:type="xsd:double"&gt;16.9260089390796&lt;/D&gt;&lt;D xsi:type="xsd:double"&gt;16.7898861437351&lt;/D&gt;&lt;D xsi:type="xsd:double"&gt;16.6869900264486&lt;/D&gt;&lt;D xsi:type="xsd:double"&gt;16.2198885352384&lt;/D&gt;&lt;D xsi:type="xsd:double"&gt;16.7134458665167&lt;/D&gt;&lt;D xsi:type="xsd:double"&gt;16.903087763392&lt;/D&gt;&lt;D xsi:type="xsd:double"&gt;17.1831954500388&lt;/D&gt;&lt;D xsi:type="xsd:double"&gt;17.6584703048047&lt;/D&gt;&lt;D xsi:type="xsd:double"&gt;17.4956678268454&lt;/D&gt;&lt;D xsi:type="xsd:double"&gt;17.4451564315849&lt;/D&gt;&lt;D xsi:type="xsd:double"&gt;17.5333988469441&lt;/D&gt;&lt;D xsi:type="xsd:double"&gt;17.5525575827646&lt;/D&gt;&lt;D xsi:type="xsd:double"&gt;17.6595847875922&lt;/D&gt;&lt;D xsi:type="xsd:double"&gt;17.3234410626692&lt;/D&gt;&lt;D xsi:type="xsd:double"&gt;17.667046883964&lt;/D&gt;&lt;D xsi:type="xsd:double"&gt;18.0047984906939&lt;/D&gt;&lt;D xsi:type="xsd:double"&gt;18.1178333882905&lt;/D&gt;&lt;D xsi:type="xsd:double"&gt;18.245036114521&lt;/D&gt;&lt;D xsi:type="xsd:double"&gt;18.4548114831502&lt;/D&gt;&lt;D xsi:type="xsd:double"&gt;16.8778820674624&lt;/D&gt;&lt;D xsi:type="xsd:double"&gt;16.115482674124&lt;/D&gt;&lt;D xsi:type="xsd:double"&gt;16.2202375877396&lt;/D&gt;&lt;D xsi:type="xsd:double"&gt;16.2864337875311&lt;/D&gt;&lt;D xsi:type="xsd:double"&gt;16.1140399930557&lt;/D&gt;&lt;D xsi:type="xsd:double"&gt;16.5215982660723&lt;/D&gt;&lt;D xsi:type="xsd:double"&gt;16.8013698976228&lt;/D&gt;&lt;D xsi:type="xsd:double"&gt;16.7792914495823&lt;/D&gt;&lt;D xsi:type="xsd:double"&gt;15.1753382120886&lt;/D&gt;&lt;D xsi:type="xsd:double"&gt;15.662264394687&lt;/D&gt;&lt;D xsi:type="xsd:double"&gt;14.2844791781706&lt;/D&gt;&lt;D xsi:type="xsd:double"&gt;15.3641861254762&lt;/D&gt;&lt;D xsi:type="xsd:double"&gt;16.2188096213021&lt;/D&gt;&lt;D xsi:type="xsd:double"&gt;16.3193336851721&lt;/D&gt;&lt;D xsi:type="xsd:double"&gt;16.9022021743168&lt;/D&gt;&lt;D xsi:type="xsd:double"&gt;15.9803064734461&lt;/D&gt;&lt;D xsi:type="xsd:double"&gt;16.733424257917&lt;/D&gt;&lt;D xsi:type="xsd:double"&gt;17.2145266357384&lt;/D&gt;&lt;D xsi:type="xsd:double"&gt;16.3584663945072&lt;/D&gt;&lt;D xsi:type="xsd:double"&gt;16.7218892373367&lt;/D&gt;&lt;D xsi:type="xsd:double"&gt;17.1824798025032&lt;/D&gt;&lt;D xsi:type="xsd:double"&gt;17.7922813978348&lt;/D&gt;&lt;D xsi:type="xsd:double"&gt;18.227378145262&lt;/D&gt;&lt;D xsi:type="xsd:double"&gt;18.3273424867398&lt;/D&gt;&lt;D xsi:type="xsd:double"&gt;16.5763463017686&lt;/D&gt;&lt;D xsi:type="xsd:double"&gt;15.1716266482048&lt;/D&gt;&lt;D xsi:type="xsd:double"&gt;19.8325325389708&lt;/D&gt;&lt;D xsi:type="xsd:double"&gt;21.5575904693814&lt;/D&gt;&lt;D xsi:type="xsd:double"&gt;21.1139260242967&lt;/D&gt;&lt;D xsi:type="xsd:double"&gt;21.8998171433725&lt;/D&gt;&lt;D xsi:type="xsd:double"&gt;22.9593907564053&lt;/D&gt;&lt;D xsi:type="xsd:double"&gt;21.4625482147933&lt;/D&gt;&lt;D xsi:type="xsd:double"&gt;20.3655889469441&lt;/D&gt;&lt;D xsi:type="xsd:double"&gt;21.9177894152854&lt;/D&gt;&lt;D xsi:type="xsd:double"&gt;22.3688398361436&lt;/D&gt;&lt;D xsi:type="xsd:double"&gt;21.7741699001034&lt;/D&gt;&lt;D xsi:type="xsd:double"&gt;21.3859405351436&lt;/D&gt;&lt;D xsi:type="xsd:double"&gt;21.9523869394809&lt;/D&gt;&lt;D xsi:type="xsd:double"&gt;21.9781685032312&lt;/D&gt;&lt;D xsi:type="xsd:double"&gt;21.2541114716447&lt;/D&gt;&lt;D xsi:type="xsd:double"&gt;21.3564705886965&lt;/D&gt;&lt;D xsi:type="xsd:double"&gt;21.1107547617595&lt;/D&gt;&lt;D xsi:type="xsd:double"&gt;21.1741945368406&lt;/D&gt;&lt;D xsi:type="xsd:double"&gt;20.3176326885276&lt;/D&gt;&lt;D xsi:type="xsd:double"&gt;21.1047389968577&lt;/D&gt;&lt;D xsi:type="xsd:double"&gt;20.8352854015569&lt;/D&gt;&lt;D xsi:type="xsd:double"&gt;21.467277868605&lt;/D&gt;&lt;D xsi:type="xsd:double"&gt;19.5832845488313&lt;/D&gt;&lt;D xsi:type="xsd:double"&gt;19.1028318156466&lt;/D&gt;&lt;D xsi:type="xsd:double"&gt;19.687000788278&lt;/D&gt;&lt;D xsi:type="xsd:double"&gt;18.1055680420805&lt;/D&gt;&lt;D xsi:type="xsd:double"&gt;17.4728508262599&lt;/D&gt;&lt;D xsi:type="xsd:double"&gt;15.9530540020575&lt;/D&gt;&lt;D xsi:type="xsd:double"&gt;17.1515885509173&lt;/D&gt;&lt;D xsi:type="xsd:double"&gt;17.1003655260285&lt;/D&gt;&lt;D xsi:type="xsd:double"&gt;15.6881805872521&lt;/D&gt;&lt;D xsi:type="xsd:double"&gt;16.8108038341876&lt;/D&gt;&lt;D xsi:type="xsd:double"&gt;17.127311499039&lt;/D&gt;&lt;D xsi:type="xsd:double"&gt;16.3996895193391&lt;/D&gt;&lt;D xsi:type="xsd:double"&gt;17.9442693848726&lt;/D&gt;&lt;D xsi:type="xsd:double"&gt;17.494295522878&lt;/D&gt;&lt;D xsi:type="xsd:double"&gt;17.4164770011936&lt;/D&gt;&lt;D xsi:type="xsd:double"&gt;18.17380244714&lt;/D&gt;&lt;D xsi:type="xsd:double"&gt;18.1577603674421&lt;/D&gt;&lt;D xsi:type="xsd:double"&gt;18.8192289836483&lt;/D&gt;&lt;D xsi:type="xsd:double"&gt;19.5588609059171&lt;/D&gt;&lt;D xsi:type="xsd:double"&gt;18.5633212937525&lt;/D&gt;&lt;D xsi:type="xsd:double"&gt;17.8886448979181&lt;/D&gt;&lt;D xsi:type="xsd:double"&gt;17.0472682051371&lt;/D&gt;&lt;D xsi:type="xsd:double"&gt;18.6905245947628&lt;/D&gt;&lt;D xsi:type="xsd:double"&gt;19.586478080029&lt;/D&gt;&lt;D xsi:type="xsd:double"&gt;20.0333249049287&lt;/D&gt;&lt;D xsi:type="xsd:double"&gt;20.3888907378367&lt;/D&gt;&lt;D xsi:type="xsd:double"&gt;20.9579180074501&lt;/D&gt;&lt;D xsi:type="xsd:double"&gt;20.1038862107031&lt;/D&gt;&lt;D xsi:type="xsd:double"&gt;20.6017111541718&lt;/D&gt;&lt;D xsi:type="xsd:double"&gt;21.0940854669369&lt;/D&gt;&lt;/FQL&gt;&lt;FQL&gt;&lt;Q&gt;EWU^FMA_PE(LTMA,-10AY,0,AM,"PORTAGG","MEANR")&lt;/Q&gt;&lt;R&gt;121&lt;/R&gt;&lt;C&gt;1&lt;/C&gt;&lt;D xsi:type="xsd:double"&gt;14.3476904055075&lt;/D&gt;&lt;D xsi:type="xsd:double"&gt;14.4127443675764&lt;/D&gt;&lt;D xsi:type="xsd:double"&gt;14.2627490341747&lt;/D&gt;&lt;D xsi:type="xsd:double"&gt;13.9623481142743&lt;/D&gt;&lt;D xsi:type="xsd:double"&gt;13.6170235587688&lt;/D&gt;&lt;D xsi:type="xsd:double"&gt;14.0070217222602&lt;/D&gt;&lt;D xsi:type="xsd:double"&gt;13.8644898471586&lt;/D&gt;&lt;D xsi:type="xsd:double"&gt;14.3382241588239&lt;/D&gt;&lt;D xsi:type="xsd:double"&gt;15.1831166741616&lt;/D&gt;&lt;D xsi:type="xsd:double"&gt;15.2523439769646&lt;/D&gt;&lt;D xsi:type="xsd:double"&gt;15.6324154337094&lt;/D&gt;&lt;D xsi:type="xsd:double"&gt;15.7889609436138&lt;/D&gt;&lt;D xsi:type="xsd:double"&gt;15.6923925093541&lt;/D&gt;&lt;D xsi:type="xsd:double"&gt;15.5519418817328&lt;/D&gt;&lt;D xsi:type="xsd:double"&gt;15.1453950613454&lt;/D&gt;&lt;D xsi:type="xsd:double"&gt;14.7433309870007&lt;/D&gt;&lt;D xsi:type="xsd:double"&gt;15.860765286844&lt;/D&gt;&lt;D xsi:type="xsd:double"&gt;15.9742211220741&lt;/D&gt;&lt;D xsi:type="xsd:double"&gt;15.7471989535684&lt;/D&gt;&lt;D xsi:type="xsd:double"&gt;14.9670336694555&lt;/D&gt;&lt;D xsi:type="xsd:double"&gt;15.4662677386287&lt;/D&gt;&lt;D xsi:type="xsd:double"&gt;15.6795641950174&lt;/D&gt;&lt;D xsi:type="xsd:double"&gt;16.0226497008596&lt;/D&gt;&lt;D xsi:type="xsd:double"&gt;16.0587747235594&lt;/D&gt;&lt;D xsi:type="xsd:double"&gt;15.7886264504255&lt;/D&gt;&lt;D xsi:type="xsd:double"&gt;16.636898762043&lt;/D&gt;&lt;D xsi:type="xsd:double"&gt;16.9559030916199&lt;/D&gt;&lt;D xsi:type="xsd:double"&gt;16.9517570160123&lt;/D&gt;&lt;D xsi:type="xsd:double"&gt;16.8184541061946&lt;/D&gt;&lt;D xsi:type="xsd:double"&gt;16.4179257118622&lt;/D&gt;&lt;D xsi:type="xsd:double"&gt;17.09589747555&lt;/D&gt;&lt;D xsi:type="xsd:double"&gt;17.1323924705446&lt;/D&gt;&lt;D xsi:type="xsd:double"&gt;17.3731213198354&lt;/D&gt;&lt;D xsi:type="xsd:double"&gt;17.154540050985&lt;/D&gt;&lt;D xsi:type="xsd:double"&gt;16.8675870270699&lt;/D&gt;&lt;D xsi:type="xsd:double"&gt;16.8136230856051&lt;/D&gt;&lt;D xsi:type="xsd:double"&gt;16.4759250687072&lt;/D&gt;&lt;D xsi:type="xsd:double"&gt;16.3993122723276&lt;/D&gt;&lt;D xsi:type="xsd:double"&gt;16.1075215813025&lt;/D&gt;&lt;D xsi:type="xsd:double"&gt;15.7752405364998&lt;/D&gt;&lt;D xsi:type="xsd:double"&gt;15.6351413269906&lt;/D&gt;&lt;D xsi:type="xsd:double"&gt;15.2706022224601&lt;/D&gt;&lt;D xsi:type="xsd:double"&gt;15.3922323163988&lt;/D&gt;&lt;D xsi:type="xsd:double"&gt;15.6340012196857&lt;/D&gt;&lt;D xsi:type="xsd:double"&gt;13.9107841959167&lt;/D&gt;&lt;D xsi:type="xsd:double"&gt;13.8938960693043&lt;/D&gt;&lt;D xsi:type="xsd:double"&gt;14.0497003335159&lt;/D&gt;&lt;D xsi:type="xsd:double"&gt;14.0316553883031&lt;/D&gt;&lt;D xsi:type="xsd:double"&gt;13.8196633568247&lt;/D&gt;&lt;D xsi:type="xsd:double"&gt;13.8951113267335&lt;/D&gt;&lt;D xsi:type="xsd:double"&gt;13.6980708629214&lt;/D&gt;&lt;D xsi:type="xsd:double"&gt;13.6250788663895&lt;/D&gt;&lt;D xsi:type="xsd:double"&gt;12.6539028754221&lt;/D&gt;&lt;D xsi:type="xsd:double"&gt;12.5957458687338&lt;/D&gt;&lt;D xsi:type="xsd:double"&gt;11.9783817310037&lt;/D&gt;&lt;D xsi:type="xsd:double"&gt;12.1926488759032&lt;/D&gt;&lt;D xsi:type="xsd:double"&gt;12.9344829141285&lt;/D&gt;&lt;D xsi:type="xsd:double"&gt;12.9354645003288&lt;/D&gt;&lt;D xsi:type="xsd:double"&gt;13.0001250357299&lt;/D&gt;&lt;D xsi:type="xsd:double"&gt;12.8505675803097&lt;/D&gt;&lt;D xsi:type="xsd:double"&gt;13.051374320424&lt;/D&gt;&lt;D xsi:type="xsd:double"&gt;13.1404600147309&lt;/D&gt;&lt;D xsi:type="xsd:double"&gt;12.7182661745922&lt;/D&gt;&lt;D xsi:type="xsd:double"&gt;13.1973419010802&lt;/D&gt;&lt;D xsi:type="xsd:double"&gt;13.3317489658726&lt;/D&gt;&lt;D xsi:type="xsd:double"&gt;13.6515337990513&lt;/D&gt;&lt;D xsi:type="xsd:double"&gt;14.2293095880323&lt;/D&gt;&lt;D xsi:type="xsd:double"&gt;13.9900459815579&lt;/D&gt;&lt;D xsi:type="xsd:double"&gt;12.3303979979974&lt;/D&gt;&lt;D xsi:type="xsd:double"&gt;12.2222757799427&lt;/D&gt;&lt;D xsi:type="xsd:double"&gt;13.552982219674&lt;/D&gt;&lt;D xsi:type="xsd:double"&gt;14.6701007143871&lt;/D&gt;&lt;D xsi:type="xsd:double"&gt;15.0645360588096&lt;/D&gt;&lt;D xsi:type="xsd:double"&gt;15.7255977510655&lt;/D&gt;&lt;D xsi:type="xsd:double"&gt;16.5603307165323&lt;/D&gt;&lt;D xsi:type="xsd:double"&gt;16.8241226128079&lt;/D&gt;&lt;D xsi:type="xsd:double"&gt;15.9219154646082&lt;/D&gt;&lt;D xsi:type="xsd:double"&gt;18.6428869009661&lt;/D&gt;&lt;D xsi:type="xsd:double"&gt;19.6370717925479&lt;/D&gt;&lt;D xsi:type="xsd:double"&gt;19.4252586425322&lt;/D&gt;&lt;D xsi:type="xsd:double"&gt;18.808343681971&lt;/D&gt;&lt;D xsi:type="xsd:double"&gt;18.3630477875942&lt;/D&gt;&lt;D xsi:type="xsd:double"&gt;17.7266806275937&lt;/D&gt;&lt;D xsi:type="xsd:double"&gt;17.1742917334659&lt;/D&gt;&lt;D xsi:type="xsd:double"&gt;16.4745812652808&lt;/D&gt;&lt;D xsi:type="xsd:double"&gt;15.5837810667946&lt;/D&gt;&lt;D xsi:type="xsd:double"&gt;14.8130755698662&lt;/D&gt;&lt;D xsi:type="xsd:double"&gt;13.9358871295146&lt;/D&gt;&lt;D xsi:type="xsd:double"&gt;13.6810017938783&lt;/D&gt;&lt;D xsi:type="xsd:double"&gt;12.5323337685648&lt;/D&gt;&lt;D xsi:type="xsd:double"&gt;12.3802735524177&lt;/D&gt;&lt;D xsi:type="xsd:double"&gt;12.5177287789853&lt;/D&gt;&lt;D xsi:type="xsd:double"&gt;12.5497929145834&lt;/D&gt;&lt;D xsi:type="xsd:double"&gt;12.3526536024706&lt;/D&gt;&lt;D xsi:type="xsd:double"&gt;12.0195966728931&lt;/D&gt;&lt;D xsi:type="xsd:double"&gt;11.7889356226987&lt;/D&gt;&lt;D xsi:type="xsd:double"&gt;11.3399814037475&lt;/D&gt;&lt;D xsi:type="xsd:double"&gt;10.9877283063263&lt;/D&gt;&lt;D xsi:type="xsd:double"&gt;10.5408336070185&lt;/D&gt;&lt;D xsi:type="xsd:double"&gt;9.43306071044559&lt;/D&gt;&lt;D xsi:type="xsd:double"&gt;9.55920184573381&lt;/D&gt;&lt;D xsi:type="xsd:double"&gt;9.81575329320155&lt;/D&gt;&lt;D xsi:type="xsd:double"&gt;9.6370709633986&lt;/D&gt;&lt;D xsi:type="xsd:double"&gt;10.1496892327098&lt;/D&gt;&lt;D xsi:type="xsd:double"&gt;10.2542852962988&lt;/D&gt;&lt;D xsi:type="xsd:double"&gt;10.1836330690066&lt;/D&gt;&lt;D xsi:type="xsd:double"&gt;10.4410805323432&lt;/D&gt;&lt;D xsi:type="xsd:double"&gt;10.2670102572405&lt;/D&gt;&lt;D xsi:type="xsd:double"&gt;10.2880170627562&lt;/D&gt;&lt;D xsi:type="xsd:double"&gt;10.6564179813602&lt;/D&gt;&lt;D xsi:type="xsd:double"&gt;10.3426821120384&lt;/D&gt;&lt;D xsi:type="xsd:double"&gt;10.5965801644843&lt;/D&gt;&lt;D xsi:type="xsd:double"&gt;10.2410690822346&lt;/D&gt;&lt;D xsi:type="xsd:double"&gt;10.8009486254906&lt;/D&gt;&lt;D xsi:type="xsd:double"&gt;11.3106048116134&lt;/D&gt;&lt;D xsi:type="xsd:double"&gt;11.3663186587574&lt;/D&gt;&lt;D xsi:type="xsd:double"&gt;11.4234030305992&lt;/D&gt;&lt;D xsi:type="xsd:double"&gt;11.5365399738271&lt;/D&gt;&lt;D xsi:type="xsd:double"&gt;11.6038359264721&lt;/D&gt;&lt;D xsi:type="xsd:double"&gt;11.7171094497798&lt;/D&gt;&lt;D xsi:type="xsd:double"&gt;11.6614111481866&lt;/D&gt;&lt;/FQL&gt;&lt;FQL&gt;&lt;Q&gt;NI-FDS^MAX(FG_PRICE(0,-5AY))&lt;/Q&gt;&lt;R&gt;1&lt;/R&gt;&lt;C&gt;1&lt;/C&gt;&lt;D xsi:type="xsd:double"&gt;48241&lt;/D&gt;&lt;/FQL&gt;&lt;FQL&gt;&lt;Q&gt;CPALM-FDS^MAX(FG_PRICE(0,-5AY))&lt;/Q&gt;&lt;R&gt;1&lt;/R&gt;&lt;C&gt;1&lt;/C&gt;&lt;D xsi:type="xsd:double"&gt;8163&lt;/D&gt;&lt;/FQL&gt;&lt;FQL&gt;&lt;Q&gt;BRENT-FDS^MAX(FG_PRICE(0,-5AY))&lt;/Q&gt;&lt;R&gt;1&lt;/R&gt;&lt;C&gt;1&lt;/C&gt;&lt;D xsi:type="xsd:double"&gt;140.85&lt;/D&gt;&lt;/FQL&gt;&lt;FQL&gt;&lt;Q&gt;TIOS-FDS^MAX(FG_PRICE(0,-5AY))&lt;/Q&gt;&lt;R&gt;1&lt;/R&gt;&lt;C&gt;1&lt;/C&gt;&lt;D xsi:type="xsd:double"&gt;219.77&lt;/D&gt;&lt;/FQL&gt;&lt;FQL&gt;&lt;Q&gt;DUMMY^ECON_EXPR_DATA('FDS_ECON[PMIDMMANHE]',,,M)&lt;/Q&gt;&lt;R&gt;0&lt;/R&gt;&lt;C&gt;0&lt;/C&gt;&lt;/FQL&gt;&lt;FQL&gt;&lt;Q&gt;EWN^FMA_ROE(NTMA,-20AY,NOW,FY,"PORTAGG","MEANR")&lt;/Q&gt;&lt;R&gt;20&lt;/R&gt;&lt;C&gt;1&lt;/C&gt;&lt;D xsi:type="xsd:double"&gt;20.5027022731768&lt;/D&gt;&lt;D xsi:type="xsd:double"&gt;18.4388432839057&lt;/D&gt;&lt;D xsi:type="xsd:double"&gt;17.2963282197402&lt;/D&gt;&lt;D xsi:type="xsd:double"&gt;16.6220124304454&lt;/D&gt;&lt;D xsi:type="xsd:double"&gt;13.9821831035128&lt;/D&gt;&lt;D xsi:type="xsd:double"&gt;13.3304023919735&lt;/D&gt;&lt;D xsi:type="xsd:double"&gt;14.6594809949092&lt;/D&gt;&lt;D xsi:type="xsd:double"&gt;13.0989988533626&lt;/D&gt;&lt;D xsi:type="xsd:double"&gt;12.0023835077373&lt;/D&gt;&lt;D xsi:type="xsd:double"&gt;12.1486145572934&lt;/D&gt;&lt;D xsi:type="xsd:double"&gt;12.2197829564797&lt;/D&gt;&lt;D xsi:type="xsd:double"&gt;12.4442703427853&lt;/D&gt;&lt;D xsi:type="xsd:double"&gt;11.8415876112609&lt;/D&gt;&lt;D xsi:type="xsd:double"&gt;13.007558022755&lt;/D&gt;&lt;D xsi:type="xsd:double"&gt;13.2228677711132&lt;/D&gt;&lt;D xsi:type="xsd:double"&gt;13.0917636337237&lt;/D&gt;&lt;D xsi:type="xsd:double"&gt;9.77856566503728&lt;/D&gt;&lt;D xsi:type="xsd:double"&gt;10.8991459518594&lt;/D&gt;&lt;D xsi:type="xsd:double"&gt;12.0158891532418&lt;/D&gt;&lt;D xsi:type="xsd:double"&gt;12.7459856653411&lt;/D&gt;&lt;/FQL&gt;&lt;FQL&gt;&lt;Q&gt;TRYSA10Y-FDS^FG_YIELD(-10AY,0,Y,,"YTM")&lt;/Q&gt;&lt;R&gt;10&lt;/R&gt;&lt;C&gt;1&lt;/C&gt;&lt;D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xsi:type="xsd:double"&gt;3.1928&lt;/D&gt;&lt;/FQL&gt;&lt;FQL&gt;&lt;Q&gt;EWQ^FMA_DIV_YLD(NTMA,-10AY,0,AM,"PORTAGG","MEANR")&lt;/Q&gt;&lt;R&gt;121&lt;/R&gt;&lt;C&gt;1&lt;/C&gt;&lt;D xsi:type="xsd:double"&gt;3.44090799080347&lt;/D&gt;&lt;D xsi:type="xsd:double"&gt;3.52268747184234&lt;/D&gt;&lt;D xsi:type="xsd:double"&gt;3.5456119016497&lt;/D&gt;&lt;D xsi:type="xsd:double"&gt;3.57565333497623&lt;/D&gt;&lt;D xsi:type="xsd:double"&gt;3.79405465011136&lt;/D&gt;&lt;D xsi:type="xsd:double"&gt;3.56431452312046&lt;/D&gt;&lt;D xsi:type="xsd:double"&gt;3.6279729413225&lt;/D&gt;&lt;D xsi:type="xsd:double"&gt;3.36176314481194&lt;/D&gt;&lt;D xsi:type="xsd:double"&gt;3.12865411889008&lt;/D&gt;&lt;D xsi:type="xsd:double"&gt;3.19378604686373&lt;/D&gt;&lt;D xsi:type="xsd:double"&gt;3.18687330144606&lt;/D&gt;&lt;D xsi:type="xsd:double"&gt;3.22068933881431&lt;/D&gt;&lt;D xsi:type="xsd:double"&gt;3.27726834042018&lt;/D&gt;&lt;D xsi:type="xsd:double"&gt;3.34099397600254&lt;/D&gt;&lt;D xsi:type="xsd:double"&gt;3.59015840176273&lt;/D&gt;&lt;D xsi:type="xsd:double"&gt;3.84814729503435&lt;/D&gt;&lt;D xsi:type="xsd:double"&gt;3.4361160682585&lt;/D&gt;&lt;D xsi:type="xsd:double"&gt;3.40791727778393&lt;/D&gt;&lt;D xsi:type="xsd:double"&gt;3.61413505386495&lt;/D&gt;&lt;D xsi:type="xsd:double"&gt;3.85003895637742&lt;/D&gt;&lt;D xsi:type="xsd:double"&gt;3.84812314720219&lt;/D&gt;&lt;D xsi:type="xsd:double"&gt;3.82224788750355&lt;/D&gt;&lt;D xsi:type="xsd:double"&gt;3.6337869153613&lt;/D&gt;&lt;D xsi:type="xsd:double"&gt;3.6820882209492&lt;/D&gt;&lt;D xsi:type="xsd:double"&gt;4.05170221964229&lt;/D&gt;&lt;D xsi:type="xsd:double"&gt;3.74608817699215&lt;/D&gt;&lt;D xsi:type="xsd:double"&gt;3.73095252396423&lt;/D&gt;&lt;D xsi:type="xsd:double"&gt;3.74125361274178&lt;/D&gt;&lt;D xsi:type="xsd:double"&gt;3.70661878784429&lt;/D&gt;&lt;D xsi:type="xsd:double"&gt;3.72289472662035&lt;/D&gt;&lt;D xsi:type="xsd:double"&gt;3.48502551065019&lt;/D&gt;&lt;D xsi:type="xsd:double"&gt;3.47527578284128&lt;/D&gt;&lt;D xsi:type="xsd:double"&gt;3.51220981378499&lt;/D&gt;&lt;D xsi:type="xsd:double"&gt;3.39106797965082&lt;/D&gt;&lt;D xsi:type="xsd:double"&gt;3.26205326860896&lt;/D&gt;&lt;D xsi:type="xsd:double"&gt;3.23198180743746&lt;/D&gt;&lt;D xsi:type="xsd:double"&gt;3.30780974709071&lt;/D&gt;&lt;D xsi:type="xsd:double"&gt;3.3835391734679&lt;/D&gt;&lt;D xsi:type="xsd:double"&gt;3.43216926749566&lt;/D&gt;&lt;D xsi:type="xsd:double"&gt;3.31332956216036&lt;/D&gt;&lt;D xsi:type="xsd:double"&gt;3.24307618743418&lt;/D&gt;&lt;D xsi:type="xsd:double"&gt;3.29879848433149&lt;/D&gt;&lt;D xsi:type="xsd:double"&gt;3.30333929869983&lt;/D&gt;&lt;D xsi:type="xsd:double"&gt;3.20099865215138&lt;/D&gt;&lt;D xsi:type="xsd:double"&gt;3.36432495116874&lt;/D&gt;&lt;D xsi:type="xsd:double"&gt;3.48301097896068&lt;/D&gt;&lt;D xsi:type="xsd:double"&gt;3.31632075908034&lt;/D&gt;&lt;D xsi:type="xsd:double"&gt;3.3072336356364&lt;/D&gt;&lt;D xsi:type="xsd:double"&gt;3.49305620220971&lt;/D&gt;&lt;D xsi:type="xsd:double"&gt;3.36982915012033&lt;/D&gt;&lt;D xsi:type="xsd:double"&gt;3.40095252912343&lt;/D&gt;&lt;D xsi:type="xsd:double"&gt;3.43057471304561&lt;/D&gt;&lt;D xsi:type="xsd:double"&gt;3.79993301081582&lt;/D&gt;&lt;D xsi:type="xsd:double"&gt;3.81032182228079&lt;/D&gt;&lt;D xsi:type="xsd:double"&gt;4.04822311899557&lt;/D&gt;&lt;D xsi:type="xsd:double"&gt;3.86899234788604&lt;/D&gt;&lt;D xsi:type="xsd:double"&gt;3.63806080754626&lt;/D&gt;&lt;D xsi:type="xsd:double"&gt;3.64336592363527&lt;/D&gt;&lt;D xsi:type="xsd:double"&gt;3.47858465226856&lt;/D&gt;&lt;D xsi:type="xsd:double"&gt;3.65715615770081&lt;/D&gt;&lt;D xsi:type="xsd:double"&gt;3.52589895119471&lt;/D&gt;&lt;D xsi:type="xsd:double"&gt;3.49586977148978&lt;/D&gt;&lt;D xsi:type="xsd:double"&gt;3.67547697560856&lt;/D&gt;&lt;D xsi:type="xsd:double"&gt;3.50862384277518&lt;/D&gt;&lt;D xsi:type="xsd:double"&gt;3.45419994143023&lt;/D&gt;&lt;D xsi:type="xsd:double"&gt;3.36469945973506&lt;/D&gt;&lt;D xsi:type="xsd:double"&gt;3.32075569020494&lt;/D&gt;&lt;D xsi:type="xsd:double"&gt;3.37499090546635&lt;/D&gt;&lt;D xsi:type="xsd:double"&gt;3.72782087677705&lt;/D&gt;&lt;D xsi:type="xsd:double"&gt;4.39591839734673&lt;/D&gt;&lt;D xsi:type="xsd:double"&gt;3.6057526994121&lt;/D&gt;&lt;D xsi:type="xsd:double"&gt;3.28053450395218&lt;/D&gt;&lt;D xsi:type="xsd:double"&gt;3.18345497155422&lt;/D&gt;&lt;D xsi:type="xsd:double"&gt;3.14276083047193&lt;/D&gt;&lt;D xsi:type="xsd:double"&gt;3.11206784043943&lt;/D&gt;&lt;D xsi:type="xsd:double"&gt;3.2703090356009&lt;/D&gt;&lt;D xsi:type="xsd:double"&gt;3.4604192881723&lt;/D&gt;&lt;D xsi:type="xsd:double"&gt;2.86594112571329&lt;/D&gt;&lt;D xsi:type="xsd:double"&gt;2.91695445464321&lt;/D&gt;&lt;D xsi:type="xsd:double"&gt;2.96670863617709&lt;/D&gt;&lt;D xsi:type="xsd:double"&gt;2.88006278485536&lt;/D&gt;&lt;D xsi:type="xsd:double"&gt;2.78257739142418&lt;/D&gt;&lt;D xsi:type="xsd:double"&gt;2.68509406295128&lt;/D&gt;&lt;D xsi:type="xsd:double"&gt;2.66882639191992&lt;/D&gt;&lt;D xsi:type="xsd:double"&gt;2.68349031686802&lt;/D&gt;&lt;D xsi:type="xsd:double"&gt;2.70331472886753&lt;/D&gt;&lt;D xsi:type="xsd:double"&gt;2.75791849640837&lt;/D&gt;&lt;D xsi:type="xsd:double"&gt;2.86695339137405&lt;/D&gt;&lt;D xsi:type="xsd:double"&gt;2.79898801466283&lt;/D&gt;&lt;D xsi:type="xsd:double"&gt;2.88322404376377&lt;/D&gt;&lt;D xsi:type="xsd:double"&gt;2.7327687709311&lt;/D&gt;&lt;D xsi:type="xsd:double"&gt;2.87554980172638&lt;/D&gt;&lt;D xsi:type="xsd:double"&gt;3.08298630312566&lt;/D&gt;&lt;D xsi:type="xsd:double"&gt;3.12879550145153&lt;/D&gt;&lt;D xsi:type="xsd:double"&gt;3.16360634382825&lt;/D&gt;&lt;D xsi:type="xsd:double"&gt;3.19031015269252&lt;/D&gt;&lt;D xsi:type="xsd:double"&gt;3.44924940792143&lt;/D&gt;&lt;D xsi:type="xsd:double"&gt;3.32247785263007&lt;/D&gt;&lt;D xsi:type="xsd:double"&gt;3.42917776421481&lt;/D&gt;&lt;D xsi:type="xsd:double"&gt;3.77774652978431&lt;/D&gt;&lt;D xsi:type="xsd:double"&gt;3.49612863278984&lt;/D&gt;&lt;D xsi:type="xsd:double"&gt;3.29082320407584&lt;/D&gt;&lt;D xsi:type="xsd:double"&gt;3.36706853486524&lt;/D&gt;&lt;D xsi:type="xsd:double"&gt;3.10197589553721&lt;/D&gt;&lt;D xsi:type="xsd:double"&gt;3.15712768282322&lt;/D&gt;&lt;D xsi:type="xsd:double"&gt;3.26623367748628&lt;/D&gt;&lt;D xsi:type="xsd:double"&gt;3.11736703334176&lt;/D&gt;&lt;D xsi:type="xsd:double"&gt;3.25052866940322&lt;/D&gt;&lt;D xsi:type="xsd:double"&gt;3.27047157884833&lt;/D&gt;&lt;D xsi:type="xsd:double"&gt;3.23244609194429&lt;/D&gt;&lt;D xsi:type="xsd:double"&gt;3.33059166012923&lt;/D&gt;&lt;D xsi:type="xsd:double"&gt;3.43685057592572&lt;/D&gt;&lt;D xsi:type="xsd:double"&gt;3.58907671426783&lt;/D&gt;&lt;D xsi:type="xsd:double"&gt;3.36363671084999&lt;/D&gt;&lt;D xsi:type="xsd:double"&gt;3.22771694603953&lt;/D&gt;&lt;D xsi:type="xsd:double"&gt;3.17631855056986&lt;/D&gt;&lt;D xsi:type="xsd:double"&gt;3.12111337935859&lt;/D&gt;&lt;D xsi:type="xsd:double"&gt;3.0531297120642&lt;/D&gt;&lt;D xsi:type="xsd:double"&gt;3.11550624305345&lt;/D&gt;&lt;D xsi:type="xsd:double"&gt;3.13412229627396&lt;/D&gt;&lt;D xsi:type="xsd:double"&gt;3.33988948464241&lt;/D&gt;&lt;/FQL&gt;&lt;FQL&gt;&lt;Q&gt;EWL^FMA_PE(LTMA,-10AY,0,AM,"PORTAGG","MEANR")&lt;/Q&gt;&lt;R&gt;121&lt;/R&gt;&lt;C&gt;1&lt;/C&gt;&lt;D xsi:type="xsd:double"&gt;17.1255364192644&lt;/D&gt;&lt;D xsi:type="xsd:double"&gt;17.2370581344769&lt;/D&gt;&lt;D xsi:type="xsd:double"&gt;17.3162319225498&lt;/D&gt;&lt;D xsi:type="xsd:double"&gt;17.2698775866963&lt;/D&gt;&lt;D xsi:type="xsd:double"&gt;17.0641615522577&lt;/D</t>
        </r>
      </text>
    </comment>
    <comment ref="A3" authorId="0" shapeId="0" xr:uid="{60CC4A57-2D1E-4895-BC52-A04C2C460258}">
      <text>
        <r>
          <rPr>
            <b/>
            <sz val="9"/>
            <color indexed="81"/>
            <rFont val="Tahoma"/>
            <charset val="1"/>
          </rPr>
          <t>&gt;&lt;D xsi:type="xsd:double"&gt;17.86211683113&lt;/D&gt;&lt;D xsi:type="xsd:double"&gt;17.3627595471822&lt;/D&gt;&lt;D xsi:type="xsd:double"&gt;16.5583273480514&lt;/D&gt;&lt;D xsi:type="xsd:double"&gt;17.9927049686476&lt;/D&gt;&lt;D xsi:type="xsd:double"&gt;18.0057057591524&lt;/D&gt;&lt;D xsi:type="xsd:double"&gt;18.1676722768929&lt;/D&gt;&lt;D xsi:type="xsd:double"&gt;18.1821671365354&lt;/D&gt;&lt;D xsi:type="xsd:double"&gt;17.8976156300915&lt;/D&gt;&lt;D xsi:type="xsd:double"&gt;18.0982661675534&lt;/D&gt;&lt;D xsi:type="xsd:double"&gt;17.371847139995&lt;/D&gt;&lt;D xsi:type="xsd:double"&gt;16.7649993478922&lt;/D&gt;&lt;D xsi:type="xsd:double"&gt;17.8102104844999&lt;/D&gt;&lt;D xsi:type="xsd:double"&gt;17.6137578222839&lt;/D&gt;&lt;D xsi:type="xsd:double"&gt;17.3935208048145&lt;/D&gt;&lt;D xsi:type="xsd:double"&gt;16.5494606385118&lt;/D&gt;&lt;D xsi:type="xsd:double"&gt;16.6073382950339&lt;/D&gt;&lt;D xsi:type="xsd:double"&gt;16.6000234772925&lt;/D&gt;&lt;D xsi:type="xsd:double"&gt;16.8923886544019&lt;/D&gt;&lt;D xsi:type="xsd:double"&gt;17.1775544307544&lt;/D&gt;&lt;D xsi:type="xsd:double"&gt;16.8191376177785&lt;/D&gt;&lt;D xsi:type="xsd:double"&gt;17.4100851925885&lt;/D&gt;&lt;D xsi:type="xsd:double"&gt;17.8529501611658&lt;/D&gt;&lt;D xsi:type="xsd:double"&gt;18.088803378154&lt;/D&gt;&lt;D xsi:type="xsd:double"&gt;17.6943701688787&lt;/D&gt;&lt;D xsi:type="xsd:double"&gt;17.4120952434169&lt;/D&gt;&lt;D xsi:type="xsd:double"&gt;18.2078939651457&lt;/D&gt;&lt;D xsi:type="xsd:double"&gt;18.5772824353765&lt;/D&gt;&lt;D xsi:type="xsd:double"&gt;19.6747100975888&lt;/D&gt;&lt;D xsi:type="xsd:double"&gt;19.4984008422965&lt;/D&gt;&lt;D xsi:type="xsd:double"&gt;19.4973317145334&lt;/D&gt;&lt;D xsi:type="xsd:double"&gt;19.5386254545056&lt;/D&gt;&lt;D xsi:type="xsd:double"&gt;19.4875462313174&lt;/D&gt;&lt;D xsi:type="xsd:double"&gt;19.2997632097881&lt;/D&gt;&lt;D xsi:type="xsd:double"&gt;19.0885695638908&lt;/D&gt;&lt;D xsi:type="xsd:double"&gt;19.3618901336433&lt;/D&gt;&lt;D xsi:type="xsd:double"&gt;20.13607810303&lt;/D&gt;&lt;D xsi:type="xsd:double"&gt;20.4532793036296&lt;/D&gt;&lt;D xsi:type="xsd:double"&gt;20.7677823424859&lt;/D&gt;&lt;D xsi:type="xsd:double"&gt;22.2579310036866&lt;/D&gt;&lt;D xsi:type="xsd:double"&gt;21.2302793261804&lt;/D&gt;&lt;D xsi:type="xsd:double"&gt;20.7411992849604&lt;/D&gt;&lt;D xsi:type="xsd:double"&gt;20.3370620961571&lt;/D&gt;&lt;D xsi:type="xsd:double"&gt;19.9247140924011&lt;/D&gt;&lt;D xsi:type="xsd:double"&gt;19.147670852596&lt;/D&gt;&lt;D xsi:type="xsd:double"&gt;19.3572772057617&lt;/D&gt;&lt;D xsi:type="xsd:double"&gt;18.9030897306829&lt;/D&gt;&lt;D xsi:type="xsd:double"&gt;18.5872699523067&lt;/D&gt;&lt;D xsi:type="xsd:double"&gt;17.492504930415&lt;/D&gt;&lt;D xsi:type="xsd:double"&gt;17.5338817120285&lt;/D&gt;&lt;D xsi:type="xsd:double"&gt;16.2499286151444&lt;/D&gt;&lt;D xsi:type="xsd:double"&gt;17.3873076936444&lt;/D&gt;&lt;D xsi:type="xsd:double"&gt;18.3536329338024&lt;/D&gt;&lt;D xsi:type="xsd:double"&gt;18.248405710456&lt;/D&gt;&lt;D xsi:type="xsd:double"&gt;18.2908046453804&lt;/D&gt;&lt;D xsi:type="xsd:double"&gt;18.1475295578305&lt;/D&gt;&lt;D xsi:type="xsd:double"&gt;18.3689302500905&lt;/D&gt;&lt;D xsi:type="xsd:double"&gt;18.3386740551822&lt;/D&gt;&lt;D xsi:type="xsd:double"&gt;18.1500259788642&lt;/D&gt;&lt;D xsi:type="xsd:double"&gt;18.4172927386057&lt;/D&gt;&lt;D xsi:type="xsd:double"&gt;18.6520067582501&lt;/D&gt;&lt;D xsi:type="xsd:double"&gt;19.10292979348&lt;/D&gt;&lt;D xsi:type="xsd:double"&gt;19.7716261654978&lt;/D&gt;&lt;D xsi:type="xsd:double"&gt;19.9710842750475&lt;/D&gt;&lt;D xsi:type="xsd:double"&gt;18.0103108276406&lt;/D&gt;&lt;D xsi:type="xsd:double"&gt;17.6569427540259&lt;/D&gt;&lt;D xsi:type="xsd:double"&gt;18.6498794382076&lt;/D&gt;&lt;D xsi:type="xsd:double"&gt;19.1726513677578&lt;/D&gt;&lt;D xsi:type="xsd:double"&gt;19.4727075203472&lt;/D&gt;&lt;D xsi:type="xsd:double"&gt;20.1690948364988&lt;/D&gt;&lt;D xsi:type="xsd:double"&gt;20.6185257422787&lt;/D&gt;&lt;D xsi:type="xsd:double"&gt;20.8082020788042&lt;/D&gt;&lt;D xsi:type="xsd:double"&gt;19.8244362905827&lt;/D&gt;&lt;D xsi:type="xsd:double"&gt;21.3947244321635&lt;/D&gt;&lt;D xsi:type="xsd:double"&gt;21.7842472204699&lt;/D&gt;&lt;D xsi:type="xsd:double"&gt;21.5341760774601&lt;/D&gt;&lt;D xsi:type="xsd:double"&gt;20.4823143891709&lt;/D&gt;&lt;D xsi:type="xsd:double"&gt;20.4682490884232&lt;/D&gt;&lt;D xsi:type="xsd:double"&gt;20.1828601488829&lt;/D&gt;&lt;D xsi:type="xsd:double"&gt;20.6227092593136&lt;/D&gt;&lt;D xsi:type="xsd:double"&gt;20.9407574870349&lt;/D&gt;&lt;D xsi:type="xsd:double"&gt;20.8690411647521&lt;/D&gt;&lt;D xsi:type="xsd:double"&gt;21.2304273567212&lt;/D&gt;&lt;D xsi:type="xsd:double"&gt;19.9261891696618&lt;/D&gt;&lt;D xsi:type="xsd:double"&gt;20.7009173390803&lt;/D&gt;&lt;D xsi:type="xsd:double"&gt;20.4141359545974&lt;/D&gt;&lt;D xsi:type="xsd:double"&gt;21.7445151286515&lt;/D&gt;&lt;D xsi:type="xsd:double"&gt;19.8370875217287&lt;/D&gt;&lt;D xsi:type="xsd:double"&gt;18.497536832785&lt;/D&gt;&lt;D xsi:type="xsd:double"&gt;18.557451744809&lt;/D&gt;&lt;D xsi:type="xsd:double"&gt;18.4907738807627&lt;/D&gt;&lt;D xsi:type="xsd:double"&gt;18.2521042374855&lt;/D&gt;&lt;D xsi:type="xsd:double"&gt;17.6228575891195&lt;/D&gt;&lt;D xsi:type="xsd:double"&gt;18.2412347513843&lt;/D&gt;&lt;D xsi:type="xsd:double"&gt;17.9994950947415&lt;/D&gt;&lt;D xsi:type="xsd:double"&gt;16.9424392387942&lt;/D&gt;&lt;D xsi:type="xsd:double"&gt;17.8235640318276&lt;/D&gt;&lt;D xsi:type="xsd:double"&gt;19.7185292332096&lt;/D&gt;&lt;D xsi:type="xsd:double"&gt;20.1621736710781&lt;/D&gt;&lt;D xsi:type="xsd:double"&gt;21.1456451258013&lt;/D&gt;&lt;D xsi:type="xsd:double"&gt;20.6998200244037&lt;/D&gt;&lt;D xsi:type="xsd:double"&gt;20.3464487631687&lt;/D&gt;&lt;D xsi:type="xsd:double"&gt;20.3020936492928&lt;/D&gt;&lt;D xsi:type="xsd:double"&gt;19.9348962068841&lt;/D&gt;&lt;D xsi:type="xsd:double"&gt;19.2285731079152&lt;/D&gt;&lt;D xsi:type="xsd:double"&gt;19.2995228603663&lt;/D&gt;&lt;D xsi:type="xsd:double"&gt;18.7699518650556&lt;/D&gt;&lt;D xsi:type="xsd:double"&gt;18.3614145452163&lt;/D&gt;&lt;D xsi:type="xsd:double"&gt;17.4701798910784&lt;/D&gt;&lt;D xsi:type="xsd:double"&gt;17.8851870942545&lt;/D&gt;&lt;D xsi:type="xsd:double"&gt;18.3544702898259&lt;/D&gt;&lt;D xsi:type="xsd:double"&gt;18.6725129516703&lt;/D&gt;&lt;D xsi:type="xsd:double"&gt;19.161113246565&lt;/D&gt;&lt;D xsi:type="xsd:double"&gt;19.168285254005&lt;/D&gt;&lt;D xsi:type="xsd:double"&gt;18.821903394914&lt;/D&gt;&lt;D xsi:type="xsd:double"&gt;18.8118601023662&lt;/D&gt;&lt;D xsi:type="xsd:double"&gt;18.8026398621155&lt;/D&gt;&lt;/FQL&gt;&lt;FQL&gt;&lt;Q&gt;WL-FDS^FG_PRICE(0)/MAX(FG_PRICE(0,-1AY))&lt;/Q&gt;&lt;R&gt;1&lt;/R&gt;&lt;C&gt;1&lt;/C&gt;&lt;D xsi:type="xsd:double"&gt;0.783861671469741&lt;/D&gt;&lt;/FQL&gt;&lt;FQL&gt;&lt;Q&gt;NI-FDS^FG_PRICE(0)/MAX(FG_PRICE(0,-1AY))&lt;/Q&gt;&lt;R&gt;1&lt;/R&gt;&lt;C&gt;1&lt;/C&gt;&lt;D xsi:type="xsd:double"&gt;0.758666964884813&lt;/D&gt;&lt;/FQL&gt;&lt;FQL&gt;&lt;Q&gt;CPALM-FDS^FG_PRICE(0)/MAX(FG_PRICE(0,-1AY))&lt;/Q&gt;&lt;R&gt;1&lt;/R&gt;&lt;C&gt;1&lt;/C&gt;&lt;D xsi:type="xsd:double"&gt;0.868311858484385&lt;/D&gt;&lt;/FQL&gt;&lt;FQL&gt;&lt;Q&gt;BRENT-FDS^FG_PRICE(0)/MAX(FG_PRICE(0,-1AY))&lt;/Q&gt;&lt;R&gt;1&lt;/R&gt;&lt;C&gt;1&lt;/C&gt;&lt;D xsi:type="xsd:double"&gt;0.870614479821537&lt;/D&gt;&lt;/FQL&gt;&lt;FQL&gt;&lt;Q&gt;TIOS-FDS^FG_PRICE(0)/MAX(FG_PRICE(0,-1AY))&lt;/Q&gt;&lt;R&gt;1&lt;/R&gt;&lt;C&gt;1&lt;/C&gt;&lt;D xsi:type="xsd:double"&gt;0.738831853496115&lt;/D&gt;&lt;/FQL&gt;&lt;FQL&gt;&lt;Q&gt;EWD^FG_PRICE_MAVG(0,,,,60)&lt;/Q&gt;&lt;R&gt;1&lt;/R&gt;&lt;C&gt;1&lt;/C&gt;&lt;D xsi:type="xsd:double"&gt;40.366917&lt;/D&gt;&lt;/FQL&gt;&lt;FQL&gt;&lt;Q&gt;QQQ^FG_PRICE_MAVG(0,,,,60)&lt;/Q&gt;&lt;R&gt;1&lt;/R&gt;&lt;C&gt;1&lt;/C&gt;&lt;D xsi:type="xsd:double"&gt;450.10318&lt;/D&gt;&lt;/FQL&gt;&lt;FQL&gt;&lt;Q&gt;EWG^FG_PRICE_MAVG(0,,,,60)&lt;/Q&gt;&lt;R&gt;1&lt;/R&gt;&lt;C&gt;1&lt;/C&gt;&lt;D xsi:type="xsd:double"&gt;31.231833&lt;/D&gt;&lt;/FQL&gt;&lt;FQL&gt;&lt;Q&gt;EWD^FG_COMPANY_NAME&lt;/Q&gt;&lt;R&gt;1&lt;/R&gt;&lt;C&gt;1&lt;/C&gt;&lt;D xsi:type="xsd:string"&gt;iShares MSCI Sweden ETF&lt;/D&gt;&lt;/FQL&gt;&lt;FQL&gt;&lt;Q&gt;FXI^FG_TOTAL_RETURNC(0,-6AM)&lt;/Q&gt;&lt;R&gt;1&lt;/R&gt;&lt;C&gt;1&lt;/C&gt;&lt;D xsi:type="xsd:double"&gt;9.184527&lt;/D&gt;&lt;/FQL&gt;&lt;FQL&gt;&lt;Q&gt;URTH^FMA_PCT_ABOVE_MAVG(200,0,,,,"PORTAGG")&lt;/Q&gt;&lt;R&gt;1&lt;/R&gt;&lt;C&gt;1&lt;/C&gt;&lt;D xsi:type="xsd:double"&gt;63.1837307152875&lt;/D&gt;&lt;/FQL&gt;&lt;FQL&gt;&lt;Q&gt;EWD^FG_TOTAL_RETURNC(0,-3AM)&lt;/Q&gt;&lt;R&gt;1&lt;/R&gt;&lt;C&gt;1&lt;/C&gt;&lt;D xsi:type="xsd:double"&gt;2.3487687&lt;/D&gt;&lt;/FQL&gt;&lt;FQL&gt;&lt;Q&gt;EWQ^P_PRICE(0)/P_PRICE_HIGH_PR(0,,,,,,"PRICE","INTRA","52W")&lt;/Q&gt;&lt;R&gt;1&lt;/R&gt;&lt;C&gt;1&lt;/C&gt;&lt;D xsi:type="xsd:double"&gt;0.88685447&lt;/D&gt;&lt;/FQL&gt;&lt;FQL&gt;&lt;Q&gt;EWN^SIZE(FG_CONSTITUENTS)&lt;/Q&gt;&lt;R&gt;1&lt;/R&gt;&lt;C&gt;1&lt;/C&gt;&lt;D xsi:type="xsd:long"&gt;53&lt;/D&gt;&lt;/FQL&gt;&lt;FQL&gt;&lt;Q&gt;EWL^FMA_COS_DOWN("EPS","1M",+1,0,,,"PORTAGG","MEANR")&lt;/Q&gt;&lt;R&gt;1&lt;/R&gt;&lt;C&gt;1&lt;/C&gt;&lt;D xsi:type="xsd:double"&gt;17&lt;/D&gt;&lt;/FQL&gt;&lt;FQL&gt;&lt;Q&gt;ENZL^FMA_COS_UP("EPS","1M",+1,0,,,"PORTAGG","MEANR")&lt;/Q&gt;&lt;R&gt;1&lt;/R&gt;&lt;C&gt;1&lt;/C&gt;&lt;D xsi:type="xsd:double"&gt;6&lt;/D&gt;&lt;/FQL&gt;&lt;FQL&gt;&lt;Q&gt;EWN^FMA_RBICS_REV_CURRENT(30, LOC, "PORTAGG")&lt;/Q&gt;&lt;R&gt;1&lt;/R&gt;&lt;C&gt;1&lt;/C&gt;&lt;D xsi:type="xsd:double"&gt;25.3332048466312&lt;/D&gt;&lt;/FQL&gt;&lt;FQL&gt;&lt;Q&gt;QQQ^FG_ROE(0)&lt;/Q&gt;&lt;R&gt;1&lt;/R&gt;&lt;C&gt;1&lt;/C&gt;&lt;D xsi:type="xsd:double"&gt;22.5735468148193&lt;/D&gt;&lt;/FQL&gt;&lt;FQL&gt;&lt;Q&gt;TRYJP10Y-FDS^FG_YIELD_NAME&lt;/Q&gt;&lt;R&gt;1&lt;/R&gt;&lt;C&gt;1&lt;/C&gt;&lt;D xsi:type="xsd:string"&gt;Japan Benchmark Bond - 10 Year&lt;/D&gt;&lt;/FQL&gt;&lt;FQL&gt;&lt;Q&gt;CAGDPY@US^EE_ACTUAL_ANNUAL(MED,+1)&lt;/Q&gt;&lt;R&gt;1&lt;/R&gt;&lt;C&gt;1&lt;/C&gt;&lt;D xsi:type="xsd:double"&gt;-3.1&lt;/D&gt;&lt;/FQL&gt;&lt;FQL&gt;&lt;Q&gt;CAGDPY@NZ^EE_ACTUAL_ANNUAL(MED,+1)&lt;/Q&gt;&lt;R&gt;1&lt;/R&gt;&lt;C&gt;1&lt;/C&gt;&lt;D xsi:type="xsd:double"&gt;-5.7&lt;/D&gt;&lt;/FQL&gt;&lt;FQL&gt;&lt;Q&gt;USDITL^FG_PRICE_CHANGE(0,-1AY)&lt;/Q&gt;&lt;R&gt;1&lt;/R&gt;&lt;C&gt;1&lt;/C&gt;&lt;D xsi:type="xsd:double"&gt;1.7074943&lt;/D&gt;&lt;/FQL&gt;&lt;FQL&gt;&lt;Q&gt;USDANG^FG_PRICE_CHANGE(0,-1AY)&lt;/Q&gt;&lt;R&gt;1&lt;/R&gt;&lt;C&gt;1&lt;/C&gt;&lt;D xsi:type="xsd:double"&gt;0&lt;/D&gt;&lt;/FQL&gt;&lt;FQL&gt;&lt;Q&gt;USDUSD^FG_PRICE_CHANGE(0,-1AY)&lt;/Q&gt;&lt;R&gt;1&lt;/R&gt;&lt;C&gt;1&lt;/C&gt;&lt;D xsi:type="xsd:double"&gt;0&lt;/D&gt;&lt;/FQL&gt;&lt;FQL&gt;&lt;Q&gt;USDGBP^FG_PRICE_CHANGE(0,-1AY)&lt;/Q&gt;&lt;R&gt;1&lt;/R&gt;&lt;C&gt;1&lt;/C&gt;&lt;D xsi:type="xsd:double"&gt;-0.2333641&lt;/D&gt;&lt;/FQL&gt;&lt;FQL&gt;&lt;Q&gt;USDJPY^FG_PRICE_CHANGE(0,-1AY)&lt;/Q&gt;&lt;R&gt;1&lt;/R&gt;&lt;C&gt;1&lt;/C&gt;&lt;D xsi:type="xsd:double"&gt;11.287141&lt;/D&gt;&lt;/FQL&gt;&lt;FQL&gt;&lt;Q&gt;USDCAD^FG_PRICE_CHANGE(0,-1AY)&lt;/Q&gt;&lt;R&gt;1&lt;/R&gt;&lt;C&gt;1&lt;/C&gt;&lt;D xsi:type="xsd:double"&gt;3.1588078&lt;/D&gt;&lt;/FQL&gt;&lt;FQL&gt;&lt;Q&gt;USDNZD^FG_PRICE_CHANGE(0,-1AY)&lt;/Q&gt;&lt;R&gt;1&lt;/R&gt;&lt;C&gt;1&lt;/C&gt;&lt;D xsi:type="xsd:double"&gt;-0.2297461&lt;/D&gt;&lt;/FQL&gt;&lt;FQL&gt;&lt;Q&gt;EWA^JULIAN(FMA_EPS(NTMA,-20AY,0,CY,,"PORTAGG","MEANR").DATES)&lt;/Q&gt;&lt;R&gt;20&lt;/R&gt;&lt;C&gt;1&lt;/C&gt;&lt;D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xsi:type="xsd:long"&gt;45289&lt;/D&gt;&lt;/FQL&gt;&lt;FQL&gt;&lt;Q&gt;EWD^FG_TOTAL_RETURNC(-10AY,0,AM)&lt;/Q&gt;&lt;R&gt;121&lt;/R&gt;&lt;C&gt;1&lt;/C&gt;&lt;D xsi:type="xsd:double"&gt;-2.0084977&lt;/D&gt;&lt;D xsi:type="xsd:double"&gt;-0.22727847&lt;/D&gt;&lt;D xsi:type="xsd:double"&gt;-3.0751646&lt;/D&gt;&lt;D xsi:type="xsd:double"&gt;-3.2608688&lt;/D&gt;&lt;D xsi:type="xsd:double"&gt;-1.5791059&lt;/D&gt;&lt;D xsi:type="xsd:double"&gt;3.4557223&lt;/D&gt;&lt;D xsi:type="xsd:double"&gt;-3.4717023&lt;/D&gt;&lt;D xsi:type="xsd:double"&gt;-1.1515737&lt;/D&gt;&lt;D xsi:type="xsd:double"&gt;9.319901&lt;/D&gt;&lt;D xsi:type="xsd:double"&gt;-3.1682074&lt;/D&gt;&lt;D xsi:type="xsd:double"&gt;2.647233&lt;/D&gt;&lt;D xsi:type="xsd:double"&gt;0.3477335&lt;/D&gt;&lt;D xsi:type="xsd:double"&gt;-1.0252595&lt;/D&gt;&lt;D xsi:type="xsd:double"&gt;-4.0471134&lt;/D&gt;&lt;D xsi:type="xsd:double"&gt;-4.0289583&lt;/D&gt;&lt;D xsi:type="xsd:double"&gt;-8.232206&lt;/D&gt;&lt;D xsi:type="xsd:double"&gt;8.041453&lt;/D&gt;&lt;D xsi:type="xsd:double"&gt;-0.89315176&lt;/D&gt;&lt;D xsi:type="xsd:double"&gt;-1.0137022&lt;/D&gt;&lt;D xsi:type="xsd:double"&gt;-8.673638&lt;/D&gt;&lt;D xsi:type="xsd:double"&gt;1.8107891&lt;/D&gt;&lt;D xsi:type="xsd:double"&gt;3.7386537&lt;/D&gt;&lt;D xsi:type="xsd:double"&gt;6.578028&lt;/D&gt;&lt;D xsi:type="xsd:double"&gt;-2.462244&lt;/D&gt;&lt;D xsi:type="xsd:double"&gt;-7.937956&lt;/D&gt;&lt;D xsi:type="xsd:double"&gt;5.625248&lt;/D&gt;&lt;D xsi:type="xsd:double"&gt;3.0226588&lt;/D&gt;&lt;D xsi:type="xsd:double"&gt;1.2224913&lt;/D&gt;&lt;D xsi:type="xsd:double"&gt;-4.1752872&lt;/D&gt;&lt;D xsi:type="xsd:double"&gt;-1.2963653&lt;/D&gt;&lt;D xsi:type="xsd:double"&gt;3.9214015&lt;/D&gt;&lt;D xsi:type="xsd:double"&gt;6.1446667&lt;/D&gt;&lt;D xsi:type="xsd:double"&gt;0.2646327&lt;/D&gt;&lt;D xsi:type="xsd:double"&gt;4.289019&lt;/D&gt;&lt;D xsi:type="xsd:double"&gt;4.7453284&lt;/D&gt;&lt;D xsi:type="xsd:double"&gt;2.9598236&lt;/D&gt;&lt;D xsi:type="xsd:double"&gt;1.7911673&lt;/D&gt;&lt;D xsi:type="xsd:double"&gt;0.91364384&lt;/D&gt;&lt;D xsi:type="xsd:double"&gt;0.5549073&lt;/D&gt;&lt;D xsi:type="xsd:double"&gt;3.3691525&lt;/D&gt;&lt;D xsi:type="xsd:double"&gt;0&lt;/D&gt;&lt;D xsi:type="xsd:double"&gt;-2.1354258&lt;/D&gt;&lt;D xsi:type="xsd:double"&gt;-1.4638841&lt;/D&gt;&lt;D xsi:type="xsd:double"&gt;7.44555&lt;/D&gt;&lt;D xsi:type="xsd:double"&gt;-7.0939484&lt;/D&gt;&lt;D xsi:type="xsd:double"&gt;-3.3018827&lt;/D&gt;&lt;D xsi:type="xsd:double"&gt;2.0121932&lt;/D&gt;&lt;D xsi:type="xsd:double"&gt;-0.2988577&lt;/D&gt;&lt;D xsi:type="xsd:double"&gt;-5.7246804&lt;/D&gt;&lt;D xsi:type="xsd:double"&gt;6.4891815&lt;/D&gt;&lt;D xsi:type="xsd:double"&gt;0.093746185&lt;/D&gt;&lt;D xsi:type="xsd:double"&gt;2.4664402&lt;/D&gt;&lt;D xsi:type="xsd:double"&gt;-12.827539&lt;/D&gt;&lt;D xsi:type="xsd:double"&gt;2.411735&lt;/D&gt;&lt;D xsi:type="xsd:double"&gt;-4.994476&lt;/D&gt;&lt;D xsi:type="xsd:double"&gt;5.427754&lt;/D&gt;&lt;D xsi:type="xsd:double"&gt;2.8298616&lt;/D&gt;&lt;D xsi:type="xsd:double"&gt;0.19893646&lt;/D&gt;&lt;D xsi:type="xsd:double"&gt;6.915951&lt;/D&gt;&lt;D xsi:type="xsd:double"&gt;-8.077997&lt;/D&gt;&lt;D xsi:type="xsd:double"&gt;7.1628213&lt;/D&gt;&lt;D xsi:type="xsd:double"&gt;-2.7237356&lt;/D&gt;&lt;D xsi:type="xsd:double"&gt;-7.766664&lt;/D&gt;&lt;D xsi:type="xsd:double"&gt;6.360686&lt;/D&gt;&lt;D xsi:type="xsd:double"&gt;7.7132225&lt;/D&gt;&lt;D xsi:type="xsd:double"&gt;0.7570982&lt;/D&gt;&lt;D xsi:type="xsd:double"&gt;5.850184&lt;/D&gt;&lt;D xsi:type="xsd:double"&gt;-2.8751075&lt;/D&gt;&lt;D xsi:type="xsd:double"&gt;-6.321311&lt;/D&gt;&lt;D xsi:type="xsd:double"&gt;-18.926924&lt;/D&gt;&lt;D xsi:type="xsd:double"&gt;10.475027&lt;/D&gt;&lt;D xsi:type="xsd:double"&gt;10.584343&lt;/D&gt;&lt;D xsi:type="xsd:double"&gt;2.8147817&lt;/D&gt;&lt;D xsi:type="xsd:double"&gt;12.094677&lt;/D&gt;&lt;D xsi:type="xsd:double"&gt;4.1365385&lt;/D&gt;&lt;D xsi:type="xsd:double"&gt;-1.9722223&lt;/D&gt;&lt;D xsi:type="xsd:double"&gt;-3.797108&lt;/D&gt;&lt;D xsi:type="xsd:double"&gt;17.466867&lt;/D&gt;&lt;D xsi:type="xsd:double"&gt;1.0010242&lt;/D&gt;&lt;D xsi:type="xsd:double"&gt;3.5017489999999998&lt;/D&gt;&lt;D xsi:type="xsd:double"&gt;1.5466452&lt;/D&gt;&lt;D xsi:type="xsd:double"&gt;7.5202227&lt;/D&gt;&lt;D xsi:type="xsd:double"&gt;5.422759&lt;/D&gt;&lt;D xsi:type="xsd:double"&gt;1.7635942&lt;/D&gt;&lt;D xsi:type="xsd:double"&gt;-2.0625472&lt;/D&gt;&lt;D xsi:type="xsd:double"&gt;4.2681575&lt;/D&gt;&lt;D xsi:type="xsd:double"&gt;-0.37212968&lt;/D&gt;&lt;D xsi:type="xsd:double"&gt;-6.391364&lt;/D&gt;&lt;D xsi:type="xsd:double"&gt;7.337618&lt;/D&gt;&lt;D xsi:type="xsd:double"&gt;-7.9512596&lt;/D&gt;&lt;D xsi:type="xsd:double"&gt;7.671201&lt;/D&gt;&lt;D xsi:type="xsd:double"&gt;-11.383284&lt;/D&gt;&lt;D xsi:type="xsd:double"&gt;-8.270675&lt;/D&gt;&lt;D xsi:type="xsd:double"&gt;2.8820753&lt;/D&gt;&lt;D xsi:type="xsd:double"&gt;-6.8619847&lt;/D&gt;&lt;D xsi:type="xsd:double"&gt;0.8553982&lt;/D&gt;&lt;D xsi:type="xsd:double"&gt;-12.870413&lt;/D&gt;&lt;D xsi:type="xsd:double"&gt;6.720507&lt;/D&gt;&lt;D xsi:type="xsd:double"&gt;-7.9927325&lt;/D&gt;&lt;D xsi:type="xsd:double"&gt;-9.27937&lt;/D&gt;&lt;D xsi:type="xsd:double"&gt;9.466815&lt;/D&gt;&lt;D xsi:type="xsd:double"&gt;9.112&lt;/D&gt;&lt;D xsi:type="xsd:double"&gt;-1.5356302&lt;/D&gt;&lt;D xsi:type="xsd:double"&gt;10.018611&lt;/D&gt;&lt;D xsi:type="xsd:double"&gt;-0.42289495&lt;/D&gt;&lt;D xsi:type="xsd:double"&gt;-4.3601394&lt;/D&gt;&lt;D xsi:type="xsd:double"&gt;10.153937&lt;/D&gt;&lt;D xsi:type="xsd:double"&gt;-6.04676&lt;/D&gt;&lt;D xsi:type="xsd:double"&gt;-0.5720854&lt;/D&gt;&lt;D xsi:type="xsd:double"&gt;2.8768659&lt;/D&gt;&lt;D xsi:type="xsd:double"&gt;-7.270688&lt;/D&gt;&lt;D xsi:type="xsd:double"&gt;-0.8443892&lt;/D&gt;&lt;D xsi:type="xsd:double"&gt;-6.3260374&lt;/D&gt;&lt;D xsi:type="xsd:double"&gt;17.662346&lt;/D&gt;&lt;D xsi:type="xsd:double"&gt;12.394023&lt;/D&gt;&lt;D xsi:type="xsd:double"&gt;-6.2138376&lt;/D&gt;&lt;D xsi:type="xsd:double"&gt;5.8208227&lt;/D&gt;&lt;D xsi:type="xsd:double"&gt;1.2927771&lt;/D&gt;&lt;D xsi:type="xsd:double"&gt;-2.202195&lt;/D&gt;&lt;D xsi:type="xsd:double"&gt;7.1136117&lt;/D&gt;&lt;D xsi:type="xsd:double"&gt;-2.2967875&lt;/D&gt;&lt;/FQL&gt;&lt;FQL&gt;&lt;Q&gt;QQQ^FMA_PE(NTMA,-10AY,0,AM,"PORTAGG","MEANR")&lt;/Q&gt;&lt;R&gt;121&lt;/R&gt;&lt;C&gt;1&lt;/C&gt;&lt;D xsi:type="xsd:double"&gt;17.4271803958638&lt;/D&gt;&lt;D xsi:type="xsd:double"&gt;17.5620708437782&lt;/D&gt;&lt;D xsi:type="xsd:double"&gt;17.8285240633594&lt;/D&gt;&lt;D xsi:type="xsd:double"&gt;17.4832505886197&lt;/D&gt;&lt;D xsi:type="xsd:double"&gt;17.4573933373663&lt;/D&gt;&lt;D xsi:type="xsd:double"&gt;18.3086652065781&lt;/D&gt;&lt;D xsi:type="xsd:double"&gt;17.958339907237&lt;/D&gt;&lt;D xsi:type="xsd:double"&gt;16.811354372378&lt;/D&gt;&lt;D xsi:type="xsd:double"&gt;18.0987091619455&lt;/D&gt;&lt;D xsi:type="xsd:double"&gt;17.6059471023599&lt;/D&gt;&lt;D xsi:type="xsd:double"&gt;18.2313617506728&lt;/D&gt;&lt;D xsi:type="xsd:double"&gt;18.1305377509047&lt;/D&gt;&lt;D xsi:type="xsd:double"&gt;17.8320799132451&lt;/D&gt;&lt;D xsi:type="xsd:double"&gt;18.3707486218743&lt;/D&gt;&lt;D xsi:type="xsd:double"&gt;17.5018453826991&lt;/D&gt;&lt;D xsi:type="xsd:double"&gt;16.4661681596843&lt;/D&gt;&lt;D xsi:type="xsd:double"&gt;18.6339316093328&lt;/D&gt;&lt;D xsi:type="xsd:double"&gt;18.7137447256753&lt;/D&gt;&lt;D xsi:type="xsd:double"&gt;18.4502415167865&lt;/D&gt;&lt;D xsi:type="xsd:double"&gt;16.9408076828584&lt;/D&gt;&lt;D xsi:type="xsd:double"&gt;17.0070253303169&lt;/D&gt;&lt;D xsi:type="xsd:double"&gt;17.5544551278449&lt;/D&gt;&lt;D xsi:type="xsd:double"&gt;17.5605252249485&lt;/D&gt;&lt;D xsi:type="xsd:double"&gt;18.0088908096734&lt;/D&gt;&lt;D xsi:type="xsd:double"&gt;17.1183092934264&lt;/D&gt;&lt;D xsi:type="xsd:double"&gt;18.6541624178674&lt;/D&gt;&lt;D xsi:type="xsd:double"&gt;18.5830552838314&lt;/D&gt;&lt;D xsi:type="xsd:double"&gt;18.6846576624765&lt;/D&gt;&lt;D xsi:type="xsd:double"&gt;18.179631471741&lt;/D&gt;&lt;D xsi:type="xsd:double"&gt;18.2248643856533&lt;/D&gt;&lt;D xsi:type="xsd:double"&gt;18.2920330198058&lt;/D&gt;&lt;D xsi:type="xsd:double"&gt;19.3264981523412&lt;/D&gt;&lt;D xsi:type="xsd:double"&gt;20.0414707039038&lt;/D&gt;&lt;D xsi:type="xsd:double"&gt;20.0679073043341&lt;/D&gt;&lt;D xsi:type="xsd:double"&gt;20.3610006572493&lt;/D&gt;&lt;D xsi:type="xsd:double"&gt;20.9496030825611&lt;/D&gt;&lt;D xsi:type="xsd:double"&gt;20.4878718598744&lt;/D&gt;&lt;D xsi:type="xsd:double"&gt;20.7942796579655&lt;/D&gt;&lt;D xsi:type="xsd:double"&gt;20.2101293569955&lt;/D&gt;&lt;D xsi:type="xsd:double"&gt;20.2203405517916&lt;/D&gt;&lt;D xsi:type="xsd:double"&gt;20.7484258693142&lt;/D&gt;&lt;D xsi:type="xsd:double"&gt;21.1020756648671&lt;/D&gt;&lt;D xsi:type="xsd:double"&gt;20.9500434620772&lt;/D&gt;&lt;D xsi:type="xsd:double"&gt;22.1227892939184&lt;/D&gt;&lt;D xsi:type="xsd:double"&gt;20.7809153180452&lt;/D&gt;&lt;D xsi:type="xsd:double"&gt;19.420287002416&lt;/D&gt;&lt;D xsi:type="xsd:double"&gt;19.496332881483&lt;/D&gt;&lt;D xsi:type="xsd:double"&gt;20.0789911940664&lt;/D&gt;&lt;D xsi:type="xsd:double"&gt;20.0660350693844&lt;/D&gt;&lt;D xsi:type="xsd:double"&gt;20.4605850933668&lt;/D&gt;&lt;D xsi:type="xsd:double"&gt;20.9248347140596&lt;/D&gt;&lt;D xsi:type="xsd:double"&gt;20.8792510819679&lt;/D&gt;&lt;D xsi:type="xsd:double"&gt;18.5113702674783&lt;/D&gt;&lt;D xsi:type="xsd:double"&gt;18.7319258819136&lt;/D&gt;&lt;D xsi:type="xsd:double"&gt;17.1033334043296&lt;/D&gt;&lt;D xsi:type="xsd:double"&gt;18.4224088615026&lt;/D&gt;&lt;D xsi:type="xsd:double"&gt;19.6719211421104&lt;/D&gt;&lt;D xsi:type="xsd:double"&gt;20.1693726510221&lt;/D&gt;&lt;D xsi:type="xsd:double"&gt;21.4071283731247&lt;/D&gt;&lt;D xsi:type="xsd:double"&gt;19.7683611790171&lt;/D&gt;&lt;D xsi:type="xsd:double"&gt;20.8118707355088&lt;/D&gt;&lt;D xsi:type="xsd:double"&gt;21.5314584509037&lt;/D&gt;&lt;D xsi:type="xsd:double"&gt;20.1948913528691&lt;/D&gt;&lt;D xsi:type="xsd:double"&gt;20.2764991444722&lt;/D&gt;&lt;D xsi:type="xsd:double"&gt;21.1792421788701&lt;/D&gt;&lt;D xsi:type="xsd:double"&gt;22.1225216618421&lt;/D&gt;&lt;D xsi:type="xsd:double"&gt;22.8643638243043&lt;/D&gt;&lt;D xsi:type="xsd:double"&gt;23.3487998659509&lt;/D&gt;&lt;D xsi:type="xsd:double"&gt;21.3634002551656&lt;/D&gt;&lt;D xsi:type="xsd:double"&gt;19.9634009432814&lt;/D&gt;&lt;D xsi:type="xsd:double"&gt;24.1427861530808&lt;/D&gt;&lt;D xsi:type="xsd:double"&gt;26.9787751559122&lt;/D&gt;&lt;D xsi:type="xsd:double"&gt;27.5830899963908&lt;/D&gt;&lt;D xsi:type="xsd:double"&gt;28.6550301420038&lt;/D&gt;&lt;D xsi:type="xsd:double"&gt;31.2978925523577&lt;/D&gt;&lt;D xsi:type="xsd:double"&gt;29.0914702792064&lt;/D&gt;&lt;D xsi:type="xsd:double"&gt;27.9046564223428&lt;/D&gt;&lt;D xsi:type="xsd:double"&gt;29.6785103816682&lt;/D&gt;&lt;D xsi:type="xsd:double"&gt;30.0452782538016&lt;/D&gt;&lt;D xsi:type="xsd:double"&gt;29.5694033911208&lt;/D&gt;&lt;D xsi:type="xsd:double"&gt;27.8476226580619&lt;/D&gt;&lt;D xsi:type="xsd:double"&gt;27.7774013556308&lt;/D&gt;&lt;D xsi:type="xsd:double"&gt;28.6940959316861&lt;/D&gt;&lt;D xsi:type="xsd:double"&gt;26.96006760419&lt;/D&gt;&lt;D xsi:type="xsd:double"&gt;28.3054473909607&lt;/D&gt;&lt;D xsi:type="xsd:double"&gt;28.3301461265243&lt;/D&gt;&lt;D xsi:type="xsd:double"&gt;28.4368664013987&lt;/D&gt;&lt;D xsi:type="xsd:double"&gt;26.9515492950265&lt;/D&gt;&lt;D xsi:type="xsd:double"&gt;28.6048403711645&lt;/D&gt;&lt;D xsi:type="xsd:double"&gt;28.8558290214199&lt;/D&gt;&lt;D xsi:type="xsd:double"&gt;29.4804663998334&lt;/D&gt;&lt;D xsi:type="xsd:double"&gt;25.3824193330765&lt;/D&gt;&lt;D xsi:type="xsd:double"&gt;24.7940749699699&lt;/D&gt;&lt;D xsi:type="xsd:double"&gt;25.9057710860222&lt;/D&gt;&lt;D xsi:type="xsd:double"&gt;23.1653845772526&lt;/D&gt;&lt;D xsi:type="xsd:double"&gt;21.9131373563549&lt;/D&gt;&lt;D xsi:type="xsd:double"&gt;20.0147607879352&lt;/D&gt;&lt;D xsi:type="xsd:double"&gt;22.3851086022708&lt;/D&gt;&lt;D xsi:type="xsd:double"&gt;22.4622741277032&lt;/D&gt;&lt;D xsi:type="xsd:double"&gt;20.3645586806711&lt;/D&gt;&lt;D xsi:type="xsd:double"&gt;21.3641207465486&lt;/D&gt;&lt;D xsi:type="xsd:double"&gt;21.531469410165&lt;/D&gt;&lt;D xsi:type="xsd:double"&gt;20.3851810446972&lt;/D&gt;&lt;D xsi:type="xsd:double"&gt;23.5583325300899&lt;/D&gt;&lt;D xsi:type="xsd:double"&gt;23.0997179705721&lt;/D&gt;&lt;D xsi:type="xsd:double"&gt;23.9342325298896&lt;/D&gt;&lt;D xsi:type="xsd:double"&gt;24.5979455999281&lt;/D&gt;&lt;D xsi:type="xsd:double"&gt;25.7886788949487&lt;/D&gt;&lt;D xsi:type="xsd:double"&gt;26.4191770691698&lt;/D&gt;&lt;D xsi:type="xsd:double"&gt;25.8894637130551&lt;/D&gt;&lt;D xsi:type="xsd:double"&gt;24.0449406224975&lt;/D&gt;&lt;D xsi:type="xsd:double"&gt;23.1651650742786&lt;/D&gt;&lt;D xsi:type="xsd:double"&gt;21.9615320829712&lt;/D&gt;&lt;D xsi:type="xsd:double"&gt;24.3569886625905&lt;/D&gt;&lt;D xsi:type="xsd:double"&gt;25.2104566929403&lt;/D&gt;&lt;D xsi:type="xsd:double"&gt;25.9391300349741&lt;/D&gt;&lt;D xsi:type="xsd:double"&gt;25.9734027994959&lt;/D&gt;&lt;D xsi:type="xsd:double"&gt;26.1894573135549&lt;/D&gt;&lt;D xsi:type="xsd:double"&gt;25.1629826121472&lt;/D&gt;&lt;D xsi:type="xsd:double"&gt;26.2500698495266&lt;/D&gt;&lt;D xsi:type="xsd:double"&gt;26.9530959549853&lt;/D&gt;&lt;/FQL&gt;&lt;FQL&gt;&lt;Q&gt;EWJ^P_PRICE(0)/P_PRICE_LOW_PR(0,,,,,,"PRICE","INTRA","52W")-1&lt;/Q&gt;&lt;R&gt;1&lt;/R&gt;&lt;C&gt;1&lt;/C&gt;&lt;D xsi:type="xsd:double"&gt;0.19300699&lt;/D&gt;&lt;/FQL&gt;&lt;FQL&gt;&lt;Q&gt;VGK^PERCENT_CHANGE(FMA_EPS(+1,0,,,,"PORTAGG","MEAN"),FMA_EPS(+1,-3AM,,,,"PORTAGG","MEAN"))&lt;/Q&gt;&lt;R&gt;1&lt;/R&gt;&lt;C&gt;1&lt;/C&gt;&lt;D xsi:type="xsd:double"&gt;3.24349920809798&lt;/D&gt;&lt;/FQL&gt;&lt;FQL&gt;&lt;Q&gt;QQQ^FG_TOTAL_RETURNC(0,-12AM)&lt;/Q&gt;&lt;R&gt;1&lt;/R&gt;&lt;C&gt;1&lt;/C&gt;&lt;D xsi:type="xsd:double"&gt;32.334282&lt;/D&gt;&lt;/FQL&gt;&lt;FQL&gt;&lt;Q&gt;EWU^PERCENT_CHANGE(FMA_EPS(+1,0,,,,"PORTAGG","MEAN"),FMA_EPS(+1,-1AM,,,,"PORTAGG","MEAN"))&lt;/Q&gt;&lt;R&gt;1&lt;/R&gt;&lt;C&gt;1&lt;/C&gt;&lt;D xsi:type="xsd:double"&gt;-1.1977452345413&lt;/D&gt;&lt;/FQL&gt;&lt;FQL&gt;&lt;Q&gt;EWJ^FG_TOTAL_RETURNC(0,-1AM)&lt;/Q&gt;&lt;R&gt;1&lt;/R&gt;&lt;C&gt;1&lt;/C&gt;&lt;D xsi:type="xsd:double"&gt;-0.1452446&lt;/D&gt;&lt;/FQL&gt;&lt;FQL&gt;&lt;Q&gt;EWC^FG_TOTAL_RETURNC(0,-6AM)&lt;/Q&gt;&lt;R&gt;1&lt;/R&gt;&lt;C&gt;1&lt;/C&gt;&lt;D xsi:type="xsd:double"&gt;2.0195603&lt;/D&gt;&lt;/FQL&gt;&lt;FQL&gt;&lt;Q&gt;ENZL^P_PRICE(0)/P_PRICE_LOW_PR(0,,,,,,"PRICE","INTRA","52W")-1&lt;/Q&gt;&lt;R&gt;1&lt;/R&gt;&lt;C&gt;1&lt;/C&gt;&lt;D xsi:type="xsd:double"&gt;0.10796702&lt;/D&gt;&lt;/FQL&gt;&lt;FQL&gt;&lt;Q&gt;EWJ^FMA_COS_UP("EPS","1M",+1,0,,,"PORTAGG","MEANR")&lt;/Q&gt;&lt;R&gt;1&lt;/R&gt;&lt;C&gt;1&lt;/C&gt;&lt;D xsi:type="xsd:double"&gt;105&lt;/D&gt;&lt;/FQL&gt;&lt;FQL&gt;&lt;Q&gt;EWQ^FMA_ROE(NTMA,-20AY,NOW,FY,"PORTAGG","MEANR")&lt;/Q&gt;&lt;R&gt;20&lt;/R&gt;&lt;C&gt;1&lt;/C&gt;&lt;D xsi:type="xsd:double"&gt;15.3785109881273&lt;/D&gt;&lt;D xsi:type="xsd:double"&gt;16.6302131420813&lt;/D&gt;&lt;D xsi:type="xsd:double"&gt;15.4089673624266&lt;/D&gt;&lt;D xsi:type="xsd:double"&gt;15.0205314626708&lt;/D&gt;&lt;D xsi:type="xsd:double"&gt;11.8797489821456&lt;/D&gt;&lt;D xsi:type="xsd:double"&gt;10.9934091834566&lt;/D&gt;&lt;D xsi:type="xsd:double"&gt;12.0259375987481&lt;/D&gt;&lt;D xsi:type="xsd:double"&gt;10.8176655066299&lt;/D&gt;&lt;D xsi:type="xsd:double"&gt;10.4079638226552&lt;/D&gt;&lt;D xsi:type="xsd:double"&gt;10.3975296667646&lt;/D&gt;&lt;D xsi:type="xsd:double"&gt;9.87060023176551&lt;/D&gt;&lt;D xsi:type="xsd:double"&gt;9.82548245608185&lt;/D&gt;&lt;D xsi:type="xsd:double"&gt;9.88315391318072&lt;/D&gt;&lt;D xsi:type="xsd:double"&gt;10.4363064842242&lt;/D&gt;&lt;D xsi:type="xsd:double"&gt;11.3283895806005&lt;/D&gt;&lt;D xsi:type="xsd:double"&gt;10.9140096452361&lt;/D&gt;&lt;D xsi:type="xsd:double"&gt;8.94223448408443&lt;/D&gt;&lt;D xsi:type="xsd:double"&gt;12.2539555485596&lt;/D&gt;&lt;D xsi:type="xsd:double"&gt;13.1476341706421&lt;/D&gt;&lt;D xsi:type="xsd:double"&gt;13.2212508616692&lt;/D&gt;&lt;/FQL&gt;&lt;FQL&gt;&lt;Q&gt;TRYID10Y-FDS^FG_YIELD(-10AY,0,Y,,"YTM")&lt;/Q&gt;&lt;R&gt;10&lt;/R&gt;&lt;C&gt;1&lt;/C&gt;&lt;D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xsi:type="xsd:double"&gt;5.1912&lt;/D&gt;&lt;/FQL&gt;&lt;FQL&gt;&lt;Q&gt;EWJ^FMA_PE(LTMA,-10AY,0,AM,"PORTAGG","MEANR")&lt;/Q&gt;&lt;R&gt;121&lt;/R&gt;&lt;C&gt;1&lt;/C&gt;&lt;D xsi:type="xsd:double"&gt;15.2732560155619&lt;/D&gt;&lt;D xsi:type="xsd:double"&gt;15.2961851183302&lt;/D&gt;&lt;D xsi:type="xsd:double"&gt;15.0388786468174&lt;/D&gt;&lt;D xsi:type="xsd:double"&gt;15.4286075255403&lt;/D&gt;&lt;D xsi:type="xsd:double"&gt;14.5952034646291&lt;/D&gt;&lt;D xsi:type="xsd:double"&gt;15.8589010011577&lt;/D&gt;&lt;D xsi:type="xsd:double"&gt;16.1917123386014&lt;/D&gt;&lt;D xsi:type="xsd:double"&gt;15.715664294823&lt;/D&gt;&lt;D xsi:type="xsd:double"&gt;16.9321203067015&lt;/D&gt;&lt;D xsi:type="xsd:double"&gt;16.8725663433186&lt;/D&gt;&lt;D xsi:type="xsd:double"&gt;17.0028097472945&lt;/D&gt;&lt;D xsi:type="xsd:double"&gt;17.2226749517889&lt;/D&gt;&lt;D xsi:type="xsd:double"&gt;16.9564519391573&lt;/D&gt;&lt;D xsi:type="xsd:double"&gt;16.671297480139&lt;/D&gt;&lt;D xsi:type="xsd:double"&gt;16.0226881239397&lt;/D&gt;&lt;D xsi:type="xsd:double"&gt;15.0123193662971&lt;/D&gt;&lt;D xsi:type="xsd:double"&gt;15.7985945062323&lt;/D&gt;&lt;D xsi:type="xsd:double"&gt;16.2670470739019&lt;/D&gt;&lt;D xsi:type="xsd:double"&gt;15.6478952289697&lt;/D&gt;&lt;D xsi:type="xsd:double"&gt;14.2151614502338&lt;/D&gt;&lt;D xsi:type="xsd:double"&gt;13.9581702484063&lt;/D&gt;&lt;D xsi:type="xsd:double"&gt;13.9147502655131&lt;/D&gt;&lt;D xsi:type="xsd:double"&gt;13.8055137135317&lt;/D&gt;&lt;D xsi:type="xsd:double"&gt;14.0067677039624&lt;/D&gt;&lt;D xsi:type="xsd:double"&gt;13.5279216116996&lt;/D&gt;&lt;D xsi:type="xsd:double"&gt;14.002295852338&lt;/D&gt;&lt;D xsi:type="xsd:double"&gt;13.9603365984447&lt;/D&gt;&lt;D xsi:type="xsd:double"&gt;14.2420005238139&lt;/D&gt;&lt;D xsi:type="xsd:double"&gt;14.7716916195493&lt;/D&gt;&lt;D xsi:type="xsd:double"&gt;15.6607786730166&lt;/D&gt;&lt;D xsi:type="xsd:double"&gt;16.477734664664&lt;/D&gt;&lt;D xsi:type="xsd:double"&gt;16.6807875682828&lt;/D&gt;&lt;D xsi:type="xsd:double"&gt;15.9475569637409&lt;/D&gt;&lt;D xsi:type="xsd:double"&gt;15.7967294472504&lt;/D&gt;&lt;D xsi:type="xsd:double"&gt;15.5963855462278&lt;/D&gt;&lt;D xsi:type="xsd:double"&gt;15.643490033175&lt;/D&gt;&lt;D xsi:type="xsd:double"&gt;15.5831472454186&lt;/D&gt;&lt;D xsi:type="xsd:double"&gt;15.42324775254&lt;/D&gt;&lt;D xsi:type="xsd:double"&gt;14.9160641970185&lt;/D&gt;&lt;D xsi:type="xsd:double"&gt;15.0656593724804&lt;/D&gt;&lt;D xsi:type="xsd:double"&gt;15.5211225833806&lt;/D&gt;&lt;D xsi:type="xsd:double"&gt;15.9044439456265&lt;/D&gt;&lt;D xsi:type="xsd:double"&gt;16.3840730703526&lt;/D&gt;&lt;D xsi:type="xsd:double"&gt;16.7916737310796&lt;/D&gt;&lt;D xsi:type="xsd:double"&gt;14.4932574540538&lt;/D&gt;&lt;D xsi:type="xsd:double"&gt;14.2548837887132&lt;/D&gt;&lt;D xsi:type="xsd:double"&gt;14.3063805276655&lt;/D&gt;&lt;D xsi:type="xsd:double"&gt;14.1790860343976&lt;/D&gt;&lt;D xsi:type="xsd:double"&gt;13.9033393239296&lt;/D&gt;&lt;D xsi:type="xsd:double"&gt;13.9870392098219&lt;/D&gt;&lt;D xsi:type="xsd:double"&gt;13.6639756069486&lt;/D&gt;&lt;D xsi:type="xsd:double"&gt;13.9803538867761&lt;/D&gt;&lt;D xsi:type="xsd:double"&gt;12.5601466172745&lt;/D&gt;&lt;D xsi:type="xsd:double"&gt;12.7409304588056&lt;/D&gt;&lt;D xsi:type="xsd:double"&gt;11.5056854632034&lt;/D&gt;&lt;D xsi:type="xsd:double"&gt;12.0294790212843&lt;/D&gt;&lt;D xsi:type="xsd:double"&gt;12.6835180820457&lt;/D&gt;&lt;D xsi:type="xsd:double"&gt;12.6714663882389&lt;/D&gt;&lt;D xsi:type="xsd:double"&gt;12.7783669493114&lt;/D&gt;&lt;D xsi:type="xsd:double"&gt;12.7035798948341&lt;/D&gt;&lt;D xsi:type="xsd:double"&gt;12.8569130440768&lt;/D&gt;&lt;D xsi:type="xsd:double"&gt;13.0178773542043&lt;/D&gt;&lt;D xsi:type="xsd:double"&gt;12.7260933366476&lt;/D&gt;&lt;D xsi:type="xsd:double"&gt;13.501323209726&lt;/D&gt;&lt;D xsi:type="xsd:double"&gt;13.9611179471289&lt;/D&gt;&lt;D xsi:type="xsd:double"&gt;14.790672291721&lt;/D&gt;&lt;D xsi:type="xsd:double"&gt;15.37172446624&lt;/D&gt;&lt;D xsi:type="xsd:double"&gt;15.0764066823579&lt;/D&gt;&lt;D xsi:type="xsd:double"&gt;13.9774595347207&lt;/D&gt;&lt;D xsi:type="xsd:double"&gt;13.8489007305841&lt;/D&gt;&lt;D xsi:type="xsd:double"&gt;14.2532331191907&lt;/D&gt;&lt;D xsi:type="xsd:double"&gt;15.4929090570526&lt;/D&gt;&lt;D xsi:type="xsd:double"&gt;16.9739037482188&lt;/D&gt;&lt;D xsi:type="xsd:double"&gt;17.7756653342717&lt;/D&gt;&lt;D xsi:type="xsd:double"&gt;18.6932055325946&lt;/D&gt;&lt;D xsi:type="xsd:double"&gt;20.2736435427326&lt;/D&gt;&lt;D xsi:type="xsd:double"&gt;20.5288948943601&lt;/D&gt;&lt;D xsi:type="xsd:double"&gt;22.7867985629143&lt;/D&gt;&lt;D xsi:type="xsd:double"&gt;23.2899692233571&lt;/D&gt;&lt;D xsi:type="xsd:double"&gt;23.409847916782&lt;/D&gt;&lt;D xsi:type="xsd:double"&gt;21.6770993626188&lt;/D&gt;&lt;D xsi:type="xsd:double"&gt;21.4281337200162&lt;/D&gt;&lt;D xsi:type="xsd:double"&gt;20.8056540037078&lt;/D&gt;&lt;D xsi:type="xsd:double"&gt;20.3594317914714&lt;/D&gt;&lt;D xsi:type="xsd:double"&gt;19.9017868057596&lt;/D&gt;&lt;D xsi:type="xsd:double"&gt;19.1289240433795&lt;/D&gt;&lt;D xsi:type="xsd:double"&gt;18.3007115165668&lt;/D&gt;&lt;D xsi:type="xsd:double"&gt;18.494670101606&lt;/D&gt;&lt;D xsi:type="xsd:double"&gt;17.5012892327685&lt;/D&gt;&lt;D xsi:type="xsd:double"&gt;16.8716341648696&lt;/D&gt;&lt;D xsi:type="xsd:double"&gt;16.2953964360879&lt;/D&gt;&lt;D xsi:type="xsd:double"&gt;14.9729035588058&lt;/D&gt;&lt;D xsi:type="xsd:double"&gt;14.753576483141&lt;/D&gt;&lt;D xsi:type="xsd:double"&gt;14.6789198330136&lt;/D&gt;&lt;D xsi:type="xsd:double"&gt;14.3710677823238&lt;/D&gt;&lt;D xsi:type="xsd:double"&gt;14.1735912872714&lt;/D&gt;&lt;D xsi:type="xsd:double"&gt;13.9869372750357&lt;/D&gt;&lt;D xsi:type="xsd:double"&gt;13.977985350762&lt;/D&gt;&lt;D xsi:type="xsd:double"&gt;13.9565336969122&lt;/D&gt;&lt;D xsi:type="xsd:double"&gt;13.0784889982305&lt;/D&gt;&lt;D xsi:type="xsd:double"&gt;13.1162986073597&lt;/D&gt;&lt;D xsi:type="xsd:double"&gt;13.6156313287895&lt;/D&gt;&lt;D xsi:type="xsd:double"&gt;12.8804642499641&lt;/D&gt;&lt;D xsi:type="xsd:double"&gt;13.4952020611622&lt;/D&gt;&lt;D xsi:type="xsd:double"&gt;13.6544223947898&lt;/D&gt;&lt;D xsi:type="xsd:double"&gt;13.5943726642691&lt;/D&gt;&lt;D xsi:type="xsd:double"&gt;13.756685204465&lt;/D&gt;&lt;D xsi:type="xsd:double"&gt;14.0471854054301&lt;/D&gt;&lt;D xsi:type="xsd:double"&gt;14.6038899492215&lt;/D&gt;&lt;D xsi:type="xsd:double"&gt;14.659680573186&lt;/D&gt;&lt;D xsi:type="xsd:double"&gt;14.6442041324055&lt;/D&gt;&lt;D xsi:type="xsd:double"&gt;14.8928593245332&lt;/D&gt;&lt;D xsi:type="xsd:double"&gt;14.5037108399096&lt;/D&gt;&lt;D xsi:type="xsd:double"&gt;15.230184920549&lt;/D&gt;&lt;D xsi:type="xsd:double"&gt;15.2612626243209&lt;/D&gt;&lt;D xsi:type="xsd:double"&gt;16.1481322909648&lt;/D&gt;&lt;D xsi:type="xsd:double"&gt;17.0001546424827&lt;/D&gt;&lt;D xsi:type="xsd:double"&gt;17.00755909476&lt;/D&gt;&lt;D xsi:type="xsd:double"&gt;16.7469549713854&lt;/D&gt;&lt;D xsi:type="xsd:double"&gt;16.8130741135423&lt;/D&gt;&lt;D xsi:type="xsd:double"&gt;16.7669028490146&lt;/D&gt;&lt;/FQL&gt;&lt;FQL&gt;&lt;Q&gt;WL-FDS^FG_PRICE_CHANGE(0,-1AY)&lt;/Q&gt;&lt;R&gt;1&lt;/R&gt;&lt;C&gt;1&lt;/C&gt;&lt;D xsi:type="xsd:double"&gt;-4.83460559796437&lt;/D&gt;&lt;/FQL&gt;&lt;FQL&gt;&lt;Q&gt;NI-FDS^FG_PRICE_CHANGE(0,-1AY)&lt;/Q&gt;&lt;R&gt;1&lt;/R&gt;&lt;C&gt;1&lt;/C&gt;&lt;D xsi:type="xsd:double"&gt;-14.5807101485772&lt;/D&gt;&lt;/FQL&gt;&lt;FQL&gt;&lt;Q&gt;CPALM-FDS^FG_PRICE_CHANGE(0,-1AY)&lt;/Q&gt;&lt;R&gt;1&lt;/R&gt;&lt;C&gt;1&lt;/C&gt;&lt;D xsi:type="xsd:double"&gt;5.99840042655293&lt;/D&gt;&lt;/FQL&gt;&lt;FQL&gt;&lt;Q&gt;BRENT-FDS^FG_PRICE_CHANGE(0,-1AY)&lt;/Q&gt;&lt;R&gt;1&lt;/R&gt;&lt;C&gt;1&lt;/C&gt;&lt;D xsi:type="xsd:double"&gt;16.8322220710301&lt;/D&gt;&lt;/FQL&gt;&lt;FQL&gt;&lt;Q&gt;TIOS-FDS^FG_PRICE_CHANGE(0,-1AY)&lt;/Q&gt;&lt;R&gt;1&lt;/R&gt;&lt;C&gt;1&lt;/C&gt;&lt;D xsi:type="xsd:double"&gt;-5.40852575488454&lt;/D&gt;&lt;/FQL&gt;&lt;FQL&gt;&lt;Q&gt;EWD^FG_PRICE_MAVG(0,,,,30)&lt;/Q&gt;&lt;R&gt;1&lt;/R&gt;&lt;C&gt;1&lt;/C&gt;&lt;D xsi:type="xsd:double"&gt;41.204334&lt;/D&gt;&lt;/FQL&gt;&lt;FQL&gt;&lt;Q&gt;QQQ^FG_PRICE_MAVG(0,,,,30)&lt;/Q&gt;&lt;R&gt;1&lt;/R&gt;&lt;C&gt;1&lt;/C&gt;&lt;D xsi:type="xsd:double"&gt;466.22568&lt;/D&gt;&lt;/FQL&gt;&lt;FQL&gt;&lt;Q&gt;EWG^FG_PRICE_MAVG(0,,,,30)&lt;/Q&gt;&lt;R&gt;1&lt;/R&gt;&lt;C&gt;1&lt;/C&gt;&lt;D xsi:type="xsd:double"&gt;31.414667&lt;/D&gt;&lt;/FQL&gt;&lt;FQL&gt;&lt;Q&gt;EWN^FG_COMPANY_NAME&lt;/Q&gt;&lt;R&gt;1&lt;/R&gt;&lt;C&gt;1&lt;/C&gt;&lt;D xsi:type="xsd:string"&gt;iShares MSCI Netherlands ETF&lt;/D&gt;&lt;/FQL&gt;&lt;FQL&gt;&lt;Q&gt;FXI^FG_TOTAL_RETURNC(0,-3AM)&lt;/Q&gt;&lt;R&gt;1&lt;/R&gt;&lt;C&gt;1&lt;/C&gt;&lt;D xsi:type="xsd:double"&gt;8.322657&lt;/D&gt;&lt;/FQL&gt;&lt;FQL&gt;&lt;Q&gt;EWJ^P_PRICE(0)/P_PRICE_HIGH_PR(0,,,,,,"PRICE","INTRA","52W")&lt;/Q&gt;&lt;R&gt;1&lt;/R&gt;&lt;C&gt;1&lt;/C&gt;&lt;D xsi:type="xsd:double"&gt;0.94692284&lt;/D&gt;&lt;/FQL&gt;&lt;FQL&gt;&lt;Q&gt;VWO^FG_TOTAL_RETURNC(0,-12AM)&lt;/Q&gt;&lt;R&gt;1&lt;/R&gt;&lt;C&gt;1&lt;/C&gt;&lt;D xsi:type="xsd:double"&gt;11.809158&lt;/D&gt;&lt;/FQL&gt;&lt;FQL&gt;&lt;Q&gt;VGK^PERCENT_CHANGE(FMA_EPS(+1,0,,,,"PORTAGG","MEAN"),FMA_EPS(+1,-1AM,,,,"PORTAGG","MEAN"))&lt;/Q&gt;&lt;R&gt;1&lt;/R&gt;&lt;C&gt;1&lt;/C&gt;&lt;D xsi:type="xsd:double"&gt;4.05347791155184&lt;/D&gt;&lt;/FQL&gt;&lt;FQL&gt;&lt;Q&gt;EWD^FG_TOTAL_RETURNC(0,-1AM)&lt;/Q&gt;&lt;R&gt;1&lt;/R&gt;&lt;C&gt;1&lt;/C&gt;&lt;D xsi:type="xsd:double"&gt;-2.2967875&lt;/D&gt;&lt;/FQL&gt;&lt;FQL&gt;&lt;Q&gt;EWQ^FG_TOTAL_RETURNC(0,-6AM)&lt;/Q&gt;&lt;R&gt;1&lt;/R&gt;&lt;C&gt;1&lt;/C&gt;&lt;D xsi:type="xsd:double"&gt;-1.2071073&lt;/D&gt;&lt;/FQL&gt;&lt;FQL&gt;&lt;Q&gt;QQQ^P_PRICE(0)/P_PRICE_LOW_PR(0,,,,,,"PRICE","INTRA","52W")-1&lt;/Q&gt;&lt;R&gt;1&lt;/R&gt;&lt;C&gt;1&lt;/C&gt;&lt;D xsi:type="xsd:double"&gt;0.39947414&lt;/D&gt;&lt;/FQL&gt;&lt;FQL&gt;&lt;Q&gt;EWU^FMA_PCT_ABOVE_MAVG(200,0,,,,"PORTAGG")&lt;/Q&gt;&lt;R&gt;1&lt;/R&gt;&lt;C&gt;1&lt;/C&gt;&lt;D xsi:type="xsd:double"&gt;60&lt;/D&gt;&lt;/FQL&gt;&lt;FQL&gt;&lt;Q&gt;EWJ^PERCENT_CHANGE(FMA_EPS(+1,0,,,,"PORTAGG","MEAN"),FMA_EPS(+1,-3AM,,,,"PORTAGG","MEAN"))&lt;/Q&gt;&lt;R&gt;1&lt;/R&gt;&lt;C&gt;1&lt;/C&gt;&lt;D xsi:type="xsd:double"&gt;-6.39438576682918&lt;/D&gt;&lt;/FQL&gt;&lt;FQL&gt;&lt;Q&gt;CAGDPY@US^EE_ACTUAL_ANNUAL(MED,0)&lt;/Q&gt;&lt;R&gt;1&lt;/R&gt;&lt;C&gt;1&lt;/C&gt;&lt;D xsi:type="xsd:double"&gt;-3.31108668288718&lt;/D&gt;&lt;/FQL&gt;&lt;FQL&gt;&lt;Q&gt;CAGDPY@NZ^EE_ACTUAL_ANNUAL(MED,0)&lt;/Q&gt;&lt;R&gt;1&lt;/R&gt;&lt;C&gt;1&lt;/C&gt;&lt;D xsi:type="xsd:double"&gt;-6.9&lt;/D&gt;&lt;/FQL&gt;&lt;FQL&gt;&lt;Q&gt;USDITL^FG_PRICE(0)&lt;/Q&gt;&lt;R&gt;1&lt;/R&gt;&lt;C&gt;1&lt;/C&gt;&lt;D xsi:type="xsd:double"&gt;1806.6434&lt;/D&gt;&lt;/FQL&gt;&lt;FQL&gt;&lt;Q&gt;USDANG^FG_PRICE(0)&lt;/Q&gt;&lt;R&gt;1&lt;/R&gt;&lt;C&gt;1&lt;/C&gt;&lt;D xsi:type="xsd:double"&gt;1.79&lt;/D&gt;&lt;/FQL&gt;&lt;FQL&gt;&lt;Q&gt;USDUSD^FG_PRICE(0)&lt;/Q&gt;&lt;R&gt;1&lt;/R&gt;&lt;C&gt;1&lt;/C&gt;&lt;D xsi:type="xsd:double"&gt;1&lt;/D&gt;&lt;/FQL&gt;&lt;FQL&gt;&lt;Q&gt;USDGBP^FG_PRICE(0)&lt;/Q&gt;&lt;R&gt;1&lt;/R&gt;&lt;C&gt;1&lt;/C&gt;&lt;D xsi:type="xsd:double"&gt;0.79107666&lt;/D&gt;&lt;/FQL&gt;&lt;FQL&gt;&lt;Q&gt;USDJPY^FG_PRICE(0)&lt;/Q&gt;&lt;R&gt;1&lt;/R&gt;&lt;C&gt;1&lt;/C&gt;&lt;D xsi:type="xsd:double"&gt;160.86&lt;/D&gt;&lt;/FQL&gt;&lt;FQL&gt;&lt;Q&gt;USDCAD^FG_PRICE(0)&lt;/Q&gt;&lt;R&gt;1&lt;/R&gt;&lt;C&gt;1&lt;/C&gt;&lt;D xsi:type="xsd:double"&gt;1.36835&lt;/D&gt;&lt;/FQL&gt;&lt;FQL&gt;&lt;Q&gt;USDNZD^FG_PRICE(0)&lt;/Q&gt;&lt;R&gt;1&lt;/R&gt;&lt;C&gt;1&lt;/C&gt;&lt;D xsi:type="xsd:double"&gt;1.641093&lt;/D&gt;&lt;/FQL&gt;&lt;FQL&gt;&lt;Q&gt;EWI^P_PRICE_RETURNS_PR('52W',2,-10AY,0,AM)&lt;/Q&gt;&lt;R&gt;121&lt;/R&gt;&lt;C&gt;1&lt;/C&gt;&lt;D xsi:type="xsd:double"&gt;48.440765&lt;/D&gt;&lt;D xsi:type="xsd:double"&gt;31.607712&lt;/D&gt;&lt;D xsi:type="xsd:double"&gt;22.654486&lt;/D&gt;&lt;D xsi:type="xsd:double"&gt;11.902988&lt;/D&gt;&lt;D xsi:type="xsd:double"&gt;-2.0266056&lt;/D&gt;&lt;D xsi:type="xsd:double"&gt;-0.22152662&lt;/D&gt;&lt;D xsi:type="xsd:double"&gt;-6.7184687&lt;/D&gt;&lt;D xsi:type="xsd:double"&gt;-13.059354&lt;/D&gt;&lt;D xsi:type="xsd:double"&gt;-7.9752026&lt;/D&gt;&lt;D xsi:type="xsd:double"&gt;-11.855668&lt;/D&gt;&lt;D xsi:type="xsd:double"&gt;-11.355198&lt;/D&gt;&lt;D xsi:type="xsd:double"&gt;-8.605719&lt;/D&gt;&lt;D xsi:type="xsd:double"&gt;-7.337493&lt;/D&gt;&lt;D xsi:type="xsd:double"&gt;-6.1510143&lt;/D&gt;&lt;D xsi:type="xsd:double"&gt;-4.593396&lt;/D&gt;&lt;D xsi:type="xsd:double"&gt;-9.982925&lt;/D&gt;&lt;D xsi:type="xsd:double"&gt;3.2270074&lt;/D&gt;&lt;D xsi:type="xsd:double"&gt;-1.7036259&lt;/D&gt;&lt;D xsi:type="xsd:double"&gt;2.141869&lt;/D&gt;&lt;D xsi:type="xsd:double"&gt;-10.227323&lt;/D&gt;&lt;D xsi:type="xsd:double"&gt;-21.930801&lt;/D&gt;&lt;D xsi:type="xsd:double"&gt;-16.632015&lt;/D&gt;&lt;D xsi:type="xsd:double"&gt;-16.145557&lt;/D&gt;&lt;D xsi:type="xsd:double"&gt;-20.105522&lt;/D&gt;&lt;D xsi:type="xsd:double"&gt;-32.01119&lt;/D&gt;&lt;D xsi:type="xsd:double"&gt;-26.800472&lt;/D&gt;&lt;D xsi:type="xsd:double"&gt;-22.212952&lt;/D&gt;&lt;D xsi:type="xsd:double"&gt;-18.393642&lt;/D&gt;&lt;D xsi:type="xsd:double"&gt;-22.044682&lt;/D&gt;&lt;D xsi:type="xsd:double"&gt;-25.160576&lt;/D&gt;&lt;D xsi:type="xsd:double"&gt;-11.915398&lt;/D&gt;&lt;D xsi:type="xsd:double"&gt;4.9610734&lt;/D&gt;&lt;D xsi:type="xsd:double"&gt;8.428764&lt;/D&gt;&lt;D xsi:type="xsd:double"&gt;10.493469&lt;/D&gt;&lt;D xsi:type="xsd:double"&gt;8.430576&lt;/D&gt;&lt;D xsi:type="xsd:double"&gt;19.481743&lt;/D&gt;&lt;D xsi:type="xsd:double"&gt;39.51591&lt;/D&gt;&lt;D xsi:type="xsd:double"&gt;38.44911&lt;/D&gt;&lt;D xsi:type="xsd:double"&gt;39.85957&lt;/D&gt;&lt;D xsi:type="xsd:double"&gt;45.529305&lt;/D&gt;&lt;D xsi:type="xsd:double"&gt;38.68921&lt;/D&gt;&lt;D xsi:type="xsd:double"&gt;52.192627&lt;/D&gt;&lt;D xsi:type="xsd:double"&gt;31.535793&lt;/D&gt;&lt;D xsi:type="xsd:double"&gt;44.272923&lt;/D&gt;&lt;D xsi:type="xsd:double"&gt;37.27392&lt;/D&gt;&lt;D xsi:type="xsd:double"&gt;26.248539&lt;/D&gt;&lt;D xsi:type="xsd:double"&gt;30.374468&lt;/D&gt;&lt;D xsi:type="xsd:double"&gt;10.0389&lt;/D&gt;&lt;D xsi:typ</t>
        </r>
      </text>
    </comment>
    <comment ref="A4" authorId="0" shapeId="0" xr:uid="{E9557D9D-A358-4D13-8AB8-FDB515C8799F}">
      <text>
        <r>
          <rPr>
            <b/>
            <sz val="9"/>
            <color indexed="81"/>
            <rFont val="Tahoma"/>
            <charset val="1"/>
          </rPr>
          <t>e="xsd:double"&gt;4.5040607&lt;/D&gt;&lt;D xsi:type="xsd:double"&gt;2.7049303&lt;/D&gt;&lt;D xsi:type="xsd:double"&gt;-5.725515&lt;/D&gt;&lt;D xsi:type="xsd:double"&gt;-8.064437&lt;/D&gt;&lt;D xsi:type="xsd:double"&gt;-16.736746&lt;/D&gt;&lt;D xsi:type="xsd:double"&gt;-14.305204&lt;/D&gt;&lt;D xsi:type="xsd:double"&gt;-18.146223&lt;/D&gt;&lt;D xsi:type="xsd:double"&gt;-21.761972&lt;/D&gt;&lt;D xsi:type="xsd:double"&gt;-10.856366&lt;/D&gt;&lt;D xsi:type="xsd:double"&gt;-10.092157&lt;/D&gt;&lt;D xsi:type="xsd:double"&gt;-14.295459&lt;/D&gt;&lt;D xsi:type="xsd:double"&gt;-9.659708&lt;/D&gt;&lt;D xsi:type="xsd:double"&gt;1.1313915&lt;/D&gt;&lt;D xsi:type="xsd:double"&gt;-0.6439209&lt;/D&gt;&lt;D xsi:type="xsd:double"&gt;0.08649826&lt;/D&gt;&lt;D xsi:type="xsd:double"&gt;-0.16402006&lt;/D&gt;&lt;D xsi:type="xsd:double"&gt;20.482613&lt;/D&gt;&lt;D xsi:type="xsd:double"&gt;21.463943&lt;/D&gt;&lt;D xsi:type="xsd:double"&gt;27.327358&lt;/D&gt;&lt;D xsi:type="xsd:double"&gt;18.936586&lt;/D&gt;&lt;D xsi:type="xsd:double"&gt;4.545784&lt;/D&gt;&lt;D xsi:type="xsd:double"&gt;-22.178047&lt;/D&gt;&lt;D xsi:type="xsd:double"&gt;-22.661167&lt;/D&gt;&lt;D xsi:type="xsd:double"&gt;-12.198633&lt;/D&gt;&lt;D xsi:type="xsd:double"&gt;-11.955953&lt;/D&gt;&lt;D xsi:type="xsd:double"&gt;-5.955821&lt;/D&gt;&lt;D xsi:type="xsd:double"&gt;-0.28297305&lt;/D&gt;&lt;D xsi:type="xsd:double"&gt;-8.633667&lt;/D&gt;&lt;D xsi:type="xsd:double"&gt;-18.735146&lt;/D&gt;&lt;D xsi:type="xsd:double"&gt;1.6799212&lt;/D&gt;&lt;D xsi:type="xsd:double"&gt;2.087152&lt;/D&gt;&lt;D xsi:type="xsd:double"&gt;-0.29203892&lt;/D&gt;&lt;D xsi:type="xsd:double"&gt;9.492564&lt;/D&gt;&lt;D xsi:type="xsd:double"&gt;48.293137&lt;/D&gt;&lt;D xsi:type="xsd:double"&gt;58.694195&lt;/D&gt;&lt;D xsi:type="xsd:double"&gt;52.548027&lt;/D&gt;&lt;D xsi:type="xsd:double"&gt;41.12468&lt;/D&gt;&lt;D xsi:type="xsd:double"&gt;28.932905&lt;/D&gt;&lt;D xsi:type="xsd:double"&gt;30.856407&lt;/D&gt;&lt;D xsi:type="xsd:double"&gt;32.94208&lt;/D&gt;&lt;D xsi:type="xsd:double"&gt;50.11802&lt;/D&gt;&lt;D xsi:type="xsd:double"&gt;11.004424&lt;/D&gt;&lt;D xsi:type="xsd:double"&gt;13.832819&lt;/D&gt;&lt;D xsi:type="xsd:double"&gt;13.420189&lt;/D&gt;&lt;D xsi:type="xsd:double"&gt;3.7928224&lt;/D&gt;&lt;D xsi:type="xsd:double"&gt;-4.5230985&lt;/D&gt;&lt;D xsi:type="xsd:double"&gt;-11.96438&lt;/D&gt;&lt;D xsi:type="xsd:double"&gt;-11.168587&lt;/D&gt;&lt;D xsi:type="xsd:double"&gt;-20.98162&lt;/D&gt;&lt;D xsi:type="xsd:double"&gt;-22.549599&lt;/D&gt;&lt;D xsi:type="xsd:double"&gt;-25.193083&lt;/D&gt;&lt;D xsi:type="xsd:double"&gt;-28.151196&lt;/D&gt;&lt;D xsi:type="xsd:double"&gt;-24.647617&lt;/D&gt;&lt;D xsi:type="xsd:double"&gt;-10.236281&lt;/D&gt;&lt;D xsi:type="xsd:double"&gt;-14.963049&lt;/D&gt;&lt;D xsi:type="xsd:double"&gt;-1.5193403&lt;/D&gt;&lt;D xsi:type="xsd:double"&gt;3.789258&lt;/D&gt;&lt;D xsi:type="xsd:double"&gt;6.1578155&lt;/D&gt;&lt;D xsi:type="xsd:double"&gt;19.618881&lt;/D&gt;&lt;D xsi:type="xsd:double"&gt;10.455645&lt;/D&gt;&lt;D xsi:type="xsd:double"&gt;31.181824&lt;/D&gt;&lt;D xsi:type="xsd:double"&gt;44.569004&lt;/D&gt;&lt;D xsi:type="xsd:double"&gt;42.02143&lt;/D&gt;&lt;D xsi:type="xsd:double"&gt;43.690075&lt;/D&gt;&lt;D xsi:type="xsd:double"&gt;25.64001&lt;/D&gt;&lt;D xsi:type="xsd:double"&gt;25.666164&lt;/D&gt;&lt;D xsi:type="xsd:double"&gt;31.55415&lt;/D&gt;&lt;D xsi:type="xsd:double"&gt;15.982306&lt;/D&gt;&lt;D xsi:type="xsd:double"&gt;23.174942&lt;/D&gt;&lt;D xsi:type="xsd:double"&gt;31.894516&lt;/D&gt;&lt;D xsi:type="xsd:double"&gt;23.395466&lt;/D&gt;&lt;D xsi:type="xsd:double"&gt;32.245018&lt;/D&gt;&lt;D xsi:type="xsd:double"&gt;19.349766&lt;/D&gt;&lt;/FQL&gt;&lt;FQL&gt;&lt;Q&gt;EWN^FG_TOTAL_RETURNC(-10AY,0,AM)&lt;/Q&gt;&lt;R&gt;121&lt;/R&gt;&lt;C&gt;1&lt;/C&gt;&lt;D xsi:type="xsd:double"&gt;0.64907074&lt;/D&gt;&lt;D xsi:type="xsd:double"&gt;-3.7204742&lt;/D&gt;&lt;D xsi:type="xsd:double"&gt;0.59292316&lt;/D&gt;&lt;D xsi:type="xsd:double"&gt;-1.5040696&lt;/D&gt;&lt;D xsi:type="xsd:double"&gt;-2.3937285&lt;/D&gt;&lt;D xsi:type="xsd:double"&gt;5.3277016&lt;/D&gt;&lt;D xsi:type="xsd:double"&gt;-1.6720116&lt;/D&gt;&lt;D xsi:type="xsd:double"&gt;-2.9496074&lt;/D&gt;&lt;D xsi:type="xsd:double"&gt;8.020258&lt;/D&gt;&lt;D xsi:type="xsd:double"&gt;-0.50801635&lt;/D&gt;&lt;D xsi:type="xsd:double"&gt;4.281223&lt;/D&gt;&lt;D xsi:type="xsd:double"&gt;1.2052774&lt;/D&gt;&lt;D xsi:type="xsd:double"&gt;0.8767009&lt;/D&gt;&lt;D xsi:type="xsd:double"&gt;-1.6050756&lt;/D&gt;&lt;D xsi:type="xsd:double"&gt;-7.283765&lt;/D&gt;&lt;D xsi:type="xsd:double"&gt;-6.546646&lt;/D&gt;&lt;D xsi:type="xsd:double"&gt;9.785461&lt;/D&gt;&lt;D xsi:type="xsd:double"&gt;-0.7776737&lt;/D&gt;&lt;D xsi:type="xsd:double"&gt;-2.2158027&lt;/D&gt;&lt;D xsi:type="xsd:double"&gt;-5.4590583&lt;/D&gt;&lt;D xsi:type="xsd:double"&gt;-0.56868196&lt;/D&gt;&lt;D xsi:type="xsd:double"&gt;6.9951653&lt;/D&gt;&lt;D xsi:type="xsd:double"&gt;2.014804&lt;/D&gt;&lt;D xsi:type="xsd:double"&gt;0.84643364&lt;/D&gt;&lt;D xsi:type="xsd:double"&gt;-9.988064&lt;/D&gt;&lt;D xsi:type="xsd:double"&gt;7.477474&lt;/D&gt;&lt;D xsi:type="xsd:double"&gt;3.3109784&lt;/D&gt;&lt;D xsi:type="xsd:double"&gt;1.2575984&lt;/D&gt;&lt;D xsi:type="xsd:double"&gt;-1.883012&lt;/D&gt;&lt;D xsi:type="xsd:double"&gt;-4.328293&lt;/D&gt;&lt;D xsi:type="xsd:double"&gt;3.320384&lt;/D&gt;&lt;D xsi:type="xsd:double"&gt;4.016745&lt;/D&gt;&lt;D xsi:type="xsd:double"&gt;2.37329&lt;/D&gt;&lt;D xsi:type="xsd:double"&gt;6.1689615&lt;/D&gt;&lt;D xsi:type="xsd:double"&gt;3.9230227&lt;/D&gt;&lt;D xsi:type="xsd:double"&gt;4.914522&lt;/D&gt;&lt;D xsi:type="xsd:double"&gt;0.40133&lt;/D&gt;&lt;D xsi:type="xsd:double"&gt;4.825461&lt;/D&gt;&lt;D xsi:type="xsd:double"&gt;-0.1958847&lt;/D&gt;&lt;D xsi:type="xsd:double"&gt;1.6355872&lt;/D&gt;&lt;D xsi:type="xsd:double"&gt;1.2552261&lt;/D&gt;&lt;D xsi:type="xsd:double"&gt;0.79466105&lt;/D&gt;&lt;D xsi:type="xsd:double"&gt;0.59764385&lt;/D&gt;&lt;D xsi:type="xsd:double"&gt;7.3140025&lt;/D&gt;&lt;D xsi:type="xsd:double"&gt;-6.5511227&lt;/D&gt;&lt;D xsi:type="xsd:double"&gt;-0.047153234&lt;/D&gt;&lt;D xsi:type="xsd:double"&gt;1.7141104&lt;/D&gt;&lt;D xsi:type="xsd:double"&gt;-1.3296247&lt;/D&gt;&lt;D xsi:type="xsd:double"&gt;-3.7878156&lt;/D&gt;&lt;D xsi:type="xsd:double"&gt;5.0314426&lt;/D&gt;&lt;D xsi:type="xsd:double"&gt;-0.75638294&lt;/D&gt;&lt;D xsi:type="xsd:double"&gt;-4.128295&lt;/D&gt;&lt;D xsi:type="xsd:double"&gt;-9.274596&lt;/D&gt;&lt;D xsi:type="xsd:double"&gt;4.8923016&lt;/D&gt;&lt;D xsi:type="xsd:double"&gt;-8.646738&lt;/D&gt;&lt;D xsi:type="xsd:double"&gt;7.350695&lt;/D&gt;&lt;D xsi:type="xsd:double"&gt;5.7061315&lt;/D&gt;&lt;D xsi:type="xsd:double"&gt;-0.03373623&lt;/D&gt;&lt;D xsi:type="xsd:double"&gt;4.9949408&lt;/D&gt;&lt;D xsi:type="xsd:double"&gt;-3.375125&lt;/D&gt;&lt;D xsi:type="xsd:double"&gt;5.1196218&lt;/D&gt;&lt;D xsi:type="xsd:double"&gt;2.2697806&lt;/D&gt;&lt;D xsi:type="xsd:double"&gt;-4.6607494&lt;/D&gt;&lt;D xsi:type="xsd:double"&gt;3.4585953&lt;/D&gt;&lt;D xsi:type="xsd:double"&gt;2.9251099&lt;/D&gt;&lt;D xsi:type="xsd:double"&gt;2.1548986&lt;/D&gt;&lt;D xsi:type="xsd:double"&gt;3.8489342&lt;/D&gt;&lt;D xsi:type="xsd:double"&gt;-1.9509435&lt;/D&gt;&lt;D xsi:type="xsd:double"&gt;-8.230323&lt;/D&gt;&lt;D xsi:type="xsd:double"&gt;-15.76873&lt;/D&gt;&lt;D xsi:type="xsd:double"&gt;9.243369&lt;/D&gt;&lt;D xsi:type="xsd:double"&gt;8.532667&lt;/D&gt;&lt;D xsi:type="xsd:double"&gt;7.119751&lt;/D&gt;&lt;D xsi:type="xsd:double"&gt;7.5378537&lt;/D&gt;&lt;D xsi:type="xsd:double"&gt;3.045094&lt;/D&gt;&lt;D xsi:type="xsd:double"&gt;-2.955109&lt;/D&gt;&lt;D xsi:type="xsd:double"&gt;-1.9247413&lt;/D&gt;&lt;D xsi:type="xsd:double"&gt;15.289986&lt;/D&gt;&lt;D xsi:type="xsd:double"&gt;5.7052374&lt;/D&gt;&lt;D xsi:type="xsd:double"&gt;3.9064407&lt;/D&gt;&lt;D xsi:type="xsd:double"&gt;2.1582723&lt;/D&gt;&lt;D xsi:type="xsd:double"&gt;5.270326&lt;/D&gt;&lt;D xsi:type="xsd:double"&gt;5.826497&lt;/D&gt;&lt;D xsi:type="xsd:double"&gt;0.9380102&lt;/D&gt;&lt;D xsi:type="xsd:double"&gt;-0.8629322&lt;/D&gt;&lt;D xsi:type="xsd:double"&gt;1.7641068&lt;/D&gt;&lt;D xsi:type="xsd:double"&gt;5.9060693&lt;/D&gt;&lt;D xsi:type="xsd:double"&gt;-4.4156847&lt;/D&gt;&lt;D xsi:type="xsd:double"&gt;4.639578&lt;/D&gt;&lt;D xsi:type="xsd:double"&gt;-5.994284&lt;/D&gt;&lt;D xsi:type="xsd:double"&gt;1.814878&lt;/D&gt;&lt;D xsi:type="xsd:double"&gt;-10.037917&lt;/D&gt;&lt;D xsi:type="xsd:double"&gt;-4.991126&lt;/D&gt;&lt;D xsi:type="xsd:double"&gt;-0.37357807&lt;/D&gt;&lt;D xsi:type="xsd:double"&gt;-8.600884&lt;/D&gt;&lt;D xsi:type="xsd:double"&gt;0.69230795&lt;/D&gt;&lt;D xsi:type="xsd:double"&gt;-8.5457325&lt;/D&gt;&lt;D xsi:type="xsd:double"&gt;6.036675&lt;/D&gt;&lt;D xsi:type="xsd:double"&gt;-6.8103256&lt;/D&gt;&lt;D xsi:type="xsd:double"&gt;-10.904938&lt;/D&gt;&lt;D xsi:type="xsd:double"&gt;6.312084&lt;/D&gt;&lt;D xsi:type="xsd:double"&gt;14.466548&lt;/D&gt;&lt;D xsi:type="xsd:double"&gt;-2.001816&lt;/D&gt;&lt;D xsi:type="xsd:double"&gt;14.733707&lt;/D&gt;&lt;D xsi:type="xsd:double"&gt;-3.8642764&lt;/D&gt;&lt;D xsi:type="xsd:double"&gt;-0.88235736&lt;/D&gt;&lt;D xsi:type="xsd:double"&gt;4.6488643&lt;/D&gt;&lt;D xsi:type="xsd:double"&gt;1.6304374&lt;/D&gt;&lt;D xsi:type="xsd:double"&gt;0.72067976&lt;/D&gt;&lt;D xsi:type="xsd:double"&gt;5.0653577&lt;/D&gt;&lt;D xsi:type="xsd:double"&gt;-8.75361&lt;/D&gt;&lt;D xsi:type="xsd:double"&gt;-8.205503&lt;/D&gt;&lt;D xsi:type="xsd:double"&gt;-2.5331616&lt;/D&gt;&lt;D xsi:type="xsd:double"&gt;14.382911&lt;/D&gt;&lt;D xsi:type="xsd:double"&gt;7.011175&lt;/D&gt;&lt;D xsi:type="xsd:double"&gt;2.9121876&lt;/D&gt;&lt;D xsi:type="xsd:double"&gt;3.352201&lt;/D&gt;&lt;D xsi:type="xsd:double"&gt;4.212296&lt;/D&gt;&lt;D xsi:type="xsd:double"&gt;-2.1624923&lt;/D&gt;&lt;D xsi:type="xsd:double"&gt;7.3125362&lt;/D&gt;&lt;D xsi:type="xsd:double"&gt;-2.2201061&lt;/D&gt;&lt;/FQL&gt;&lt;FQL&gt;&lt;Q&gt;SPY^FMA_DIV_YLD(NTMA,-10AY,0,AM,"PORTAGG","MEANR")&lt;/Q&gt;&lt;R&gt;121&lt;/R&gt;&lt;C&gt;1&lt;/C&gt;&lt;D xsi:type="xsd:double"&gt;2.09616261797429&lt;/D&gt;&lt;D xsi:type="xsd:double"&gt;2.09679683887117&lt;/D&gt;&lt;D xsi:type="xsd:double"&gt;2.09288288737331&lt;/D&gt;&lt;D xsi:type="xsd:double"&gt;2.12250204907716&lt;/D&gt;&lt;D xsi:type="xsd:double"&gt;2.13745259334701&lt;/D&gt;&lt;D xsi:type="xsd:double"&gt;2.07002631581591&lt;/D&gt;&lt;D xsi:type="xsd:double"&gt;2.06843741436269&lt;/D&gt;&lt;D xsi:type="xsd:double"&gt;2.18160459204693&lt;/D&gt;&lt;D xsi:type="xsd:double"&gt;2.09873762013911&lt;/D&gt;&lt;D xsi:type="xsd:double"&gt;2.19605947647737&lt;/D&gt;&lt;D xsi:type="xsd:double"&gt;2.14151704010202&lt;/D&gt;&lt;D xsi:type="xsd:double"&gt;2.1474633446557&lt;/D&gt;&lt;D xsi:type="xsd:double"&gt;2.17301212413257&lt;/D&gt;&lt;D xsi:type="xsd:double"&gt;2.19923048823181&lt;/D&gt;&lt;D xsi:type="xsd:double"&gt;2.32980610957663&lt;/D&gt;&lt;D xsi:type="xsd:double"&gt;2.47551279928342&lt;/D&gt;&lt;D xsi:type="xsd:double"&gt;2.23623020683139&lt;/D&gt;&lt;D xsi:type="xsd:double"&gt;2.26973449566627&lt;/D&gt;&lt;D xsi:type="xsd:double"&gt;2.29970238559253&lt;/D&gt;&lt;D xsi:type="xsd:double"&gt;2.51242647285341&lt;/D&gt;&lt;D xsi:type="xsd:double"&gt;2.45182025901469&lt;/D&gt;&lt;D xsi:type="xsd:double"&gt;2.47519773454617&lt;/D&gt;&lt;D xsi:type="xsd:double"&gt;2.29179874134034&lt;/D&gt;&lt;D xsi:type="xsd:double"&gt;2.26932855728746&lt;/D&gt;&lt;D xsi:type="xsd:double"&gt;2.35135019466144&lt;/D&gt;&lt;D xsi:type="xsd:double"&gt;2.21579780309139&lt;/D&gt;&lt;D xsi:type="xsd:double"&gt;2.22173968410025&lt;/D&gt;&lt;D xsi:type="xsd:double"&gt;2.21690703255046&lt;/D&gt;&lt;D xsi:type="xsd:double"&gt;2.27525181909795&lt;/D&gt;&lt;D xsi:type="xsd:double"&gt;2.21149766462339&lt;/D&gt;&lt;D xsi:type="xsd:double"&gt;2.17715958897896&lt;/D&gt;&lt;D xsi:type="xsd:double"&gt;2.15083471997405&lt;/D&gt;&lt;D xsi:type="xsd:double"&gt;2.10455079975663&lt;/D&gt;&lt;D xsi:type="xsd:double"&gt;2.11654440530261&lt;/D&gt;&lt;D xsi:type="xsd:double"&gt;2.10879459552998&lt;/D&gt;&lt;D xsi:type="xsd:double"&gt;2.0939789692741&lt;/D&gt;&lt;D xsi:type="xsd:double"&gt;2.08668264186575&lt;/D&gt;&lt;D xsi:type="xsd:double"&gt;2.0833066114422&lt;/D&gt;&lt;D xsi:type="xsd:double"&gt;2.11931212912579&lt;/D&gt;&lt;D xsi:type="xsd:double"&gt;2.06805920636476&lt;/D&gt;&lt;D xsi:type="xsd:double"&gt;2.02373699685138&lt;/D&gt;&lt;D xsi:type="xsd:double"&gt;1.9860746408279&lt;/D&gt;&lt;D xsi:type="xsd:double"&gt;1.95122174585902&lt;/D&gt;&lt;D xsi:type="xsd:double"&gt;1.84898557050246&lt;/D&gt;&lt;D xsi:type="xsd:double"&gt;1.98433360458719&lt;/D&gt;&lt;D xsi:type="xsd:double"&gt;2.08453509421225&lt;/D&gt;&lt;D xsi:type="xsd:double"&gt;2.05587288441969&lt;/D&gt;&lt;D xsi:type="xsd:double"&gt;2.03316253960472&lt;/D&gt;&lt;D xsi:type="xsd:double"&gt;2.0536921419518&lt;/D&gt;&lt;D xsi:type="xsd:double"&gt;2.00019565306877&lt;/D&gt;&lt;D xsi:type="xsd:double"&gt;1.95789644153684&lt;/D&gt;&lt;D xsi:type="xsd:double"&gt;1.95598188865906&lt;/D&gt;&lt;D xsi:type="xsd:double"&gt;2.16452284016852&lt;/D&gt;&lt;D xsi:type="xsd:double"&gt;2.09479993062665&lt;/D&gt;&lt;D xsi:type="xsd:double"&gt;2.33784327559332&lt;/D&gt;&lt;D xsi:type="xsd:double"&gt;2.20887892763971&lt;/D&gt;&lt;D xsi:type="xsd:double"&gt;2.10759963480262&lt;/D&gt;&lt;D xsi:type="xsd:double"&gt;2.09920786066891&lt;/D&gt;&lt;D xsi:type="xsd:double"&gt;2.02766781883059&lt;/D&gt;&lt;D xsi:type="xsd:double"&gt;2.13831798582438&lt;/D&gt;&lt;D xsi:type="xsd:double"&gt;2.04816008865621&lt;/D&gt;&lt;D xsi:type="xsd:double"&gt;2.00179795781519&lt;/D&gt;&lt;D xsi:type="xsd:double"&gt;2.10682905412284&lt;/D&gt;&lt;D xsi:type="xsd:double"&gt;2.06091678882783&lt;/D&gt;&lt;D xsi:type="xsd:double"&gt;2.02373113347008&lt;/D&gt;&lt;D xsi:type="xsd:double"&gt;1.96738312519604&lt;/D&gt;&lt;D xsi:type="xsd:double"&gt;1.92659429082904&lt;/D&gt;&lt;D xsi:type="xsd:double"&gt;1.91882663543346&lt;/D&gt;&lt;D xsi:type="xsd:double"&gt;2.14572950235156&lt;/D&gt;&lt;D xsi:type="xsd:double"&gt;2.47778136302994&lt;/D&gt;&lt;D xsi:type="xsd:double"&gt;2.13993883393737&lt;/D&gt;&lt;D xsi:type="xsd:double"&gt;1.99468375813004&lt;/D&gt;&lt;D xsi:type="xsd:double"&gt;1.99332583885325&lt;/D&gt;&lt;D xsi:type="xsd:double"&gt;1.84607075748446&lt;/D&gt;&lt;D xsi:type="xsd:double"&gt;1.69965822951804&lt;/D&gt;&lt;D xsi:type="xsd:double"&gt;1.77884493703779&lt;/D&gt;&lt;D xsi:type="xsd:double"&gt;1.82953473394895&lt;/D&gt;&lt;D xsi:type="xsd:double"&gt;1.64990023990683&lt;/D&gt;&lt;D xsi:type="xsd:double"&gt;1.58560974335372&lt;/D&gt;&lt;D xsi:type="xsd:double"&gt;1.57272270607381&lt;/D&gt;&lt;D xsi:type="xsd:double"&gt;1.57925339428522&lt;/D&gt;&lt;D xsi:type="xsd:double"&gt;1.52023547252381&lt;/D&gt;&lt;D xsi:type="xsd:double"&gt;1.45854592163576&lt;/D&gt;&lt;D xsi:type="xsd:double"&gt;1.45861702641558&lt;/D&gt;&lt;D xsi:type="xsd:double"&gt;1.44336777142337&lt;/D&gt;&lt;D xsi:type="xsd:double"&gt;1.42518671736282&lt;/D&gt;&lt;D xsi:type="xsd:double"&gt;1.40218617487049&lt;/D&gt;&lt;D xsi:type="xsd:double"&gt;1.45653831234983&lt;/D&gt;&lt;D xsi:type="xsd:double"&gt;1.39565780818524&lt;/D&gt;&lt;D xsi:type="xsd:double"&gt;1.40079731914144&lt;/D&gt;&lt;D xsi:type="xsd:double"&gt;1.34866841936388&lt;/D&gt;&lt;D xsi:type="xsd:double"&gt;1.4757363215327&lt;/D&gt;&lt;D xsi:type="xsd:double"&gt;1.51096902067065&lt;/D&gt;&lt;D xsi:type="xsd:double"&gt;1.44036530893996&lt;/D&gt;&lt;D xsi:type="xsd:double"&gt;1.54222331998013&lt;/D&gt;&lt;D xsi:type="xsd:double"&gt;1.59571010648572&lt;/D&gt;&lt;D xsi:type="xsd:double"&gt;1.75470976062928&lt;/D&gt;&lt;D xsi:type="xsd:double"&gt;1.65530307642458&lt;/D&gt;&lt;D xsi:type="xsd:double"&gt;1.6808590489803&lt;/D&gt;&lt;D xsi:type="xsd:double"&gt;1.84110221584017&lt;/D&gt;&lt;D xsi:type="xsd:double"&gt;1.77070889886799&lt;/D&gt;&lt;D xsi:type="xsd:double"&gt;1.74948437201515&lt;/D&gt;&lt;D xsi:type="xsd:double"&gt;1.83523687132007&lt;/D&gt;&lt;D xsi:type="xsd:double"&gt;1.71547665497975&lt;/D&gt;&lt;D xsi:type="xsd:double"&gt;1.76861393148077&lt;/D&gt;&lt;D xsi:type="xsd:double"&gt;1.77332381521735&lt;/D&gt;&lt;D xsi:type="xsd:double"&gt;1.69249471079009&lt;/D&gt;&lt;D xsi:type="xsd:double"&gt;1.68529155025753&lt;/D&gt;&lt;D xsi:type="xsd:double"&gt;1.62272109461464&lt;/D&gt;&lt;D xsi:type="xsd:double"&gt;1.55892674404757&lt;/D&gt;&lt;D xsi:type="xsd:double"&gt;1.62062955710557&lt;/D&gt;&lt;D xsi:type="xsd:double"&gt;1.68396696509742&lt;/D&gt;&lt;D xsi:type="xsd:double"&gt;1.76478752659449&lt;/D&gt;&lt;D xsi:type="xsd:double"&gt;1.60232816826&lt;/D&gt;&lt;D xsi:type="xsd:double"&gt;1.53882979077885&lt;/D&gt;&lt;D xsi:type="xsd:double"&gt;1.5124502275018&lt;/D&gt;&lt;D xsi:type="xsd:double"&gt;1.4788643654365&lt;/D&gt;&lt;D xsi:type="xsd:double"&gt;1.42705400807704&lt;/D&gt;&lt;D xsi:type="xsd:double"&gt;1.4846160631513&lt;/D&gt;&lt;D xsi:type="xsd:double"&gt;1.44357722402793&lt;/D&gt;&lt;D xsi:type="xsd:double"&gt;1.40175999121007&lt;/D&gt;&lt;/FQL&gt;&lt;FQL&gt;&lt;Q&gt;EWU^FMA_PE(NTMA,-10AY,0,AM,"PORTAGG","MEANR")&lt;/Q&gt;&lt;R&gt;121&lt;/R&gt;&lt;C&gt;1&lt;/C&gt;&lt;D xsi:type="xsd:double"&gt;13.6060499107967&lt;/D&gt;&lt;D xsi:type="xsd:double"&gt;13.7012718108646&lt;/D&gt;&lt;D xsi:type="xsd:double"&gt;13.509124252747&lt;/D&gt;&lt;D xsi:type="xsd:double"&gt;13.1154853356456&lt;/D&gt;&lt;D xsi:type="xsd:double"&gt;12.9309815100391&lt;/D&gt;&lt;D xsi:type="xsd:double"&gt;13.5634694393154&lt;/D&gt;&lt;D xsi:type="xsd:double"&gt;13.8539601253447&lt;/D&gt;&lt;D xsi:type="xsd:double"&gt;15.1400845919468&lt;/D&gt;&lt;D xsi:type="xsd:double"&gt;15.7673388929755&lt;/D&gt;&lt;D xsi:type="xsd:double"&gt;15.5444133060368&lt;/D&gt;&lt;D xsi:type="xsd:double"&gt;16.2474818260781&lt;/D&gt;&lt;D xsi:type="xsd:double"&gt;16.1327737062824&lt;/D&gt;&lt;D xsi:type="xsd:double"&gt;15.5215753531369&lt;/D&gt;&lt;D xsi:type="xsd:double"&gt;15.0800423215756&lt;/D&gt;&lt;D xsi:type="xsd:double"&gt;14.3473149702538&lt;/D&gt;&lt;D xsi:type="xsd:double"&gt;13.9953689735731&lt;/D&gt;&lt;D xsi:type="xsd:double"&gt;15.373236758085&lt;/D&gt;&lt;D xsi:type="xsd:double"&gt;15.4114620864583&lt;/D&gt;&lt;D xsi:type="xsd:double"&gt;15.3009302111067&lt;/D&gt;&lt;D xsi:type="xsd:double"&gt;15.1749053163545&lt;/D&gt;&lt;D xsi:type="xsd:double"&gt;15.5831509287384&lt;/D&gt;&lt;D xsi:type="xsd:double"&gt;15.9154668014441&lt;/D&gt;&lt;D xsi:type="xsd:double"&gt;16.4400632657574&lt;/D&gt;&lt;D xsi:type="xsd:double"&gt;16.0303554522739&lt;/D&gt;&lt;D xsi:type="xsd:double"&gt;15.1073058149085&lt;/D&gt;&lt;D xsi:type="xsd:double"&gt;16.0843952506222&lt;/D&gt;&lt;D xsi:type="xsd:double"&gt;16.127938229516&lt;/D&gt;&lt;D xsi:type="xsd:double"&gt;15.6052012472971&lt;/D&gt;&lt;D xsi:type="xsd:double"&gt;14.9845031846469&lt;/D&gt;&lt;D xsi:type="xsd:double"&gt;14.2577616826239&lt;/D&gt;&lt;D xsi:type="xsd:double"&gt;14.3252451373352&lt;/D&gt;&lt;D xsi:type="xsd:double"&gt;14.3254374262404&lt;/D&gt;&lt;D xsi:type="xsd:double"&gt;14.3874260448601&lt;/D&gt;&lt;D xsi:type="xsd:double"&gt;14.4569844497295&lt;/D&gt;&lt;D xsi:type="xsd:double"&gt;14.3108472927418&lt;/D&gt;&lt;D xsi:type="xsd:double"&gt;14.7786969487001&lt;/D&gt;&lt;D xsi:type="xsd:double"&gt;14.5046939726998&lt;/D&gt;&lt;D xsi:type="xsd:double"&gt;14.7127350565832&lt;/D&gt;&lt;D xsi:type="xsd:double"&gt;14.5630859535617&lt;/D&gt;&lt;D xsi:type="xsd:double"&gt;14.4564845846064&lt;/D&gt;&lt;D xsi:type="xsd:double"&gt;14.490782578503&lt;/D&gt;&lt;D xsi:type="xsd:double"&gt;14.3047893034294&lt;/D&gt;&lt;D xsi:type="xsd:double"&gt;14.6200229675334&lt;/D&gt;&lt;D xsi:type="xsd:double"&gt;14.6387740817537&lt;/D&gt;&lt;D xsi:type="xsd:double"&gt;13.116669102772&lt;/D&gt;&lt;D xsi:type="xsd:double"&gt;13.2337698897246&lt;/D&gt;&lt;D xsi:type="xsd:double"&gt;13.8111767484273&lt;/D&gt;&lt;D xsi:type="xsd:double"&gt;13.7359389527835&lt;/D&gt;&lt;D xsi:type="xsd:double"&gt;13.2311073181351&lt;/D&gt;&lt;D xsi:type="xsd:double"&gt;13.2538713603503&lt;/D&gt;&lt;D xsi:type="xsd:double"&gt;12.9027840177377&lt;/D&gt;&lt;D xsi:type="xsd:double"&gt;12.7726243200956&lt;/D&gt;&lt;D xsi:type="xsd:double"&gt;11.5781202997867&lt;/D&gt;&lt;D xsi:type="xsd:double"&gt;11.7394929801213&lt;/D&gt;&lt;D xsi:type="xsd:double"&gt;11.4061714361872&lt;/D&gt;&lt;D xsi:type="xsd:double"&gt;11.7772538177348&lt;/D&gt;&lt;D xsi:type="xsd:double"&gt;12.3996300525624&lt;/D&gt;&lt;D xsi:type="xsd:double"&gt;12.4851157516733&lt;/D&gt;&lt;D xsi:type="xsd:double"&gt;12.6611740084252&lt;/D&gt;&lt;D xsi:type="xsd:double"&gt;12.2052430056584&lt;/D&gt;&lt;D xsi:type="xsd:double"&gt;12.587925071526&lt;/D&gt;&lt;D xsi:type="xsd:double"&gt;12.6408697076779&lt;/D&gt;&lt;D xsi:type="xsd:double"&gt;11.891111988874&lt;/D&gt;&lt;D xsi:type="xsd:double"&gt;12.4869752746618&lt;/D&gt;&lt;D xsi:type="xsd:double"&gt;12.66220815534&lt;/D&gt;&lt;D xsi:type="xsd:double"&gt;13.1141800806023&lt;/D&gt;&lt;D xsi:type="xsd:double"&gt;13.5903505889699&lt;/D&gt;&lt;D xsi:type="xsd:double"&gt;13.2472348286091&lt;/D&gt;&lt;D xsi:type="xsd:double"&gt;11.8680038855101&lt;/D&gt;&lt;D xsi:type="xsd:double"&gt;11.3526142832942&lt;/D&gt;&lt;D xsi:type="xsd:double"&gt;14.8314860720547&lt;/D&gt;&lt;D xsi:type="xsd:double"&gt;16.1436799749623&lt;/D&gt;&lt;D xsi:type="xsd:double"&gt;15.8076456505569&lt;/D&gt;&lt;D xsi:type="xsd:double"&gt;15.7017417074386&lt;/D&gt;&lt;D xsi:type="xsd:double"&gt;15.335029835533&lt;/D&gt;&lt;D xsi:type="xsd:double"&gt;14.5235903331533&lt;/D&gt;&lt;D xsi:type="xsd:double"&gt;13.1183934414986&lt;/D&gt;&lt;D xsi:type="xsd:double"&gt;14.6359822290463&lt;/D&gt;&lt;D xsi:type="xsd:double"&gt;14.4442344170005&lt;/D&gt;&lt;D xsi:type="xsd:double"&gt;13.9445339930213&lt;/D&gt;&lt;D xsi:type="xsd:double"&gt;13.7601498222767&lt;/D&gt;&lt;D xsi:type="xsd:double"&gt;13.6360097869677&lt;/D&gt;&lt;D xsi:type="xsd:double"&gt;13.3032487987073&lt;/D&gt;&lt;D xsi:type="xsd:double"&gt;13.1852922087574&lt;/D&gt;&lt;D xsi:type="xsd:double"&gt;12.7969057529553&lt;/D&gt;&lt;D xsi:type="xsd:double"&gt;12.3018527182608&lt;/D&gt;&lt;D xsi:type="xsd:double"&gt;12.1586100627239&lt;/D&gt;&lt;D xsi:type="xsd:double"&gt;11.8054140894632&lt;/D&gt;&lt;D xsi:type="xsd:double"&gt;12.2472338100218&lt;/D&gt;&lt;D xsi:type="xsd:double"&gt;11.6061237458364&lt;/D&gt;&lt;D xsi:type="xsd:double"&gt;12.1608793069177&lt;/D&gt;&lt;D xsi:type="xsd:double"&gt;12.1739906327401&lt;/D&gt;&lt;D xsi:type="xsd:double"&gt;11.9513201635206&lt;/D&gt;&lt;D xsi:type="xsd:double"&gt;11.3447872360482&lt;/D&gt;&lt;D xsi:type="xsd:double"&gt;10.6850860072099&lt;/D&gt;&lt;D xsi:type="xsd:double"&gt;10.5375737626959&lt;/D&gt;&lt;D xsi:type="xsd:double"&gt;9.96369962538384&lt;/D&gt;&lt;D xsi:type="xsd:double"&gt;9.807477301186&lt;/D&gt;&lt;D xsi:type="xsd:double"&gt;9.56632661980907&lt;/D&gt;&lt;D xsi:type="xsd:double"&gt;8.46069238226658&lt;/D&gt;&lt;D xsi:type="xsd:double"&gt;8.99902759767491&lt;/D&gt;&lt;D xsi:type="xsd:double"&gt;9.72486187464425&lt;/D&gt;&lt;D xsi:type="xsd:double"&gt;9.89028286759276&lt;/D&gt;&lt;D xsi:type="xsd:double"&gt;10.5585204946028&lt;/D&gt;&lt;D xsi:type="xsd:double"&gt;10.5158700643212&lt;/D&gt;&lt;D xsi:type="xsd:double"&gt;10.063177479152&lt;/D&gt;&lt;D xsi:type="xsd:double"&gt;10.83191178982&lt;/D&gt;&lt;D xsi:type="xsd:double"&gt;10.236786674451&lt;/D&gt;&lt;D xsi:type="xsd:double"&gt;10.249336323992&lt;/D&gt;&lt;D xsi:type="xsd:double"&gt;10.7778646738848&lt;/D&gt;&lt;D xsi:type="xsd:double"&gt;10.1610437936525&lt;/D&gt;&lt;D xsi:type="xsd:double"&gt;10.4184758408587&lt;/D&gt;&lt;D xsi:type="xsd:double"&gt;9.92114613595752&lt;/D&gt;&lt;D xsi:type="xsd:double"&gt;10.4843512680928&lt;/D&gt;&lt;D xsi:type="xsd:double"&gt;10.9659703246106&lt;/D&gt;&lt;D xsi:type="xsd:double"&gt;11.0939412923279&lt;/D&gt;&lt;D xsi:type="xsd:double"&gt;11.1296865740317&lt;/D&gt;&lt;D xsi:type="xsd:double"&gt;11.5418551152803&lt;/D&gt;&lt;D xsi:type="xsd:double"&gt;11.5914405774216&lt;/D&gt;&lt;D xsi:type="xsd:double"&gt;11.6828989895422&lt;/D&gt;&lt;D xsi:type="xsd:double"&gt;11.4267743223151&lt;/D&gt;&lt;/FQL&gt;&lt;FQL&gt;&lt;Q&gt;SPY^FMA_ROE(NTMA,-20AY,NOW,FY,"PORTAGG","MEANR")&lt;/Q&gt;&lt;R&gt;20&lt;/R&gt;&lt;C&gt;1&lt;/C&gt;&lt;D xsi:type="xsd:double"&gt;15.5861790200459&lt;/D&gt;&lt;D xsi:type="xsd:double"&gt;16.7322038566819&lt;/D&gt;&lt;D xsi:type="xsd:double"&gt;17.3873562088184&lt;/D&gt;&lt;D xsi:type="xsd:double"&gt;17.7935626477889&lt;/D&gt;&lt;D xsi:type="xsd:double"&gt;13.9384597707689&lt;/D&gt;&lt;D xsi:type="xsd:double"&gt;14.004346429543&lt;/D&gt;&lt;D xsi:type="xsd:double"&gt;15.0399433453936&lt;/D&gt;&lt;D xsi:type="xsd:double"&gt;15.5262408812809&lt;/D&gt;&lt;D xsi:type="xsd:double"&gt;15.3796547722071&lt;/D&gt;&lt;D xsi:type="xsd:double"&gt;15.8702437846916&lt;/D&gt;&lt;D xsi:type="xsd:double"&gt;15.8106739007597&lt;/D&gt;&lt;D xsi:type="xsd:double"&gt;15.8580313128215&lt;/D&gt;&lt;D xsi:type="xsd:double"&gt;16.0499124928518&lt;/D&gt;&lt;D xsi:type="xsd:double"&gt;16.907948658911&lt;/D&gt;&lt;D xsi:type="xsd:double"&gt;18.8923615036562&lt;/D&gt;&lt;D xsi:type="xsd:double"&gt;18.2929292638683&lt;/D&gt;&lt;D xsi:type="xsd:double"&gt;17.2298191446197&lt;/D&gt;&lt;D xsi:type="xsd:double"&gt;20.6862902761839&lt;/D&gt;&lt;D xsi:type="xsd:double"&gt;20.5983105915674&lt;/D&gt;&lt;D xsi:type="xsd:double"&gt;20.3505037769611&lt;/D&gt;&lt;/FQL&gt;&lt;FQL&gt;&lt;Q&gt;TRYAE10Y-FDS^FG_YIELD(-10AY,0,Y,,"YTM")&lt;/Q&gt;&lt;R&gt;10&lt;/R&gt;&lt;C&gt;1&lt;/C&gt;&lt;D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xsi:type="xsd:double"&gt;9.179499&lt;/D&gt;&lt;D xsi:type="xsd:double"&gt;9.791837&lt;/D&gt;&lt;D xsi:type="xsd:double"&gt;10.764477&lt;/D&gt;&lt;D xsi:type="xsd:double"&gt;11.358896&lt;/D&gt;&lt;/FQL&gt;&lt;FQL&gt;&lt;Q&gt;EWQ^FG_TOTAL_RETURNC(-10AY,0,AM)&lt;/Q&gt;&lt;R&gt;121&lt;/R&gt;&lt;C&gt;1&lt;/C&gt;&lt;D xsi:type="xsd:double"&gt;-0.6603241&lt;/D&gt;&lt;D xsi:type="xsd:double"&gt;-3.969884&lt;/D&gt;&lt;D xsi:type="xsd:double"&gt;-1.7462552&lt;/D&gt;&lt;D xsi:type="xsd:double"&gt;-2.974248&lt;/D&gt;&lt;D xsi:type="xsd:double"&gt;-5.2710295&lt;/D&gt;&lt;D xsi:type="xsd:double"&gt;3.8279414&lt;/D&gt;&lt;D xsi:type="xsd:double"&gt;-2.5628388&lt;/D&gt;&lt;D xsi:type="xsd:double"&gt;-2.6761115&lt;/D&gt;&lt;D xsi:type="xsd:double"&gt;7.157302&lt;/D&gt;&lt;D xsi:type="xsd:double"&gt;-0.3018856&lt;/D&gt;&lt;D xsi:type="xsd:double"&gt;3.7471652&lt;/D&gt;&lt;D xsi:type="xsd:double"&gt;0.036478043&lt;/D&gt;&lt;D xsi:type="xsd:double"&gt;0.57923794&lt;/D&gt;&lt;D xsi:type="xsd:double"&gt;-2.2492647&lt;/D&gt;&lt;D xsi:type="xsd:double"&gt;-5.469638&lt;/D&gt;&lt;D xsi:type="xsd:double"&gt;-6.1452446&lt;/D&gt;&lt;D xsi:type="xsd:double"&gt;10.119045&lt;/D&gt;&lt;D xsi:type="xsd:double"&gt;-2.9343665&lt;/D&gt;&lt;D xsi:type="xsd:double"&gt;-2.2141516&lt;/D&gt;&lt;D xsi:type="xsd:double"&gt;-6.345886&lt;/D&gt;&lt;D xsi:type="xsd:double"&gt;-0.7846594&lt;/D&gt;&lt;D xsi:type="xsd:double"&gt;4.305792&lt;/D&gt;&lt;D xsi:type="xsd:double"&gt;4.717779&lt;/D&gt;&lt;D xsi:type="xsd:double"&gt;-0.44248104&lt;/D&gt;&lt;D xsi:type="xsd:double"&gt;-8.653498&lt;/D&gt;&lt;D xsi:type="xsd:double"&gt;7.9401135&lt;/D&gt;&lt;D xsi:type="xsd:double"&gt;0.33627748&lt;/D&gt;&lt;D xsi:type="xsd:double"&gt;1.5081644&lt;/D&gt;&lt;D xsi:type="xsd:double"&gt;-0.70161223&lt;/D&gt;&lt;D xsi:type="xsd:double"&gt;-3.823775&lt;/D&gt;&lt;D xsi:type="xsd:double"&gt;5.3470254&lt;/D&gt;&lt;D xsi:type="xsd:double"&gt;3.4993768&lt;/D&gt;&lt;D xsi:type="xsd:double"&gt;-0.91487765&lt;/D&gt;&lt;D xsi:type="xsd:double"&gt;6.543565&lt;/D&gt;&lt;D xsi:type="xsd:double"&gt;5.5764914&lt;/D&gt;&lt;D xsi:type="xsd:double"&gt;4.8179865&lt;/D&gt;&lt;D xsi:type="xsd:double"&gt;1.4518142&lt;/D&gt;&lt;D xsi:type="xsd:double"&gt;0.71696043&lt;/D&gt;&lt;D xsi:type="xsd:double"&gt;0.88136196&lt;/D&gt;&lt;D xsi:type="xsd:double"&gt;2.7217746&lt;/D&gt;&lt;D xsi:type="xsd:double"&gt;2.0608425&lt;/D&gt;&lt;D xsi:type="xsd:double"&gt;0.70512295&lt;/D&gt;&lt;D xsi:type="xsd:double"&gt;-0.17488003&lt;/D&gt;&lt;D xsi:type="xsd:double"&gt;7.8669667&lt;/D&gt;&lt;D xsi:type="xsd:double"&gt;-6.225914&lt;/D&gt;&lt;D xsi:type="xsd:double"&gt;-1.4859319&lt;/D&gt;&lt;D xsi:type="xsd:double"&gt;5.1989675&lt;/D&gt;&lt;D xsi:type="xsd:double"&gt;-1.5558243&lt;/D&gt;&lt;D xsi:type="xsd:double"&gt;-4.491252&lt;/D&gt;&lt;D xsi:type="xsd:double"&gt;4.405427&lt;/D&gt;&lt;D xsi:type="xsd:double"&gt;0.6345153&lt;/D&gt;&lt;D xsi:type="xsd:double"&gt;-1.0403514&lt;/D&gt;&lt;D xsi:type="xsd:double"&gt;-10.640329&lt;/D&gt;&lt;D xsi:type="xsd:double"&gt;0.89126825&lt;/D&gt;&lt;D xsi:type="xsd:double"&gt;-6.56876&lt;/D&gt;&lt;D xsi:type="xsd:double"&gt;4.7492385&lt;/D&gt;&lt;D xsi:type="xsd:double"&gt;6.4562917&lt;/D&gt;&lt;D xsi:type="xsd:double"&gt;-0.40886402&lt;/D&gt;&lt;D xsi:type="xsd:double"&gt;4.481697&lt;/D&gt;&lt;D xsi:type="xsd:double"&gt;-4.0929914&lt;/D&gt;&lt;D xsi:type="xsd:double"&gt;7.237923&lt;/D&gt;&lt;D xsi:type="xsd:double"&gt;-0.717777&lt;/D&gt;&lt;D xsi:type="xsd:double"&gt;-4.6993136&lt;/D&gt;&lt;D xsi:type="xsd:double"&gt;3.2068968&lt;/D&gt;&lt;D xsi:type="xsd:double"&gt;3.7754774&lt;/D&gt;&lt;D xsi:type="xsd:double"&gt;2.4146795&lt;/D&gt;&lt;D xsi:type="xsd:double"&gt;2.9222608&lt;/D&gt;&lt;D xsi:type="xsd:double"&gt;-2.5099397&lt;/D&gt;&lt;D xsi:type="xsd:double"&gt;-9.167975&lt;/D&gt;&lt;D xsi:type="xsd:double"&gt;-18.285519&lt;/D&gt;&lt;D xsi:type="xsd:double"&gt;2.030468&lt;/D&gt;&lt;D xsi:type="xsd:double"&gt;7.3797584&lt;/D&gt;&lt;D xsi:type="xsd:double"&gt;4.7727585&lt;/D&gt;&lt;D xsi:type="xsd:double"&gt;5.9347153&lt;/D&gt;&lt;D xsi:type="xsd:double"&gt;3.6064506&lt;/D&gt;&lt;D xsi:type="xsd:double"&gt;-5.4072323&lt;/D&gt;&lt;D xsi:type="xsd:double"&gt;-5.2518725&lt;/D&gt;&lt;D xsi:type="xsd:double"&gt;25&lt;/D&gt;&lt;D xsi:type="xsd:double"&gt;1.7076015&lt;/D&gt;&lt;D xsi:type="xsd:double"&gt;-1.5201151&lt;/D&gt;&lt;D xsi:type="xsd:double"&gt;2.5120974&lt;/D&gt;&lt;D xsi:type="xsd:double"&gt;2.863896&lt;/D&gt;&lt;D xsi:type="xsd:double"&gt;7.7497125&lt;/D&gt;&lt;D xsi:type="xsd:double"&gt;3.8359046&lt;/D&gt;&lt;D xsi:type="xsd:double"&gt;-0.7247567&lt;/D&gt;&lt;D xsi:type="xsd:double"&gt;-0.28743148&lt;/D&gt;&lt;D xsi:type="xsd:double"&gt;0.9433985&lt;/D&gt;&lt;D xsi:type="xsd:double"&gt;-2.2845328&lt;/D&gt;&lt;D xsi:type="xsd:double"&gt;4.7821403&lt;/D&gt;&lt;D xsi:type="xsd:double"&gt;-4.386407&lt;/D&gt;&lt;D xsi:type="xsd:double"&gt;5.845821&lt;/D&gt;&lt;D xsi:type="xsd:double"&gt;-3.578782&lt;/D&gt;&lt;D xsi:type="xsd:double"&gt;-5.6608796&lt;/D&gt;&lt;D xsi:type="xsd:double"&gt;-0.5377948&lt;/D&gt;&lt;D xsi:type="xsd:double"&gt;-4.809332&lt;/D&gt;&lt;D xsi:type="xsd:double"&gt;3.2884836&lt;/D&gt;&lt;D xsi:type="xsd:double"&gt;-9.118265&lt;/D&gt;&lt;D xsi:type="xsd:double"&gt;2.7541041&lt;/D&gt;&lt;D xsi:type="xsd:double"&gt;-4.3714104&lt;/D&gt;&lt;D xsi:type="xsd:double"&gt;-9.309303&lt;/D&gt;&lt;D xsi:type="xsd:double"&gt;11.074316&lt;/D&gt;&lt;D xsi:type="xsd:double"&gt;8.943356&lt;/D&gt;&lt;D xsi:type="xsd:double"&gt;0.42171478&lt;/D&gt;&lt;D xsi:type="xsd:double"&gt;11.972046&lt;/D&gt;&lt;D xsi:type="xsd:double"&gt;-0.89551806&lt;/D&gt;&lt;D xsi:type="xsd:double"&gt;-0.054764748&lt;/D&gt;&lt;D xsi:type="xsd:double"&gt;8.410954&lt;/D&gt;&lt;D xsi:type="xsd:double"&gt;-4.068738&lt;/D&gt;&lt;D xsi:type="xsd:double"&gt;2.1817803&lt;/D&gt;&lt;D xsi:type="xsd:double"&gt;3.2946706&lt;/D&gt;&lt;D xsi:type="xsd:double"&gt;-3.8019836&lt;/D&gt;&lt;D xsi:type="xsd:double"&gt;-5.782497&lt;/D&gt;&lt;D xsi:type="xsd:double"&gt;-4.954958&lt;/D&gt;&lt;D xsi:type="xsd:double"&gt;11.34479&lt;/D&gt;&lt;D xsi:type="xsd:double"&gt;4.774821&lt;/D&gt;&lt;D xsi:type="xsd:double"&gt;-0.30667782&lt;/D&gt;&lt;D xsi:type="xsd:double"&gt;3.2812119&lt;/D&gt;&lt;D xsi:type="xsd:double"&gt;2.7798414&lt;/D&gt;&lt;D xsi:type="xsd:double"&gt;-1.7870128&lt;/D&gt;&lt;D xsi:type="xsd:double"&gt;2.8276443&lt;/D&gt;&lt;D xsi:type="xsd:double"&gt;-7.5617847&lt;/D&gt;&lt;/FQL&gt;&lt;FQL&gt;&lt;Q&gt;QQQ^FMA_DIV_YLD(NTMA,-10AY,0,AM,"PORTAGG","MEANR")&lt;/Q&gt;&lt;R&gt;121&lt;/R&gt;&lt;C&gt;1&lt;/C&gt;&lt;D xsi:type="xsd:double"&gt;1.28128959443663&lt;/D&gt;&lt;D xsi:type="xsd:double"&gt;1.24054937625902&lt;/D&gt;&lt;D xsi:type="xsd:double"&gt;1.21724547267175&lt;/D&gt;&lt;D xsi:type="xsd:double"&gt;1.23977901612741&lt;/D&gt;&lt;D xsi:type="xsd:double"&gt;1.23971234839172&lt;/D&gt;&lt;D xsi:type="xsd:double"&gt;1.18921478067016&lt;/D&gt;&lt;D xsi:type="xsd:double"&gt;1.20604910691553&lt;/D&gt;&lt;D xsi:type="xsd:double"&gt;1.24300413773657&lt;/D&gt;&lt;D xsi:type="xsd:double"&gt;1.21346631716943&lt;/D&gt;&lt;D xsi:type="xsd:double"&gt;1.27610806340731&lt;/D&gt;&lt;D xsi:type="xsd:double"&gt;1.23497721955019&lt;/D&gt;&lt;D xsi:type="xsd:double"&gt;1.23091209030883&lt;/D&gt;&lt;D xsi:type="xsd:double"&gt;1.25071044263818&lt;/D&gt;&lt;D xsi:type="xsd:double"&gt;1.26228016276429&lt;/D&gt;&lt;D xsi:type="xsd:double"&gt;1.34500334206083&lt;/D&gt;&lt;D xsi:type="xsd:double"&gt;1.42610091826391&lt;/D&gt;&lt;D xsi:type="xsd:double"&gt;1.26109033345803&lt;/D&gt;&lt;D xsi:type="xsd:double"&gt;1.27662096760661&lt;/D&gt;&lt;D xsi:type="xsd:double"&gt;1.28941228946054&lt;/D&gt;&lt;D xsi:type="xsd:double"&gt;1.38823536762974&lt;/D&gt;&lt;D xsi:type="xsd:double"&gt;1.40380815075737&lt;/D&gt;&lt;D xsi:type="xsd:double"&gt;1.35845560292592&lt;/D&gt;&lt;D xsi:type="xsd:double"&gt;1.38385909675178&lt;/D&gt;&lt;D xsi:type="xsd:double"&gt;1.34470187579383&lt;/D&gt;&lt;D xsi:type="xsd:double"&gt;1.40292649372153&lt;/D&gt;&lt;D xsi:type="xsd:double"&gt;1.29320314780803&lt;/D&gt;&lt;D xsi:type="xsd:double"&gt;1.28464100681007&lt;/D&gt;&lt;D xsi:type="xsd:double"&gt;1.25959814136851&lt;/D&gt;&lt;D xsi:type="xsd:double"&gt;1.28668803878597&lt;/D&gt;&lt;D xsi:type="xsd:double"&gt;1.28318788827955&lt;/D&gt;&lt;D xsi:type="xsd:double"&gt;1.28471864077028&lt;/D&gt;&lt;D xsi:type="xsd:double"&gt;1.23257209950237&lt;/D&gt;&lt;D xsi:type="xsd:double"&gt;1.22415700323872&lt;/D&gt;&lt;D xsi:type="xsd:double"&gt;1.21122300873812&lt;/D&gt;&lt;D xsi:type="xsd:double"&gt;1.18832593916955&lt;/D&gt;&lt;D xsi:type="xsd:double"&gt;1.15696651354697&lt;/D&gt;&lt;D xsi:type="xsd:double"&gt;1.17710622366435&lt;/D&gt;&lt;D xsi:type="xsd:double"&gt;1.16856157352267&lt;/D&gt;&lt;D xsi:type="xsd:double"&gt;1.18819222495291&lt;/D&gt;&lt;D xsi:type="xsd:double"&gt;1.17166408862046&lt;/D&gt;&lt;D xsi:type="xsd:double"&gt;1.1226420873206&lt;/D&gt;&lt;D xsi:type="xsd:double"&gt;1.09358500219&lt;/D&gt;&lt;D xsi:type="xsd:double"&gt;1.09302971109426&lt;/D&gt;&lt;D xsi:type="xsd:double"&gt;1.01808631419683&lt;/D&gt;&lt;D xsi:type="xsd:double"&gt;1.06479442796328&lt;/D&gt;&lt;D xsi:type="xsd:double"&gt;1.14245400300165&lt;/D&gt;&lt;D xsi:type="xsd:double"&gt;1.11922655516481&lt;/D&gt;&lt;D xsi:type="xsd:double"&gt;1.08412595675409&lt;/D&gt;&lt;D xsi:type="xsd:double"&gt;1.07704734825587&lt;/D&gt;&lt;D xsi:type="xsd:double"&gt;1.09273382555311&lt;/D&gt;&lt;D xsi:type="xsd:double"&gt;1.05944799092853&lt;/D&gt;&lt;D xsi:type="xsd:double"&gt;1.06020338050617&lt;/D&gt;&lt;D xsi:type="xsd:double"&gt;1.20064949466148&lt;/D&gt;&lt;D xsi:type="xsd:double"&gt;1.19559810742373&lt;/D&gt;&lt;D xsi:type="xsd:double"&gt;1.32896766213063&lt;/D&gt;&lt;D xsi:type="xsd:double"&gt;1.25604985524865&lt;/D&gt;&lt;D xsi:type="xsd:double"&gt;1.17801506593521&lt;/D&gt;&lt;D xsi:type="xsd:double"&gt;1.14767251659052&lt;/D&gt;&lt;D xsi:type="xsd:double"&gt;1.08623572906665&lt;/D&gt;&lt;D xsi:type="xsd:double"&gt;1.17259312215165&lt;/D&gt;&lt;D xsi:type="xsd:double"&gt;1.11413385363496&lt;/D&gt;&lt;D xsi:type="xsd:double"&gt;1.07165789923017&lt;/D&gt;&lt;D xsi:type="xsd:double"&gt;1.1327933988275&lt;/D&gt;&lt;D xsi:type="xsd:double"&gt;1.12381384825336&lt;/D&gt;&lt;D xsi:type="xsd:double"&gt;1.07889105958566&lt;/D&gt;&lt;D xsi:type="xsd:double"&gt;1.06605796326469&lt;/D&gt;&lt;D xsi:type="xsd:double"&gt;1.04232624017485&lt;/D&gt;&lt;D xsi:type="xsd:double"&gt;1.01061297562771&lt;/D&gt;&lt;D xsi:type="xsd:double"&gt;1.09357289976814&lt;/D&gt;&lt;D xsi:type="xsd:double"&gt;1.22247489120156&lt;/D&gt;&lt;D xsi:type="xsd:double"&gt;1.06381764441983&lt;/D&gt;&lt;D xsi:type="xsd:double"&gt;0.964475002793268&lt;/D&gt;&lt;D xsi:type="xsd:double"&gt;0.921414736735622&lt;/D&gt;&lt;D xsi:type="xsd:double"&gt;0.864063980355042&lt;/D&gt;&lt;D xsi:type="xsd:double"&gt;0.759755646961162&lt;/D&gt;&lt;D xsi:type="xsd:double"&gt;0.804673231855912&lt;/D&gt;&lt;D xsi:type="xsd:double"&gt;0.831178508297042&lt;/D&gt;&lt;D xsi:type="xsd:double"&gt;0.756676539165731&lt;/D&gt;&lt;D xsi:type="xsd:double"&gt;0.765801181985388&lt;/D&gt;&lt;D xsi:type="xsd:double"&gt;0.749270598863262&lt;/D&gt;&lt;D xsi:type="xsd:double"&gt;0.774742301916073&lt;/D&gt;&lt;D xsi:type="xsd:double"&gt;0.773395992972068&lt;/D&gt;&lt;D xsi:type="xsd:double"&gt;0.728394224101542&lt;/D&gt;&lt;D xsi:type="xsd:double"&gt;0.740744187193668&lt;/D&gt;&lt;D xsi:type="xsd:double"&gt;0.705310063574613&lt;/D&gt;&lt;D xsi:type="xsd:double"&gt;0.700227198980006&lt;/D&gt;&lt;D xsi:type="xsd:double"&gt;0.685325532876338&lt;/D&gt;&lt;D xsi:type="xsd:double"&gt;0.722032375084015&lt;/D&gt;&lt;D xsi:type="xsd:double"&gt;0.681587979080571&lt;/D&gt;&lt;D xsi:type="xsd:double"&gt;0.675630534048657&lt;/D&gt;&lt;D xsi:type="xsd:double"&gt;0.66093564983076&lt;/D&gt;&lt;D xsi:type="xsd:double"&gt;0.761252641823922&lt;/D&gt;&lt;D xsi:type="xsd:double"&gt;0.787356254163346&lt;/D&gt;&lt;D xsi:type="xsd:double"&gt;0.750790545373402&lt;/D&gt;&lt;D xsi:type="xsd:double"&gt;0.841258340332666&lt;/D&gt;&lt;D xsi:type="xsd:double"&gt;0.89836138754749&lt;/D&gt;&lt;D xsi:type="xsd:double"&gt;0.986133041012468&lt;/D&gt;&lt;D xsi:type="xsd:double"&gt;0.908875045228607&lt;/D&gt;&lt;D xsi:type="xsd:double"&gt;0.921014699633018&lt;/D&gt;&lt;D xsi:type="xsd:double"&gt;1.01944862807788&lt;/D&gt;&lt;D xsi:type="xsd:double"&gt;1.02322449648025&lt;/D&gt;&lt;D xsi:type="xsd:double"&gt;1.02455062691617&lt;/D&gt;&lt;D xsi:type="xsd:double"&gt;1.06354291097833&lt;/D&gt;&lt;D xsi:type="xsd:double"&gt;0.943828019785904&lt;/D&gt;&lt;D xsi:type="xsd:double"&gt;0.962017703222425&lt;/D&gt;&lt;D xsi:type="xsd:double"&gt;0.922990574034429&lt;/D&gt;&lt;D xsi:type="xsd:double"&gt;0.863925211448886&lt;/D&gt;&lt;D xsi:type="xsd:double"&gt;0.80368323608476&lt;/D&gt;&lt;D xsi:type="xsd:double"&gt;0.773612456032372&lt;/D&gt;&lt;D xsi:type="xsd:double"&gt;0.856345287511477&lt;/D&gt;&lt;D xsi:type="xsd:double"&gt;0.898843235094638&lt;/D&gt;&lt;D xsi:type="xsd:double"&gt;0.945360297241089&lt;/D&gt;&lt;D xsi:type="xsd:double"&gt;0.987182938311621&lt;/D&gt;&lt;D xsi:type="xsd:double"&gt;0.88707048183007&lt;/D&gt;&lt;D xsi:type="xsd:double"&gt;0.915112235285198&lt;/D&gt;&lt;D xsi:type="xsd:double"&gt;0.88666421658736&lt;/D&gt;&lt;D xsi:type="xsd:double"&gt;0.891021356434101&lt;/D&gt;&lt;D xsi:type="xsd:double"&gt;0.882477736055517&lt;/D&gt;&lt;D xsi:type="xsd:double"&gt;0.91942473307484&lt;/D&gt;&lt;D xsi:type="xsd:double"&gt;0.880463567584612&lt;/D&gt;&lt;D xsi:type="xsd:double"&gt;0.843249398021748&lt;/D&gt;&lt;/FQL&gt;&lt;FQL&gt;&lt;Q&gt;EWL^FMA_PE(NTMA,-10AY,0,AM,"PORTAGG","MEANR")&lt;/Q&gt;&lt;R&gt;121&lt;/R&gt;&lt;C&gt;1&lt;/C&gt;&lt;D xsi:type="xsd:double"&gt;16.0820424960855&lt;/D&gt;&lt;D xsi:type="xsd:double"&gt;16.051431485421&lt;/D&gt;&lt;D xsi:type="xsd:double"&gt;16.0709531400096&lt;/D&gt;&lt;D xsi:type="xsd:double"&gt;15.9554300229029&lt;/D&gt;&lt;D xsi:type="xsd:double"&gt;15.6546200678793&lt;/D&gt;&lt;D xsi:type="xsd:double"&gt;16.3738988714137&lt;/D&gt;&lt;D xsi:type="xsd:double"&gt;15.8332272247873&lt;/D&gt;&lt;D xsi:type="xsd:double"&gt;16.1924864927226&lt;/D&gt;&lt;D xsi:type="xsd:double"&gt;17.6281338147808&lt;/D&gt;&lt;D xsi:type="xsd:double"&gt;17.627552240632&lt;/D&gt;&lt;D xsi:type="xsd:double"&gt;18.0174468833786&lt;/D&gt;&lt;D xsi:type="xsd:double"&gt;17.9070474655328&lt;/D&gt;&lt;D xsi:type="xsd:double"&gt;17.189865905726&lt;/D&gt;&lt;D xsi:type="xsd:double"&gt;17.4893427994346&lt;/D&gt;&lt;D xsi:type="xsd:double"&gt;16.4956290184996&lt;/D&gt;&lt;D xsi:type="xsd:double"&gt;15.7031052939675&lt;/D&gt;&lt;D xsi:type="xsd:double"&gt;16.9798118711632&lt;/D&gt;&lt;D xsi:type="xsd:double"&gt;16.9893104258978&lt;/D&gt;&lt;D xsi:type="xsd:double"&gt;16.8676268623076&lt;/D&gt;&lt;D xsi:type="xsd:double"&gt;15.9260799884103&lt;/D&gt;&lt;D xsi:type="xsd:double"&gt;16.3224517288575&lt;/D&gt;&lt;D xsi:type="xsd:double"&gt;16.2791578180773&lt;/D&gt;&lt;D xsi:type="xsd:double"&gt;16.9400579886195&lt;/D&gt;&lt;D xsi:type="xsd:double"&gt;17.2976131951892&lt;/D&gt;&lt;D xsi:type="xsd:double"&gt;16.188097506976&lt;/D&gt;&lt;D xsi:type="xsd:double"&gt;17.0088666711767&lt;/D&gt;&lt;D xsi:type="xsd:double"&gt;17.3150831259374&lt;/D&gt;&lt;D xsi:type="xsd:double"&gt;17.2410826711804&lt;/D&gt;&lt;D xsi:type="xsd:double"&gt;16.6051569296645&lt;/D&gt;&lt;D xsi:type="xsd:double"&gt;16.2103781444092&lt;/D&gt;&lt;D xsi:type="xsd:double"&gt;16.777305558352&lt;/D&gt;&lt;D xsi:type="xsd:double"&gt;17.2085932255089&lt;/D&gt;&lt;D xsi:type="xsd:double"&gt;17.5438016459009&lt;/D&gt;&lt;D xsi:type="xsd:double"&gt;17.3982610375647&lt;/D&gt;&lt;D xsi:type="xsd:double"&gt;17.8214731202023&lt;/D&gt;&lt;D xsi:type="xsd:double"&gt;18.0706202636987&lt;/D&gt;&lt;D xsi:type="xsd:double"&gt;18.011001703631&lt;/D&gt;&lt;D xsi:type="xsd:double</t>
        </r>
      </text>
    </comment>
    <comment ref="A5" authorId="0" shapeId="0" xr:uid="{BFFDFE40-6B18-4066-8228-D26F65E41B52}">
      <text>
        <r>
          <rPr>
            <b/>
            <sz val="9"/>
            <color indexed="81"/>
            <rFont val="Tahoma"/>
            <charset val="1"/>
          </rPr>
          <t>"&gt;17.7365683346339&lt;/D&gt;&lt;D xsi:type="xsd:double"&gt;17.4190134224734&lt;/D&gt;&lt;D xsi:type="xsd:double"&gt;17.6632706709695&lt;/D&gt;&lt;D xsi:type="xsd:double"&gt;17.8056902577492&lt;/D&gt;&lt;D xsi:type="xsd:double"&gt;17.7500006637315&lt;/D&gt;&lt;D xsi:type="xsd:double"&gt;17.7218070005188&lt;/D&gt;&lt;D xsi:type="xsd:double"&gt;17.920254159191&lt;/D&gt;&lt;D xsi:type="xsd:double"&gt;16.5582122766861&lt;/D&gt;&lt;D xsi:type="xsd:double"&gt;16.0968316525865&lt;/D&gt;&lt;D xsi:type="xsd:double"&gt;16.1471310380195&lt;/D&gt;&lt;D xsi:type="xsd:double"&gt;16.007548754669&lt;/D&gt;&lt;D xsi:type="xsd:double"&gt;15.3151869684878&lt;/D&gt;&lt;D xsi:type="xsd:double"&gt;16.358453265246&lt;/D&gt;&lt;D xsi:type="xsd:double"&gt;16.141821580929&lt;/D&gt;&lt;D xsi:type="xsd:double"&gt;16.0676655498757&lt;/D&gt;&lt;D xsi:type="xsd:double"&gt;15.1076594589004&lt;/D&gt;&lt;D xsi:type="xsd:double"&gt;15.4449828195498&lt;/D&gt;&lt;D xsi:type="xsd:double"&gt;14.5150176052196&lt;/D&gt;&lt;D xsi:type="xsd:double"&gt;15.3806929991974&lt;/D&gt;&lt;D xsi:type="xsd:double"&gt;16.3380739480788&lt;/D&gt;&lt;D xsi:type="xsd:double"&gt;16.453381968332&lt;/D&gt;&lt;D xsi:type="xsd:double"&gt;16.9095820087618&lt;/D&gt;&lt;D xsi:type="xsd:double"&gt;16.6917798232731&lt;/D&gt;&lt;D xsi:type="xsd:double"&gt;17.1768867870763&lt;/D&gt;&lt;D xsi:type="xsd:double"&gt;17.0998394595519&lt;/D&gt;&lt;D xsi:type="xsd:double"&gt;16.7726833906405&lt;/D&gt;&lt;D xsi:type="xsd:double"&gt;17.1095214315649&lt;/D&gt;&lt;D xsi:type="xsd:double"&gt;17.2683152168207&lt;/D&gt;&lt;D xsi:type="xsd:double"&gt;17.6017802548495&lt;/D&gt;&lt;D xsi:type="xsd:double"&gt;17.9720331604032&lt;/D&gt;&lt;D xsi:type="xsd:double"&gt;18.0370405479156&lt;/D&gt;&lt;D xsi:type="xsd:double"&gt;16.481213972625&lt;/D&gt;&lt;D xsi:type="xsd:double"&gt;15.3945458553283&lt;/D&gt;&lt;D xsi:type="xsd:double"&gt;18.5744256372713&lt;/D&gt;&lt;D xsi:type="xsd:double"&gt;19.152013727514&lt;/D&gt;&lt;D xsi:type="xsd:double"&gt;19.2339199768474&lt;/D&gt;&lt;D xsi:type="xsd:double"&gt;19.7212842483321&lt;/D&gt;&lt;D xsi:type="xsd:double"&gt;19.4802405765169&lt;/D&gt;&lt;D xsi:type="xsd:double"&gt;19.0914962505562&lt;/D&gt;&lt;D xsi:type="xsd:double"&gt;17.6501720677374&lt;/D&gt;&lt;D xsi:type="xsd:double"&gt;18.8436571141205&lt;/D&gt;&lt;D xsi:type="xsd:double"&gt;18.6877888125708&lt;/D&gt;&lt;D xsi:type="xsd:double"&gt;18.8424893937143&lt;/D&gt;&lt;D xsi:type="xsd:double"&gt;18.2374865926649&lt;/D&gt;&lt;D xsi:type="xsd:double"&gt;18.7972947379431&lt;/D&gt;&lt;D xsi:type="xsd:double"&gt;18.4016819405313&lt;/D&gt;&lt;D xsi:type="xsd:double"&gt;19.3911816465349&lt;/D&gt;&lt;D xsi:type="xsd:double"&gt;19.8979658632104&lt;/D&gt;&lt;D xsi:type="xsd:double"&gt;19.6315619450287&lt;/D&gt;&lt;D xsi:type="xsd:double"&gt;19.9537018354844&lt;/D&gt;&lt;D xsi:type="xsd:double"&gt;18.1261228345508&lt;/D&gt;&lt;D xsi:type="xsd:double"&gt;19.047274033074&lt;/D&gt;&lt;D xsi:type="xsd:double"&gt;18.689155144724&lt;/D&gt;&lt;D xsi:type="xsd:double"&gt;19.900177895757&lt;/D&gt;&lt;D xsi:type="xsd:double"&gt;18.0274270613335&lt;/D&gt;&lt;D xsi:type="xsd:double"&gt;18.0709321099099&lt;/D&gt;&lt;D xsi:type="xsd:double"&gt;18.2428265038913&lt;/D&gt;&lt;D xsi:type="xsd:double"&gt;17.8258510590757&lt;/D&gt;&lt;D xsi:type="xsd:double"&gt;17.1169805057366&lt;/D&gt;&lt;D xsi:type="xsd:double"&gt;15.8014426252828&lt;/D&gt;&lt;D xsi:type="xsd:double"&gt;16.7850554509246&lt;/D&gt;&lt;D xsi:type="xsd:double"&gt;16.2860181061379&lt;/D&gt;&lt;D xsi:type="xsd:double"&gt;14.9174418926636&lt;/D&gt;&lt;D xsi:type="xsd:double"&gt;15.7281862207067&lt;/D&gt;&lt;D xsi:type="xsd:double"&gt;16.814831411744&lt;/D&gt;&lt;D xsi:type="xsd:double"&gt;16.3349129501661&lt;/D&gt;&lt;D xsi:type="xsd:double"&gt;17.3376477123223&lt;/D&gt;&lt;D xsi:type="xsd:double"&gt;17.041634285392&lt;/D&gt;&lt;D xsi:type="xsd:double"&gt;16.7074452597577&lt;/D&gt;&lt;D xsi:type="xsd:double"&gt;17.540422422225&lt;/D&gt;&lt;D xsi:type="xsd:double"&gt;17.2005575242223&lt;/D&gt;&lt;D xsi:type="xsd:double"&gt;16.32997670489&lt;/D&gt;&lt;D xsi:type="xsd:double"&gt;16.9997936395707&lt;/D&gt;&lt;D xsi:type="xsd:double"&gt;16.4710454404707&lt;/D&gt;&lt;D xsi:type="xsd:double"&gt;16.1027076484787&lt;/D&gt;&lt;D xsi:type="xsd:double"&gt;15.2777892438395&lt;/D&gt;&lt;D xsi:type="xsd:double"&gt;16.1680366484479&lt;/D&gt;&lt;D xsi:type="xsd:double"&gt;16.7818627737223&lt;/D&gt;&lt;D xsi:type="xsd:double"&gt;17.2436053004809&lt;/D&gt;&lt;D xsi:type="xsd:double"&gt;17.4307038890642&lt;/D&gt;&lt;D xsi:type="xsd:double"&gt;17.6983916889106&lt;/D&gt;&lt;D xsi:type="xsd:double"&gt;16.7970479801535&lt;/D&gt;&lt;D xsi:type="xsd:double"&gt;17.0901562163003&lt;/D&gt;&lt;D xsi:type="xsd:double"&gt;17.1592352790359&lt;/D&gt;&lt;/FQL&gt;&lt;FQL&gt;&lt;Q&gt;EWG^FMA_PE(LTMA,-10AY,0,AM,"PORTAGG","MEANR")&lt;/Q&gt;&lt;R&gt;121&lt;/R&gt;&lt;C&gt;1&lt;/C&gt;&lt;D xsi:type="xsd:double"&gt;14.5967275707366&lt;/D&gt;&lt;D xsi:type="xsd:double"&gt;14.3352565519638&lt;/D&gt;&lt;D xsi:type="xsd:double"&gt;14.1502404912362&lt;/D&gt;&lt;D xsi:type="xsd:double"&gt;14.0645982560273&lt;/D&gt;&lt;D xsi:type="xsd:double"&gt;13.4806375085185&lt;/D&gt;&lt;D xsi:type="xsd:double"&gt;14.5040611433695&lt;/D&gt;&lt;D xsi:type="xsd:double"&gt;14.4741141790598&lt;/D&gt;&lt;D xsi:type="xsd:double"&gt;15.5496760305263&lt;/D&gt;&lt;D xsi:type="xsd:double"&gt;16.4876845059821&lt;/D&gt;&lt;D xsi:type="xsd:double"&gt;16.5071546374315&lt;/D&gt;&lt;D xsi:type="xsd:double"&gt;16.3735232700032&lt;/D&gt;&lt;D xsi:type="xsd:double"&gt;16.0584722719997&lt;/D&gt;&lt;D xsi:type="xsd:double"&gt;15.7754827832166&lt;/D&gt;&lt;D xsi:type="xsd:double"&gt;15.3316115376727&lt;/D&gt;&lt;D xsi:type="xsd:double"&gt;14.4727773031348&lt;/D&gt;&lt;D xsi:type="xsd:double"&gt;13.5001959049359&lt;/D&gt;&lt;D xsi:type="xsd:double"&gt;14.5328134109938&lt;/D&gt;&lt;D xsi:type="xsd:double"&gt;14.9352418338507&lt;/D&gt;&lt;D xsi:type="xsd:double"&gt;13.9035266323691&lt;/D&gt;&lt;D xsi:type="xsd:double"&gt;12.651904523282&lt;/D&gt;&lt;D xsi:type="xsd:double"&gt;12.6511839848056&lt;/D&gt;&lt;D xsi:type="xsd:double"&gt;12.7375432947509&lt;/D&gt;&lt;D xsi:type="xsd:double"&gt;13.0014420454784&lt;/D&gt;&lt;D xsi:type="xsd:double"&gt;12.9581233750893&lt;/D&gt;&lt;D xsi:type="xsd:double"&gt;12.4986757007082&lt;/D&gt;&lt;D xsi:type="xsd:double"&gt;13.0567522257484&lt;/D&gt;&lt;D xsi:type="xsd:double"&gt;13.3854191212356&lt;/D&gt;&lt;D xsi:type="xsd:double"&gt;13.533819350139&lt;/D&gt;&lt;D xsi:type="xsd:double"&gt;13.8066915068456&lt;/D&gt;&lt;D xsi:type="xsd:double"&gt;13.6441520271433&lt;/D&gt;&lt;D xsi:type="xsd:double"&gt;14.7785043669093&lt;/D&gt;&lt;D xsi:type="xsd:double"&gt;15.1569157937766&lt;/D&gt;&lt;D xsi:type="xsd:double"&gt;14.9651402877224&lt;/D&gt;&lt;D xsi:type="xsd:double"&gt;14.9435330667801&lt;/D&gt;&lt;D xsi:type="xsd:double"&gt;14.9052500055754&lt;/D&gt;&lt;D xsi:type="xsd:double"&gt;14.7811984215352&lt;/D&gt;&lt;D xsi:type="xsd:double"&gt;14.6595688704322&lt;/D&gt;&lt;D xsi:type="xsd:double"&gt;14.3072250456737&lt;/D&gt;&lt;D xsi:type="xsd:double"&gt;14.1239020384284&lt;/D&gt;&lt;D xsi:type="xsd:double"&gt;14.5140870723633&lt;/D&gt;&lt;D xsi:type="xsd:double"&gt;15.1591843759979&lt;/D&gt;&lt;D xsi:type="xsd:double"&gt;15.2822006969704&lt;/D&gt;&lt;D xsi:type="xsd:double"&gt;15.3571861935549&lt;/D&gt;&lt;D xsi:type="xsd:double"&gt;15.5625769581742&lt;/D&gt;&lt;D xsi:type="xsd:double"&gt;14.2561362408636&lt;/D&gt;&lt;D xsi:type="xsd:double"&gt;14.0591021250198&lt;/D&gt;&lt;D xsi:type="xsd:double"&gt;14.1565295055017&lt;/D&gt;&lt;D xsi:type="xsd:double"&gt;14.1462469085437&lt;/D&gt;&lt;D xsi:type="xsd:double"&gt;13.8235806117347&lt;/D&gt;&lt;D xsi:type="xsd:double"&gt;14.223454063265&lt;/D&gt;&lt;D xsi:type="xsd:double"&gt;14.1229086470462&lt;/D&gt;&lt;D xsi:type="xsd:double"&gt;13.90480165962&lt;/D&gt;&lt;D xsi:type="xsd:double"&gt;13.0385689251633&lt;/D&gt;&lt;D xsi:type="xsd:double"&gt;12.9458030947829&lt;/D&gt;&lt;D xsi:type="xsd:double"&gt;12.0319922841516&lt;/D&gt;&lt;D xsi:type="xsd:double"&gt;12.9064115293175&lt;/D&gt;&lt;D xsi:type="xsd:double"&gt;13.2194048887983&lt;/D&gt;&lt;D xsi:type="xsd:double"&gt;13.1498961121251&lt;/D&gt;&lt;D xsi:type="xsd:double"&gt;13.4034774668338&lt;/D&gt;&lt;D xsi:type="xsd:double"&gt;13.1891223738597&lt;/D&gt;&lt;D xsi:type="xsd:double"&gt;13.4330279335727&lt;/D&gt;&lt;D xsi:type="xsd:double"&gt;13.6674042358793&lt;/D&gt;&lt;D xsi:type="xsd:double"&gt;13.4218182489643&lt;/D&gt;&lt;D xsi:type="xsd:double"&gt;14.0483642067835&lt;/D&gt;&lt;D xsi:type="xsd:double"&gt;14.7890644786817&lt;/D&gt;&lt;D xsi:type="xsd:double"&gt;15.2800951502587&lt;/D&gt;&lt;D xsi:type="xsd:double"&gt;15.5547283472162&lt;/D&gt;&lt;D xsi:type="xsd:double"&gt;15.4520328279102&lt;/D&gt;&lt;D xsi:type="xsd:double"&gt;14.0375587989804&lt;/D&gt;&lt;D xsi:type="xsd:double"&gt;13.7381109609629&lt;/D&gt;&lt;D xsi:type="xsd:double"&gt;14.8318111196601&lt;/D&gt;&lt;D xsi:type="xsd:double"&gt;16.2792705585354&lt;/D&gt;&lt;D xsi:type="xsd:double"&gt;17.3067140004735&lt;/D&gt;&lt;D xsi:type="xsd:double"&gt;18.9004571302143&lt;/D&gt;&lt;D xsi:type="xsd:double"&gt;19.977484048461&lt;/D&gt;&lt;D xsi:type="xsd:double"&gt;20.4857314856232&lt;/D&gt;&lt;D xsi:type="xsd:double"&gt;18.5968624987479&lt;/D&gt;&lt;D xsi:type="xsd:double"&gt;21.7792673195934&lt;/D&gt;&lt;D xsi:type="xsd:double"&gt;22.0803923775381&lt;/D&gt;&lt;D xsi:type="xsd:double"&gt;21.1309128225935&lt;/D&gt;&lt;D xsi:type="xsd:double"&gt;20.2950863016861&lt;/D&gt;&lt;D xsi:type="xsd:double"&gt;20.0596312313536&lt;/D&gt;&lt;D xsi:type="xsd:double"&gt;19.5002689884188&lt;/D&gt;&lt;D xsi:type="xsd:double"&gt;18.8793861133493&lt;/D&gt;&lt;D xsi:type="xsd:double"&gt;18.3873594059265&lt;/D&gt;&lt;D xsi:type="xsd:double"&gt;17.636532367424&lt;/D&gt;&lt;D xsi:type="xsd:double"&gt;16.9936260460474&lt;/D&gt;&lt;D xsi:type="xsd:double"&gt;15.9606021406125&lt;/D&gt;&lt;D xsi:type="xsd:double"&gt;15.7308513195936&lt;/D&gt;&lt;D xsi:type="xsd:double"&gt;14.326653939516&lt;/D&gt;&lt;D xsi:type="xsd:double"&gt;14.282450132765&lt;/D&gt;&lt;D xsi:type="xsd:double"&gt;13.4795741608987&lt;/D&gt;&lt;D xsi:type="xsd:double"&gt;12.5328882361799&lt;/D&gt;&lt;D xsi:type="xsd:double"&gt;12.4509198602289&lt;/D&gt;&lt;D xsi:type="xsd:double"&gt;12.2566687573895&lt;/D&gt;&lt;D xsi:type="xsd:double"&gt;12.1318582997624&lt;/D&gt;&lt;D xsi:type="xsd:double"&gt;11.5785475600837&lt;/D&gt;&lt;D xsi:type="xsd:double"&gt;11.4416208338797&lt;/D&gt;&lt;D xsi:type="xsd:double"&gt;10.7798534425797&lt;/D&gt;&lt;D xsi:type="xsd:double"&gt;10.1771837089636&lt;/D&gt;&lt;D xsi:type="xsd:double"&gt;10.509548552705&lt;/D&gt;&lt;D xsi:type="xsd:double"&gt;11.0655705118181&lt;/D&gt;&lt;D xsi:type="xsd:double"&gt;10.4477842887676&lt;/D&gt;&lt;D xsi:type="xsd:double"&gt;11.4600910640014&lt;/D&gt;&lt;D xsi:type="xsd:double"&gt;11.3463293345368&lt;/D&gt;&lt;D xsi:type="xsd:double"&gt;11.2954359387968&lt;/D&gt;&lt;D xsi:type="xsd:double"&gt;11.4300404391818&lt;/D&gt;&lt;D xsi:type="xsd:double"&gt;11.2915354973394&lt;/D&gt;&lt;D xsi:type="xsd:double"&gt;11.2356134075664&lt;/D&gt;&lt;D xsi:type="xsd:double"&gt;11.4462046246636&lt;/D&gt;&lt;D xsi:type="xsd:double"&gt;11.1780875406008&lt;/D&gt;&lt;D xsi:type="xsd:double"&gt;11.012607834269&lt;/D&gt;&lt;D xsi:type="xsd:double"&gt;10.6118195575951&lt;/D&gt;&lt;D xsi:type="xsd:double"&gt;11.4461114387727&lt;/D&gt;&lt;D xsi:type="xsd:double"&gt;11.9222185841201&lt;/D&gt;&lt;D xsi:type="xsd:double"&gt;12.0961878972339&lt;/D&gt;&lt;D xsi:type="xsd:double"&gt;12.465932640467&lt;/D&gt;&lt;D xsi:type="xsd:double"&gt;12.6076054798641&lt;/D&gt;&lt;D xsi:type="xsd:double"&gt;12.5418628268524&lt;/D&gt;&lt;D xsi:type="xsd:double"&gt;12.5594076704617&lt;/D&gt;&lt;D xsi:type="xsd:double"&gt;12.439191109751&lt;/D&gt;&lt;/FQL&gt;&lt;FQL&gt;&lt;Q&gt;WL-FDS^FG_PRICE_CHANGE(0,-6AM)&lt;/Q&gt;&lt;R&gt;1&lt;/R&gt;&lt;C&gt;1&lt;/C&gt;&lt;D xsi:type="xsd:double"&gt;-3.8560411311054&lt;/D&gt;&lt;/FQL&gt;&lt;FQL&gt;&lt;Q&gt;CPALM-FDS^FG_PRICE_CHANGE(0,-6AM)&lt;/Q&gt;&lt;R&gt;1&lt;/R&gt;&lt;C&gt;1&lt;/C&gt;&lt;D xsi:type="xsd:double"&gt;8.72299699207&lt;/D&gt;&lt;/FQL&gt;&lt;FQL&gt;&lt;Q&gt;BRENT-FDS^FG_PRICE_CHANGE(0,-6AM)&lt;/Q&gt;&lt;R&gt;1&lt;/R&gt;&lt;C&gt;1&lt;/C&gt;&lt;D xsi:type="xsd:double"&gt;0&lt;/D&gt;&lt;/FQL&gt;&lt;FQL&gt;&lt;Q&gt;TIOS-FDS^FG_PRICE_CHANGE(0,-6AM)&lt;/Q&gt;&lt;R&gt;1&lt;/R&gt;&lt;C&gt;1&lt;/C&gt;&lt;D xsi:type="xsd:double"&gt;-21.7758519388954&lt;/D&gt;&lt;/FQL&gt;&lt;FQL&gt;&lt;Q&gt;EWD^FG_PRICE(0)&lt;/Q&gt;&lt;R&gt;1&lt;/R&gt;&lt;C&gt;1&lt;/C&gt;&lt;D xsi:type="xsd:double"&gt;40.25&lt;/D&gt;&lt;/FQL&gt;&lt;FQL&gt;&lt;Q&gt;QQQ^FG_PRICE(0)&lt;/Q&gt;&lt;R&gt;1&lt;/R&gt;&lt;C&gt;1&lt;/C&gt;&lt;D xsi:type="xsd:double"&gt;479.11&lt;/D&gt;&lt;/FQL&gt;&lt;FQL&gt;&lt;Q&gt;EWG^FG_PRICE(0)&lt;/Q&gt;&lt;R&gt;1&lt;/R&gt;&lt;C&gt;1&lt;/C&gt;&lt;D xsi:type="xsd:double"&gt;30.62&lt;/D&gt;&lt;/FQL&gt;&lt;FQL&gt;&lt;Q&gt;EWQ^FG_COMPANY_NAME&lt;/Q&gt;&lt;R&gt;1&lt;/R&gt;&lt;C&gt;1&lt;/C&gt;&lt;D xsi:type="xsd:string"&gt;iShares MSCI France ETF&lt;/D&gt;&lt;/FQL&gt;&lt;FQL&gt;&lt;Q&gt;CC_US^FG_COMPANY_NAME&lt;/Q&gt;&lt;R&gt;1&lt;/R&gt;&lt;C&gt;1&lt;/C&gt;&lt;D xsi:type="xsd:string"&gt;United States&lt;/D&gt;&lt;/FQL&gt;&lt;FQL&gt;&lt;Q&gt;USDITL^FG_COMPANY_NAME&lt;/Q&gt;&lt;R&gt;1&lt;/R&gt;&lt;C&gt;1&lt;/C&gt;&lt;D xsi:type="xsd:string"&gt;Italian Lira per U.S. Dollar&lt;/D&gt;&lt;/FQL&gt;&lt;FQL&gt;&lt;Q&gt;USDANG^FG_COMPANY_NAME&lt;/Q&gt;&lt;R&gt;1&lt;/R&gt;&lt;C&gt;1&lt;/C&gt;&lt;D xsi:type="xsd:string"&gt;Netherlands Antilles Guilder per U.S. Dollar&lt;/D&gt;&lt;/FQL&gt;&lt;FQL&gt;&lt;Q&gt;USDUSD^FG_COMPANY_NAME&lt;/Q&gt;&lt;R&gt;1&lt;/R&gt;&lt;C&gt;1&lt;/C&gt;&lt;D xsi:type="xsd:string"&gt;U.S. Dollar per U.S. Dollar&lt;/D&gt;&lt;/FQL&gt;&lt;FQL&gt;&lt;Q&gt;USDGBP^FG_COMPANY_NAME&lt;/Q&gt;&lt;R&gt;1&lt;/R&gt;&lt;C&gt;1&lt;/C&gt;&lt;D xsi:type="xsd:string"&gt;British Pounds per U.S. Dollar&lt;/D&gt;&lt;/FQL&gt;&lt;FQL&gt;&lt;Q&gt;USDJPY^FG_COMPANY_NAME&lt;/Q&gt;&lt;R&gt;1&lt;/R&gt;&lt;C&gt;1&lt;/C&gt;&lt;D xsi:type="xsd:string"&gt;Japanese Yen per U.S. Dollar&lt;/D&gt;&lt;/FQL&gt;&lt;FQL&gt;&lt;Q&gt;USDCAD^FG_COMPANY_NAME&lt;/Q&gt;&lt;R&gt;1&lt;/R&gt;&lt;C&gt;1&lt;/C&gt;&lt;D xsi:type="xsd:string"&gt;Canadian Dollar per U.S. Dollar&lt;/D&gt;&lt;/FQL&gt;&lt;FQL&gt;&lt;Q&gt;USDNZD^FG_COMPANY_NAME&lt;/Q&gt;&lt;R&gt;1&lt;/R&gt;&lt;C&gt;1&lt;/C&gt;&lt;D xsi:type="xsd:string"&gt;New Zealand Dollar per U.S. Dollar&lt;/D&gt;&lt;/FQL&gt;&lt;FQL&gt;&lt;Q&gt;EWD^P_PRICE_RETURNS_PR('52W',2,-10AY,0,AM)&lt;/Q&gt;&lt;R&gt;121&lt;/R&gt;&lt;C&gt;1&lt;/C&gt;&lt;D xsi:type="xsd:double"&gt;21.483875&lt;/D&gt;&lt;D xsi:type="xsd:double"&gt;9.26181&lt;/D&gt;&lt;D xsi:type="xsd:double"&gt;7.8461766&lt;/D&gt;&lt;D xsi:type="xsd:double"&gt;-1.6021252&lt;/D&gt;&lt;D xsi:type="xsd:double"&gt;-4.206485&lt;/D&gt;&lt;D xsi:type="xsd:double"&gt;0.86021423&lt;/D&gt;&lt;D xsi:type="xsd:double"&gt;-5.1761627&lt;/D&gt;&lt;D xsi:type="xsd:double"&gt;-6.6403985&lt;/D&gt;&lt;D xsi:type="xsd:double"&gt;-0.61775446&lt;/D&gt;&lt;D xsi:type="xsd:double"&gt;-2.9622078&lt;/D&gt;&lt;D xsi:type="xsd:double"&gt;-0.97266436&lt;/D&gt;&lt;D xsi:type="xsd:double"&gt;-2.8873682&lt;/D&gt;&lt;D xsi:type="xsd:double"&gt;-1.4931619&lt;/D&gt;&lt;D xsi:type="xsd:double"&gt;-5.668253&lt;/D&gt;&lt;D xsi:type="xsd:double"&gt;-6.5965295&lt;/D&gt;&lt;D xsi:type="xsd:double"&gt;-11.396444&lt;/D&gt;&lt;D xsi:type="xsd:double"&gt;-2.7355134&lt;/D&gt;&lt;D xsi:type="xsd:double"&gt;-7.75947&lt;/D&gt;&lt;D xsi:type="xsd:double"&gt;-4.4515133&lt;/D&gt;&lt;D xsi:type="xsd:double"&gt;-11.722458&lt;/D&gt;&lt;D xsi:type="xsd:double"&gt;-16.779482&lt;/D&gt;&lt;D xsi:type="xsd:double"&gt;-11.921996&lt;/D&gt;&lt;D xsi:type="xsd:double"&gt;-8.549118&lt;/D&gt;&lt;D xsi:type="xsd:double"&gt;-10.385376&lt;/D&gt;&lt;D xsi:type="xsd:double"&gt;-17.318314&lt;/D&gt;&lt;D xsi:type="xsd:double"&gt;-8.983737&lt;/D&gt;&lt;D xsi:type="xsd:double"&gt;-0.067442656&lt;/D&gt;&lt;D xsi:type="xsd:double"&gt;7.7700973&lt;/D&gt;&lt;D xsi:type="xsd:double"&gt;-4.4159594&lt;/D&gt;&lt;D xsi:type="xsd:double"&gt;-4.8048315&lt;/D&gt;&lt;D xsi:type="xsd:double"&gt;-0.058746338&lt;/D&gt;&lt;D xsi:type="xsd:double"&gt;14.757895&lt;/D&gt;&lt;D xsi:type="xsd:double"&gt;14.393353&lt;/D&gt;&lt;D xsi:type="xsd:double"&gt;15.0002365&lt;/D&gt;&lt;D xsi:type="xsd:double"&gt;13.02272&lt;/D&gt;&lt;D xsi:type="xsd:double"&gt;18.985199&lt;/D&gt;&lt;D xsi:type="xsd:double"&gt;31.913816&lt;/D&gt;&lt;D xsi:type="xsd:double"&gt;26.029575&lt;/D&gt;&lt;D xsi:type="xsd:double"&gt;23.01072&lt;/D&gt;&lt;D xsi:type="xsd:double"&gt;25.619434&lt;/D&gt;&lt;D xsi:type="xsd:double"&gt;31.282055&lt;/D&gt;&lt;D xsi:type="xsd:double"&gt;29.978561&lt;/D&gt;&lt;D xsi:type="xsd:double"&gt;23.242987&lt;/D&gt;&lt;D xsi:type="xsd:double"&gt;23.97425&lt;/D&gt;&lt;D xsi:type="xsd:double"&gt;15.597582&lt;/D&gt;&lt;D xsi:type="xsd:double"&gt;7.1835637&lt;/D&gt;&lt;D xsi:type="xsd:double"&gt;4.4814587&lt;/D&gt;&lt;D xsi:type="xsd:double"&gt;0.9349108&lt;/D&gt;&lt;D xsi:type="xsd:double"&gt;-6.3806114&lt;/D&gt;&lt;D xsi:type="xsd:double"&gt;-0.5984247&lt;/D&gt;&lt;D xsi:type="xsd:double"&gt;-1.6611516&lt;/D&gt;&lt;D xsi:type="xsd:double"&gt;-2.5199413&lt;/D&gt;&lt;D xsi:type="xsd:double"&gt;-14.568156&lt;/D&gt;&lt;D xsi:type="xsd:double"&gt;-11.075937&lt;/D&gt;&lt;D xsi:type="xsd:double"&gt;-14.262128&lt;/D&gt;&lt;D xsi:type="xsd:double"&gt;-15.872264&lt;/D&gt;&lt;D xsi:type="xsd:double"&gt;-6.8861127&lt;/D&gt;&lt;D xsi:type="xsd:double"&gt;-3.5150528&lt;/D&gt;&lt;D xsi:type="xsd:double"&gt;1.39575&lt;/D&gt;&lt;D xsi:type="xsd:double"&gt;-6.767064&lt;/D&gt;&lt;D xsi:type="xsd:double"&gt;5.9779406&lt;/D&gt;&lt;D xsi:type="xsd:double"&gt;-3.4020603&lt;/D&gt;&lt;D xsi:type="xsd:double"&gt;-10.793233&lt;/D&gt;&lt;D xsi:type="xsd:double"&gt;-8.60042&lt;/D&gt;&lt;D xsi:type="xsd:double"&gt;14.416051&lt;/D&gt;&lt;D xsi:type="xsd:double"&gt;14.641178&lt;/D&gt;&lt;D xsi:type="xsd:double"&gt;26.462292&lt;/D&gt;&lt;D xsi:type="xsd:double"&gt;15.539705&lt;/D&gt;&lt;D xsi:type="xsd:double"&gt;5.2574396&lt;/D&gt;&lt;D xsi:type="xsd:double"&gt;-15.198785&lt;/D&gt;&lt;D xsi:type="xsd:double"&gt;-11.998934&lt;/D&gt;&lt;D xsi:type="xsd:double"&gt;5.867362&lt;/D&gt;&lt;D xsi:type="xsd:double"&gt;2.0018458&lt;/D&gt;&lt;D xsi:type="xsd:double"&gt;17.044662&lt;/D&gt;&lt;D xsi:type="xsd:double"&gt;32.149887&lt;/D&gt;&lt;D xsi:type="xsd:double"&gt;21.796524&lt;/D&gt;&lt;D xsi:type="xsd:double"&gt;8.781242&lt;/D&gt;&lt;D xsi:type="xsd:double"&gt;26.821745&lt;/D&gt;&lt;D xsi:type="xsd:double"&gt;21.01184&lt;/D&gt;&lt;D xsi:type="xsd:double"&gt;28.957045&lt;/D&gt;&lt;D xsi:type="xsd:double"&gt;35.03207&lt;/D&gt;&lt;D xsi:type="xsd:double"&gt;78.92337&lt;/D&gt;&lt;D xsi:type="xsd:double"&gt;76.91049&lt;/D&gt;&lt;D xsi:type="xsd:double"&gt;62.79924&lt;/D&gt;&lt;D xsi:type="xsd:double"&gt;55.076374&lt;/D&gt;&lt;D xsi:type="xsd:double"&gt;44.248844&lt;/D&gt;&lt;D xsi:type="xsd:double"&gt;38.89084&lt;/D&gt;&lt;D xsi:type="xsd:double"&gt;31.782223&lt;/D&gt;&lt;D xsi:type="xsd:double"&gt;47.03498&lt;/D&gt;&lt;D xsi:type="xsd:double"&gt;15.103304&lt;/D&gt;&lt;D xsi:type="xsd:double"&gt;22.827864&lt;/D&gt;&lt;D xsi:type="xsd:double"&gt;5.163443&lt;/D&gt;&lt;D xsi:type="xsd:double"&gt;-5.0035295&lt;/D&gt;&lt;D xsi:type="xsd:double"&gt;-9.10145&lt;/D&gt;&lt;D xsi:type="xsd:double"&gt;-19.693697&lt;/D&gt;&lt;D xsi:type="xsd:double"&gt;-20.37754&lt;/D&gt;&lt;D xsi:type="xsd:double"&gt;-29.193497&lt;/D&gt;&lt;D xsi:type="xsd:double"&gt;-27.528154&lt;/D&gt;&lt;D xsi:type="xsd:double"&gt;-32.185013&lt;/D&gt;&lt;D xsi:type="xsd:double"&gt;-35.136436&lt;/D&gt;&lt;D xsi:type="xsd:double"&gt;-33.84978&lt;/D&gt;&lt;D xsi:type="xsd:double"&gt;-21.587383&lt;/D&gt;&lt;D xsi:type="xsd:double"&gt;-28.29234&lt;/D&gt;&lt;D xsi:type="xsd:double"&gt;-10.211963&lt;/D&gt;&lt;D xsi:type="xsd:double"&gt;-3.3576787&lt;/D&gt;&lt;D xsi:type="xsd:double"&gt;-10.160655&lt;/D&gt;&lt;D xsi:type="xsd:double"&gt;6.2526107&lt;/D&gt;&lt;D xsi:type="xsd:double"&gt;0.99829435&lt;/D&gt;&lt;D xsi:type="xsd:double"&gt;12.952256&lt;/D&gt;&lt;D xsi:type="xsd:double"&gt;8.884168&lt;/D&gt;&lt;D xsi:type="xsd:double"&gt;9.73866&lt;/D&gt;&lt;D xsi:type="xsd:double"&gt;19.94189&lt;/D&gt;&lt;D xsi:type="xsd:double"&gt;4.4020414&lt;/D&gt;&lt;D xsi:type="xsd:double"&gt;10.680795&lt;/D&gt;&lt;D xsi:type="xsd:double"&gt;26.338696&lt;/D&gt;&lt;D xsi:type="xsd:double"&gt;7.305062&lt;/D&gt;&lt;D xsi:type="xsd:double"&gt;14.451289&lt;/D&gt;&lt;D xsi:type="xsd:double"&gt;21.216059&lt;/D&gt;&lt;D xsi:type="xsd:double"&gt;10.989618&lt;/D&gt;&lt;D xsi:type="xsd:double"&gt;22.693657&lt;/D&gt;&lt;D xsi:type="xsd:double"&gt;20.565392&lt;/D&gt;&lt;/FQL&gt;&lt;FQL&gt;&lt;Q&gt;NI-FDS^FG_PRICE_CHANGE(0,-6AM)&lt;/Q&gt;&lt;R&gt;1&lt;/R&gt;&lt;C&gt;1&lt;/C&gt;&lt;D xsi:type="xsd:double"&gt;3.38311490399268&lt;/D&gt;&lt;/FQL&gt;&lt;FQL&gt;&lt;Q&gt;QQQ^FMA_ROE(NTMA,-20AY,NOW,FY,"PORTAGG","MEANR")&lt;/Q&gt;&lt;R&gt;20&lt;/R&gt;&lt;C&gt;1&lt;/C&gt;&lt;D xsi:type="xsd:double"&gt;14.817843581598&lt;/D&gt;&lt;D xsi:type="xsd:double"&gt;15.4866947775921&lt;/D&gt;&lt;D xsi:type="xsd:double"&gt;16.8339704998129&lt;/D&gt;&lt;D xsi:type="xsd:double"&gt;17.9560593685279&lt;/D&gt;&lt;D xsi:type="xsd:double"&gt;16.5654843697708&lt;/D&gt;&lt;D xsi:type="xsd:double"&gt;17.5965741262714&lt;/D&gt;&lt;D xsi:type="xsd:double"&gt;20.0003742371644&lt;/D&gt;&lt;D xsi:type="xsd:double"&gt;20.9591568938239&lt;/D&gt;&lt;D xsi:type="xsd:double"&gt;20.7921963775154&lt;/D&gt;&lt;D xsi:type="xsd:double"&gt;20.047298915306&lt;/D&gt;&lt;D xsi:type="xsd:double"&gt;22.0568276514703&lt;/D&gt;&lt;D xsi:type="xsd:double"&gt;21.8504635786249&lt;/D&gt;&lt;D xsi:type="xsd:double"&gt;21.1146076459691&lt;/D&gt;&lt;D xsi:type="xsd:double"&gt;22.0784263508941&lt;/D&gt;&lt;D xsi:type="xsd:double"&gt;26.4902293367872&lt;/D&gt;&lt;D xsi:type="xsd:double"&gt;25.0117291519213&lt;/D&gt;&lt;D xsi:type="xsd:double"&gt;24.534442850509&lt;/D&gt;&lt;D xsi:type="xsd:double"&gt;26.6372021642568&lt;/D&gt;&lt;D xsi:type="xsd:double"&gt;24.0483215676458&lt;/D&gt;&lt;D xsi:type="xsd:double"&gt;25.3199155980355&lt;/D&gt;&lt;/FQL&gt;&lt;FQL&gt;&lt;Q&gt;TRYMY10Y-FDS^FG_YIELD(-10AY,0,Y,,"YTM")&lt;/Q&gt;&lt;R&gt;10&lt;/R&gt;&lt;C&gt;1&lt;/C&gt;&lt;D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xsi:type="xsd:double"&gt;3.955&lt;/D&gt;&lt;/FQL&gt;&lt;FQL&gt;&lt;Q&gt;USDSEK^STD(FG_PRICE_CHANGE(0,-3AY,M))&lt;/Q&gt;&lt;R&gt;1&lt;/R&gt;&lt;C&gt;1&lt;/C&gt;&lt;D xsi:type="xsd:double"&gt;2.95544950769152&lt;/D&gt;&lt;/FQL&gt;&lt;FQL&gt;&lt;Q&gt;EWU^FMA_ROE(NTMA,-20AY,NOW,FY,"PORTAGG","MEANR")&lt;/Q&gt;&lt;R&gt;20&lt;/R&gt;&lt;C&gt;1&lt;/C&gt;&lt;D xsi:type="xsd:double"&gt;17.0013743335587&lt;/D&gt;&lt;D xsi:type="xsd:double"&gt;17.4840740170497&lt;/D&gt;&lt;D xsi:type="xsd:double"&gt;19.4425742504053&lt;/D&gt;&lt;D xsi:type="xsd:double"&gt;18.9225481633064&lt;/D&gt;&lt;D xsi:type="xsd:double"&gt;14.9735451636047&lt;/D&gt;&lt;D xsi:type="xsd:double"&gt;14.6457818658238&lt;/D&gt;&lt;D xsi:type="xsd:double"&gt;16.1542964974398&lt;/D&gt;&lt;D xsi:type="xsd:double"&gt;15.1996078376158&lt;/D&gt;&lt;D xsi:type="xsd:double"&gt;14.4781479669762&lt;/D&gt;&lt;D xsi:type="xsd:double"&gt;13.3640315886099&lt;/D&gt;&lt;D xsi:type="xsd:double"&gt;12.2326503305714&lt;/D&gt;&lt;D xsi:type="xsd:double"&gt;11.1900784012713&lt;/D&gt;&lt;D xsi:type="xsd:double"&gt;12.1967915012023&lt;/D&gt;&lt;D xsi:type="xsd:double"&gt;12.7329318595365&lt;/D&gt;&lt;D xsi:type="xsd:double"&gt;13.1887832891224&lt;/D&gt;&lt;D xsi:type="xsd:double"&gt;12.8710545059328&lt;/D&gt;&lt;D xsi:type="xsd:double"&gt;11.2050609778507&lt;/D&gt;&lt;D xsi:type="xsd:double"&gt;13.9227699516468&lt;/D&gt;&lt;D xsi:type="xsd:double"&gt;15.8587443966116&lt;/D&gt;&lt;D xsi:type="xsd:double"&gt;14.7207288829901&lt;/D&gt;&lt;/FQL&gt;&lt;FQL&gt;&lt;Q&gt;TRYMX10Y-FDS^FG_YIELD(-10AY,0,Y,,"YTM")&lt;/Q&gt;&lt;R&gt;10&lt;/R&gt;&lt;C&gt;1&lt;/C&gt;&lt;D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xsi:type="xsd:double"&gt;6.6087&lt;/D&gt;&lt;/FQL&gt;&lt;FQL&gt;&lt;Q&gt;CAGDPY@GB^EE_ACTUAL_ANNUAL(MED,+1)&lt;/Q&gt;&lt;R&gt;1&lt;/R&gt;&lt;C&gt;1&lt;/C&gt;&lt;D xsi:type="xsd:double"&gt;-2.75&lt;/D&gt;&lt;/FQL&gt;&lt;FQL&gt;&lt;Q&gt;CC_GB^FG_COMPANY_NAME&lt;/Q&gt;&lt;R&gt;1&lt;/R&gt;&lt;C&gt;1&lt;/C&gt;&lt;D xsi:type="xsd:string"&gt;United Kingdom&lt;/D&gt;&lt;/FQL&gt;&lt;FQL&gt;&lt;Q&gt;USDSEK^STD(FG_PRICE_CHANGE(0,-1AY,AM))&lt;/Q&gt;&lt;R&gt;1&lt;/R&gt;&lt;C&gt;1&lt;/C&gt;&lt;D xsi:type="xsd:double"&gt;3.52574979299548&lt;/D&gt;&lt;/FQL&gt;&lt;FQL&gt;&lt;Q&gt;USDCHF^STD(FG_PRICE_CHANGE(0,-1AY,AM))&lt;/Q&gt;&lt;R&gt;1&lt;/R&gt;&lt;C&gt;1&lt;/C&gt;&lt;D xsi:type="xsd:double"&gt;2.6637609358769&lt;/D&gt;&lt;/FQL&gt;&lt;FQL&gt;&lt;Q&gt;USDUSD^STD(FG_PRICE_CHANGE(0,-1AY,AM))&lt;/Q&gt;&lt;R&gt;1&lt;/R&gt;&lt;C&gt;1&lt;/C&gt;&lt;D xsi:type="xsd:double"&gt;0&lt;/D&gt;&lt;/FQL&gt;&lt;FQL&gt;&lt;Q&gt;USDEUR^STD(FG_PRICE_CHANGE(0,-1AY,AM))&lt;/Q&gt;&lt;R&gt;1&lt;/R&gt;&lt;C&gt;1&lt;/C&gt;&lt;D xsi:type="xsd:double"&gt;1.84751147829851&lt;/D&gt;&lt;/FQL&gt;&lt;FQL&gt;&lt;Q&gt;USDAUD^STD(FG_PRICE_CHANGE(0,-1AY,AM))&lt;/Q&gt;&lt;R&gt;1&lt;/R&gt;&lt;C&gt;1&lt;/C&gt;&lt;D xsi:type="xsd:double"&gt;2.43803903239521&lt;/D&gt;&lt;/FQL&gt;&lt;FQL&gt;&lt;Q&gt;EWD^FMA_EPS(NTMA,-20AY,0,CY,,"PORTAGG","MEANR")&lt;/Q&gt;&lt;R&gt;20&lt;/R&gt;&lt;C&gt;1&lt;/C&gt;&lt;D xsi:type="xsd:double"&gt;1.55275820794805&lt;/D&gt;&lt;D xsi:type="xsd:double"&gt;1.54581744522321&lt;/D&gt;&lt;D xsi:type="xsd:double"&gt;2.18886161040082&lt;/D&gt;&lt;D xsi:type="xsd:double"&gt;2.54439610565031&lt;/D&gt;&lt;D xsi:type="xsd:double"&gt;1.55027933568846&lt;/D&gt;&lt;D xsi:type="xsd:double"&gt;1.36361799599867&lt;/D&gt;&lt;D xsi:type="xsd:double"&gt;2.27207932583515&lt;/D&gt;&lt;D xsi:type="xsd:double"&gt;2.18253517023992&lt;/D&gt;&lt;D xsi:type="xsd:double"&gt;2.32063293486455&lt;/D&gt;&lt;D xsi:type="xsd:double"&gt;2.31545066006368&lt;/D&gt;&lt;D xsi:type="xsd:double"&gt;2.02872425818202&lt;/D&gt;&lt;D xsi:type="xsd:double"&gt;1.94857888922314&lt;/D&gt;&lt;D xsi:type="xsd:double"&gt;1.75138174890933&lt;/D&gt;&lt;D xsi:type="xsd:double"&gt;2.10390186893761&lt;/D&gt;&lt;D xsi:type="xsd:double"&gt;2.115438961001&lt;/D&gt;&lt;D xsi:type="xsd:double"&gt;2.04039298067199&lt;/D&gt;&lt;D xsi:type="xsd:double"&gt;2.20793118453467&lt;/D&gt;&lt;D xsi:type="xsd:double"&gt;2.4827867979632&lt;/D&gt;&lt;D xsi:type="xsd:double"&gt;2.558848337072&lt;/D&gt;&lt;D xsi:type="xsd:double"&gt;2.51009258677616&lt;/D&gt;&lt;/FQL&gt;&lt;FQL&gt;&lt;Q&gt;EWQ^P_PRICE_RETURNS_PR('52W',2,-10AY,0,AM)&lt;/Q&gt;&lt;R&gt;121&lt;/R&gt;&lt;C&gt;1&lt;/C&gt;&lt;D xsi:type="xsd:double"&gt;27.40166&lt;/D&gt;&lt;D xsi:type="xsd:double"&gt;12.800085&lt;/D&gt;&lt;D xsi:type="xsd:double"&gt;11.66197&lt;/D&gt;&lt;D xsi:type="xsd:double"&gt;1.2621164&lt;/D&gt;&lt;D xsi:type="xsd:double"&gt;-7.3253813&lt;/D&gt;&lt;D xsi:type="xsd:double"&gt;-3.2256424&lt;/D&gt;&lt;D xsi:type="xsd:double"&gt;-6.560552&lt;/D&gt;&lt;D xsi:type="xsd:double"&gt;-7.6097727&lt;/D&gt;&lt;D xsi:type="xsd:double"&gt;-5.814022&lt;/D&gt;&lt;D xsi:type="xsd:double"&gt;-6.195468&lt;/D&gt;&lt;D xsi:type="xsd:double"&gt;-5.1967916&lt;/D&gt;&lt;D xsi:type="xsd:double"&gt;-5.9517264&lt;/D&gt;&lt;D xsi:type="xsd:double"&gt;-4.712981&lt;/D&gt;&lt;D xsi:type="xsd:double"&gt;-3.072065&lt;/D&gt;&lt;D xsi:type="xsd:double"&gt;-6.745201&lt;/D&gt;&lt;D xsi:type="xsd:double"&gt;-9.7929535&lt;/D&gt;&lt;D xsi:type="xsd:double"&gt;4.8624635&lt;/D&gt;&lt;D xsi:type="xsd:double"&gt;-2.4861157&lt;/D&gt;&lt;D xsi:type="xsd:double"&gt;-1.6164064&lt;/D&gt;&lt;D xsi:type="xsd:double"&gt;-5.326146&lt;/D&gt;&lt;D xsi:type="xsd:double"&gt;-11.910761&lt;/D&gt;&lt;D xsi:type="xsd:double"&gt;-8.29171&lt;/D&gt;&lt;D xsi:type="xsd:double"&gt;-7.4337125&lt;/D&gt;&lt;D xsi:type="xsd:double"&gt;-8.011097&lt;/D&gt;&lt;D xsi:type="xsd:double"&gt;-16.333406&lt;/D&gt;&lt;D xsi:type="xsd:double"&gt;-7.6121387&lt;/D&gt;&lt;D xsi:type="xsd:double"&gt;-1.7810464&lt;/D&gt;&lt;D xsi:type="xsd:double"&gt;6.058693&lt;/D&gt;&lt;D xsi:type="xsd:double"&gt;-4.3629827&lt;/D&gt;&lt;D xsi:type="xsd:double"&gt;-5.2393017&lt;/D&gt;&lt;D xsi:type="xsd:double"&gt;2.0879745&lt;/D&gt;&lt;D xsi:type="xsd:double"&gt;13.413107&lt;/D&gt;&lt;D xsi:type="xsd:double"&gt;12.671757&lt;/D&gt;&lt;D xsi:type="xsd:double"&gt;15.089011&lt;/D&gt;&lt;D xsi:type="xsd:double"&gt;16.032768&lt;/D&gt;&lt;D xsi:type="xsd:double"&gt;21.672153&lt;/D&gt;&lt;D xsi:type="xsd:double"&gt;35.67827&lt;/D&gt;&lt;D xsi:type="xsd:double"&gt;26.598942&lt;/D&gt;&lt;D xsi:type="xsd:double"&gt;27.286697&lt;/D&gt;&lt;D xsi:type="xsd:double"&gt;28.808498&lt;/D&gt;&lt;D xsi:type="xsd:double"&gt;33.27824&lt;/D&gt;&lt;D xsi:type="xsd:double"&gt;38.626217&lt;/D&gt;&lt;D xsi:type="xsd:double"&gt;31.359922&lt;/D&gt;&lt;D xsi:type="xsd:double"&gt;36.68573&lt;/D&gt;&lt;D xsi:type="xsd:double"&gt;29.565084&lt;/D&gt;&lt;D xsi:type="xsd:double"&gt;19.800615&lt;/D&gt;&lt;D xsi:type="xsd:double"&gt;19.372236&lt;/D&gt;&lt;D xsi:type="xsd:double"&gt;11.922873&lt;/D&gt;&lt;D xsi:type="xsd:double"&gt;5.545771&lt;/D&gt;&lt;D xsi:type="xsd:double"&gt;9.299922&lt;/D&gt;&lt;D xsi:type="xsd:double"&gt;9.143376&lt;/D&gt;&lt;D xsi:type="xsd:double"&gt;5.1460624&lt;/D&gt;&lt;D xsi:type="xsd:double"&gt;-7.850456&lt;/D&gt;&lt;D xsi:type="xsd:double"&gt;-7.768905&lt;/D&gt;&lt;D xsi:type="xsd:double"&gt;-13.676369&lt;/D&gt;&lt;D xsi:type="xsd:double"&gt;-16.171413&lt;/D&gt;&lt;D xsi:type="xsd:double"&gt;-4.8342586&lt;/D&gt;&lt;D xsi:type="xsd:double"&gt;-3.7937999&lt;/D&gt;&lt;D xsi:type="xsd:double"&gt;-3.9221764&lt;/D&gt;&lt;D xsi:type="xsd:double"&gt;-6.9123387&lt;/D&gt;&lt;D xsi:type="xsd:double"&gt;4.5194983&lt;/D&gt;&lt;D xsi:type="xsd:double"&gt;-0.13406277&lt;/D&gt;&lt;D xsi:type="xsd:double"&gt;-5.8772144&lt;/D&gt;&lt;D xsi:type="xsd:double"&gt;-2.7668357&lt;/D&gt;&lt;D xsi:type="xsd:double"&gt;13.998342&lt;/D&gt;&lt;D xsi:type="xsd:double"&gt;17.420816&lt;/D&gt;&lt;D xsi:type="xsd:double"&gt;27.961004&lt;/D&gt;&lt;D xsi:type="xsd:double"&gt;18.640745&lt;/D&gt;&lt;D xsi:type="xsd:double"&gt;1.2282014&lt;/D&gt;&lt;D xsi:type="xsd:double"&gt;-17.338234&lt;/D&gt;&lt;D xsi:type="xsd:double"&gt;-18.890923&lt;/D&gt;&lt;D xsi:type="xsd:double"&gt;-9.1883545&lt;/D&gt;&lt;D xsi:type="xsd:double"&gt;-10.546261&lt;/D&gt;&lt;D xsi:type="xsd:double"&gt;-5.330867&lt;/D&gt;&lt;D xsi:type="xsd:double"&gt;2.9198408&lt;/D&gt;&lt;D xsi:type="xsd:double"&gt;-5.670321&lt;/D&gt;&lt;D xsi:type="xsd:double"&gt;-13.875991&lt;/D&gt;&lt;D xsi:type="xsd:double"&gt;5.1167727&lt;/D&gt;&lt;D xsi:type="xsd:double"&gt;3.8762212&lt;/D&gt;&lt;D xsi:type="xsd:double"&gt;4.9308896&lt;/D&gt;&lt;D xsi:type="xsd:double"&gt;14.276338&lt;/D&gt;&lt;D xsi:type="xsd:double"&gt;43.02441&lt;/D&gt;&lt;D xsi:type="xsd:double"&gt;57.430794&lt;/D&gt;&lt;D xsi:type="xsd:double"&gt;52.235092&lt;/D&gt;&lt;D xsi:type="xsd:double"&gt;44.247185&lt;/D&gt;&lt;D xsi:type="xsd:double"&gt;35.77472&lt;/D&gt;&lt;D xsi:type="xsd:double"&gt;33.594154&lt;/D&gt;&lt;D xsi:type="xsd:double"&gt;36.651836&lt;/D&gt;&lt;D xsi:type="xsd:double"&gt;51.123547&lt;/D&gt;&lt;D xsi:type="xsd:double"&gt;16.438711&lt;/D&gt;&lt;D xsi:type="xsd:double"&gt;20.299006&lt;/D&gt;&lt;D xsi:type="xsd:double"&gt;17.784214&lt;/D&gt;&lt;D xsi:type="xsd:double"&gt;8.393645&lt;/D&gt;&lt;D xsi:type="xsd:double"&gt;4.8090816&lt;/D&gt;&lt;D xsi:type="xsd:double"&gt;-7.4072065&lt;/D&gt;&lt;D xsi:type="xsd:double"&gt;-7.539564&lt;/D&gt;&lt;D xsi:type="xsd:double"&gt;-15.682602&lt;/D&gt;&lt;D xsi:type="xsd:double"&gt;-13.110674&lt;/D&gt;&lt;D xsi:type="xsd:double"&gt;-16.952484&lt;/D&gt;&lt;D xsi:type="xsd:double"&gt;-23.603111&lt;/D&gt;&lt;D xsi:type="xsd:double"&gt;-19.015472&lt;/D&gt;&lt;D xsi:type="xsd:double"&gt;-7.7251854&lt;/D&gt;&lt;D xsi:type="xsd:double"&gt;-12.453831&lt;/D&gt;&lt;D xsi:type="xsd:double"&gt;1.9378304&lt;/D&gt;&lt;D xsi:type="xsd:double"&gt;6.801069&lt;/D&gt;&lt;D xsi:type="xsd:double"&gt;7.3197484&lt;/D&gt;&lt;D xsi:type="xsd:double"&gt;22.224545&lt;/D&gt;&lt;D xsi:type="xsd:double"&gt;15.52471&lt;/D&gt;&lt;D xsi:type="xsd:double"&gt;27.633131&lt;/D&gt;&lt;D xsi:type="xsd:double"&gt;28.3046&lt;/D&gt;&lt;D xsi:type="xsd:double"&gt;29.068602&lt;/D&gt;&lt;D xsi:type="xsd:double"&gt;34.08786&lt;/D&gt;&lt;D xsi:type="xsd:double"&gt;16.47358&lt;/D&gt;&lt;D xsi:type="xsd:double"&gt;17.266632&lt;/D&gt;&lt;D xsi:type="xsd:double"&gt;22.34993&lt;/D&gt;&lt;D xsi:type="xsd:double"&gt;8.550239&lt;/D&gt;&lt;D xsi:type="xsd:double"&gt;13.524139&lt;/D&gt;&lt;D xsi:type="xsd:double"&gt;16.743874&lt;/D&gt;&lt;D xsi:type="xsd:double"&gt;6.651473&lt;/D&gt;&lt;D xsi:type="xsd:double"&gt;13.3651495&lt;/D&gt;&lt;D xsi:type="xsd:double"&gt;2.5551796&lt;/D&gt;&lt;/FQL&gt;&lt;FQL&gt;&lt;Q&gt;QQQ^FG_TOTAL_RETURNC(-10AY,0,AM)&lt;/Q&gt;&lt;R&gt;121&lt;/R&gt;&lt;C&gt;1&lt;/C&gt;&lt;D xsi:type="xsd:double"&gt;3.6174297&lt;/D&gt;&lt;D xsi:type="xsd:double"&gt;3.221333&lt;/D&gt;&lt;D xsi:type="xsd:double"&gt;2.7281284&lt;/D&gt;&lt;D xsi:type="xsd:double"&gt;-0.39740205&lt;/D&gt;&lt;D xsi:type="xsd:double"&gt;1.4172912&lt;/D&gt;&lt;D xsi:type="xsd:double"&gt;5.8195233&lt;/D&gt;&lt;D xsi:type="xsd:double"&gt;-0.5476117&lt;/D&gt;&lt;D xsi:type="xsd:double"&gt;-3.9223194&lt;/D&gt;&lt;D xsi:type="xsd:double"&gt;7.4118137&lt;/D&gt;&lt;D xsi:type="xsd:double"&gt;-2.4343371&lt;/D&gt;&lt;D xsi:type="xsd:double"&gt;4.2835474&lt;/D&gt;&lt;D xsi:type="xsd:double"&gt;0.60887337&lt;/D&gt;&lt;D xsi:type="xsd:double"&gt;-1.0724187&lt;/D&gt;&lt;D xsi:type="xsd:double"&gt;1.7022014&lt;/D&gt;&lt;D xsi:type="xsd:double"&gt;-4.958153&lt;/D&gt;&lt;D xsi:type="xsd:double"&gt;-5.096775&lt;/D&gt;&lt;D xsi:type="xsd:double"&gt;14.031399&lt;/D&gt;&lt;D xsi:type="xsd:double"&gt;0.25434494&lt;/D&gt;&lt;D xsi:type="xsd:double"&gt;-1.2503326&lt;/D&gt;&lt;D xsi:type="xsd:double"&gt;-9.357506&lt;/D&gt;&lt;D xsi:type="xsd:double"&gt;1.4019608&lt;/D&gt;&lt;D xsi:type="xsd:double"&gt;3.864479&lt;/D&gt;&lt;D xsi:type="xsd:double"&gt;-0.77490807&lt;/D&gt;&lt;D xsi:type="xsd:double"&gt;3.622508&lt;/D&gt;&lt;D xsi:type="xsd:double"&gt;-4.893136&lt;/D&gt;&lt;D xsi:type="xsd:double"&gt;10.070848&lt;/D&gt;&lt;D xsi:type="xsd:double"&gt;1.5654802&lt;/D&gt;&lt;D xsi:type="xsd:double"&gt;1.8987894&lt;/D&gt;&lt;D xsi:type="xsd:double"&gt;-1.3479352&lt;/D&gt;&lt;D xsi:type="xsd:double"&gt;1.22118&lt;/D&gt;&lt;D xsi:type="xsd:double"&gt;1.4391065&lt;/D&gt;&lt;D xsi:type="xsd:double"&gt;4.9382806&lt;/D&gt;&lt;D xsi:type="xsd:double"&gt;3.3545375&lt;/D&gt;&lt;D xsi:type="xsd:double"&gt;1.4567375&lt;/D&gt;&lt;D xsi:type="xsd:double"&gt;3.3044696&lt;/D&gt;&lt;D xsi:type="xsd:double"&gt;3.8458705&lt;/D&gt;&lt;D xsi:type="xsd:double"&gt;-0.5781412&lt;/D&gt;&lt;D xsi:type="xsd:double"&gt;2.728176&lt;/D&gt;&lt;D xsi:type="xsd:double"&gt;-0.9941578&lt;/D&gt;&lt;D xsi:type="xsd:double"&gt;1.6268969&lt;/D&gt;&lt;D xsi:type="xsd:double"&gt;4.729593&lt;/D&gt;&lt;D xsi:type="xsd:double"&gt;3.5374165&lt;/D&gt;&lt;D xsi:type="xsd:double"&gt;0.29723644&lt;/D&gt;&lt;D xsi:type="xsd:double"&gt;9.060168&lt;/D&gt;&lt;D xsi:type="xsd:double"&gt;-2.1763206&lt;/D&gt;&lt;D xsi:type="xsd:double"&gt;-5.8009443&lt;/D&gt;&lt;D xsi:type="xsd:double"&gt;3.0779004&lt;/D&gt;&lt;D xsi:type="xsd:double"&gt;4.707265&lt;/D&gt;&lt;D xsi:type="xsd:double"&gt;1.0823607&lt;/D&gt;&lt;D xsi:type="xsd:double"&gt;3.7560582&lt;/D&gt;&lt;D xsi:type="xsd:double"&gt;3.9353728&lt;/D&gt;&lt;D xsi:type="xsd:double"&gt;0.8196473&lt;/D&gt;&lt;D xsi:type="xsd:double"&gt;-10.296565&lt;/D&gt;&lt;D xsi:type="xsd:double"&gt;1.224041&lt;/D&gt;&lt;D xsi:type="xsd:double"&gt;-9.058464&lt;/D&gt;&lt;D xsi:type="xsd:double"&gt;6.6287518&lt;/D&gt;&lt;D xsi:type="xsd:double"&gt;6.179881&lt;/D&gt;&lt;D xsi:type="xsd:double"&gt;3.1433344&lt;/D&gt;&lt;D xsi:type="xsd:double"&gt;6.9205284&lt;/D&gt;&lt;D xsi:type="xsd:double"&gt;-6.9026947&lt;/D&gt;&lt;D xsi:type="xsd:double"&gt;5.4439306&lt;/D&gt;&lt;D xsi:type="xsd:double"&gt;4.5785546&lt;/D&gt;&lt;D xsi:type="xsd:double"&gt;-5.223&lt;/D&gt;&lt;D xsi:type="xsd:double"&gt;1.2519121&lt;/D&gt;&lt;D xsi:type="xsd:double"&gt;5.635464&lt;/D&gt;&lt;D xsi:type="xsd:double"&gt;4.287076&lt;/D&gt;&lt;D xsi:type="xsd:double"&gt;3.8980484&lt;/D&gt;&lt;D xsi:type="xsd:double"&gt;3.6702394&lt;/D&gt;&lt;D xsi:type="xsd:double"&gt;-7.0670547&lt;/D&gt;&lt;D xsi:type="xsd:double"&gt;-9.7695465&lt;/D&gt;&lt;D xsi:type="xsd:double"&gt;14.139235&lt;/D&gt;&lt;D xsi:type="xsd:double"&gt;8.742321&lt;/D&gt;&lt;D xsi:type="xsd:double"&gt;4.6276093&lt;/D&gt;&lt;D xsi:type="xsd:double"&gt;6.9061637&lt;/D&gt;&lt;D xsi:type="xsd:double"&gt;13.909113&lt;/D&gt;&lt;D xsi:type="xsd:double"&gt;-5.1029563&lt;/D&gt;&lt;D xsi:type="xsd:double"&gt;-2.0057738&lt;/D&gt;&lt;D xsi:type="xsd:double"&gt;10.075831&lt;/D&gt;&lt;D xsi:type="xsd:double"&gt;4.7617555&lt;/D&gt;&lt;D xsi:type="xsd:double"&gt;2.7632117&lt;/D&gt;&lt;D xsi:type="xsd:double"&gt;-2.2345304&lt;/D&gt;&lt;D xsi:type="xsd:double"&gt;0.71669817&lt;/D&gt;&lt;D xsi:type="xsd:double"&gt;7.278478&lt;/D&gt;&lt;D xsi:type="xsd:double"&gt;-1.4955759&lt;/D&gt;&lt;D xsi:type="xsd:double"&gt;6.045437&lt;/D&gt;&lt;D xsi:type="xsd:double"&gt;3.42654&lt;/D&gt;&lt;D xsi:type="xsd:double"&gt;2.790916&lt;/D&gt;&lt;D xsi:type="xsd:double"&gt;-4.191762&lt;/D&gt;&lt;D xsi:type="xsd:double"&gt;6.766331&lt;/D&gt;&lt;D xsi:type="xsd:double"&gt;1.8166661&lt;/D&gt;&lt;D xsi:type="xsd:double"&gt;2.7935624&lt;/D&gt;&lt;D xsi:type="xsd:double"&gt;-12.402582&lt;/D&gt;&lt;D xsi:type="xsd:double"&gt;-1.4212608&lt;/D&gt;&lt;D xsi:type="xsd:double"&gt;5.3524017&lt;/D&gt;&lt;D xsi:type="xsd:double"&gt;-10.112083&lt;/D&gt;&lt;D xsi:type="xsd:double"&gt;-5.7650685&lt;/D&gt;&lt;D xsi:type="xsd:double"&gt;-8.097053&lt;/D&gt;&lt;D xsi:type="xsd:double"&gt;9.265005&lt;/D&gt;&lt;D xsi:type="xsd:double"&gt;-0.7649839&lt;/D&gt;&lt;D xsi:type="xsd:double"&gt;-8.782601&lt;/D&gt;&lt;D xsi:type="xsd:double"&gt;0.45723915&lt;/D&gt;&lt;D xsi:type="xsd:double"&gt;0.5298257&lt;/D&gt;&lt;D xsi:type="xsd:double"&gt;-7.774049&lt;/D&gt;&lt;D xsi:type="xsd:double"&gt;13.902342&lt;/D&gt;&lt;D xsi:type="xsd:double"&gt;-0.91136694&lt;/D&gt;&lt;D xsi:type="xsd:double"&gt;4.7806263&lt;/D&gt;&lt;D xsi:type="xsd:double"&gt;5.027354&lt;/D&gt;&lt;D xsi:type="xsd:double"&gt;8.010912&lt;/D&gt;&lt;D xsi:type="xsd:double"&gt;4.776323&lt;/D&gt;&lt;D xsi:type="xsd:double"&gt;5.195594&lt;/D&gt;&lt;D xsi:type="xsd:double"&gt;-4.360074&lt;/D&gt;&lt;D xsi:type="xsd:double"&gt;-2.2447228&lt;/D&gt;&lt;D xsi:type="xsd:double"&gt;-3.5473883&lt;/D&gt;&lt;D xsi:type="xsd:double"&gt;12.997019&lt;/D&gt;&lt;D xsi:type="xsd:double"&gt;5.674863&lt;/D&gt;&lt;D xsi:type="xsd:double"&gt;3.0415773&lt;/D&gt;&lt;D xsi:type="xsd:double"&gt;2.7040362&lt;/D&gt;&lt;D xsi:type="xsd:double"&gt;2.1416664&lt;/D&gt;&lt;D xsi:type="xsd:double"&gt;-2.9301167&lt;/D&gt;&lt;D xsi:type="xsd:double"&gt;6.6542864&lt;/D&gt;&lt;D xsi:type="xsd:double"&gt;4.3943167&lt;/D&gt;&lt;/FQL&gt;&lt;FQL&gt;&lt;Q&gt;EWL^FMA_DIV_YLD(NTMA,-10AY,0,AM,"PORTAGG","MEANR")&lt;/Q&gt;&lt;R&gt;121&lt;/R&gt;&lt;C&gt;1&lt;/C&gt;&lt;D xsi:type="xsd:double"&gt;3.31227278516026&lt;/D&gt;&lt;D xsi:type="xsd:double"&gt;3.34046502855937&lt;/D&gt;&lt;D xsi:type="xsd:double"&gt;3.33505110915628&lt;/D&gt;&lt;D xsi:type="xsd:double"&gt;3.3332329527283&lt;/D&gt;&lt;D xsi:type="xsd:double"&gt;3.38723595567451&lt;/D&gt;&lt;D xsi:type="xsd:double"&gt;3.20128607857254&lt;/D&gt;&lt;D xsi:type="xsd:double"&gt;3.27873766149703&lt;/D&gt;&lt;D xsi:type="xsd:double"&gt;3.40115185535455&lt;/D&gt;&lt;D xsi:type="xsd:double"&gt;3.15848356988339&lt;/D&gt;&lt;D xsi:type="xsd:double"&gt;3.14103229440832&lt;/D&gt;&lt;D xsi:type="xsd:double"&gt;3.05740577167713&lt;/D&gt;&lt;D xsi:type="xsd:double"&gt;3.07181870905667&lt;/D&gt;&lt;D xsi:type="xsd:double"&gt;3.21097543364718&lt;/D&gt;&lt;D xsi:type="xsd:double"&gt;3.1618060951957&lt;/D&gt;&lt;D xsi:type="xsd:double"&gt;3.32819030559926&lt;/D&gt;&lt;D xsi:type="xsd:double"&gt;3.5165748676054&lt;/D&gt;&lt;D xsi:type="xsd:double"&gt;3.26608889181001&lt;/D&gt;&lt;D xsi:type="xsd:double"&gt;3.24736124598495&lt;/D&gt;&lt;D xsi:type="xsd:double"&gt;3.28114556901422&lt;/D&gt;&lt;D xsi:type="xsd:double"&gt;3.52200687488301&lt;/D&gt;&lt;D xsi:type="xsd:double"&gt;3.53914648824197&lt;/D&gt;&lt;D xsi:type="xsd:double"&gt;3.56376138398266&lt;/D&gt;&lt;D xsi:type="xsd:double"&gt;3.4638280948946&lt;/D&gt;&lt;D xsi:type="xsd:double"&gt;3.42966137637841&lt;/D&gt;&lt;D xsi:type="xsd:double"&gt;3.67635035593334&lt;/D&gt;&lt;D xsi:type="xsd:double"&gt;3.51992840866992&lt;/D&gt;&lt;D xsi:type="xsd:double"&gt;3.46233135844259&lt;/D&gt;&lt;D xsi:type="xsd:double"&gt;3.47042241652275&lt;/D&gt;&lt;D xsi:type="xsd:double"&gt;3.61367273131737&lt;/D&gt;&lt;D xsi:type="xsd:double"&gt;3.68570531071569&lt;/D&gt;&lt;D xsi:type="xsd:double"&gt;3.55605847839647&lt;/D&gt;&lt;D xsi:type="xsd:double"&gt;3.46166022077229&lt;/D&gt;&lt;D xsi:type="xsd:double"&gt;3.3772564752183&lt;/D&gt;&lt;D xsi:type="xsd:double"&gt;3.42141154828643&lt;/D&gt;&lt;D xsi:type="xsd:double"&gt;3.35116143554805&lt;/D&gt;&lt;D xsi:type="xsd:double"&gt;3.28817822977732&lt;/D&gt;&lt;D xsi:type="xsd:double"&gt;3.23509989210091&lt;/D&gt;&lt;D xsi:type="xsd:double"&gt;3.29146711236547&lt;/D&gt;&lt;D xsi:type="xsd:double"&gt;3.3362163225608&lt;/D&gt;&lt;D xsi:type="xsd:double"&gt;3.28874257732171&lt;/D&gt;&lt;D xsi:type="xsd:double"&gt;3.26644535953982&lt;/D&gt;&lt;D xsi:type="xsd:double"&gt;3.22934508031839&lt;/D&gt;&lt;D xsi:type="xsd:double"&gt;3.21095081839448&lt;/D&gt;&lt;D xsi:type="xsd:double"&gt;3.14112421508042&lt;/D&gt;&lt;D xsi:type="xsd:double"&gt;3.404017</t>
        </r>
      </text>
    </comment>
    <comment ref="A6" authorId="0" shapeId="0" xr:uid="{AC6AE7D5-086C-4FB7-959D-0CD3D894E527}">
      <text>
        <r>
          <rPr>
            <b/>
            <sz val="9"/>
            <color indexed="81"/>
            <rFont val="Tahoma"/>
            <charset val="1"/>
          </rPr>
          <t>69292851&lt;/D&gt;&lt;D xsi:type="xsd:double"&gt;3.49089504611942&lt;/D&gt;&lt;D xsi:type="xsd:double"&gt;3.47180095515981&lt;/D&gt;&lt;D xsi:type="xsd:double"&gt;3.49187449598824&lt;/D&gt;&lt;D xsi:type="xsd:double"&gt;3.63058305790193&lt;/D&gt;&lt;D xsi:type="xsd:double"&gt;3.36141438105834&lt;/D&gt;&lt;D xsi:type="xsd:double"&gt;3.39553440433414&lt;/D&gt;&lt;D xsi:type="xsd:double"&gt;3.40547656696375&lt;/D&gt;&lt;D xsi:type="xsd:double"&gt;3.6281172865429&lt;/D&gt;&lt;D xsi:type="xsd:double"&gt;3.56723233565278&lt;/D&gt;&lt;D xsi:type="xsd:double"&gt;3.70017693287683&lt;/D&gt;&lt;D xsi:type="xsd:double"&gt;3.51019575953877&lt;/D&gt;&lt;D xsi:type="xsd:double"&gt;3.33618169851596&lt;/D&gt;&lt;D xsi:type="xsd:double"&gt;3.34948886682107&lt;/D&gt;&lt;D xsi:type="xsd:double"&gt;3.25748672969272&lt;/D&gt;&lt;D xsi:type="xsd:double"&gt;3.29626336858835&lt;/D&gt;&lt;D xsi:type="xsd:double"&gt;3.20945601946695&lt;/D&gt;&lt;D xsi:type="xsd:double"&gt;3.21915329418587&lt;/D&gt;&lt;D xsi:type="xsd:double"&gt;3.27104395983851&lt;/D&gt;&lt;D xsi:type="xsd:double"&gt;3.20600759257504&lt;/D&gt;&lt;D xsi:type="xsd:double"&gt;3.16454404154992&lt;/D&gt;&lt;D xsi:type="xsd:double"&gt;3.08427872313246&lt;/D&gt;&lt;D xsi:type="xsd:double"&gt;3.01744949160882&lt;/D&gt;&lt;D xsi:type="xsd:double"&gt;3.00032731450662&lt;/D&gt;&lt;D xsi:type="xsd:double"&gt;3.30262117982551&lt;/D&gt;&lt;D xsi:type="xsd:double"&gt;3.60339583344938&lt;/D&gt;&lt;D xsi:type="xsd:double"&gt;3.21371276180245&lt;/D&gt;&lt;D xsi:type="xsd:double"&gt;3.1407243627423&lt;/D&gt;&lt;D xsi:type="xsd:double"&gt;3.09982957077825&lt;/D&gt;&lt;D xsi:type="xsd:double"&gt;2.95117544530245&lt;/D&gt;&lt;D xsi:type="xsd:double"&gt;2.94859169797465&lt;/D&gt;&lt;D xsi:type="xsd:double"&gt;2.95369124850048&lt;/D&gt;&lt;D xsi:type="xsd:double"&gt;3.1353451128194&lt;/D&gt;&lt;D xsi:type="xsd:double"&gt;2.88257072408931&lt;/D&gt;&lt;D xsi:type="xsd:double"&gt;2.84941049770649&lt;/D&gt;&lt;D xsi:type="xsd:double"&gt;2.81819153649335&lt;/D&gt;&lt;D xsi:type="xsd:double"&gt;2.91272826287135&lt;/D&gt;&lt;D xsi:type="xsd:double"&gt;2.79736953671182&lt;/D&gt;&lt;D xsi:type="xsd:double"&gt;2.75635957461161&lt;/D&gt;&lt;D xsi:type="xsd:double"&gt;2.70348796377062&lt;/D&gt;&lt;D xsi:type="xsd:double"&gt;2.61649387557808&lt;/D&gt;&lt;D xsi:type="xsd:double"&gt;2.6126984980094&lt;/D&gt;&lt;D xsi:type="xsd:double"&gt;2.55371204875654&lt;/D&gt;&lt;D xsi:type="xsd:double"&gt;2.79464165358693&lt;/D&gt;&lt;D xsi:type="xsd:double"&gt;2.64178971161811&lt;/D&gt;&lt;D xsi:type="xsd:double"&gt;2.6629902999122&lt;/D&gt;&lt;D xsi:type="xsd:double"&gt;2.51616911599697&lt;/D&gt;&lt;D xsi:type="xsd:double"&gt;2.74894172037043&lt;/D&gt;&lt;D xsi:type="xsd:double"&gt;2.79973645000499&lt;/D&gt;&lt;D xsi:type="xsd:double"&gt;2.79324108901156&lt;/D&gt;&lt;D xsi:type="xsd:double"&gt;2.85699561004216&lt;/D&gt;&lt;D xsi:type="xsd:double"&gt;2.94755010738307&lt;/D&gt;&lt;D xsi:type="xsd:double"&gt;3.18146918298878&lt;/D&gt;&lt;D xsi:type="xsd:double"&gt;3.07729910814842&lt;/D&gt;&lt;D xsi:type="xsd:double"&gt;3.17405100149735&lt;/D&gt;&lt;D xsi:type="xsd:double"&gt;3.43662274547517&lt;/D&gt;&lt;D xsi:type="xsd:double"&gt;3.29245694869363&lt;/D&gt;&lt;D xsi:type="xsd:double"&gt;3.1070805075572&lt;/D&gt;&lt;D xsi:type="xsd:double"&gt;3.22070552126807&lt;/D&gt;&lt;D xsi:type="xsd:double"&gt;3.05170334571278&lt;/D&gt;&lt;D xsi:type="xsd:double"&gt;3.13212059946089&lt;/D&gt;&lt;D xsi:type="xsd:double"&gt;3.24370135757319&lt;/D&gt;&lt;D xsi:type="xsd:double"&gt;3.06914292279135&lt;/D&gt;&lt;D xsi:type="xsd:double"&gt;3.11780046690485&lt;/D&gt;&lt;D xsi:type="xsd:double"&gt;3.19611264871505&lt;/D&gt;&lt;D xsi:type="xsd:double"&gt;3.12831467558551&lt;/D&gt;&lt;D xsi:type="xsd:double"&gt;3.25496193088724&lt;/D&gt;&lt;D xsi:type="xsd:double"&gt;3.37559536329747&lt;/D&gt;&lt;D xsi:type="xsd:double"&gt;3.5669739322742&lt;/D&gt;&lt;D xsi:type="xsd:double"&gt;3.40788890853272&lt;/D&gt;&lt;D xsi:type="xsd:double"&gt;3.28831699289304&lt;/D&gt;&lt;D xsi:type="xsd:double"&gt;3.2711620458416&lt;/D&gt;&lt;D xsi:type="xsd:double"&gt;3.30454322529024&lt;/D&gt;&lt;D xsi:type="xsd:double"&gt;3.26238627704191&lt;/D&gt;&lt;D xsi:type="xsd:double"&gt;3.38198003229751&lt;/D&gt;&lt;D xsi:type="xsd:double"&gt;3.24718929331563&lt;/D&gt;&lt;D xsi:type="xsd:double"&gt;3.22623202006623&lt;/D&gt;&lt;/FQL&gt;&lt;FQL&gt;&lt;Q&gt;EWG^FMA_PE(NTMA,-10AY,0,AM,"PORTAGG","MEANR")&lt;/Q&gt;&lt;R&gt;121&lt;/R&gt;&lt;C&gt;1&lt;/C&gt;&lt;D xsi:type="xsd:double"&gt;13.1361091612011&lt;/D&gt;&lt;D xsi:type="xsd:double"&gt;12.7541059038952&lt;/D&gt;&lt;D xsi:type="xsd:double"&gt;12.5675146244619&lt;/D&gt;&lt;D xsi:type="xsd:double"&gt;12.509559707222&lt;/D&gt;&lt;D xsi:type="xsd:double"&gt;11.9715496422028&lt;/D&gt;&lt;D xsi:type="xsd:double"&gt;13.0889943655129&lt;/D&gt;&lt;D xsi:type="xsd:double"&gt;13.0047754445657&lt;/D&gt;&lt;D xsi:type="xsd:double"&gt;14.0128643904707&lt;/D&gt;&lt;D xsi:type="xsd:double"&gt;14.8213749994138&lt;/D&gt;&lt;D xsi:type="xsd:double"&gt;15.3290308983866&lt;/D&gt;&lt;D xsi:type="xsd:double"&gt;15.0427373220893&lt;/D&gt;&lt;D xsi:type="xsd:double"&gt;14.4128465478144&lt;/D&gt;&lt;D xsi:type="xsd:double"&gt;14.0313547471496&lt;/D&gt;&lt;D xsi:type="xsd:double"&gt;13.5351546881107&lt;/D&gt;&lt;D xsi:type="xsd:double"&gt;12.5149363846906&lt;/D&gt;&lt;D xsi:type="xsd:double"&gt;11.5505902271259&lt;/D&gt;&lt;D xsi:type="xsd:double"&gt;13.2900987252853&lt;/D&gt;&lt;D xsi:type="xsd:double"&gt;14.0572703507699&lt;/D&gt;&lt;D xsi:type="xsd:double"&gt;13.2357825870611&lt;/D&gt;&lt;D xsi:type="xsd:double"&gt;12.1145508616069&lt;/D&gt;&lt;D xsi:type="xsd:double"&gt;12.1494381448621&lt;/D&gt;&lt;D xsi:type="xsd:double"&gt;12.5502575035523&lt;/D&gt;&lt;D xsi:type="xsd:double"&gt;13.1408872909206&lt;/D&gt;&lt;D xsi:type="xsd:double"&gt;12.7593261998522&lt;/D&gt;&lt;D xsi:type="xsd:double"&gt;11.6692205272673&lt;/D&gt;&lt;D xsi:type="xsd:double"&gt;12.6573656724056&lt;/D&gt;&lt;D xsi:type="xsd:double"&gt;12.9449339496852&lt;/D&gt;&lt;D xsi:type="xsd:double"&gt;12.7995531274129&lt;/D&gt;&lt;D xsi:type="xsd:double"&gt;12.9646662421008&lt;/D&gt;&lt;D xsi:type="xsd:double"&gt;12.7235607614811&lt;/D&gt;&lt;D xsi:type="xsd:double"&gt;13.6428971741802&lt;/D&gt;&lt;D xsi:type="xsd:double"&gt;13.950952794594&lt;/D&gt;&lt;D xsi:type="xsd:double"&gt;13.6862963204782&lt;/D&gt;&lt;D xsi:type="xsd:double"&gt;13.9328310080189&lt;/D&gt;&lt;D xsi:type="xsd:double"&gt;13.9737694644847&lt;/D&gt;&lt;D xsi:type="xsd:double"&gt;13.7520887255524&lt;/D&gt;&lt;D xsi:type="xsd:double"&gt;13.6072201053665&lt;/D&gt;&lt;D xsi:type="xsd:double"&gt;13.0703813084586&lt;/D&gt;&lt;D xsi:type="xsd:double"&gt;12.9814411915204&lt;/D&gt;&lt;D xsi:type="xsd:double"&gt;13.543681072239&lt;/D&gt;&lt;D xsi:type="xsd:double"&gt;14.0481847610663&lt;/D&gt;&lt;D xsi:type="xsd:double"&gt;13.845701943054&lt;/D&gt;&lt;D xsi:type="xsd:double"&gt;13.8152653236458&lt;/D&gt;&lt;D xsi:type="xsd:double"&gt;14.0254595617577&lt;/D&gt;&lt;D xsi:type="xsd:double"&gt;13.1139166925308&lt;/D&gt;&lt;D xsi:type="xsd:double"&gt;12.5806156947913&lt;/D&gt;&lt;D xsi:type="xsd:double"&gt;13.1752751880771&lt;/D&gt;&lt;D xsi:type="xsd:double"&gt;13.2782878689112&lt;/D&gt;&lt;D xsi:type="xsd:double"&gt;12.6012549307765&lt;/D&gt;&lt;D xsi:type="xsd:double"&gt;13.2768399613465&lt;/D&gt;&lt;D xsi:type="xsd:double"&gt;13.0040225224941&lt;/D&gt;&lt;D xsi:type="xsd:double"&gt;12.6567280375032&lt;/D&gt;&lt;D xsi:type="xsd:double"&gt;11.670187331542&lt;/D&gt;&lt;D xsi:type="xsd:double"&gt;11.5805604804443&lt;/D&gt;&lt;D xsi:type="xsd:double"&gt;10.9309261627994&lt;/D&gt;&lt;D xsi:type="xsd:double"&gt;11.8140462263358&lt;/D&gt;&lt;D xsi:type="xsd:double"&gt;12.1105530419794&lt;/D&gt;&lt;D xsi:type="xsd:double"&gt;12.0751301693594&lt;/D&gt;&lt;D xsi:type="xsd:double"&gt;12.996511226303&lt;/D&gt;&lt;D xsi:type="xsd:double"&gt;12.3341456979439&lt;/D&gt;&lt;D xsi:type="xsd:double"&gt;12.7511913848013&lt;/D&gt;&lt;D xsi:type="xsd:double"&gt;13.0103525290126&lt;/D&gt;&lt;D xsi:type="xsd:double"&gt;12.3804932779144&lt;/D&gt;&lt;D xsi:type="xsd:double"&gt;13.015560921491&lt;/D&gt;&lt;D xsi:type="xsd:double"&gt;13.6079918950416&lt;/D&gt;&lt;D xsi:type="xsd:double"&gt;14.1510919036298&lt;/D&gt;&lt;D xsi:type="xsd:double"&gt;14.1887287403125&lt;/D&gt;&lt;D xsi:type="xsd:double"&gt;14.1313842721996&lt;/D&gt;&lt;D xsi:type="xsd:double"&gt;12.6907237186621&lt;/D&gt;&lt;D xsi:type="xsd:double"&gt;11.5721298812413&lt;/D&gt;&lt;D xsi:type="xsd:double"&gt;14.7085069754311&lt;/D&gt;&lt;D xsi:type="xsd:double"&gt;16.8550079735398&lt;/D&gt;&lt;D xsi:type="xsd:double"&gt;17.3644500058966&lt;/D&gt;&lt;D xsi:type="xsd:double"&gt;18.1333597161124&lt;/D&gt;&lt;D xsi:type="xsd:double"&gt;17.8789536954641&lt;/D&gt;&lt;D xsi:type="xsd:double"&gt;17.0275618443544&lt;/D&gt;&lt;D xsi:type="xsd:double"&gt;14.661731507925&lt;/D&gt;&lt;D xsi:type="xsd:double"&gt;16.1996170361077&lt;/D&gt;&lt;D xsi:type="xsd:double"&gt;16.1491668365624&lt;/D&gt;&lt;D xsi:type="xsd:double"&gt;15.6165313303448&lt;/D&gt;&lt;D xsi:type="xsd:double"&gt;15.3083667940233&lt;/D&gt;&lt;D xsi:type="xsd:double"&gt;15.9046684397728&lt;/D&gt;&lt;D xsi:type="xsd:double"&gt;15.4331230663786&lt;/D&gt;&lt;D xsi:type="xsd:double"&gt;14.8841803245685&lt;/D&gt;&lt;D xsi:type="xsd:double"&gt;14.7508909813521&lt;/D&gt;&lt;D xsi:type="xsd:double"&gt;14.3459329961925&lt;/D&gt;&lt;D xsi:type="xsd:double"&gt;14.2402664861022&lt;/D&gt;&lt;D xsi:type="xsd:double"&gt;13.5598904825109&lt;/D&gt;&lt;D xsi:type="xsd:double"&gt;13.7727711855566&lt;/D&gt;&lt;D xsi:type="xsd:double"&gt;12.9842836133738&lt;/D&gt;&lt;D xsi:type="xsd:double"&gt;13.4692448395868&lt;/D&gt;&lt;D xsi:type="xsd:double"&gt;12.7849182779796&lt;/D&gt;&lt;D xsi:type="xsd:double"&gt;11.8620758358814&lt;/D&gt;&lt;D xsi:type="xsd:double"&gt;11.6307931012419&lt;/D&gt;&lt;D xsi:type="xsd:double"&gt;11.1255010859179&lt;/D&gt;&lt;D xsi:type="xsd:double"&gt;10.9876829322855&lt;/D&gt;&lt;D xsi:type="xsd:double"&gt;10.0589111303581&lt;/D&gt;&lt;D xsi:type="xsd:double"&gt;10.1413689285328&lt;/D&gt;&lt;D xsi:type="xsd:double"&gt;9.64247887614002&lt;/D&gt;&lt;D xsi:type="xsd:double"&gt;9.05048811999341&lt;/D&gt;&lt;D xsi:type="xsd:double"&gt;9.87074391745571&lt;/D&gt;&lt;D xsi:type="xsd:double"&gt;10.7232127411133&lt;/D&gt;&lt;D xsi:type="xsd:double"&gt;10.453397527527&lt;/D&gt;&lt;D xsi:type="xsd:double"&gt;11.5453013536818&lt;/D&gt;&lt;D xsi:type="xsd:double"&gt;11.5392153914345&lt;/D&gt;&lt;D xsi:type="xsd:double"&gt;11.0920216592387&lt;/D&gt;&lt;D xsi:type="xsd:double"&gt;11.3746518957681&lt;/D&gt;&lt;D xsi:type="xsd:double"&gt;10.9150254299427&lt;/D&gt;&lt;D xsi:type="xsd:double"&gt;10.728303099708&lt;/D&gt;&lt;D xsi:type="xsd:double"&gt;11.0520936509021&lt;/D&gt;&lt;D xsi:type="xsd:double"&gt;10.5714752927705&lt;/D&gt;&lt;D xsi:type="xsd:double"&gt;10.2719468373847&lt;/D&gt;&lt;D xsi:type="xsd:double"&gt;9.79614739735174&lt;/D&gt;&lt;D xsi:type="xsd:double"&gt;10.7872464466625&lt;/D&gt;&lt;D xsi:type="xsd:double"&gt;11.1335085876965&lt;/D&gt;&lt;D xsi:type="xsd:double"&gt;11.5081067434458&lt;/D&gt;&lt;D xsi:type="xsd:double"&gt;11.9449781669854&lt;/D&gt;&lt;D xsi:type="xsd:double"&gt;12.3924706262758&lt;/D&gt;&lt;D xsi:type="xsd:double"&gt;12.044019727438&lt;/D&gt;&lt;D xsi:type="xsd:double"&gt;12.0043391819223&lt;/D&gt;&lt;D xsi:type="xsd:double"&gt;11.6851602652037&lt;/D&gt;&lt;/FQL&gt;&lt;FQL&gt;&lt;Q&gt;EWA^FMA_PE(LTMA,-10AY,0,AM,"PORTAGG","MEANR")&lt;/Q&gt;&lt;R&gt;121&lt;/R&gt;&lt;C&gt;1&lt;/C&gt;&lt;D xsi:type="xsd:double"&gt;15.1866167320918&lt;/D&gt;&lt;D xsi:type="xsd:double"&gt;15.4496322609043&lt;/D&gt;&lt;D xsi:type="xsd:double"&gt;15.4822843573409&lt;/D&gt;&lt;D xsi:type="xsd:double"&gt;14.7184700955155&lt;/D&gt;&lt;D xsi:type="xsd:double"&gt;15.2126281944461&lt;/D&gt;&lt;D xsi:type="xsd:double"&gt;14.6159399654796&lt;/D&gt;&lt;D xsi:type="xsd:double"&gt;14.5478656383555&lt;/D&gt;&lt;D xsi:type="xsd:double"&gt;15.1848649680582&lt;/D&gt;&lt;D xsi:type="xsd:double"&gt;16.2153413101021&lt;/D&gt;&lt;D xsi:type="xsd:double"&gt;16.2704960022116&lt;/D&gt;&lt;D xsi:type="xsd:double"&gt;16.4740649114117&lt;/D&gt;&lt;D xsi:type="xsd:double"&gt;16.1845819033804&lt;/D&gt;&lt;D xsi:type="xsd:double"&gt;15.9872431219633&lt;/D&gt;&lt;D xsi:type="xsd:double"&gt;15.9854914252138&lt;/D&gt;&lt;D xsi:type="xsd:double"&gt;15.6147021055695&lt;/D&gt;&lt;D xsi:type="xsd:double"&gt;15.2368940936126&lt;/D&gt;&lt;D xsi:type="xsd:double"&gt;15.8366239065172&lt;/D&gt;&lt;D xsi:type="xsd:double"&gt;15.5527377319771&lt;/D&gt;&lt;D xsi:type="xsd:double"&gt;15.7275479571249&lt;/D&gt;&lt;D xsi:type="xsd:double"&gt;15.1055812266198&lt;/D&gt;&lt;D xsi:type="xsd:double"&gt;14.9372027356642&lt;/D&gt;&lt;D xsi:type="xsd:double"&gt;15.1555903863835&lt;/D&gt;&lt;D xsi:type="xsd:double"&gt;15.4051805238571&lt;/D&gt;&lt;D xsi:type="xsd:double"&gt;15.7921363274939&lt;/D&gt;&lt;D xsi:type="xsd:double"&gt;15.5331611865658&lt;/D&gt;&lt;D xsi:type="xsd:double"&gt;16.4619395646519&lt;/D&gt;&lt;D xsi:type="xsd:double"&gt;16.6873790901469&lt;/D&gt;&lt;D xsi:type="xsd:double"&gt;16.6438560028905&lt;/D&gt;&lt;D xsi:type="xsd:double"&gt;16.6421835543836&lt;/D&gt;&lt;D xsi:type="xsd:double"&gt;17.2600237963001&lt;/D&gt;&lt;D xsi:type="xsd:double"&gt;17.7470498779387&lt;/D&gt;&lt;D xsi:type="xsd:double"&gt;17.7601050248075&lt;/D&gt;&lt;D xsi:type="xsd:double"&gt;17.525706890154&lt;/D&gt;&lt;D xsi:type="xsd:double"&gt;17.3751436030679&lt;/D&gt;&lt;D xsi:type="xsd:double"&gt;17.3031016060056&lt;/D&gt;&lt;D xsi:type="xsd:double"&gt;16.9521872566133&lt;/D&gt;&lt;D xsi:type="xsd:double"&gt;16.8020469308921&lt;/D&gt;&lt;D xsi:type="xsd:double"&gt;16.7875724538525&lt;/D&gt;&lt;D xsi:type="xsd:double"&gt;16.6624125460279&lt;/D&gt;&lt;D xsi:type="xsd:double"&gt;16.3008874055619&lt;/D&gt;&lt;D xsi:type="xsd:double"&gt;16.629462206132&lt;/D&gt;&lt;D xsi:type="xsd:double"&gt;16.6563973163157&lt;/D&gt;&lt;D xsi:type="xsd:double"&gt;16.8732428956663&lt;/D&gt;&lt;D xsi:type="xsd:double"&gt;16.8083737695171&lt;/D&gt;&lt;D xsi:type="xsd:double"&gt;16.5525904197488&lt;/D&gt;&lt;D xsi:type="xsd:double"&gt;16.2989735479322&lt;/D&gt;&lt;D xsi:type="xsd:double"&gt;16.277084815913&lt;/D&gt;&lt;D xsi:type="xsd:double"&gt;16.239052514505&lt;/D&gt;&lt;D xsi:type="xsd:double"&gt;16.2949071830355&lt;/D&gt;&lt;D xsi:type="xsd:double"&gt;16.3664375721876&lt;/D&gt;&lt;D xsi:type="xsd:double"&gt;16.3600516798402&lt;/D&gt;&lt;D xsi:type="xsd:double"&gt;16.0770105289925&lt;/D&gt;&lt;D xsi:type="xsd:double"&gt;14.9064888445425&lt;/D&gt;&lt;D xsi:type="xsd:double"&gt;15.0033656528376&lt;/D&gt;&lt;D xsi:type="xsd:double"&gt;14.6610893714583&lt;/D&gt;&lt;D xsi:type="xsd:double"&gt;15.3758615803426&lt;/D&gt;&lt;D xsi:type="xsd:double"&gt;15.9106076548454&lt;/D&gt;&lt;D xsi:type="xsd:double"&gt;15.8646275652027&lt;/D&gt;&lt;D xsi:type="xsd:double"&gt;15.9223051538782&lt;/D&gt;&lt;D xsi:type="xsd:double"&gt;16.007602769707&lt;/D&gt;&lt;D xsi:type="xsd:double"&gt;16.2586098308163&lt;/D&gt;&lt;D xsi:type="xsd:double"&gt;16.464363964218&lt;/D&gt;&lt;D xsi:type="xsd:double"&gt;16.2312839258815&lt;/D&gt;&lt;D xsi:type="xsd:double"&gt;16.8614012685343&lt;/D&gt;&lt;D xsi:type="xsd:double"&gt;17.3391446585118&lt;/D&gt;&lt;D xsi:type="xsd:double"&gt;17.7744269292984&lt;/D&gt;&lt;D xsi:type="xsd:double"&gt;18.0649118716929&lt;/D&gt;&lt;D xsi:type="xsd:double"&gt;18.4255742032995&lt;/D&gt;&lt;D xsi:type="xsd:double"&gt;16.9463800934025&lt;/D&gt;&lt;D xsi:type="xsd:double"&gt;16.1583299108686&lt;/D&gt;&lt;D xsi:type="xsd:double"&gt;17.062048852153&lt;/D&gt;&lt;D xsi:type="xsd:double"&gt;18.1061063880069&lt;/D&gt;&lt;D xsi:type="xsd:double"&gt;18.3879882409979&lt;/D&gt;&lt;D xsi:type="xsd:double"&gt;19.1276369136665&lt;/D&gt;&lt;D xsi:type="xsd:double"&gt;19.8242341590038&lt;/D&gt;&lt;D xsi:type="xsd:double"&gt;19.4016159362123&lt;/D&gt;&lt;D xsi:type="xsd:double"&gt;19.8853986525734&lt;/D&gt;&lt;D xsi:type="xsd:double"&gt;22.2236442973597&lt;/D&gt;&lt;D xsi:type="xsd:double"&gt;23.0543925745209&lt;/D&gt;&lt;D xsi:type="xsd:double"&gt;22.6695728083255&lt;/D&gt;&lt;D xsi:type="xsd:double"&gt;21.8034729969148&lt;/D&gt;&lt;D xsi:type="xsd:double"&gt;21.3985704649108&lt;/D&gt;&lt;D xsi:type="xsd:double"&gt;21.0726157855829&lt;/D&gt;&lt;D xsi:type="xsd:double"&gt;20.7408731655517&lt;/D&gt;&lt;D xsi:type="xsd:double"&gt;20.1601180098829&lt;/D&gt;&lt;D xsi:type="xsd:double"&gt;19.2020121659561&lt;/D&gt;&lt;D xsi:type="xsd:double"&gt;19.1099665254231&lt;/D&gt;&lt;D xsi:type="xsd:double"&gt;18.4388478677943&lt;/D&gt;&lt;D xsi:type="xsd:double"&gt;18.8418505461326&lt;/D&gt;&lt;D xsi:type="xsd:double"&gt;17.6689624205039&lt;/D&gt;&lt;D xsi:type="xsd:double"&gt;17.7954044731493&lt;/D&gt;&lt;D xsi:type="xsd:double"&gt;16.5087695489396&lt;/D&gt;&lt;D xsi:type="xsd:double"&gt;15.6714131906656&lt;/D&gt;&lt;D xsi:type="xsd:double"&gt;15.8136033505358&lt;/D&gt;&lt;D xsi:type="xsd:double"&gt;15.388202185291&lt;/D&gt;&lt;D xsi:type="xsd:double"&gt;15.0647434703676&lt;/D&gt;&lt;D xsi:type="xsd:double"&gt;14.2757085135539&lt;/D&gt;&lt;D xsi:type="xsd:double"&gt;14.4772238447155&lt;/D&gt;&lt;D xsi:type="xsd:double"&gt;14.6102212533448&lt;/D&gt;&lt;D xsi:type="xsd:double"&gt;13.2184577943553&lt;/D&gt;&lt;D xsi:type="xsd:double"&gt;13.4469785819856&lt;/D&gt;&lt;D xsi:type="xsd:double"&gt;14.318339921351&lt;/D&gt;&lt;D xsi:type="xsd:double"&gt;14.1617019888932&lt;/D&gt;&lt;D xsi:type="xsd:double"&gt;14.9598157496564&lt;/D&gt;&lt;D xsi:type="xsd:double"&gt;14.2663938470017&lt;/D&gt;&lt;D xsi:type="xsd:double"&gt;14.1674153282257&lt;/D&gt;&lt;D xsi:type="xsd:double"&gt;14.3273091999696&lt;/D&gt;&lt;D xsi:type="xsd:double"&gt;14.2076625511532&lt;/D&gt;&lt;D xsi:type="xsd:double"&gt;14.5570315321048&lt;/D&gt;&lt;D xsi:type="xsd:double"&gt;15.1005216213547&lt;/D&gt;&lt;D xsi:type="xsd:double"&gt;14.8940677023209&lt;/D&gt;&lt;D xsi:type="xsd:double"&gt;14.7105556915445&lt;/D&gt;&lt;D xsi:type="xsd:double"&gt;14.4537759211948&lt;/D&gt;&lt;D xsi:type="xsd:double"&gt;15.1239464332466&lt;/D&gt;&lt;D xsi:type="xsd:double"&gt;16.6523990802529&lt;/D&gt;&lt;D xsi:type="xsd:double"&gt;16.3959505038922&lt;/D&gt;&lt;D xsi:type="xsd:double"&gt;16.5073920627961&lt;/D&gt;&lt;D xsi:type="xsd:double"&gt;16.6757015864523&lt;/D&gt;&lt;D xsi:type="xsd:double"&gt;16.5440603531343&lt;/D&gt;&lt;D xsi:type="xsd:double"&gt;16.7445809630484&lt;/D&gt;&lt;D xsi:type="xsd:double"&gt;16.8280017047994&lt;/D&gt;&lt;/FQL&gt;&lt;FQL&gt;&lt;Q&gt;WL-FDS^FG_PRICE_CHANGE(0,-1AM)&lt;/Q&gt;&lt;R&gt;1&lt;/R&gt;&lt;C&gt;1&lt;/C&gt;&lt;D xsi:type="xsd:double"&gt;8.11201445347787&lt;/D&gt;&lt;/FQL&gt;&lt;FQL&gt;&lt;Q&gt;NI-FDS^FG_PRICE_CHANGE(0,-1AM)&lt;/Q&gt;&lt;R&gt;1&lt;/R&gt;&lt;C&gt;1&lt;/C&gt;&lt;D xsi:type="xsd:double"&gt;-15.4747072015948&lt;/D&gt;&lt;/FQL&gt;&lt;FQL&gt;&lt;Q&gt;CPALM-FDS^FG_PRICE_CHANGE(0,-1AM)&lt;/Q&gt;&lt;R&gt;1&lt;/R&gt;&lt;C&gt;1&lt;/C&gt;&lt;D xsi:type="xsd:double"&gt;0.632751202227277&lt;/D&gt;&lt;/FQL&gt;&lt;FQL&gt;&lt;Q&gt;BRENT-FDS^FG_PRICE_CHANGE(0,-1AM)&lt;/Q&gt;&lt;R&gt;1&lt;/R&gt;&lt;C&gt;1&lt;/C&gt;&lt;D xsi:type="xsd:double"&gt;0&lt;/D&gt;&lt;/FQL&gt;&lt;FQL&gt;&lt;Q&gt;TIOS-FDS^FG_PRICE_CHANGE(0,-1AM)&lt;/Q&gt;&lt;R&gt;1&lt;/R&gt;&lt;C&gt;1&lt;/C&gt;&lt;D xsi:type="xsd:double"&gt;-9.49184228416043&lt;/D&gt;&lt;/FQL&gt;&lt;FQL&gt;&lt;Q&gt;FC0000CH^FG_PRICE(0)&lt;/Q&gt;&lt;R&gt;1&lt;/R&gt;&lt;C&gt;1&lt;/C&gt;&lt;D xsi:type="xsd:double"&gt;328.17386&lt;/D&gt;&lt;/FQL&gt;&lt;FQL&gt;&lt;Q&gt;FC0000AU^FG_PRICE(0)&lt;/Q&gt;&lt;R&gt;1&lt;/R&gt;&lt;C&gt;1&lt;/C&gt;&lt;D xsi:type="xsd:double"&gt;362.85892&lt;/D&gt;&lt;/FQL&gt;&lt;FQL&gt;&lt;Q&gt;EWN^FG_PRICE_MAVG(0,,,,60)&lt;/Q&gt;&lt;R&gt;1&lt;/R&gt;&lt;C&gt;1&lt;/C&gt;&lt;D xsi:type="xsd:double"&gt;50.131832&lt;/D&gt;&lt;/FQL&gt;&lt;FQL&gt;&lt;Q&gt;EWU^FG_PRICE_MAVG(0,,,,60)&lt;/Q&gt;&lt;R&gt;1&lt;/R&gt;&lt;C&gt;1&lt;/C&gt;&lt;D xsi:type="xsd:double"&gt;35.227665&lt;/D&gt;&lt;/FQL&gt;&lt;FQL&gt;&lt;Q&gt;EWC^FG_PRICE_MAVG(0,,,,60)&lt;/Q&gt;&lt;R&gt;1&lt;/R&gt;&lt;C&gt;1&lt;/C&gt;&lt;D xsi:type="xsd:double"&gt;37.564835&lt;/D&gt;&lt;/FQL&gt;&lt;FQL&gt;&lt;Q&gt;SPY^FG_COMPANY_NAME&lt;/Q&gt;&lt;R&gt;1&lt;/R&gt;&lt;C&gt;1&lt;/C&gt;&lt;D xsi:type="xsd:string"&gt;SPDR S&amp;amp;P 500 ETF Trust&lt;/D&gt;&lt;/FQL&gt;&lt;FQL&gt;&lt;Q&gt;FXI^PERCENT_CHANGE(FMA_EPS(+1,0,,,,"PORTAGG","MEAN"),FMA_EPS(+1,-1AM,,,,"PORTAGG","MEAN"))&lt;/Q&gt;&lt;R&gt;1&lt;/R&gt;&lt;C&gt;1&lt;/C&gt;&lt;D xsi:type="xsd:double"&gt;1.347091639999&lt;/D&gt;&lt;/FQL&gt;&lt;FQL&gt;&lt;Q&gt;VWO^FG_TOTAL_RETURNC(0,-6AM)&lt;/Q&gt;&lt;R&gt;1&lt;/R&gt;&lt;C&gt;1&lt;/C&gt;&lt;D xsi:type="xsd:double"&gt;7.270837&lt;/D&gt;&lt;/FQL&gt;&lt;FQL&gt;&lt;Q&gt;EWL^FMA_ROE(NTMA,-20AY,NOW,FY,"PORTAGG","MEANR")&lt;/Q&gt;&lt;R&gt;20&lt;/R&gt;&lt;C&gt;1&lt;/C&gt;&lt;D xsi:type="xsd:double"&gt;15.9587717941353&lt;/D&gt;&lt;D xsi:type="xsd:double"&gt;16.6709442456462&lt;/D&gt;&lt;D xsi:type="xsd:double"&gt;17.3190561042513&lt;/D&gt;&lt;D xsi:type="xsd:double"&gt;18.194046530629&lt;/D&gt;&lt;D xsi:type="xsd:double"&gt;15.5136874283454&lt;/D&gt;&lt;D xsi:type="xsd:double"&gt;17.2258858021045&lt;/D&gt;&lt;D xsi:type="xsd:double"&gt;16.663378494352&lt;/D&gt;&lt;D xsi:type="xsd:double"&gt;15.1353221205521&lt;/D&gt;&lt;D xsi:type="xsd:double"&gt;15.5882414428409&lt;/D&gt;&lt;D xsi:type="xsd:double"&gt;15.2483951449653&lt;/D&gt;&lt;D xsi:type="xsd:double"&gt;14.5028009204846&lt;/D&gt;&lt;D xsi:type="xsd:double"&gt;13.2798091113486&lt;/D&gt;&lt;D xsi:type="xsd:double"&gt;13.3994953105419&lt;/D&gt;&lt;D xsi:type="xsd:double"&gt;13.9322208239423&lt;/D&gt;&lt;D xsi:type="xsd:double"&gt;14.6457996836392&lt;/D&gt;&lt;D xsi:type="xsd:double"&gt;14.5388198691271&lt;/D&gt;&lt;D xsi:type="xsd:double"&gt;14.667779515581&lt;/D&gt;&lt;D xsi:type="xsd:double"&gt;16.3837417700754&lt;/D&gt;&lt;D xsi:type="xsd:double"&gt;16.6906517335277&lt;/D&gt;&lt;D xsi:type="xsd:double"&gt;19.2996868127809&lt;/D&gt;&lt;/FQL&gt;&lt;FQL&gt;&lt;Q&gt;TRYIN10Y-FDS^FG_YIELD(-10AY,0,Y,,"YTM")&lt;/Q&gt;&lt;R&gt;10&lt;/R&gt;&lt;C&gt;1&lt;/C&gt;&lt;D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xsi:type="xsd:double"&gt;7.19&lt;/D&gt;&lt;/FQL&gt;&lt;FQL&gt;&lt;Q&gt;CAGDPY@GB^EE_ACTUAL_ANNUAL(MED,0)&lt;/Q&gt;&lt;R&gt;1&lt;/R&gt;&lt;C&gt;1&lt;/C&gt;&lt;D xsi:type="xsd:double"&gt;-3.3&lt;/D&gt;&lt;/FQL&gt;&lt;FQL&gt;&lt;Q&gt;CC_CH^FG_COMPANY_NAME&lt;/Q&gt;&lt;R&gt;1&lt;/R&gt;&lt;C&gt;1&lt;/C&gt;&lt;D xsi:type="xsd:string"&gt;Switzerland&lt;/D&gt;&lt;/FQL&gt;&lt;FQL&gt;&lt;Q&gt;USDSEK^FG_PRICE_CHANGE(0,-6AM)&lt;/Q&gt;&lt;R&gt;1&lt;/R&gt;&lt;C&gt;1&lt;/C&gt;&lt;D xsi:type="xsd:double"&gt;6.433642&lt;/D&gt;&lt;/FQL&gt;&lt;FQL&gt;&lt;Q&gt;USDCHF^FG_PRICE_CHANGE(0,-6AM)&lt;/Q&gt;&lt;R&gt;1&lt;/R&gt;&lt;C&gt;1&lt;/C&gt;&lt;D xsi:type="xsd:double"&gt;7.4430466&lt;/D&gt;&lt;/FQL&gt;&lt;FQL&gt;&lt;Q&gt;USDUSD^FG_PRICE_CHANGE(0,-6AM)&lt;/Q&gt;&lt;R&gt;1&lt;/R&gt;&lt;C&gt;1&lt;/C&gt;&lt;D xsi:type="xsd:double"&gt;0&lt;/D&gt;&lt;/FQL&gt;&lt;FQL&gt;&lt;Q&gt;USDEUR^FG_PRICE_CHANGE(0,-6AM)&lt;/Q&gt;&lt;R&gt;1&lt;/R&gt;&lt;C&gt;1&lt;/C&gt;&lt;D xsi:type="xsd:double"&gt;3.6202549999999998&lt;/D&gt;&lt;/FQL&gt;&lt;FQL&gt;&lt;Q&gt;USDAUD^FG_PRICE_CHANGE(0,-6AM)&lt;/Q&gt;&lt;R&gt;1&lt;/R&gt;&lt;C&gt;1&lt;/C&gt;&lt;D xsi:type="xsd:double"&gt;2.725172&lt;/D&gt;&lt;/FQL&gt;&lt;FQL&gt;&lt;Q&gt;EWN^FMA_EPS(NTMA,-20AY,0,CY,,"PORTAGG","MEANR")&lt;/Q&gt;&lt;R&gt;20&lt;/R&gt;&lt;C&gt;1&lt;/C&gt;&lt;D xsi:type="xsd:double"&gt;1.49109929215903&lt;/D&gt;&lt;D xsi:type="xsd:double"&gt;1.5900517234348&lt;/D&gt;&lt;D xsi:type="xsd:double"&gt;2.15625739003115&lt;/D&gt;&lt;D xsi:type="xsd:double"&gt;2.62697068480407&lt;/D&gt;&lt;D xsi:type="xsd:double"&gt;1.79921066251297&lt;/D&gt;&lt;D xsi:type="xsd:double"&gt;1.65442974417331&lt;/D&gt;&lt;D xsi:type="xsd:double"&gt;2.1135843669069&lt;/D&gt;&lt;D xsi:type="xsd:double"&gt;1.84050659390711&lt;/D&gt;&lt;D xsi:type="xsd:double"&gt;1.84155905202006&lt;/D&gt;&lt;D xsi:type="xsd:double"&gt;1.85694784607263&lt;/D&gt;&lt;D xsi:type="xsd:double"&gt;1.61003576125895&lt;/D&gt;&lt;D xsi:type="xsd:double"&gt;1.5506283745409&lt;/D&gt;&lt;D xsi:type="xsd:double"&gt;1.60511092021475&lt;/D&gt;&lt;D xsi:type="xsd:double"&gt;1.99467947715871&lt;/D&gt;&lt;D xsi:type="xsd:double"&gt;2.00955458235889&lt;/D&gt;&lt;D xsi:type="xsd:double"&gt;1.99085799541384&lt;/D&gt;&lt;D xsi:type="xsd:double"&gt;2.00892946055423&lt;/D&gt;&lt;D xsi:type="xsd:double"&gt;2.43601807945448&lt;/D&gt;&lt;D xsi:type="xsd:double"&gt;2.4294142632387&lt;/D&gt;&lt;D xsi:type="xsd:double"&gt;2.95560750497075&lt;/D&gt;&lt;/FQL&gt;&lt;FQL&gt;&lt;Q&gt;SPY^P_PRICE_RETURNS_PR('52W',2,-10AY,0,AM)&lt;/Q&gt;&lt;R&gt;121&lt;/R&gt;&lt;C&gt;1&lt;/C&gt;&lt;D xsi:type="xsd:double"&gt;23.956882&lt;/D&gt;&lt;D xsi:type="xsd:double"&gt;19.264782&lt;/D&gt;&lt;D xsi:type="xsd:double"&gt;24.5041&lt;/D&gt;&lt;D xsi:type="xsd:double"&gt;18.890142&lt;/D&gt;&lt;D xsi:type="xsd:double"&gt;14.773083&lt;/D&gt;&lt;D xsi:type="xsd:double"&gt;16.62178&lt;/D&gt;&lt;D xsi:type="xsd:double"&gt;15.585554&lt;/D&gt;&lt;D xsi:type="xsd:double"&gt;13.948584&lt;/D&gt;&lt;D xsi:type="xsd:double"&gt;15.581285&lt;/D&gt;&lt;D xsi:type="xsd:double"&gt;13.639652&lt;/D&gt;&lt;D xsi:type="xsd:double"&gt;15.353764&lt;/D&gt;&lt;D xsi:type="xsd:double"&gt;13.181758&lt;/D&gt;&lt;D xsi:type="xsd:double"&gt;9.4649315&lt;/D&gt;&lt;D xsi:type="xsd:double"&gt;7.90627&lt;/D&gt;&lt;D xsi:type="xsd:double"&gt;1.5246153&lt;/D&gt;&lt;D xsi:type="xsd:double"&gt;-3.074205&lt;/D&gt;&lt;D xsi:type="xsd:double"&gt;7.444215&lt;/D&gt;&lt;D xsi:type="xsd:double"&gt;2.9678464&lt;/D&gt;&lt;D xsi:type="xsd:double"&gt;0.4995823&lt;/D&gt;&lt;D xsi:type="xsd:double"&gt;-3.54442&lt;/D&gt;&lt;D xsi:type="xsd:double"&gt;-5.7858586&lt;/D&gt;&lt;D xsi:type="xsd:double"&gt;0.91246367&lt;/D&gt;&lt;D xsi:type="xsd:double"&gt;0.22486448&lt;/D&gt;&lt;D xsi:type="xsd:double"&gt;0.9723067&lt;/D&gt;&lt;D xsi:type="xsd:double"&gt;-1.0363579&lt;/D&gt;&lt;D xsi:type="xsd:double"&gt;5.819857&lt;/D&gt;&lt;D xsi:type="xsd:double"&gt;14.184963&lt;/D&gt;&lt;D xsi:type="xsd:double"&gt;17.723692&lt;/D&gt;&lt;D xsi:type="xsd:double"&gt;3.9212704&lt;/D&gt;&lt;D xsi:type="xsd:double"&gt;7.489729&lt;/D&gt;&lt;D xsi:type="xsd:double"&gt;11.703026&lt;/D&gt;&lt;D xsi:type="xsd:double"&gt;24.325752&lt;/D&gt;&lt;D xsi:type="xsd:double"&gt;23.81791&lt;/D&gt;&lt;D xsi:type="xsd:double"&gt;18.182827&lt;/D&gt;&lt;D xsi:type="xsd:double"&gt;17.143845&lt;/D&gt;&lt;D xsi:type="xsd:double"&gt;17.854774&lt;/D&gt;&lt;D xsi:type="xsd:double"&gt;22.268152&lt;/D&gt;&lt;D xsi:type="xsd:double"&gt;16.223717&lt;/D&gt;&lt;D xsi:type="xsd:double"&gt;14.846754&lt;/D&gt;&lt;D xsi:type="xsd:double"&gt;17.899967&lt;/D&gt;&lt;D xsi:type="xsd:double"&gt;23.341692&lt;/D&gt;&lt;D xsi:type="xsd:double"&gt;21.640014999999998&lt;/D&gt;&lt;D xsi:type="xsd:double"&gt;21.687328&lt;/D&gt;&lt;D xsi:type="xsd:double"&gt;27.388168&lt;/D&gt;&lt;D xsi:type="xsd:double"&gt;17.105639&lt;/D&gt;&lt;D xsi:type="xsd:double"&gt;12.517333&lt;/D&gt;&lt;D xsi:type="xsd:double"&gt;13.844895&lt;/D&gt;&lt;D xsi:type="xsd:double"&gt;14.713049&lt;/D&gt;&lt;D xsi:type="xsd:double"&gt;13.32767&lt;/D&gt;&lt;D xsi:type="xsd:double"&gt;15.965986&lt;/D&gt;&lt;D xsi:type="xsd:double"&gt;20.753325&lt;/D&gt;&lt;D xsi:type="xsd:double"&gt;18.240929&lt;/D&gt;&lt;D xsi:type="xsd:double"&gt;5.6895256&lt;/D&gt;&lt;D xsi:type="xsd:double"&gt;6.3575625&lt;/D&gt;&lt;D xsi:type="xsd:double"&gt;-5.742514&lt;/D&gt;&lt;D xsi:type="xsd:double"&gt;-6.202918&lt;/D&gt;&lt;D xsi:type="xsd:double"&gt;4.549575&lt;/D&gt;&lt;D xsi:type="xsd:double"&gt;10.143971&lt;/D&gt;&lt;D xsi:type="xsd:double"&gt;12.325811&lt;/D&gt;&lt;D xsi:type="xsd:double"&gt;4.9480557&lt;/D&gt;&lt;D xsi:type="xsd:double"&gt;10.313547&lt;/D&gt;&lt;D xsi:type="xsd:double"&gt;8.7095375&lt;/D&gt;&lt;D xsi:type="xsd:double"&gt;1.626873&lt;/D&gt;&lt;D xsi:type="xsd:double"&gt;3.652966&lt;/D&gt;&lt;D xsi:type="xsd:double"&gt;16.597008&lt;/D&gt;&lt;D xsi:type="xsd:double"&gt;19.892132&lt;/D&gt;&lt;D xsi:type="xsd:double"&gt;32.611073&lt;/D&gt;&lt;D xsi:type="xsd:double"&gt;26.279413&lt;/D&gt;&lt;D xsi:type="xsd:double"&gt;8.319605&lt;/D&gt;&lt;D xsi:type="xsd:double"&gt;-7.5033245&lt;/D&gt;&lt;D xsi:type="xsd:double"&gt;-0.60123205&lt;/D&gt;&lt;D xsi:type="xsd:double"&gt;10.38475&lt;/D&gt;&lt;D xsi:type="xsd:double"&gt;5.39037&lt;/D&gt;&lt;D xsi:type="xsd:double"&gt;8.498133&lt;/D&gt;&lt;D xsi:type="xsd:double"&gt;23.812151&lt;/D&gt;&lt;D xsi:type="xsd:double"&gt;15.355194&lt;/D&gt;&lt;D xsi:type="xsd:double"&gt;9.819067&lt;/D&gt;&lt;D xsi:type="xsd:double"&gt;17.541122&lt;/D&gt;&lt;D xsi:type="xsd:double"&gt;17.466843&lt;/D&gt;&lt;D xsi:type="xsd:double"&gt;17.720736&lt;/D&gt;&lt;D xsi:type="xsd:double"&gt;24.429953&lt;/D&gt;&lt;D xsi:type="xsd:double"&gt;54.04619&lt;/D&gt;&lt;D xsi:type="xsd:double"&gt;48.438824&lt;/D&gt;&lt;D xsi:type="xsd:double"&gt;40.877594&lt;/D&gt;&lt;D xsi:type="xsd:double"&gt;44.604706&lt;/D&gt;&lt;D xsi:type="xsd:double"&gt;38.685715&lt;/D&gt;&lt;D xsi:type="xsd:double"&gt;31.199825&lt;/D&gt;&lt;D xsi:type="xsd:double"&gt;31.623627&lt;/D&gt;&lt;D xsi:type="xsd:double"&gt;42.29535&lt;/D&gt;&lt;D xsi:type="xsd:double"&gt;28.351952&lt;/D&gt;&lt;D xsi:type="xsd:double"&gt;29.856718&lt;/D&gt;&lt;D xsi:type="xsd:double"&gt;18.60758&lt;/D&gt;&lt;D xsi:type="xsd:double"&gt;16.338802&lt;/D&gt;&lt;D xsi:type="xsd:double"&gt;16.659927&lt;/D&gt;&lt;D xsi:type="xsd:double"&gt;3.8518667&lt;/D&gt;&lt;D xsi:type="xsd:double"&gt;0.35094023&lt;/D&gt;&lt;D xsi:type="xsd:double"&gt;-9.683716&lt;/D&gt;&lt;D xsi:type="xsd:double"&gt;-6.146497&lt;/D&gt;&lt;D xsi:type="xsd:double"&gt;-7.8818502&lt;/D&gt;&lt;D xsi:type="xsd:double"&gt;-13.273579&lt;/D&gt;&lt;D xsi:type="xsd:double"&gt;-13.833076&lt;/D&gt;&lt;D xsi:type="xsd:double"&gt;-12.431145&lt;/D&gt;&lt;D xsi:type="xsd:double"&gt;-19.729084&lt;/D&gt;&lt;D xsi:type="xsd:double"&gt;-4.3966293&lt;/D&gt;&lt;D xsi:type="xsd:double"&gt;-7.7693224&lt;/D&gt;&lt;D xsi:type="xsd:double"&gt;-11.747426&lt;/D&gt;&lt;D xsi:type="xsd:double"&gt;-1.1174798&lt;/D&gt;&lt;D xsi:type="xsd:double"&gt;5.3981185&lt;/D&gt;&lt;D xsi:type="xsd:double"&gt;16.532623&lt;/D&gt;&lt;D xsi:type="xsd:double"&gt;14.37676&lt;/D&gt;&lt;D xsi:type="xsd:double"&gt;11.040031&lt;/D&gt;&lt;D xsi:type="xsd:double"&gt;17.489697&lt;/D&gt;&lt;D xsi:type="xsd:double"&gt;9.798109&lt;/D&gt;&lt;D xsi:type="xsd:double"&gt;16.734743&lt;/D&gt;&lt;D xsi:type="xsd:double"&gt;28.494633&lt;/D&gt;&lt;D xsi:type="xsd:double"&gt;22.26609&lt;/D&gt;&lt;D xsi:type="xsd:double"&gt;29.715479&lt;/D&gt;&lt;D xsi:type="xsd:double"&gt;34.14805&lt;/D&gt;&lt;D xsi:type="xsd:double"&gt;27.52596&lt;/D&gt;&lt;D xsi:type="xsd:double"&gt;27.976727&lt;/D&gt;&lt;D xsi:type="xsd:double"&gt;26.463472&lt;/D&gt;&lt;/FQL&gt;&lt;FQL&gt;&lt;Q&gt;QQQ^FG_COMPANY_NAME&lt;/Q&gt;&lt;R&gt;1&lt;/R&gt;&lt;C&gt;1&lt;/C&gt;&lt;D xsi:type="xsd:string"&gt;Invesco QQQ Trust Series I&lt;/D&gt;&lt;/FQL&gt;&lt;FQL&gt;&lt;Q&gt;EWJ^FMA_ROE(NTMA,-20AY,NOW,FY,"PORTAGG","MEANR")&lt;/Q&gt;&lt;R&gt;20&lt;/R&gt;&lt;C&gt;1&lt;/C&gt;&lt;D xsi:type="xsd:double"&gt;9.47226395470966&lt;/D&gt;&lt;D xsi:type="xsd:double"&gt;9.71080928595139&lt;/D&gt;&lt;D xsi:type="xsd:double"&gt;9.94594902069009&lt;/D&gt;&lt;D xsi:type="xsd:double"&gt;9.91062584648368&lt;/D&gt;&lt;D xsi:type="xsd:double"&gt;6.32645011325218&lt;/D&gt;&lt;D xsi:type="xsd:double"&gt;5.71374560341251&lt;/D&gt;&lt;D xsi:type="xsd:double"&gt;7.77608846456594&lt;/D&gt;&lt;D xsi:type="xsd:double"&gt;7.29309511734397&lt;/D&gt;&lt;D xsi:type="xsd:double"&gt;7.60463906390222&lt;/D&gt;&lt;D xsi:type="xsd:double"&gt;8.908847583029&lt;/D&gt;&lt;D xsi:type="xsd:double"&gt;9.08038865449702&lt;/D&gt;&lt;D xsi:type="xsd:double"&gt;8.77889818317635&lt;/D&gt;&lt;D xsi:type="xsd:double"&gt;8.62096827520989&lt;/D&gt;&lt;D xsi:type="xsd:double"&gt;9.23986519100434&lt;/D&gt;&lt;D xsi:type="xsd:double"&gt;9.49570678525962&lt;/D&gt;&lt;D xsi:type="xsd:double"&gt;8.3559627813131&lt;/D&gt;&lt;D xsi:type="xsd:double"&gt;7.43859928704762&lt;/D&gt;&lt;D xsi:type="xsd:double"&gt;9.22076567652677&lt;/D&gt;&lt;D xsi:type="xsd:double"&gt;9.2254455739887&lt;/D&gt;&lt;D xsi:type="xsd:double"&gt;9.29937972257338&lt;/D&gt;&lt;/FQL&gt;&lt;FQL&gt;&lt;Q&gt;TRYQA10Y-FDS^FG_YIELD(-10AY,0,Y,,"YTM")&lt;/Q&gt;&lt;R&gt;10&lt;/R&gt;&lt;C&gt;1&lt;/C&gt;&lt;D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xsi:type="xsd:double"&gt;0.703&lt;/D&gt;&lt;/FQL&gt;&lt;FQL&gt;&lt;Q&gt;CAGDPY@CH^EE_ACTUAL_ANNUAL(MED,+1)&lt;/Q&gt;&lt;R&gt;1&lt;/R&gt;&lt;C&gt;1&lt;/C&gt;&lt;D xsi:type="xsd:double"&gt;8&lt;/D&gt;&lt;/FQL&gt;&lt;FQL&gt;&lt;Q&gt;CC_JP^FG_COMPANY_NAME&lt;/Q&gt;&lt;R&gt;1&lt;/R&gt;&lt;C&gt;1&lt;/C&gt;&lt;D xsi:type="xsd:string"&gt;Japan&lt;/D&gt;&lt;/FQL&gt;&lt;FQL&gt;&lt;Q&gt;USDSEK^FG_PRICE_CHANGE(0,-3AM)&lt;/Q&gt;&lt;R&gt;1&lt;/R&gt;&lt;C&gt;1&lt;/C&gt;&lt;D xsi:type="xsd:double"&gt;-0.9576678&lt;/D&gt;&lt;/FQL&gt;&lt;FQL&gt;&lt;Q&gt;USDCHF^FG_PRICE_CHANGE(0,-3AM)&lt;/Q&gt;&lt;R&gt;1&lt;/R&gt;&lt;C&gt;1&lt;/C&gt;&lt;D xsi:type="xsd:double"&gt;-0.23314953&lt;/D&gt;&lt;/FQL&gt;&lt;FQL&gt;&lt;Q&gt;USDEUR^FG_PRICE_CHANGE(0,-3AM)&lt;/Q&gt;&lt;R&gt;1&lt;/R&gt;&lt;C&gt;1&lt;/C&gt;&lt;D xsi:type="xsd:double"&gt;0.76977015&lt;/D&gt;&lt;/FQL&gt;&lt;FQL&gt;&lt;Q&gt;USDAUD^FG_PRICE_CHANGE(0,-3AM)&lt;/Q&gt;&lt;R&gt;1&lt;/R&gt;&lt;C&gt;1&lt;/C&gt;&lt;D xsi:type="xsd:double"&gt;-2.3133934&lt;/D&gt;&lt;/FQL&gt;&lt;FQL&gt;&lt;Q&gt;EWQ^FMA_EPS(NTMA,-20AY,0,CY,,"PORTAGG","MEANR")&lt;/Q&gt;&lt;R&gt;20&lt;/R&gt;&lt;C&gt;1&lt;/C&gt;&lt;D xsi:type="xsd:double"&gt;2.02293794620879&lt;/D&gt;&lt;D xsi:type="xsd:double"&gt;2.09338204215347&lt;/D&gt;&lt;D xsi:type="xsd:double"&gt;2.69740018358616&lt;/D&gt;&lt;D xsi:type="xsd:double"&gt;3.1669085058651&lt;/D&gt;&lt;D xsi:type="xsd:double"&gt;2.36664992614361&lt;/D&gt;&lt;D xsi:type="xsd:double"&gt;2.07401175960449&lt;/D&gt;&lt;D xsi:type="xsd:double"&gt;2.36258917800502&lt;/D&gt;&lt;D xsi:type="xsd:double"&gt;2.15605314606315&lt;/D&gt;&lt;D xsi:type="xsd:double"&gt;2.15764377090538&lt;/D&gt;&lt;D xsi:type="xsd:double"&gt;2.15768724966229&lt;/D&gt;&lt;D xsi:type="xsd:double"&gt;1.78907537429816&lt;/D&gt;&lt;D xsi:type="xsd:double"&gt;1.66363137331966&lt;/D&gt;&lt;D xsi:type="xsd:double"&gt;1.69319582409989&lt;/D&gt;&lt;D xsi:type="xsd:double"&gt;2.10907755629154&lt;/D&gt;&lt;D xsi:type="xsd:double"&gt;2.23155948612122&lt;/D&gt;&lt;D xsi:type="xsd:double"&gt;2.19705970688086&lt;/D&gt;&lt;D xsi:type="xsd:double"&gt;1.85109750447789&lt;/D&gt;&lt;D xsi:type="xsd:double"&gt;2.46081748750493&lt;/D&gt;&lt;D xsi:type="xsd:double"&gt;2.8026651908005&lt;/D&gt;&lt;D xsi:type="xsd:double"&gt;2.92070467991761&lt;/D&gt;&lt;/FQL&gt;&lt;FQL&gt;&lt;Q&gt;QQQ^P_PRICE_RETURNS_PR('52W',2,-10AY,0,AM)&lt;/Q&gt;&lt;R&gt;121&lt;/R&gt;&lt;C&gt;1&lt;/C&gt;&lt;D xsi:type="xsd:double"&gt;33.752514&lt;/D&gt;&lt;D xsi:type="xsd:double"&gt;30.36765&lt;/D&gt;&lt;D xsi:type="xsd:double"&gt;33.817707&lt;/D&gt;&lt;D xsi:type="xsd:double"&gt;26.608444&lt;/D&gt;&lt;D xsi:type="xsd:double"&gt;22.595919&lt;/D&gt;&lt;D xsi:type="xsd:double"&gt;26.229132&lt;/D&gt;&lt;D xsi:type="xsd:double"&gt;21.549511&lt;/D&gt;&lt;D xsi:type="xsd:double"&gt;19.352913&lt;/D&gt;&lt;D xsi:type="xsd:double"&gt;21.192778&lt;/D&gt;&lt;D xsi:type="xsd:double"&gt;22.804749&lt;/D&gt;&lt;D xsi:type="xsd:double"&gt;28.670906&lt;/D&gt;&lt;D xsi:type="xsd:double"&gt;23.389732&lt;/D&gt;&lt;D xsi:type="xsd:double"&gt;18.322432&lt;/D&gt;&lt;D xsi:type="xsd:double"&gt;16.071213&lt;/D&gt;&lt;D xsi:type="xsd:double"&gt;7.386589&lt;/D&gt;&lt;D xsi:type="xsd:double"&gt;2.3199558&lt;/D&gt;&lt;D xsi:type="xsd:double"&gt;15.046322&lt;/D&gt;&lt;D xsi:type="xsd:double"&gt;9.502053&lt;/D&gt;&lt;D xsi:type="xsd:double"&gt;8.225739&lt;/D&gt;&lt;D xsi:type="xsd:double"&gt;2.1033287&lt;/D&gt;&lt;D xsi:type="xsd:double"&gt;-4.0344477&lt;/D&gt;&lt;D xsi:type="xsd:double"&gt;2.6134372&lt;/D&gt;&lt;D xsi:type="xsd:double"&gt;-2.3640096&lt;/D&gt;&lt;D xsi:type="xsd:double"&gt;0.3340006&lt;/D&gt;&lt;D xsi:type="xsd:double"&gt;-3.3232093&lt;/D&gt;&lt;D xsi:type="xsd:double"&gt;4.6319127&lt;/D&gt;&lt;D xsi:type="xsd:double"&gt;14.6246195&lt;/D&gt;&lt;D xsi:type="xsd:double"&gt;20.05589&lt;/D&gt;&lt;D xsi:type="xsd:double"&gt;3.864038&lt;/D&gt;&lt;D xsi:type="xsd:double"&gt;4.865682&lt;/D&gt;&lt;D xsi:type="xsd:double"&gt;7.7216983&lt;/D&gt;&lt;D xsi:type="xsd:double"&gt;26.471817&lt;/D&gt;&lt;D xsi:type="xsd:double"&gt;27.112543&lt;/D&gt;&lt;D xsi:type="xsd:double"&gt;24.165869&lt;/D&gt;&lt;D xsi:type="xsd:double"&gt;29.270626&lt;/D&gt;&lt;D xsi:type="xsd:double"&gt;30.223274&lt;/D&gt;&lt;D xsi:type="xsd:double"&gt;35.426903&lt;/D&gt;&lt;D xsi:type="xsd:double"&gt;26.392782&lt;/D&gt;&lt;D xsi:type="xsd:double"&gt;23.207438&lt;/D&gt;&lt;D xsi:type="xsd:double"&gt;22.878706&lt;/D&gt;&lt;D xsi:type="xsd:double"&gt;29.62954&lt;/D&gt;&lt;D xsi:type="xsd:double"&gt;33.433758&lt;/D&gt;&lt;D xsi:type="xsd:double"&gt;31.931759&lt;/D&gt;&lt;D xsi:type="xsd:double"&gt;37.376022&lt;/D&gt;&lt;D xsi:type="xsd:double"&gt;29.77649&lt;/D&gt;&lt;D xsi:type="xsd:double"&gt;20.492971&lt;/D&gt;&lt;D xsi:type="xsd:double"&gt;20.441269&lt;/D&gt;&lt;D xsi:type="xsd:double"&gt;21.440971&lt;/D&gt;&lt;D xsi:type="xsd:double"&gt;23.250664&lt;/D&gt;&lt;D xsi:type="xsd:double"&gt;24.380123&lt;/D&gt;&lt;D xsi:type="xsd:double"&gt;30.681955&lt;/D&gt;&lt;D xsi:type="xsd:double"&gt;29.643906&lt;/D&gt;&lt;D xsi:type="xsd:double"&gt;14.277113&lt;/D&gt;&lt;D xsi:type="xsd:double"&gt;8.562077&lt;/D&gt;&lt;D xsi:type="xsd:double"&gt;-1.5645564&lt;/D&gt;&lt;D xsi:type="xsd:double"&gt;-3.759104&lt;/D&gt;&lt;D xsi:type="xsd:double"&gt;4.4618845&lt;/D&gt;&lt;D xsi:type="xsd:double"&gt;14.380646&lt;/D&gt;&lt;D xsi:type="xsd:double"&gt;18.717861&lt;/D&gt;&lt;D xsi:type="xsd:double"&gt;5.4892898&lt;/D&gt;&lt;D xsi:type="xsd:double"&gt;10.041022&lt;/D&gt;&lt;D xsi:type="xsd:double"&gt;9.416413&lt;/D&gt;&lt;D xsi:type="xsd:double"&gt;1.1401057&lt;/D&gt;&lt;D xsi:type="xsd:double"&gt;1.5518546&lt;/D&gt;&lt;D xsi:type="xsd:double"&gt;19.614017&lt;/D&gt;&lt;D xsi:type="xsd:double"&gt;27.199566&lt;/D&gt;&lt;D xsi:type="xsd:double"&gt;40.717113&lt;/D&gt;&lt;D xsi:type="xsd:double"&gt;36.884342&lt;/D&gt;&lt;D xsi:type="xsd:double"&gt;19.806744&lt;/D&gt;&lt;D xsi:type="xsd:double"&gt;5.0492406&lt;/D&gt;&lt;D xsi:type="xsd:double"&gt;11.883747&lt;/D&gt;&lt;D xsi:type="xsd:double"&gt;30.68583&lt;/D&gt;&lt;D xsi:type="xsd:double"&gt;30.337166&lt;/D&gt;&lt;D xsi:type="xsd:double"&gt;32.560253&lt;/D&gt;&lt;D xsi:type="xsd:double"&gt;59.319473&lt;/D&gt;&lt;D xsi:type="xsd:double"&gt;49.320126&lt;/D&gt;&lt;D xsi:type="xsd:double"&gt;38.51893&lt;/D&gt;&lt;D xsi:type="xsd:double"&gt;46.20781&lt;/D&gt;&lt;D xsi:type="xsd:double"&gt;47.423256&lt;/D&gt;&lt;D xsi:type="xsd:double"&gt;46.133423&lt;/D&gt;&lt;D xsi:type="xsd:double"&gt;46.148014&lt;/D&gt;&lt;D xsi:type="xsd:double"&gt;65.69682&lt;/D&gt;&lt;D xsi:type="xsd:double"&gt;61.284042&lt;/D&gt;&lt;D xsi:type="xsd:double"&gt;46.099426&lt;/D&gt;&lt;D xsi:type="xsd:double"&gt;48.079254&lt;/D&gt;&lt;D xsi:type="xsd:double"&gt;43.259502&lt;/D&gt;&lt;D xsi:type="xsd:double"&gt;29.933918&lt;/D&gt;&lt;D xsi:type="xsd:double"&gt;30.517853&lt;/D&gt;&lt;D xsi:type="xsd:double"&gt;42.20135&lt;/D&gt;&lt;D xsi:type="xsd:double"&gt;32.74374&lt;/D&gt;&lt;D xsi:type="xsd:double"&gt;29.060614&lt;/D&gt;&lt;D xsi:type="xsd:double"&gt;10.013843&lt;/D&gt;&lt;D xsi:type="xsd:double"&gt;10.929001&lt;/D&gt;&lt;D xsi:type="xsd:double"&gt;16.034746&lt;/D&gt;&lt;D xsi:type="xsd:double"&gt;-2.7752638&lt;/D&gt;&lt;D xsi:type="xsd:double"&gt;-6.6959143&lt;/D&gt;&lt;D xsi:type="xsd:double"&gt;-19.393456&lt;/D&gt;&lt;D xsi:type="xsd:double"&gt;-14.8431835&lt;/D&gt;&lt;D xsi:type="xsd:double"&gt;-16.989946&lt;/D&gt;&lt;D xsi:type="xsd:double"&gt;-21.728348&lt;/D&gt;&lt;D xsi:type="xsd:double"&gt;-26.353628&lt;/D&gt;&lt;D xsi:type="xsd:double"&gt;-27.284426&lt;/D&gt;&lt;D xsi:type="xsd:double"&gt;-34.759884&lt;/D&gt;&lt;D xsi:type="xsd:double"&gt;-12.507635&lt;/D&gt;&lt;D xsi:type="xsd:double"&gt;-14.729929&lt;/D&gt;&lt;D xsi:type="xsd:double"&gt;-15.192699&lt;/D&gt;&lt;D xsi:type="xsd:double"&gt;-0.90897083&lt;/D&gt;&lt;D xsi:type="xsd:double"&gt;17.284012&lt;/D&gt;&lt;D xsi:type="xsd:double"&gt;29.486275&lt;/D&gt;&lt;D xsi:type="xsd:double"&gt;24.663757&lt;/D&gt;&lt;D xsi:type="xsd:double"&gt;20.147419&lt;/D&gt;&lt;D xsi:type="xsd:double"&gt;28.758823&lt;/D&gt;&lt;D xsi:type="xsd:double"&gt;27.409018&lt;/D&gt;&lt;D xsi:type="xsd:double"&gt;38.95744&lt;/D&gt;&lt;D xsi:type="xsd:double"&gt;59.221016&lt;/D&gt;&lt;D xsi:type="xsd:double"&gt;45.472862&lt;/D&gt;&lt;D xsi:type="xsd:double"&gt;49.294533&lt;/D&gt;&lt;D xsi:type="xsd:double"&gt;45.53448&lt;/D&gt;&lt;D xsi:type="xsd:double"&gt;39.118492&lt;/D&gt;&lt;D xsi:type="xsd:double"&gt;32.81853&lt;/D&gt;&lt;D xsi:type="xsd:double"&gt;32.334282&lt;/D&gt;&lt;/FQL&gt;&lt;FQL&gt;&lt;Q&gt;EWL^FG_TOTAL_RETURNC(-10AY,0,AM)&lt;/Q&gt;&lt;R&gt;121&lt;/R&gt;&lt;C&gt;1&lt;/C&gt;&lt;D xsi:type="xsd:double"&gt;-0.406909&lt;/D&gt;&lt;D xsi:type="xsd:double"&gt;-1.5479028&lt;/D&gt;&lt;D xsi:type="xsd:double"&gt;-0.35597682&lt;/D&gt;&lt;D xsi:type="xsd:double"&gt;-2.7686834&lt;/D&gt;&lt;D xsi:type="xsd:double"&gt;-1.3778329&lt;/D&gt;&lt;D xsi:type="xsd:double"&gt;3.042531&lt;/D&gt;&lt;D xsi:type="xsd:double"&gt;-2.4103642&lt;/D&gt;&lt;D xsi:type="xsd:double"&gt;-1.9450426&lt;/D&gt;&lt;D xsi:type="xsd:double"&gt;4.91184&lt;/D&gt;&lt;D xsi:type="xsd:double"&gt;1.0204077&lt;/D&gt;&lt;D xsi:type="xsd:double"&gt;2.9114604&lt;/D&gt;&lt;D xsi:type="xsd:double"&gt;2.9157162&lt;/D&gt;&lt;D xsi:type="xsd:double"&gt;-2.8387249&lt;/D&gt;&lt;D xsi:type="xsd:double"&gt;-0.118243694&lt;/D&gt;&lt;D xsi:type="xsd:double"&gt;-5.6821527&lt;/D&gt;&lt;D xsi:type="xsd:double"&gt;-6.3382506&lt;/D&gt;&lt;D xsi:type="xsd:double"&gt;6.6666603&lt;/D&gt;&lt;D xsi:type="xsd:double"&gt;-3.1721115&lt;/D&gt;&lt;D xsi:type="xsd:double"&gt;2.0758986&lt;/D&gt;&lt;D xsi:type="xsd:double"&gt;-8.611375&lt;/D&gt;&lt;D xsi:type="xsd:double"&gt;-0.7649481&lt;/D&gt;&lt;D xsi:type="xsd:double"&gt;2.5578141&lt;/D&gt;&lt;D xsi:type="xsd:double"&gt;4.6463966&lt;/D&gt;&lt;D xsi:type="xsd:double"&gt;0.6856084&lt;/D&gt;&lt;D xsi:type="xsd:double"&gt;-4.494923</t>
        </r>
      </text>
    </comment>
    <comment ref="A7" authorId="0" shapeId="0" xr:uid="{3671B38D-5116-44BB-BBE0-17324951CA7E}">
      <text>
        <r>
          <rPr>
            <b/>
            <sz val="9"/>
            <color indexed="81"/>
            <rFont val="Tahoma"/>
            <charset val="1"/>
          </rPr>
          <t>6&lt;/D&gt;&lt;D xsi:type="xsd:double"&gt;3.6598086&lt;/D&gt;&lt;D xsi:type="xsd:double"&gt;1.5467405&lt;/D&gt;&lt;D xsi:type="xsd:double"&gt;2.3178816&lt;/D&gt;&lt;D xsi:type="xsd:double"&gt;-5.9223294&lt;/D&gt;&lt;D xsi:type="xsd:double"&gt;-2.8551757&lt;/D&gt;&lt;D xsi:type="xsd:double"&gt;3.215921&lt;/D&gt;&lt;D xsi:type="xsd:double"&gt;5.423963&lt;/D&gt;&lt;D xsi:type="xsd:double"&gt;1.0745764&lt;/D&gt;&lt;D xsi:type="xsd:double"&gt;3.5760283&lt;/D&gt;&lt;D xsi:type="xsd:double"&gt;3.3903599&lt;/D&gt;&lt;D xsi:type="xsd:double"&gt;4.93381&lt;/D&gt;&lt;D xsi:type="xsd:double"&gt;1.7866969&lt;/D&gt;&lt;D xsi:type="xsd:double"&gt;-1.12198&lt;/D&gt;&lt;D xsi:type="xsd:double"&gt;-0.29094815&lt;/D&gt;&lt;D xsi:type="xsd:double"&gt;1.1963844&lt;/D&gt;&lt;D xsi:type="xsd:double"&gt;-1.326412&lt;/D&gt;&lt;D xsi:type="xsd:double"&gt;2.776146&lt;/D&gt;&lt;D xsi:type="xsd:double"&gt;1.0236025&lt;/D&gt;&lt;D xsi:type="xsd:double"&gt;6.2201023&lt;/D&gt;&lt;D xsi:type="xsd:double"&gt;-7.472187&lt;/D&gt;&lt;D xsi:type="xsd:double"&gt;-1.9472957&lt;/D&gt;&lt;D xsi:type="xsd:double"&gt;-0.08762479&lt;/D&gt;&lt;D xsi:type="xsd:double"&gt;-0.6430805&lt;/D&gt;&lt;D xsi:type="xsd:double"&gt;-3.162104&lt;/D&gt;&lt;D xsi:type="xsd:double"&gt;7.5054526&lt;/D&gt;&lt;D xsi:type="xsd:double"&gt;0.9269953&lt;/D&gt;&lt;D xsi:type="xsd:double"&gt;-0.43054223&lt;/D&gt;&lt;D xsi:type="xsd:double"&gt;-7.004899&lt;/D&gt;&lt;D xsi:type="xsd:double"&gt;3.0688167&lt;/D&gt;&lt;D xsi:type="xsd:double"&gt;-5.6541324&lt;/D&gt;&lt;D xsi:type="xsd:double"&gt;5.2916765&lt;/D&gt;&lt;D xsi:type="xsd:double"&gt;4.6624303&lt;/D&gt;&lt;D xsi:type="xsd:double"&gt;1.5909672&lt;/D&gt;&lt;D xsi:type="xsd:double"&gt;2.76196&lt;/D&gt;&lt;D xsi:type="xsd:double"&gt;0&lt;/D&gt;&lt;D xsi:type="xsd:double"&gt;6.211841&lt;/D&gt;&lt;D xsi:type="xsd:double"&gt;-0.7188499&lt;/D&gt;&lt;D xsi:type="xsd:double"&gt;-0.8849621&lt;/D&gt;&lt;D xsi:type="xsd:double"&gt;2.0292163&lt;/D&gt;&lt;D xsi:type="xsd:double"&gt;1.1668086&lt;/D&gt;&lt;D xsi:type="xsd:double"&gt;2.4901628&lt;/D&gt;&lt;D xsi:type="xsd:double"&gt;4.2199492&lt;/D&gt;&lt;D xsi:type="xsd:double"&gt;1.0061383&lt;/D&gt;&lt;D xsi:type="xsd:double"&gt;-7.968897&lt;/D&gt;&lt;D xsi:type="xsd:double"&gt;-8.157337&lt;/D&gt;&lt;D xsi:type="xsd:double"&gt;7.387185&lt;/D&gt;&lt;D xsi:type="xsd:double"&gt;1.980722&lt;/D&gt;&lt;D xsi:type="xsd:double"&gt;3.2798052&lt;/D&gt;&lt;D xsi:type="xsd:double"&gt;6.663215&lt;/D&gt;&lt;D xsi:type="xsd:double"&gt;1.3801455&lt;/D&gt;&lt;D xsi:type="xsd:double"&gt;-1.4091253&lt;/D&gt;&lt;D xsi:type="xsd:double"&gt;-5.184108&lt;/D&gt;&lt;D xsi:type="xsd:double"&gt;10.040879&lt;/D&gt;&lt;D xsi:type="xsd:double"&gt;3.188324&lt;/D&gt;&lt;D xsi:type="xsd:double"&gt;1.8235087&lt;/D&gt;&lt;D xsi:type="xsd:double"&gt;-4.421842&lt;/D&gt;&lt;D xsi:type="xsd:double"&gt;3.5854697&lt;/D&gt;&lt;D xsi:type="xsd:double"&gt;4.309964&lt;/D&gt;&lt;D xsi:type="xsd:double"&gt;4.3245554&lt;/D&gt;&lt;D xsi:type="xsd:double"&gt;2.6804686&lt;/D&gt;&lt;D xsi:type="xsd:double"&gt;1.2823105&lt;/D&gt;&lt;D xsi:type="xsd:double"&gt;2.8135061&lt;/D&gt;&lt;D xsi:type="xsd:double"&gt;-8.874125&lt;/D&gt;&lt;D xsi:type="xsd:double"&gt;7.357359&lt;/D&gt;&lt;D xsi:type="xsd:double"&gt;-1.4385581&lt;/D&gt;&lt;D xsi:type="xsd:double"&gt;7.4194193&lt;/D&gt;&lt;D xsi:type="xsd:double"&gt;-8.133614&lt;/D&gt;&lt;D xsi:type="xsd:double"&gt;-1.520133&lt;/D&gt;&lt;D xsi:type="xsd:double"&gt;1.7939091&lt;/D&gt;&lt;D xsi:type="xsd:double"&gt;-3.6885202&lt;/D&gt;&lt;D xsi:type="xsd:double"&gt;-2.6170194&lt;/D&gt;&lt;D xsi:type="xsd:double"&gt;-8.371091&lt;/D&gt;&lt;D xsi:type="xsd:double"&gt;4.841852&lt;/D&gt;&lt;D xsi:type="xsd:double"&gt;-4.200512&lt;/D&gt;&lt;D xsi:type="xsd:double"&gt;-7.6550364&lt;/D&gt;&lt;D xsi:type="xsd:double"&gt;3.2266498&lt;/D&gt;&lt;D xsi:type="xsd:double"&gt;8.233809&lt;/D&gt;&lt;D xsi:type="xsd:double"&gt;-1.5026987&lt;/D&gt;&lt;D xsi:type="xsd:double"&gt;7.246721&lt;/D&gt;&lt;D xsi:type="xsd:double"&gt;-3.600806&lt;/D&gt;&lt;D xsi:type="xsd:double"&gt;1.1759281&lt;/D&gt;&lt;D xsi:type="xsd:double"&gt;9.594345&lt;/D&gt;&lt;D xsi:type="xsd:double"&gt;-1.5595734&lt;/D&gt;&lt;D xsi:type="xsd:double"&gt;-1.3403177&lt;/D&gt;&lt;D xsi:type="xsd:double"&gt;4.684758&lt;/D&gt;&lt;D xsi:type="xsd:double"&gt;-4.0987015&lt;/D&gt;&lt;D xsi:type="xsd:double"&gt;-5.1897106&lt;/D&gt;&lt;D xsi:type="xsd:double"&gt;-4.300827&lt;/D&gt;&lt;D xsi:type="xsd:double"&gt;7.714486&lt;/D&gt;&lt;D xsi:type="xsd:double"&gt;6.7826867&lt;/D&gt;&lt;D xsi:type="xsd:double"&gt;-0.08357763&lt;/D&gt;&lt;D xsi:type="xsd:double"&gt;-1.6311169&lt;/D&gt;&lt;D xsi:type="xsd:double"&gt;1.1904716&lt;/D&gt;&lt;D xsi:type="xsd:double"&gt;-3.4873962&lt;/D&gt;&lt;D xsi:type="xsd:double"&gt;4.5276523&lt;/D&gt;&lt;D xsi:type="xsd:double"&gt;2.5016904&lt;/D&gt;&lt;/FQL&gt;&lt;FQL&gt;&lt;Q&gt;EWG^FMA_DIV_YLD(NTMA,-10AY,0,AM,"PORTAGG","MEANR")&lt;/Q&gt;&lt;R&gt;121&lt;/R&gt;&lt;C&gt;1&lt;/C&gt;&lt;D xsi:type="xsd:double"&gt;3.02534638786798&lt;/D&gt;&lt;D xsi:type="xsd:double"&gt;3.13377498207503&lt;/D&gt;&lt;D xsi:type="xsd:double"&gt;3.17696589000876&lt;/D&gt;&lt;D xsi:type="xsd:double"&gt;3.182935331377&lt;/D&gt;&lt;D xsi:type="xsd:double"&gt;3.35737952709799&lt;/D&gt;&lt;D xsi:type="xsd:double"&gt;3.12789091800153&lt;/D&gt;&lt;D xsi:type="xsd:double"&gt;3.15223282195222&lt;/D&gt;&lt;D xsi:type="xsd:double"&gt;2.94114206434916&lt;/D&gt;&lt;D xsi:type="xsd:double"&gt;2.78173214454678&lt;/D&gt;&lt;D xsi:type="xsd:double"&gt;2.70153237687039&lt;/D&gt;&lt;D xsi:type="xsd:double"&gt;2.77007952004987&lt;/D&gt;&lt;D xsi:type="xsd:double"&gt;2.87280638515946&lt;/D&gt;&lt;D xsi:type="xsd:double"&gt;2.94388490543508&lt;/D&gt;&lt;D xsi:type="xsd:double"&gt;3.050611865343&lt;/D&gt;&lt;D xsi:type="xsd:double"&gt;3.31556701153143&lt;/D&gt;&lt;D xsi:type="xsd:double"&gt;3.54933464849974&lt;/D&gt;&lt;D xsi:type="xsd:double"&gt;3.08775809658554&lt;/D&gt;&lt;D xsi:type="xsd:double"&gt;2.88268759826885&lt;/D&gt;&lt;D xsi:type="xsd:double"&gt;3.06540295319907&lt;/D&gt;&lt;D xsi:type="xsd:double"&gt;3.40099681816848&lt;/D&gt;&lt;D xsi:type="xsd:double"&gt;3.45753954486758&lt;/D&gt;&lt;D xsi:type="xsd:double"&gt;3.33219203944934&lt;/D&gt;&lt;D xsi:type="xsd:double"&gt;3.2013213943527&lt;/D&gt;&lt;D xsi:type="xsd:double"&gt;3.27075647027927&lt;/D&gt;&lt;D xsi:type="xsd:double"&gt;3.57994325869663&lt;/D&gt;&lt;D xsi:type="xsd:double"&gt;3.28673010295758&lt;/D&gt;&lt;D xsi:type="xsd:double"&gt;3.18279060008877&lt;/D&gt;&lt;D xsi:type="xsd:double"&gt;3.2082064812299&lt;/D&gt;&lt;D xsi:type="xsd:double"&gt;3.14147322244269&lt;/D&gt;&lt;D xsi:type="xsd:double"&gt;3.20138669639492&lt;/D&gt;&lt;D xsi:type="xsd:double"&gt;2.97353824139819&lt;/D&gt;&lt;D xsi:type="xsd:double"&gt;2.90539953181078&lt;/D&gt;&lt;D xsi:type="xsd:double"&gt;2.95452596437925&lt;/D&gt;&lt;D xsi:type="xsd:double"&gt;2.94150119864048&lt;/D&gt;&lt;D xsi:type="xsd:double"&gt;2.8942566420826&lt;/D&gt;&lt;D xsi:type="xsd:double"&gt;2.93556448903773&lt;/D&gt;&lt;D xsi:type="xsd:double"&gt;2.96116516924114&lt;/D&gt;&lt;D xsi:type="xsd:double"&gt;3.07977661898126&lt;/D&gt;&lt;D xsi:type="xsd:double"&gt;3.13543422773645&lt;/D&gt;&lt;D xsi:type="xsd:double"&gt;3.01729394475262&lt;/D&gt;&lt;D xsi:type="xsd:double"&gt;2.90485634173562&lt;/D&gt;&lt;D xsi:type="xsd:double"&gt;2.9362500013656&lt;/D&gt;&lt;D xsi:type="xsd:double"&gt;2.93600886882859&lt;/D&gt;&lt;D xsi:type="xsd:double"&gt;2.89208113356808&lt;/D&gt;&lt;D xsi:type="xsd:double"&gt;3.12778045347504&lt;/D&gt;&lt;D xsi:type="xsd:double"&gt;3.2891176541312&lt;/D&gt;&lt;D xsi:type="xsd:double"&gt;3.16382522416928&lt;/D&gt;&lt;D xsi:type="xsd:double"&gt;3.12474059873947&lt;/D&gt;&lt;D xsi:type="xsd:double"&gt;3.30887995176849&lt;/D&gt;&lt;D xsi:type="xsd:double"&gt;3.13887377399888&lt;/D&gt;&lt;D xsi:type="xsd:double"&gt;3.21391970307408&lt;/D&gt;&lt;D xsi:type="xsd:double"&gt;3.32370763382734&lt;/D&gt;&lt;D xsi:type="xsd:double"&gt;3.6315685407922&lt;/D&gt;&lt;D xsi:type="xsd:double"&gt;3.66124965915804&lt;/D&gt;&lt;D xsi:type="xsd:double"&gt;3.96862957428848&lt;/D&gt;&lt;D xsi:type="xsd:double"&gt;3.69606962872207&lt;/D&gt;&lt;D xsi:type="xsd:double"&gt;3.61231623795558&lt;/D&gt;&lt;D xsi:type="xsd:double"&gt;3.63725865336328&lt;/D&gt;&lt;D xsi:type="xsd:double"&gt;3.39101461211071&lt;/D&gt;&lt;D xsi:type="xsd:double"&gt;3.59086873903841&lt;/D&gt;&lt;D xsi:type="xsd:double"&gt;3.48770832349963&lt;/D&gt;&lt;D xsi:type="xsd:double"&gt;3.40772040183069&lt;/D&gt;&lt;D xsi:type="xsd:double"&gt;3.59154028943586&lt;/D&gt;&lt;D xsi:type="xsd:double"&gt;3.40266575427458&lt;/D&gt;&lt;D xsi:type="xsd:double"&gt;3.26086102424326&lt;/D&gt;&lt;D xsi:type="xsd:double"&gt;3.08445692780761&lt;/D&gt;&lt;D xsi:type="xsd:double"&gt;3.07735047874971&lt;/D&gt;&lt;D xsi:type="xsd:double"&gt;3.08154289118697&lt;/D&gt;&lt;D xsi:type="xsd:double"&gt;3.43280005946778&lt;/D&gt;&lt;D xsi:type="xsd:double"&gt;4.05034714806666&lt;/D&gt;&lt;D xsi:type="xsd:double"&gt;3.3781579461258&lt;/D&gt;&lt;D xsi:type="xsd:double"&gt;3.06951400570806&lt;/D&gt;&lt;D xsi:type="xsd:double"&gt;2.96999232310354&lt;/D&gt;&lt;D xsi:type="xsd:double"&gt;2.83051477217327&lt;/D&gt;&lt;D xsi:type="xsd:double"&gt;2.80109955153885&lt;/D&gt;&lt;D xsi:type="xsd:double"&gt;2.85421570621055&lt;/D&gt;&lt;D xsi:type="xsd:double"&gt;3.17995775480559&lt;/D&gt;&lt;D xsi:type="xsd:double"&gt;2.81345230526804&lt;/D&gt;&lt;D xsi:type="xsd:double"&gt;2.70738739396935&lt;/D&gt;&lt;D xsi:type="xsd:double"&gt;2.76687214284489&lt;/D&gt;&lt;D xsi:type="xsd:double"&gt;2.84200926461744&lt;/D&gt;&lt;D xsi:type="xsd:double"&gt;2.75160039071943&lt;/D&gt;&lt;D xsi:type="xsd:double"&gt;2.74031194804714&lt;/D&gt;&lt;D xsi:type="xsd:double"&gt;2.80497326819081&lt;/D&gt;&lt;D xsi:type="xsd:double"&gt;2.80889137566421&lt;/D&gt;&lt;D xsi:type="xsd:double"&gt;2.82619083772528&lt;/D&gt;&lt;D xsi:type="xsd:double"&gt;2.85217513372546&lt;/D&gt;&lt;D xsi:type="xsd:double"&gt;2.97978891651961&lt;/D&gt;&lt;D xsi:type="xsd:double"&gt;2.9447856949272&lt;/D&gt;&lt;D xsi:type="xsd:double"&gt;3.12295119942719&lt;/D&gt;&lt;D xsi:type="xsd:double"&gt;3.01736023708682&lt;/D&gt;&lt;D xsi:type="xsd:double"&gt;3.19621646994913&lt;/D&gt;&lt;D xsi:type="xsd:double"&gt;3.4702635522923&lt;/D&gt;&lt;D xsi:type="xsd:double"&gt;3.53282572346807&lt;/D&gt;&lt;D xsi:type="xsd:double"&gt;3.70509691003161&lt;/D&gt;&lt;D xsi:type="xsd:double"&gt;3.74348504500663&lt;/D&gt;&lt;D xsi:type="xsd:double"&gt;4.06620312396178&lt;/D&gt;&lt;D xsi:type="xsd:double"&gt;4.08085392470347&lt;/D&gt;&lt;D xsi:type="xsd:double"&gt;4.18329508575929&lt;/D&gt;&lt;D xsi:type="xsd:double"&gt;4.45275154410527&lt;/D&gt;&lt;D xsi:type="xsd:double"&gt;4.13497504669276&lt;/D&gt;&lt;D xsi:type="xsd:double"&gt;3.75921625960837&lt;/D&gt;&lt;D xsi:type="xsd:double"&gt;3.85395181641099&lt;/D&gt;&lt;D xsi:type="xsd:double"&gt;3.5015276919582&lt;/D&gt;&lt;D xsi:type="xsd:double"&gt;3.52099338927732&lt;/D&gt;&lt;D xsi:type="xsd:double"&gt;3.63081444262498&lt;/D&gt;&lt;D xsi:type="xsd:double"&gt;3.50639902551289&lt;/D&gt;&lt;D xsi:type="xsd:double"&gt;3.60675682757833&lt;/D&gt;&lt;D xsi:type="xsd:double"&gt;3.66297561785495&lt;/D&gt;&lt;D xsi:type="xsd:double"&gt;3.57560277005313&lt;/D&gt;&lt;D xsi:type="xsd:double"&gt;3.74259608041546&lt;/D&gt;&lt;D xsi:type="xsd:double"&gt;3.87062384072737&lt;/D&gt;&lt;D xsi:type="xsd:double"&gt;4.0682675227399&lt;/D&gt;&lt;D xsi:type="xsd:double"&gt;3.69909558044242&lt;/D&gt;&lt;D xsi:type="xsd:double"&gt;3.56356956107804&lt;/D&gt;&lt;D xsi:type="xsd:double"&gt;3.53190135389975&lt;/D&gt;&lt;D xsi:type="xsd:double"&gt;3.4552288982232&lt;/D&gt;&lt;D xsi:type="xsd:double"&gt;3.24692297836378&lt;/D&gt;&lt;D xsi:type="xsd:double"&gt;3.34150471980538&lt;/D&gt;&lt;D xsi:type="xsd:double"&gt;3.34203427093632&lt;/D&gt;&lt;D xsi:type="xsd:double"&gt;3.42555657614996&lt;/D&gt;&lt;/FQL&gt;&lt;FQL&gt;&lt;Q&gt;EWA^FMA_PE(NTMA,-10AY,0,AM,"PORTAGG","MEANR")&lt;/Q&gt;&lt;R&gt;121&lt;/R&gt;&lt;C&gt;1&lt;/C&gt;&lt;D xsi:type="xsd:double"&gt;14.3817396963275&lt;/D&gt;&lt;D xsi:type="xsd:double"&gt;14.8718073989985&lt;/D&gt;&lt;D xsi:type="xsd:double"&gt;14.9011965294481&lt;/D&gt;&lt;D xsi:type="xsd:double"&gt;13.9043161430432&lt;/D&gt;&lt;D xsi:type="xsd:double"&gt;14.4664510568079&lt;/D&gt;&lt;D xsi:type="xsd:double"&gt;13.9787887366389&lt;/D&gt;&lt;D xsi:type="xsd:double"&gt;14.3533535242629&lt;/D&gt;&lt;D xsi:type="xsd:double"&gt;15.2236452154356&lt;/D&gt;&lt;D xsi:type="xsd:double"&gt;16.3202924327073&lt;/D&gt;&lt;D xsi:type="xsd:double"&gt;16.3355477603444&lt;/D&gt;&lt;D xsi:type="xsd:double"&gt;16.7250982531099&lt;/D&gt;&lt;D xsi:type="xsd:double"&gt;15.7960503929527&lt;/D&gt;&lt;D xsi:type="xsd:double"&gt;15.3132454893494&lt;/D&gt;&lt;D xsi:type="xsd:double"&gt;15.3598978074525&lt;/D&gt;&lt;D xsi:type="xsd:double"&gt;14.7220544771883&lt;/D&gt;&lt;D xsi:type="xsd:double"&gt;14.4025064404502&lt;/D&gt;&lt;D xsi:type="xsd:double"&gt;15.2682594465017&lt;/D&gt;&lt;D xsi:type="xsd:double"&gt;15.1108691793716&lt;/D&gt;&lt;D xsi:type="xsd:double"&gt;15.4320971981375&lt;/D&gt;&lt;D xsi:type="xsd:double"&gt;15.1120343231712&lt;/D&gt;&lt;D xsi:type="xsd:double"&gt;15.077202287216&lt;/D&gt;&lt;D xsi:type="xsd:double"&gt;15.7547215741302&lt;/D&gt;&lt;D xsi:type="xsd:double"&gt;16.1003752867512&lt;/D&gt;&lt;D xsi:type="xsd:double"&gt;16.5798765196975&lt;/D&gt;&lt;D xsi:type="xsd:double"&gt;15.5667735174324&lt;/D&gt;&lt;D xsi:type="xsd:double"&gt;16.8032941136258&lt;/D&gt;&lt;D xsi:type="xsd:double"&gt;16.7436373869721&lt;/D&gt;&lt;D xsi:type="xsd:double"&gt;16.2042176250428&lt;/D&gt;&lt;D xsi:type="xsd:double"&gt;15.6544092944133&lt;/D&gt;&lt;D xsi:type="xsd:double"&gt;15.9553825431739&lt;/D&gt;&lt;D xsi:type="xsd:double"&gt;15.8327073198167&lt;/D&gt;&lt;D xsi:type="xsd:double"&gt;15.8237933512267&lt;/D&gt;&lt;D xsi:type="xsd:double"&gt;15.7599476648083&lt;/D&gt;&lt;D xsi:type="xsd:double"&gt;15.743036114316&lt;/D&gt;&lt;D xsi:type="xsd:double"&gt;15.9641508675512&lt;/D&gt;&lt;D xsi:type="xsd:double"&gt;15.3746191871798&lt;/D&gt;&lt;D xsi:type="xsd:double"&gt;15.4467917508971&lt;/D&gt;&lt;D xsi:type="xsd:double"&gt;15.6366848976938&lt;/D&gt;&lt;D xsi:type="xsd:double"&gt;15.6740970706562&lt;/D&gt;&lt;D xsi:type="xsd:double"&gt;15.3964956268118&lt;/D&gt;&lt;D xsi:type="xsd:double"&gt;15.7763962109535&lt;/D&gt;&lt;D xsi:type="xsd:double"&gt;15.9048316813593&lt;/D&gt;&lt;D xsi:type="xsd:double"&gt;16.0728681141296&lt;/D&gt;&lt;D xsi:type="xsd:double"&gt;15.825534674446&lt;/D&gt;&lt;D xsi:type="xsd:double"&gt;15.5597740514577&lt;/D&gt;&lt;D xsi:type="xsd:double"&gt;14.7825160995786&lt;/D&gt;&lt;D xsi:type="xsd:double"&gt;15.1145864306011&lt;/D&gt;&lt;D xsi:type="xsd:double"&gt;15.2549722770613&lt;/D&gt;&lt;D xsi:type="xsd:double"&gt;15.5099107740284&lt;/D&gt;&lt;D xsi:type="xsd:double"&gt;15.6759553130813&lt;/D&gt;&lt;D xsi:type="xsd:double"&gt;15.6912965151452&lt;/D&gt;&lt;D xsi:type="xsd:double"&gt;15.3018169312989&lt;/D&gt;&lt;D xsi:type="xsd:double"&gt;13.8735515723673&lt;/D&gt;&lt;D xsi:type="xsd:double"&gt;14.2034482721015&lt;/D&gt;&lt;D xsi:type="xsd:double"&gt;13.9820356702779&lt;/D&gt;&lt;D xsi:type="xsd:double"&gt;14.7576024478234&lt;/D&gt;&lt;D xsi:type="xsd:double"&gt;15.3518467142567&lt;/D&gt;&lt;D xsi:type="xsd:double"&gt;15.2804634785533&lt;/D&gt;&lt;D xsi:type="xsd:double"&gt;15.5430077856131&lt;/D&gt;&lt;D xsi:type="xsd:double"&gt;15.7299025069166&lt;/D&gt;&lt;D xsi:type="xsd:double"&gt;16.1962504917731&lt;/D&gt;&lt;D xsi:type="xsd:double"&gt;16.3887207137146&lt;/D&gt;&lt;D xsi:type="xsd:double"&gt;15.9203967923659&lt;/D&gt;&lt;D xsi:type="xsd:double"&gt;16.7449934204955&lt;/D&gt;&lt;D xsi:type="xsd:double"&gt;17.0209581471636&lt;/D&gt;&lt;D xsi:type="xsd:double"&gt;17.4205192216872&lt;/D&gt;&lt;D xsi:type="xsd:double"&gt;17.4933438288425&lt;/D&gt;&lt;D xsi:type="xsd:double"&gt;17.8626913435745&lt;/D&gt;&lt;D xsi:type="xsd:double"&gt;16.474077348146&lt;/D&gt;&lt;D xsi:type="xsd:double"&gt;13.2649161217124&lt;/D&gt;&lt;D xsi:type="xsd:double"&gt;16.6378716021893&lt;/D&gt;&lt;D xsi:type="xsd:double"&gt;18.8074966794174&lt;/D&gt;&lt;D xsi:type="xsd:double"&gt;18.8234789611661&lt;/D&gt;&lt;D xsi:type="xsd:double"&gt;19.3362267983603&lt;/D&gt;&lt;D xsi:type="xsd:double"&gt;19.5936908184514&lt;/D&gt;&lt;D xsi:type="xsd:double"&gt;18.4193340154954&lt;/D&gt;&lt;D xsi:type="xsd:double"&gt;18.2004435240498&lt;/D&gt;&lt;D xsi:type="xsd:double"&gt;19.6073741732098&lt;/D&gt;&lt;D xsi:type="xsd:double"&gt;19.1711045571222&lt;/D&gt;&lt;D xsi:type="xsd:double"&gt;18.6940967405979&lt;/D&gt;&lt;D xsi:type="xsd:double"&gt;17.9550506925964&lt;/D&gt;&lt;D xsi:type="xsd:double"&gt;17.736930570692&lt;/D&gt;&lt;D xsi:type="xsd:double"&gt;18.0594092060134&lt;/D&gt;&lt;D xsi:type="xsd:double"&gt;18.1241859724021&lt;/D&gt;&lt;D xsi:type="xsd:double"&gt;17.6982697588903&lt;/D&gt;&lt;D xsi:type="xsd:double"&gt;16.7106853907406&lt;/D&gt;&lt;D xsi:type="xsd:double"&gt;17.2124065823664&lt;/D&gt;&lt;D xsi:type="xsd:double"&gt;16.8894684933543&lt;/D&gt;&lt;D xsi:type="xsd:double"&gt;17.7182468412458&lt;/D&gt;&lt;D xsi:type="xsd:double"&gt;16.9111747813273&lt;/D&gt;&lt;D xsi:type="xsd:double"&gt;17.4437172810957&lt;/D&gt;&lt;D xsi:type="xsd:double"&gt;16.2086261777332&lt;/D&gt;&lt;D xsi:type="xsd:double"&gt;15.4791782688763&lt;/D&gt;&lt;D xsi:type="xsd:double"&gt;16.2258104158258&lt;/D&gt;&lt;D xsi:type="xsd:double"&gt;14.8617548828346&lt;/D&gt;&lt;D xsi:type="xsd:double"&gt;14.2416960535531&lt;/D&gt;&lt;D xsi:type="xsd:double"&gt;12.9977467932447&lt;/D&gt;&lt;D xsi:type="xsd:double"&gt;13.746166313364&lt;/D&gt;&lt;D xsi:type="xsd:double"&gt;14.2317782325453&lt;/D&gt;&lt;D xsi:type="xsd:double"&gt;12.5255435333779&lt;/D&gt;&lt;D xsi:type="xsd:double"&gt;13.2615842871639&lt;/D&gt;&lt;D xsi:type="xsd:double"&gt;14.5054246278527&lt;/D&gt;&lt;D xsi:type="xsd:double"&gt;14.2920190625985&lt;/D&gt;&lt;D xsi:type="xsd:double"&gt;14.9980664475796&lt;/D&gt;&lt;D xsi:type="xsd:double"&gt;14.503631790876&lt;/D&gt;&lt;D xsi:type="xsd:double"&gt;13.9954463081465&lt;/D&gt;&lt;D xsi:type="xsd:double"&gt;14.5568008791714&lt;/D&gt;&lt;D xsi:type="xsd:double"&gt;14.1902734950577&lt;/D&gt;&lt;D xsi:type="xsd:double"&gt;14.8646764891669&lt;/D&gt;&lt;D xsi:type="xsd:double"&gt;15.6496102849425&lt;/D&gt;&lt;D xsi:type="xsd:double"&gt;15.1879035151113&lt;/D&gt;&lt;D xsi:type="xsd:double"&gt;14.7663289433698&lt;/D&gt;&lt;D xsi:type="xsd:double"&gt;14.3833890488939&lt;/D&gt;&lt;D xsi:type="xsd:double"&gt;15.1495021749192&lt;/D&gt;&lt;D xsi:type="xsd:double"&gt;16.5445063557242&lt;/D&gt;&lt;D xsi:type="xsd:double"&gt;16.3314154843917&lt;/D&gt;&lt;D xsi:type="xsd:double"&gt;16.4525022490294&lt;/D&gt;&lt;D xsi:type="xsd:double"&gt;16.8041827952517&lt;/D&gt;&lt;D xsi:type="xsd:double"&gt;16.2531162313433&lt;/D&gt;&lt;D xsi:type="xsd:double"&gt;16.7455791264292&lt;/D&gt;&lt;D xsi:type="xsd:double"&gt;16.8019959406309&lt;/D&gt;&lt;/FQL&gt;&lt;FQL&gt;&lt;Q&gt;ENZL^JULIAN(FMA_DIV_YLD(LTMA,-10AY,0,AM,"PORTAGG","MEANR").DATES)&lt;/Q&gt;&lt;R&gt;121&lt;/R&gt;&lt;C&gt;1&lt;/C&gt;&lt;D xsi:type="xsd:long"&gt;41817&lt;/D&gt;&lt;D xsi:type="xsd:long"&gt;41848&lt;/D&gt;&lt;D xsi:type="xsd:long"&gt;41879&lt;/D&gt;&lt;D xsi:type="xsd:long"&gt;41908&lt;/D&gt;&lt;D xsi:type="xsd:long"&gt;41940&lt;/D&gt;&lt;D xsi:type="xsd:long"&gt;41971&lt;/D&gt;&lt;D xsi:type="xsd:long"&gt;41999&lt;/D&gt;&lt;D xsi:type="xsd:long"&gt;42032&lt;/D&gt;&lt;D xsi:type="xsd:long"&gt;42062&lt;/D&gt;&lt;D xsi:type="xsd:long"&gt;42090&lt;/D&gt;&lt;D xsi:type="xsd:long"&gt;42122&lt;/D&gt;&lt;D xsi:type="xsd:long"&gt;42152&lt;/D&gt;&lt;D xsi:type="xsd:long"&gt;42181&lt;/D&gt;&lt;D xsi:type="xsd:long"&gt;42213&lt;/D&gt;&lt;D xsi:type="xsd:long"&gt;42244&lt;/D&gt;&lt;D xsi:type="xsd:long"&gt;42275&lt;/D&gt;&lt;D xsi:type="xsd:long"&gt;42305&lt;/D&gt;&lt;D xsi:type="xsd:long"&gt;42335&lt;/D&gt;&lt;D xsi:type="xsd:long"&gt;42366&lt;/D&gt;&lt;D xsi:type="xsd:long"&gt;42397&lt;/D&gt;&lt;D xsi:type="xsd:long"&gt;42426&lt;/D&gt;&lt;D xsi:type="xsd:long"&gt;42457&lt;/D&gt;&lt;D xsi:type="xsd:long"&gt;42488&lt;/D&gt;&lt;D xsi:type="xsd:long"&gt;42517&lt;/D&gt;&lt;D xsi:type="xsd:long"&gt;42549&lt;/D&gt;&lt;D xsi:type="xsd:long"&gt;42579&lt;/D&gt;&lt;D xsi:type="xsd:long"&gt;42608&lt;/D&gt;&lt;D xsi:type="xsd:long"&gt;42641&lt;/D&gt;&lt;D xsi:type="xsd:long"&gt;42671&lt;/D&gt;&lt;D xsi:type="xsd:long"&gt;42702&lt;/D&gt;&lt;D xsi:type="xsd:long"&gt;42732&lt;/D&gt;&lt;D xsi:type="xsd:long"&gt;42762&lt;/D&gt;&lt;D xsi:type="xsd:long"&gt;42794&lt;/D&gt;&lt;D xsi:type="xsd:long"&gt;42822&lt;/D&gt;&lt;D xsi:type="xsd:long"&gt;42853&lt;/D&gt;&lt;D xsi:type="xsd:long"&gt;42881&lt;/D&gt;&lt;D xsi:type="xsd:long"&gt;42914&lt;/D&gt;&lt;D xsi:type="xsd:long"&gt;42944&lt;/D&gt;&lt;D xsi:type="xsd:long"&gt;42975&lt;/D&gt;&lt;D xsi:type="xsd:long"&gt;43006&lt;/D&gt;&lt;D xsi:type="xsd:long"&gt;43035&lt;/D&gt;&lt;D xsi:type="xsd:long"&gt;43067&lt;/D&gt;&lt;D xsi:type="xsd:long"&gt;43097&lt;/D&gt;&lt;D xsi:type="xsd:long"&gt;43126&lt;/D&gt;&lt;D xsi:type="xsd:long"&gt;43159&lt;/D&gt;&lt;D xsi:type="xsd:long"&gt;43187&lt;/D&gt;&lt;D xsi:type="xsd:long"&gt;43217&lt;/D&gt;&lt;D xsi:type="xsd:long"&gt;43245&lt;/D&gt;&lt;D xsi:type="xsd:long"&gt;43279&lt;/D&gt;&lt;D xsi:type="xsd:long"&gt;43308&lt;/D&gt;&lt;D xsi:type="xsd:long"&gt;43340&lt;/D&gt;&lt;D xsi:type="xsd:long"&gt;43371&lt;/D&gt;&lt;D xsi:type="xsd:long"&gt;43399&lt;/D&gt;&lt;D xsi:type="xsd:long"&gt;43432&lt;/D&gt;&lt;D xsi:type="xsd:long"&gt;43462&lt;/D&gt;&lt;D xsi:type="xsd:long"&gt;43493&lt;/D&gt;&lt;D xsi:type="xsd:long"&gt;43524&lt;/D&gt;&lt;D xsi:type="xsd:long"&gt;43552&lt;/D&gt;&lt;D xsi:type="xsd:long"&gt;43581&lt;/D&gt;&lt;D xsi:type="xsd:long"&gt;43613&lt;/D&gt;&lt;D xsi:type="xsd:long"&gt;43644&lt;/D&gt;&lt;D xsi:type="xsd:long"&gt;43672&lt;/D&gt;&lt;D xsi:type="xsd:long"&gt;43705&lt;/D&gt;&lt;D xsi:type="xsd:long"&gt;43735&lt;/D&gt;&lt;D xsi:type="xsd:long"&gt;43766&lt;/D&gt;&lt;D xsi:type="xsd:long"&gt;43796&lt;/D&gt;&lt;D xsi:type="xsd:long"&gt;43826&lt;/D&gt;&lt;D xsi:type="xsd:long"&gt;43858&lt;/D&gt;&lt;D xsi:type="xsd:long"&gt;43889&lt;/D&gt;&lt;D xsi:type="xsd:long"&gt;43917&lt;/D&gt;&lt;D xsi:type="xsd:long"&gt;43949&lt;/D&gt;&lt;D xsi:type="xsd:long"&gt;43979&lt;/D&gt;&lt;D xsi:type="xsd:long"&gt;44008&lt;/D&gt;&lt;D xsi:type="xsd:long"&gt;44040&lt;/D&gt;&lt;D xsi:type="xsd:long"&gt;44071&lt;/D&gt;&lt;D xsi:type="xsd:long"&gt;44102&lt;/D&gt;&lt;D xsi:type="xsd:long"&gt;44132&lt;/D&gt;&lt;D xsi:type="xsd:long"&gt;44162&lt;/D&gt;&lt;D xsi:type="xsd:long"&gt;44193&lt;/D&gt;&lt;D xsi:type="xsd:long"&gt;44224&lt;/D&gt;&lt;D xsi:type="xsd:long"&gt;44253&lt;/D&gt;&lt;D xsi:type="xsd:long"&gt;44281&lt;/D&gt;&lt;D xsi:type="xsd:long"&gt;44314&lt;/D&gt;&lt;D xsi:type="xsd:long"&gt;44344&lt;/D&gt;&lt;D xsi:type="xsd:long"&gt;44375&lt;/D&gt;&lt;D xsi:type="xsd:long"&gt;44405&lt;/D&gt;&lt;D xsi:type="xsd:long"&gt;44435&lt;/D&gt;&lt;D xsi:type="xsd:long"&gt;44467&lt;/D&gt;&lt;D xsi:type="xsd:long"&gt;44497&lt;/D&gt;&lt;D xsi:type="xsd:long"&gt;44526&lt;/D&gt;&lt;D xsi:type="xsd:long"&gt;44558&lt;/D&gt;&lt;D xsi:type="xsd:long"&gt;44589&lt;/D&gt;&lt;D xsi:type="xsd:long"&gt;44620&lt;/D&gt;&lt;D xsi:type="xsd:long"&gt;44648&lt;/D&gt;&lt;D xsi:type="xsd:long"&gt;44679&lt;/D&gt;&lt;D xsi:type="xsd:long"&gt;44708&lt;/D&gt;&lt;D xsi:type="xsd:long"&gt;44740&lt;/D&gt;&lt;D xsi:type="xsd:long"&gt;44770&lt;/D&gt;&lt;D xsi:type="xsd:long"&gt;44799&lt;/D&gt;&lt;D xsi:type="xsd:long"&gt;44832&lt;/D&gt;&lt;D xsi:type="xsd:long"&gt;44862&lt;/D&gt;&lt;D xsi:type="xsd:long"&gt;44893&lt;/D&gt;&lt;D xsi:type="xsd:long"&gt;44923&lt;/D&gt;&lt;D xsi:type="xsd:long"&gt;44953&lt;/D&gt;&lt;D xsi:type="xsd:long"&gt;44985&lt;/D&gt;&lt;D xsi:type="xsd:long"&gt;45013&lt;/D&gt;&lt;D xsi:type="xsd:long"&gt;45044&lt;/D&gt;&lt;D xsi:type="xsd:long"&gt;45072&lt;/D&gt;&lt;D xsi:type="xsd:long"&gt;45105&lt;/D&gt;&lt;D xsi:type="xsd:long"&gt;45135&lt;/D&gt;&lt;D xsi:type="xsd:long"&gt;45166&lt;/D&gt;&lt;D xsi:type="xsd:long"&gt;45197&lt;/D&gt;&lt;D xsi:type="xsd:long"&gt;45226&lt;/D&gt;&lt;D xsi:type="xsd:long"&gt;45258&lt;/D&gt;&lt;D xsi:type="xsd:long"&gt;45288&lt;/D&gt;&lt;D xsi:type="xsd:long"&gt;45317&lt;/D&gt;&lt;D xsi:type="xsd:long"&gt;45350&lt;/D&gt;&lt;D xsi:type="xsd:long"&gt;45379&lt;/D&gt;&lt;D xsi:type="xsd:long"&gt;45408&lt;/D&gt;&lt;D xsi:type="xsd:long"&gt;45440&lt;/D&gt;&lt;D xsi:type="xsd:long"&gt;45469&lt;/D&gt;&lt;/FQL&gt;&lt;FQL&gt;&lt;Q&gt;WL-FDS^FG_PRICE(0)&lt;/Q&gt;&lt;R&gt;1&lt;/R&gt;&lt;C&gt;1&lt;/C&gt;&lt;D xsi:type="xsd:double"&gt;598.4&lt;/D&gt;&lt;/FQL&gt;&lt;FQL&gt;&lt;Q&gt;NI-FDS^FG_PRICE(0)&lt;/Q&gt;&lt;R&gt;1&lt;/R&gt;&lt;C&gt;1&lt;/C&gt;&lt;D xsi:type="xsd:double"&gt;16960&lt;/D&gt;&lt;/FQL&gt;&lt;FQL&gt;&lt;Q&gt;CPALM-FDS^FG_PRICE(0)&lt;/Q&gt;&lt;R&gt;1&lt;/R&gt;&lt;C&gt;1&lt;/C&gt;&lt;D xsi:type="xsd:double"&gt;3976&lt;/D&gt;&lt;/FQL&gt;&lt;FQL&gt;&lt;Q&gt;BRENT-FDS^FG_PRICE(0)&lt;/Q&gt;&lt;R&gt;1&lt;/R&gt;&lt;C&gt;1&lt;/C&gt;&lt;D xsi:type="xsd:double"&gt;85.86&lt;/D&gt;&lt;/FQL&gt;&lt;FQL&gt;&lt;Q&gt;TIOS-FDS^FG_PRICE(0)&lt;/Q&gt;&lt;R&gt;1&lt;/R&gt;&lt;C&gt;1&lt;/C&gt;&lt;D xsi:type="xsd:double"&gt;106.51&lt;/D&gt;&lt;/FQL&gt;&lt;FQL&gt;&lt;Q&gt;EWN^FG_PRICE(0)&lt;/Q&gt;&lt;R&gt;1&lt;/R&gt;&lt;C&gt;1&lt;/C&gt;&lt;D xsi:type="xsd:double"&gt;50.23&lt;/D&gt;&lt;/FQL&gt;&lt;FQL&gt;&lt;Q&gt;EWU^FG_PRICE(0)&lt;/Q&gt;&lt;R&gt;1&lt;/R&gt;&lt;C&gt;1&lt;/C&gt;&lt;D xsi:type="xsd:double"&gt;34.88&lt;/D&gt;&lt;/FQL&gt;&lt;FQL&gt;&lt;Q&gt;EWC^FG_PRICE(0)&lt;/Q&gt;&lt;R&gt;1&lt;/R&gt;&lt;C&gt;1&lt;/C&gt;&lt;D xsi:type="xsd:double"&gt;37.09&lt;/D&gt;&lt;/FQL&gt;&lt;FQL&gt;&lt;Q&gt;EWU^FG_COMPANY_NAME&lt;/Q&gt;&lt;R&gt;1&lt;/R&gt;&lt;C&gt;1&lt;/C&gt;&lt;D xsi:type="xsd:string"&gt;iShares MSCI United Kingdom ETF&lt;/D&gt;&lt;/FQL&gt;&lt;FQL&gt;&lt;Q&gt;SPY^FG_TOTAL_RETURNC(0,-12AM)&lt;/Q&gt;&lt;R&gt;1&lt;/R&gt;&lt;C&gt;1&lt;/C&gt;&lt;D xsi:type="xsd:double"&gt;26.463472&lt;/D&gt;&lt;/FQL&gt;&lt;FQL&gt;&lt;Q&gt;EWJ^PERCENT_CHANGE(FMA_EPS(+1,0,,,,"PORTAGG","MEAN"),FMA_EPS(+1,-1AM,,,,"PORTAGG","MEAN"))&lt;/Q&gt;&lt;R&gt;1&lt;/R&gt;&lt;C&gt;1&lt;/C&gt;&lt;D xsi:type="xsd:double"&gt;-2.8461800153288&lt;/D&gt;&lt;/FQL&gt;&lt;FQL&gt;&lt;Q&gt;EWG^FMA_ROE(NTMA,-20AY,NOW,FY,"PORTAGG","MEANR")&lt;/Q&gt;&lt;R&gt;20&lt;/R&gt;&lt;C&gt;1&lt;/C&gt;&lt;D xsi:type="xsd:double"&gt;11.8275550599933&lt;/D&gt;&lt;D xsi:type="xsd:double"&gt;12.5810872006639&lt;/D&gt;&lt;D xsi:type="xsd:double"&gt;13.372977849048&lt;/D&gt;&lt;D xsi:type="xsd:double"&gt;14.712722857709&lt;/D&gt;&lt;D xsi:type="xsd:double"&gt;11.5210886767193&lt;/D&gt;&lt;D xsi:type="xsd:double"&gt;11.0094337648339&lt;/D&gt;&lt;D xsi:type="xsd:double"&gt;13.0475804034897&lt;/D&gt;&lt;D xsi:type="xsd:double"&gt;12.3546044213534&lt;/D&gt;&lt;D xsi:type="xsd:double"&gt;12.1037876491794&lt;/D&gt;&lt;D xsi:type="xsd:double"&gt;12.1465108243325&lt;/D&gt;&lt;D xsi:type="xsd:double"&gt;11.8873581616615&lt;/D&gt;&lt;D xsi:type="xsd:double"&gt;12.0284649417774&lt;/D&gt;&lt;D xsi:type="xsd:double"&gt;11.8967042128795&lt;/D&gt;&lt;D xsi:type="xsd:double"&gt;12.2469207943648&lt;/D&gt;&lt;D xsi:type="xsd:double"&gt;11.6510152415578&lt;/D&gt;&lt;D xsi:type="xsd:double"&gt;10.4475672102116&lt;/D&gt;&lt;D xsi:type="xsd:double"&gt;9.71471543630713&lt;/D&gt;&lt;D xsi:type="xsd:double"&gt;12.1997093940908&lt;/D&gt;&lt;D xsi:type="xsd:double"&gt;11.8187115511422&lt;/D&gt;&lt;D xsi:type="xsd:double"&gt;11.9489916743573&lt;/D&gt;&lt;/FQL&gt;&lt;FQL&gt;&lt;Q&gt;TRYUS10Y-FDS^FG_YIELD(-10AY,0,Y,,"YTM")&lt;/Q&gt;&lt;R&gt;10&lt;/R&gt;&lt;C&gt;1&lt;/C&gt;&lt;D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xsi:type="xsd:long"&gt;45289&lt;/D&gt;&lt;/FQL&gt;&lt;FQL&gt;&lt;Q&gt;CAGDPY@CH^EE_ACTUAL_ANNUAL(MED,0)&lt;/Q&gt;&lt;R&gt;1&lt;/R&gt;&lt;C&gt;1&lt;/C&gt;&lt;D xsi:type="xsd:double"&gt;6.98087557861584&lt;/D&gt;&lt;/FQL&gt;&lt;FQL&gt;&lt;Q&gt;CC_DE^FG_COMPANY_NAME&lt;/Q&gt;&lt;R&gt;1&lt;/R&gt;&lt;C&gt;1&lt;/C&gt;&lt;D xsi:type="xsd:string"&gt;Germany&lt;/D&gt;&lt;/FQL&gt;&lt;FQL&gt;&lt;Q&gt;USDSEK^FG_PRICE_CHANGE(0,-1AM)&lt;/Q&gt;&lt;R&gt;1&lt;/R&gt;&lt;C&gt;1&lt;/C&gt;&lt;D xsi:type="xsd:double"&gt;0.41673183&lt;/D&gt;&lt;/FQL&gt;&lt;FQL&gt;&lt;Q&gt;USDCHF^FG_PRICE_CHANGE(0,-1AM)&lt;/Q&gt;&lt;R&gt;1&lt;/R&gt;&lt;C&gt;1&lt;/C&gt;&lt;D xsi:type="xsd:double"&gt;-1.2690246&lt;/D&gt;&lt;/FQL&gt;&lt;FQL&gt;&lt;Q&gt;USDEUR^FG_PRICE_CHANGE(0,-1AM)&lt;/Q&gt;&lt;R&gt;1&lt;/R&gt;&lt;C&gt;1&lt;/C&gt;&lt;D xsi:type="xsd:double"&gt;1.4649034&lt;/D&gt;&lt;/FQL&gt;&lt;FQL&gt;&lt;Q&gt;USDAUD^FG_PRICE_CHANGE(0,-1AM)&lt;/Q&gt;&lt;R&gt;1&lt;/R&gt;&lt;C&gt;1&lt;/C&gt;&lt;D xsi:type="xsd:double"&gt;-0.22460222&lt;/D&gt;&lt;/FQL&gt;&lt;FQL&gt;&lt;Q&gt;SPY^FMA_EPS(NTMA,-20AY,0,CY,,"PORTAGG","MEANR")&lt;/Q&gt;&lt;R&gt;20&lt;/R&gt;&lt;C&gt;1&lt;/C&gt;&lt;D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xsi:type="xsd:double"&gt;17.7294354298483&lt;/D&gt;&lt;D xsi:type="xsd:double"&gt;16.6617703337835&lt;/D&gt;&lt;D xsi:type="xsd:double"&gt;22.2767073880581&lt;/D&gt;&lt;D xsi:type="xsd:double"&gt;22.968710467509&lt;/D&gt;&lt;D xsi:type="xsd:double"&gt;24.3449868024698&lt;/D&gt;&lt;/FQL&gt;&lt;FQL&gt;&lt;Q&gt;EWU^P_PRICE_RETURNS_PR('52W',2,-10AY,0,AM)&lt;/Q&gt;&lt;R&gt;121&lt;/R&gt;&lt;C&gt;1&lt;/C&gt;&lt;D xsi:type="xsd:double"&gt;24.978745&lt;/D&gt;&lt;D xsi:type="xsd:double"&gt;16.924107&lt;/D&gt;&lt;D xsi:type="xsd:double"&gt;15.951729&lt;/D&gt;&lt;D xsi:type="xsd:double"&gt;5.0327897&lt;/D&gt;&lt;D xsi:type="xsd:double"&gt;-2.4951458&lt;/D&gt;&lt;D xsi:type="xsd:double"&gt;-0.92360973&lt;/D&gt;&lt;D xsi:type="xsd:double"&gt;-4.47762&lt;/D&gt;&lt;D xsi:type="xsd:double"&gt;-4.051429&lt;/D&gt;&lt;D xsi:type="xsd:double"&gt;-3.8355708&lt;/D&gt;&lt;D xsi:type="xsd:double"&gt;-3.9558291&lt;/D&gt;&lt;D xsi:type="xsd:double"&gt;-1.2251198&lt;/D&gt;&lt;D xsi:type="xsd:double"&gt;-3.6404788&lt;/D&gt;&lt;D xsi:type="xsd:double"&gt;-5.6070566&lt;/D&gt;&lt;D xsi:type="xsd:double"&gt;-9.16546&lt;/D&gt;&lt;D xsi:type="xsd:double"&gt;-13.050633&lt;/D&gt;&lt;D xsi:type="xsd:double"&gt;-15.166616&lt;/D&gt;&lt;D xsi:type="xsd:double"&gt;-2.7882934&lt;/D&gt;&lt;D xsi:type="xsd:double"&gt;-7.8596115&lt;/D&gt;&lt;D xsi:type="xsd:double"&gt;-7.9909563&lt;/D&gt;&lt;D xsi:type="xsd:double"&gt;-14.468431&lt;/D&gt;&lt;D xsi:type="xsd:double"&gt;-19.012112&lt;/D&gt;&lt;D xsi:type="xsd:double"&gt;-12.226647&lt;/D&gt;&lt;D xsi:type="xsd:double"&gt;-12.938219&lt;/D&gt;&lt;D xsi:type="xsd:double"&gt;-12.646228&lt;/D&gt;&lt;D xsi:type="xsd:double"&gt;-19.319857&lt;/D&gt;&lt;D xsi:type="xsd:double"&gt;-10.957087&lt;/D&gt;&lt;D xsi:type="xsd:double"&gt;-1.7695725&lt;/D&gt;&lt;D xsi:type="xsd:double"&gt;3.4052968&lt;/D&gt;&lt;D xsi:type="xsd:double"&gt;-10.967625&lt;/D&gt;&lt;D xsi:type="xsd:double"&gt;-9.021992&lt;/D&gt;&lt;D xsi:type="xsd:double"&gt;-3.4383774&lt;/D&gt;&lt;D xsi:type="xsd:double"&gt;10.536957&lt;/D&gt;&lt;D xsi:type="xsd:double"&gt;11.167658&lt;/D&gt;&lt;D xsi:type="xsd:double"&gt;8.913326&lt;/D&gt;&lt;D xsi:type="xsd:double"&gt;5.2861214&lt;/D&gt;&lt;D xsi:type="xsd:double"&gt;8.743418&lt;/D&gt;&lt;D xsi:type="xsd:double"&gt;18.898605&lt;/D&gt;&lt;D xsi:type="xsd:double"&gt;13.264298&lt;/D&gt;&lt;D xsi:type="xsd:double"&gt;10.387802&lt;/D&gt;&lt;D xsi:type="xsd:double"&gt;13.299251&lt;/D&gt;&lt;D xsi:type="xsd:double"&gt;19.670057&lt;/D&gt;&lt;D xsi:type="xsd:double"&gt;21.68045&lt;/D&gt;&lt;D xsi:type="xsd:double"&gt;22.350574&lt;/D&gt;&lt;D xsi:type="xsd:double"&gt;24.759626&lt;/D&gt;&lt;D xsi:type="xsd:double"&gt;13.1853695&lt;/D&gt;&lt;D xsi:type="xsd:double"&gt;10.906243&lt;/D&gt;&lt;D xsi:type="xsd:double"&gt;13.993299499999999&lt;/D&gt;&lt;D xsi:type="xsd:double"&gt;8.583033&lt;/D&gt;&lt;D xsi:type="xsd:double"&gt;7.523167&lt;/D&gt;&lt;D xsi:type="xsd:double"&gt;6.7061186&lt;/D&gt;&lt;D xsi:type="xsd:double"&gt;5.7398677&lt;/D&gt;&lt;D xsi:type="xsd:double"&gt;2.6582599&lt;/D&gt;&lt;D xsi:type="xsd:double"&gt;-6.073099&lt;/D&gt;&lt;D xsi:type="xsd:double"&gt;-5.0754128&lt;/D&gt;&lt;D xsi:type="xsd:double"&gt;-13.686103&lt;/D&gt;&lt;D xsi:type="xsd:double"&gt;-15.26823&lt;/D&gt;&lt;D xsi:type="xsd:double"&gt;-1.7200589&lt;/D&gt;&lt;D xsi:type="xsd:double"&gt;-0.4025042&lt;/D&gt;&lt;D xsi:type="xsd:double"&gt;-3.58122&lt;/D&gt;&lt;D xsi:type="xsd:double"&gt;-7.31557&lt;/D&gt;&lt;D xsi:type="xsd:double"&gt;-1.8142223&lt;/D&gt;&lt;D xsi:type="xsd:double"&gt;-3.2537282&lt;/D&gt;&lt;D xsi:type="xsd:double"&gt;-7.88908&lt;/D&gt;&lt;D xsi:type="xsd:double"&gt;-4.5010924&lt;/D&gt;&lt;D xsi:type="xsd:double"&gt;9.511399&lt;/D&gt;&lt;D xsi:type="xsd:double"&gt;10.291457&lt;/D&gt;&lt;D xsi:type="xsd:double"&gt;22.283459&lt;/D&gt;&lt;D xsi:type="xsd:double"&gt;12.866056&lt;/D&gt;&lt;D xsi:type="xsd:double"&gt;-6.1158657&lt;/D&gt;&lt;D xsi:type="xsd:double"&gt;-26.490122&lt;/D&gt;&lt;D xsi:type="xsd:double"&gt;-21.728516&lt;/D&gt;&lt;D xsi:type="xsd:double"&gt;-15.319747&lt;/D&gt;&lt;D xsi:type="xsd:double"&gt;-18.136566&lt;/D&gt;&lt;D xsi:type="xsd:double"&gt;-14.599395&lt;/D&gt;&lt;D xsi:type="xsd:double"&gt;-7.1878614&lt;/D&gt;&lt;D xsi:type="xsd:double"&gt;-15.430575&lt;/D&gt;&lt;D xsi:type="xsd:double"&gt;-23.449003&lt;/D&gt;&lt;D xsi:type="xsd:double"&gt;-9.933597&lt;/D&gt;&lt;D xsi:type="xsd:double"&gt;-11.19088&lt;/D&gt;&lt;D xsi:type="xsd:double"&gt;-7.223791&lt;/D&gt;&lt;D xsi:type="xsd:double"&gt;1.8073559&lt;/D&gt;&lt;D xsi:type="xsd:double"&gt;33.575726&lt;/D&gt;&lt;D xsi:type="xsd:double"&gt;33.964573&lt;/D&gt;&lt;D xsi:type="xsd:double"&gt;33.289337&lt;/D&gt;&lt;D xsi:type="xsd:double"&gt;32.60517&lt;/D&gt;&lt;D xsi:type="xsd:double"&gt;26.889181&lt;/D&gt;&lt;D xsi:type="xsd:double"&gt;27.846468&lt;/D&gt;&lt;D xsi:type="xsd:double"&gt;28.628517&lt;/D&gt;&lt;D xsi:type="xsd:double"&gt;44.61827&lt;/D&gt;&lt;D xsi:type="xsd:double"&gt;13.896513&lt;/D&gt;&lt;D xsi:type="xsd:double"&gt;18.24795&lt;/D&gt;&lt;D xsi:type="xsd:double"&gt;17.593801&lt;/D&gt;&lt;D xsi:type="xsd:double"&gt;15.223575&lt;/D&gt;&lt;D xsi:type="xsd:double"&gt;11.044502&lt;/D&gt;&lt;D xsi:type="xsd:double"&gt;3.4059763&lt;/D&gt;&lt;D xsi:type="xsd:double"&gt;2.42275&lt;/D&gt;&lt;D xsi:type="xsd:double"&gt;-3.6106944&lt;/D&gt;&lt;D xsi:type="xsd:double"&gt;-2.3408234&lt;/D&gt;&lt;D xsi:type="xsd:double"&gt;-5.376214&lt;/D&gt;&lt;D xsi:type="xsd:double"&gt;-14.536887&lt;/D&gt;&lt;D xsi:type="xsd:double"&gt;-12.733757&lt;/D&gt;&lt;D xsi:type="xsd:double"&gt;0.30117035&lt;/D&gt;&lt;D xsi:type="xsd:double"&gt;-5.0619545&lt;/D&gt;&lt;D xsi:type="xsd:double"&gt;-0.34154058&lt;/D&gt;&lt;D xsi:type="xsd:double"&gt;-0.37469864&lt;/D&gt;&lt;D xsi:type="xsd:double"&gt;-2.8961062&lt;/D&gt;&lt;D xsi:type="xsd:double"&gt;8.040512&lt;/D&gt;&lt;D xsi:type="xsd:double"&gt;1.4520168&lt;/D&gt;&lt;D xsi:type="xsd:double"&gt;9.314895&lt;/D&gt;&lt;D xsi:type="xsd:double"&gt;12.898731&lt;/D&gt;&lt;D xsi:type="xsd:double"&gt;10.629988&lt;/D&gt;&lt;D xsi:type="xsd:double"&gt;25.068056&lt;/D&gt;&lt;D xsi:type="xsd:double"&gt;11.475205&lt;/D&gt;&lt;D xsi:type="xsd:double"&gt;9.154415&lt;/D&gt;&lt;D xsi:type="xsd:double"&gt;12.823749&lt;/D&gt;&lt;D xsi:type="xsd:double"&gt;3.9708734&lt;/D&gt;&lt;D xsi:type="xsd:double"&gt;5.2586555&lt;/D&gt;&lt;D xsi:type="xsd:double"&gt;13.225675&lt;/D&gt;&lt;D xsi:type="xsd:double"&gt;8.624434&lt;/D&gt;&lt;D xsi:type="xsd:double"&gt;16.087902&lt;/D&gt;&lt;D xsi:type="xsd:double"&gt;13.799787&lt;/D&gt;&lt;/FQL&gt;&lt;FQL&gt;&lt;Q&gt;EWL^FG_COMPANY_NAME&lt;/Q&gt;&lt;R&gt;1&lt;/R&gt;&lt;C&gt;1&lt;/C&gt;&lt;D xsi:type="xsd:string"&gt;iShares MSCI Switzerland ETF&lt;/D&gt;&lt;/FQL&gt;&lt;FQL&gt;&lt;Q&gt;EWC^FMA_ROE(NTMA,-20AY,NOW,FY,"PORTAGG","MEANR")&lt;/Q&gt;&lt;R&gt;20&lt;/R&gt;&lt;C&gt;1&lt;/C&gt;&lt;D xsi:type="xsd:double"&gt;14.6738571923606&lt;/D&gt;&lt;D xsi:type="xsd:double"&gt;15.7709471724654&lt;/D&gt;&lt;D xsi:type="xsd:double"&gt;15.8547136543611&lt;/D&gt;&lt;D xsi:type="xsd:double"&gt;16.5705490516163&lt;/D&gt;&lt;D xsi:type="xsd:double"&gt;13.8099900139916&lt;/D&gt;&lt;D xsi:type="xsd:double"&gt;11.8327104416904&lt;/D&gt;&lt;D xsi:type="xsd:double"&gt;12.6984457284378&lt;/D&gt;&lt;D xsi:type="xsd:double"&gt;13.5092848924233&lt;/D&gt;&lt;D xsi:type="xsd:double"&gt;12.804929450575&lt;/D&gt;&lt;D xsi:type="xsd:double"&gt;12.2925364029644&lt;/D&gt;&lt;D xsi:type="xsd:double"&gt;11.8034021278505&lt;/D&gt;&lt;D xsi:type="xsd:double"&gt;10.9923508764539&lt;/D&gt;&lt;D xsi:type="xsd:double"&gt;11.4792366602027&lt;/D&gt;&lt;D xsi:type="xsd:double"&gt;11.3979128674428&lt;/D&gt;&lt;D xsi:type="xsd:double"&gt;12.4990081822477&lt;/D&gt;&lt;D xsi:type="xsd:double"&gt;11.9786783863837&lt;/D&gt;&lt;D xsi:type="xsd:double"&gt;11.1922086822881&lt;/D&gt;&lt;D xsi:type="xsd:double"&gt;14.1061782856045&lt;/D&gt;&lt;D xsi:type="xsd:double"&gt;14.002940310619&lt;/D&gt;&lt;D xsi:type="xsd:double"&gt;13.147116166704&lt;/D&gt;&lt;/FQL&gt;&lt;FQL&gt;&lt;Q&gt;TIPSCL10Y-FDS^FG_YIELD(-10AY,0,Y,,"YTM")&lt;/Q&gt;&lt;R&gt;10&lt;/R&gt;&lt;C&gt;1&lt;/C&gt;&lt;D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xsi:type="xsd:string"&gt;@NA&lt;/D&gt;&lt;/FQL&gt;&lt;FQL&gt;&lt;Q&gt;EWC^FMA_RBICS_REV_CURRENT(30, LOC, "PORTAGG")&lt;/Q&gt;&lt;R&gt;1&lt;/R&gt;&lt;C&gt;1&lt;/C&gt;&lt;D xsi:type="xsd:double"&gt;39.7998235576266&lt;/D&gt;&lt;/FQL&gt;&lt;FQL&gt;&lt;Q&gt;CAGDPY@IT^EE_ACTUAL_ANNUAL(MED,+1)&lt;/Q&gt;&lt;R&gt;1&lt;/R&gt;&lt;C&gt;1&lt;/C&gt;&lt;D xsi:type="xsd:double"&gt;0.9&lt;/D&gt;&lt;/FQL&gt;&lt;FQL&gt;&lt;Q&gt;CAGDPY@JP^EE_ACTUAL_ANNUAL(MED,+1)&lt;/Q&gt;&lt;R&gt;1&lt;/R&gt;&lt;C&gt;1&lt;/C&gt;&lt;D xsi:type="xsd:double"&gt;3.8&lt;/D&gt;&lt;/FQL&gt;&lt;FQL&gt;&lt;Q&gt;CC_CA^FG_COMPANY_NAME&lt;/Q&gt;&lt;R&gt;1&lt;/R&gt;&lt;C&gt;1&lt;/C&gt;&lt;D xsi:type="xsd:string"&gt;Canada&lt;/D&gt;&lt;/FQL&gt;&lt;FQL&gt;&lt;Q&gt;USDSEK^FG_PRICE_CHANGE(0,-1AY)&lt;/Q&gt;&lt;R&gt;1&lt;/R&gt;&lt;C&gt;1&lt;/C&gt;&lt;D xsi:type="xsd:double"&gt;-2.0776868&lt;/D&gt;&lt;/FQL&gt;&lt;FQL&gt;&lt;Q&gt;USDCHF^FG_PRICE_CHANGE(0,-1AY)&lt;/Q&gt;&lt;R&gt;1&lt;/R&gt;&lt;C&gt;1&lt;/C&gt;&lt;D xsi:type="xsd:double"&gt;0.13929605&lt;/D&gt;&lt;/FQL&gt;&lt;FQL&gt;&lt;Q&gt;USDEUR^FG_PRICE_CHANGE(0,-1AY)&lt;/Q&gt;&lt;R&gt;1&lt;/R&gt;&lt;C&gt;1&lt;/C&gt;&lt;D xsi:type="xsd:double"&gt;1.7074943&lt;/D&gt;&lt;/FQL&gt;&lt;FQL&gt;&lt;Q&gt;USDAUD^FG_PRICE_CHANGE(0,-1AY)&lt;/Q&gt;&lt;R&gt;1&lt;/R&gt;&lt;C&gt;1&lt;/C&gt;&lt;D xsi:type="xsd:double"&gt;-1.1679232&lt;/D&gt;&lt;/FQL&gt;&lt;FQL&gt;&lt;Q&gt;QQQ^FMA_EPS(NTMA,-20AY,0,CY,,"PORTAGG","MEANR")&lt;/Q&gt;&lt;R&gt;20&lt;/R&gt;&lt;C&gt;1&lt;/C&gt;&lt;D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xsi:type="xsd:double"&gt;9.35231845524567&lt;/D&gt;&lt;D xsi:type="xsd:double"&gt;10.4260783076313&lt;/D&gt;&lt;D xsi:type="xsd:double"&gt;13.6402697494705&lt;/D&gt;&lt;D xsi:type="xsd:double"&gt;12.7503134512823&lt;/D&gt;&lt;D xsi:type="xsd:double"&gt;16.3243001953355&lt;/D&gt;&lt;/FQL&gt;&lt;FQL&gt;&lt;Q&gt;EWL^P_PRICE_RETURNS_PR('52W',2,-10AY,0,AM)&lt;/Q&gt;&lt;R&gt;121&lt;/R&gt;&lt;C&gt;1&lt;/C&gt;&lt;D xsi:type="xsd:double"&gt;22.47163&lt;/D&gt;&lt;D xsi:type="xsd:double"&gt;15.759325&lt;/D&gt;&lt;D xsi:type="xsd:double"&gt;15.502346&lt;/D&gt;&lt;D xsi:type="xsd:double"&gt;6.913841&lt;/D&gt;&lt;D xsi:type="xsd:double"&gt;0.7960677&lt;/D&gt;&lt;D xsi:type="xsd:double"&gt;5.4105997&lt;/D&gt;&lt;D xsi:type="xsd:double"&gt;1.8265843&lt;/D&gt;&lt;D xsi:type="xsd:double"&gt;0.12294054&lt;/D&gt;&lt;D xsi:type="xsd:double"&gt;0.13437271&lt;/D&gt;&lt;D xsi:type="xsd:double"&gt;1.874435&lt;/D&gt;&lt;D xsi:type="xsd:double"&gt;2.3276925&lt;/D&gt;&lt;D xsi:type="xsd:double"&gt;3.6943316&lt;/D&gt;&lt;D xsi:type="xsd:double"&gt;1.3992906&lt;/D&gt;&lt;D xsi:type="xsd:double"&gt;2.6313782&lt;/D&gt;&lt;D xsi:type="xsd:double"&gt;-2.8544784&lt;/D&gt;&lt;D xsi:type="xsd:double"&gt;-6.4208984&lt;/D&gt;&lt;D xsi:type="xsd:double"&gt;1.2122512&lt;/D&gt;&lt;D xsi:type="xsd:double"&gt;-4.9206553&lt;/D&gt;&lt;D xsi:type="xsd:double"&gt;-0.519824&lt;/D&gt;&lt;D xsi:type="xsd:double"&gt;-7.283062&lt;/D&gt;&lt;D xsi:type="xsd:double"&gt;-12.5362215&lt;/D&gt;&lt;D xsi:type="xsd:double"&gt;-10.965294&lt;/D&gt;&lt;D xsi:type="xsd:double"&gt;-9.464312&lt;/D&gt;&lt;D xsi:type="xsd:double"&gt;-10.926437&lt;/D&gt;&lt;D xsi:type="xsd:double"&gt;-12.935961&lt;/D&gt;&lt;D xsi:type="xsd:double"&gt;-9.642744&lt;/D&gt;&lt;D xsi:type="xsd:double"&gt;-3.2033503&lt;/D&gt;&lt;D xsi:type="xsd:double"&gt;6.273365&lt;/D&gt;&lt;D xsi:type="xsd:double"&gt;-6.2692223&lt;/D&gt;&lt;D xsi:type=</t>
        </r>
      </text>
    </comment>
    <comment ref="A8" authorId="0" shapeId="0" xr:uid="{F8FDAD97-E430-40B2-B306-FC45DD1B6027}">
      <text>
        <r>
          <rPr>
            <b/>
            <sz val="9"/>
            <color indexed="81"/>
            <rFont val="Tahoma"/>
            <charset val="1"/>
          </rPr>
          <t>"xsd:double"&gt;-5.962425&lt;/D&gt;&lt;D xsi:type="xsd:double"&gt;-4.9121857&lt;/D&gt;&lt;D xsi:type="xsd:double"&gt;9.273327&lt;/D&gt;&lt;D xsi:type="xsd:double"&gt;11.724615&lt;/D&gt;&lt;D xsi:type="xsd:double"&gt;12.833858&lt;/D&gt;&lt;D xsi:type="xsd:double"&gt;11.479545&lt;/D&gt;&lt;D xsi:type="xsd:double"&gt;16.371845&lt;/D&gt;&lt;D xsi:type="xsd:double"&gt;23.82486&lt;/D&gt;&lt;D xsi:type="xsd:double"&gt;18.112862&lt;/D&gt;&lt;D xsi:type="xsd:double"&gt;15.9753685&lt;/D&gt;&lt;D xsi:type="xsd:double"&gt;14.70418&lt;/D&gt;&lt;D xsi:type="xsd:double"&gt;20.225037&lt;/D&gt;&lt;D xsi:type="xsd:double"&gt;27.281797&lt;/D&gt;&lt;D xsi:type="xsd:double"&gt;24.578308&lt;/D&gt;&lt;D xsi:type="xsd:double"&gt;25.519108&lt;/D&gt;&lt;D xsi:type="xsd:double"&gt;14.905346&lt;/D&gt;&lt;D xsi:type="xsd:double"&gt;8.777857&lt;/D&gt;&lt;D xsi:type="xsd:double"&gt;4.7405243&lt;/D&gt;&lt;D xsi:type="xsd:double"&gt;-0.525105&lt;/D&gt;&lt;D xsi:type="xsd:double"&gt;-5.3072453&lt;/D&gt;&lt;D xsi:type="xsd:double"&gt;2.8054476&lt;/D&gt;&lt;D xsi:type="xsd:double"&gt;4.212606&lt;/D&gt;&lt;D xsi:type="xsd:double"&gt;2.537191&lt;/D&gt;&lt;D xsi:type="xsd:double"&gt;-3.5609186&lt;/D&gt;&lt;D xsi:type="xsd:double"&gt;-3.0884564&lt;/D&gt;&lt;D xsi:type="xsd:double"&gt;-9.494376&lt;/D&gt;&lt;D xsi:type="xsd:double"&gt;-10.285461&lt;/D&gt;&lt;D xsi:type="xsd:double"&gt;1.4801979&lt;/D&gt;&lt;D xsi:type="xsd:double"&gt;5.142164&lt;/D&gt;&lt;D xsi:type="xsd:double"&gt;8.330906&lt;/D&gt;&lt;D xsi:type="xsd:double"&gt;8.840847&lt;/D&gt;&lt;D xsi:type="xsd:double"&gt;19.376682&lt;/D&gt;&lt;D xsi:type="xsd:double"&gt;10.564507&lt;/D&gt;&lt;D xsi:type="xsd:double"&gt;8.264971&lt;/D&gt;&lt;D xsi:type="xsd:double"&gt;10.272002&lt;/D&gt;&lt;D xsi:type="xsd:double"&gt;20.688093&lt;/D&gt;&lt;D xsi:type="xsd:double"&gt;21.360992&lt;/D&gt;&lt;D xsi:type="xsd:double"&gt;34.67423&lt;/D&gt;&lt;D xsi:type="xsd:double"&gt;27.174782&lt;/D&gt;&lt;D xsi:type="xsd:double"&gt;11.826515&lt;/D&gt;&lt;D xsi:type="xsd:double"&gt;0.9810209&lt;/D&gt;&lt;D xsi:type="xsd:double"&gt;5.6462765&lt;/D&gt;&lt;D xsi:type="xsd:double"&gt;7.7388406&lt;/D&gt;&lt;D xsi:type="xsd:double"&gt;5.523205&lt;/D&gt;&lt;D xsi:type="xsd:double"&gt;12.554455&lt;/D&gt;&lt;D xsi:type="xsd:double"&gt;15.126694&lt;/D&gt;&lt;D xsi:type="xsd:double"&gt;11.246956&lt;/D&gt;&lt;D xsi:type="xsd:double"&gt;4.263258&lt;/D&gt;&lt;D xsi:type="xsd:double"&gt;11.944604&lt;/D&gt;&lt;D xsi:type="xsd:double"&gt;10.836506&lt;/D&gt;&lt;D xsi:type="xsd:double"&gt;11.733425&lt;/D&gt;&lt;D xsi:type="xsd:double"&gt;11.9610195&lt;/D&gt;&lt;D xsi:type="xsd:double"&gt;28.94907&lt;/D&gt;&lt;D xsi:type="xsd:double"&gt;27.126133&lt;/D&gt;&lt;D xsi:type="xsd:double"&gt;30.047905&lt;/D&gt;&lt;D xsi:type="xsd:double"&gt;29.293228&lt;/D&gt;&lt;D xsi:type="xsd:double"&gt;22.77068&lt;/D&gt;&lt;D xsi:type="xsd:double"&gt;24.685144&lt;/D&gt;&lt;D xsi:type="xsd:double"&gt;15.079224&lt;/D&gt;&lt;D xsi:type="xsd:double"&gt;30.300951&lt;/D&gt;&lt;D xsi:type="xsd:double"&gt;17.225122&lt;/D&gt;&lt;D xsi:type="xsd:double"&gt;21.493446&lt;/D&gt;&lt;D xsi:type="xsd:double"&gt;9.612846&lt;/D&gt;&lt;D xsi:type="xsd:double"&gt;12.940645&lt;/D&gt;&lt;D xsi:type="xsd:double"&gt;10.987282&lt;/D&gt;&lt;D xsi:type="xsd:double"&gt;2.4767756&lt;/D&gt;&lt;D xsi:type="xsd:double"&gt;-4.1648507&lt;/D&gt;&lt;D xsi:type="xsd:double"&gt;-14.637589&lt;/D&gt;&lt;D xsi:type="xsd:double"&gt;-11.637545&lt;/D&gt;&lt;D xsi:type="xsd:double"&gt;-16.705114&lt;/D&gt;&lt;D xsi:type="xsd:double"&gt;-16.564232&lt;/D&gt;&lt;D xsi:type="xsd:double"&gt;-19.774532&lt;/D&gt;&lt;D xsi:type="xsd:double"&gt;-11.901581&lt;/D&gt;&lt;D xsi:type="xsd:double"&gt;-19.218922&lt;/D&gt;&lt;D xsi:type="xsd:double"&gt;-4.9328623&lt;/D&gt;&lt;D xsi:type="xsd:double"&gt;-7.686967&lt;/D&gt;&lt;D xsi:type="xsd:double"&gt;-8.247381&lt;/D&gt;&lt;D xsi:type="xsd:double"&gt;4.4067383&lt;/D&gt;&lt;D xsi:type="xsd:double"&gt;6.9660425&lt;/D&gt;&lt;D xsi:type="xsd:double"&gt;13.638676&lt;/D&gt;&lt;D xsi:type="xsd:double"&gt;13.468397&lt;/D&gt;&lt;D xsi:type="xsd:double"&gt;13.589001&lt;/D&gt;&lt;D xsi:type="xsd:double"&gt;16.621471&lt;/D&gt;&lt;D xsi:type="xsd:double"&gt;9.115469&lt;/D&gt;&lt;D xsi:type="xsd:double"&gt;7.5984597&lt;/D&gt;&lt;D xsi:type="xsd:double"&gt;16.649426&lt;/D&gt;&lt;D xsi:type="xsd:double"&gt;8.291328&lt;/D&gt;&lt;D xsi:type="xsd:double"&gt;10.89698&lt;/D&gt;&lt;D xsi:type="xsd:double"&gt;10.912919&lt;/D&gt;&lt;D xsi:type="xsd:double"&gt;-1.5482605&lt;/D&gt;&lt;D xsi:type="xsd:double"&gt;3.7136078&lt;/D&gt;&lt;D xsi:type="xsd:double"&gt;7.7524424&lt;/D&gt;&lt;/FQL&gt;&lt;FQL&gt;&lt;Q&gt;EWG^FG_TOTAL_RETURNC(-10AY,0,AM)&lt;/Q&gt;&lt;R&gt;121&lt;/R&gt;&lt;C&gt;1&lt;/C&gt;&lt;D xsi:type="xsd:double"&gt;-0.2824068&lt;/D&gt;&lt;D xsi:type="xsd:double"&gt;-3.843689&lt;/D&gt;&lt;D xsi:type="xsd:double"&gt;-3.364426&lt;/D&gt;&lt;D xsi:type="xsd:double"&gt;-3.2747328&lt;/D&gt;&lt;D xsi:type="xsd:double"&gt;-3.9558053&lt;/D&gt;&lt;D xsi:type="xsd:double"&gt;6.8274617&lt;/D&gt;&lt;D xsi:type="xsd:double"&gt;-2.118796&lt;/D&gt;&lt;D xsi:type="xsd:double"&gt;-1.2065291&lt;/D&gt;&lt;D xsi:type="xsd:double"&gt;6.681037&lt;/D&gt;&lt;D xsi:type="xsd:double"&gt;1.3468027&lt;/D&gt;&lt;D xsi:type="xsd:double"&gt;0.06644726&lt;/D&gt;&lt;D xsi:type="xsd:double"&gt;-1.5936315&lt;/D&gt;&lt;D xsi:type="xsd:double"&gt;0.53412914&lt;/D&gt;&lt;D xsi:type="xsd:double"&gt;-3.5848439&lt;/D&gt;&lt;D xsi:type="xsd:double"&gt;-6.657219&lt;/D&gt;&lt;D xsi:type="xsd:double"&gt;-7.701063&lt;/D&gt;&lt;D xsi:type="xsd:double"&gt;11.508417&lt;/D&gt;&lt;D xsi:type="xsd:double"&gt;0.14743805&lt;/D&gt;&lt;D xsi:type="xsd:double"&gt;-1.6194344&lt;/D&gt;&lt;D xsi:type="xsd:double"&gt;-9.614664&lt;/D&gt;&lt;D xsi:type="xsd:double"&gt;-2.1109283&lt;/D&gt;&lt;D xsi:type="xsd:double"&gt;6.7230463&lt;/D&gt;&lt;D xsi:type="xsd:double"&gt;4.5166373&lt;/D&gt;&lt;D xsi:type="xsd:double"&gt;-1.4404833&lt;/D&gt;&lt;D xsi:type="xsd:double"&gt;-7.852423&lt;/D&gt;&lt;D xsi:type="xsd:double"&gt;8.678925&lt;/D&gt;&lt;D xsi:type="xsd:double"&gt;2.8717518&lt;/D&gt;&lt;D xsi:type="xsd:double"&gt;0.22944212&lt;/D&gt;&lt;D xsi:type="xsd:double"&gt;-1.3353646&lt;/D&gt;&lt;D xsi:type="xsd:double"&gt;-4.447031&lt;/D&gt;&lt;D xsi:type="xsd:double"&gt;5.985427&lt;/D&gt;&lt;D xsi:type="xsd:double"&gt;6.1115384&lt;/D&gt;&lt;D xsi:type="xsd:double"&gt;-0.93592405&lt;/D&gt;&lt;D xsi:type="xsd:double"&gt;4.6875&lt;/D&gt;&lt;D xsi:type="xsd:double"&gt;3.019786&lt;/D&gt;&lt;D xsi:type="xsd:double"&gt;3.7398934&lt;/D&gt;&lt;D xsi:type="xsd:double"&gt;2.2454858&lt;/D&gt;&lt;D xsi:type="xsd:double"&gt;-0.61528087&lt;/D&gt;&lt;D xsi:type="xsd:double"&gt;1.3685226&lt;/D&gt;&lt;D xsi:type="xsd:double"&gt;2.8929472&lt;/D&gt;&lt;D xsi:type="xsd:double"&gt;2.2805452&lt;/D&gt;&lt;D xsi:type="xsd:double"&gt;1.4660954&lt;/D&gt;&lt;D xsi:type="xsd:double"&gt;0.041162968&lt;/D&gt;&lt;D xsi:type="xsd:double"&gt;7.2096467&lt;/D&gt;&lt;D xsi:type="xsd:double"&gt;-8.750707&lt;/D&gt;&lt;D xsi:type="xsd:double"&gt;-2.6827037&lt;/D&gt;&lt;D xsi:type="xsd:double"&gt;3.4537435&lt;/D&gt;&lt;D xsi:type="xsd:double"&gt;-1.3782561&lt;/D&gt;&lt;D xsi:type="xsd:double"&gt;-6.077677&lt;/D&gt;&lt;D xsi:type="xsd:double"&gt;5.824578&lt;/D&gt;&lt;D xsi:type="xsd:double"&gt;-1.2159944&lt;/D&gt;&lt;D xsi:type="xsd:double"&gt;-3.660518&lt;/D&gt;&lt;D xsi:type="xsd:double"&gt;-9.952921&lt;/D&gt;&lt;D xsi:type="xsd:double"&gt;1.6803503&lt;/D&gt;&lt;D xsi:type="xsd:double"&gt;-7.344842&lt;/D&gt;&lt;D xsi:type="xsd:double"&gt;6.738019&lt;/D&gt;&lt;D xsi:type="xsd:double"&gt;1.3739228&lt;/D&gt;&lt;D xsi:type="xsd:double"&gt;-1.9047558&lt;/D&gt;&lt;D xsi:type="xsd:double"&gt;6.5720677&lt;/D&gt;&lt;D xsi:type="xsd:double"&gt;-3.7491322&lt;/D&gt;&lt;D xsi:type="xsd:double"&gt;4.9099803&lt;/D&gt;&lt;D xsi:type="xsd:double"&gt;-1.8181741&lt;/D&gt;&lt;D xsi:type="xsd:double"&gt;-5.991292&lt;/D&gt;&lt;D xsi:type="xsd:double"&gt;3.5921216&lt;/D&gt;&lt;D xsi:type="xsd:double"&gt;6.5995574&lt;/D&gt;&lt;D xsi:type="xsd:double"&gt;1.7138839&lt;/D&gt;&lt;D xsi:type="xsd:double"&gt;1.6506195&lt;/D&gt;&lt;D xsi:type="xsd:double"&gt;-1.2516856&lt;/D&gt;&lt;D xsi:type="xsd:double"&gt;-10.174722&lt;/D&gt;&lt;D xsi:type="xsd:double"&gt;-19.450796&lt;/D&gt;&lt;D xsi:type="xsd:double"&gt;8.996212&lt;/D&gt;&lt;D xsi:type="xsd:double"&gt;11.81581&lt;/D&gt;&lt;D xsi:type="xsd:double"&gt;4.3010473&lt;/D&gt;&lt;D xsi:type="xsd:double"&gt;9.823108&lt;/D&gt;&lt;D xsi:type="xsd:double"&gt;3.735435&lt;/D&gt;&lt;D xsi:type="xsd:double"&gt;-3.3035994&lt;/D&gt;&lt;D xsi:type="xsd:double"&gt;-9.873592&lt;/D&gt;&lt;D xsi:type="xsd:double"&gt;16.489769&lt;/D&gt;&lt;D xsi:type="xsd:double"&gt;6.1037419999999996&lt;/D&gt;&lt;D xsi:type="xsd:double"&gt;-0.9627342&lt;/D&gt;&lt;D xsi:type="xsd:double"&gt;0.37629604&lt;/D&gt;&lt;D xsi:type="xsd:double"&gt;3.7488341&lt;/D&gt;&lt;D xsi:type="xsd:double"&gt;6.293285&lt;/D&gt;&lt;D xsi:type="xsd:double"&gt;1.3597727&lt;/D&gt;&lt;D xsi:type="xsd:double"&gt;-0.8874178&lt;/D&gt;&lt;D xsi:type="xsd:double"&gt;-0.917691&lt;/D&gt;&lt;D xsi:type="xsd:double"&gt;1.3603568&lt;/D&gt;&lt;D xsi:type="xsd:double"&gt;-4.88292&lt;/D&gt;&lt;D xsi:type="xsd:double"&gt;2.311623&lt;/D&gt;&lt;D xsi:type="xsd:double"&gt;-6.1913195&lt;/D&gt;&lt;D xsi:type="xsd:double"&gt;3.8363576&lt;/D&gt;&lt;D xsi:type="xsd:double"&gt;-4.350239&lt;/D&gt;&lt;D xsi:type="xsd:double"&gt;-7.623887&lt;/D&gt;&lt;D xsi:type="xsd:double"&gt;-1.5474558&lt;/D&gt;&lt;D xsi:type="xsd:double"&gt;-8.06846&lt;/D&gt;&lt;D xsi:type="xsd:double"&gt;3.9513707&lt;/D&gt;&lt;D xsi:type="xsd:double"&gt;-10.887194&lt;/D&gt;&lt;D xsi:type="xsd:double"&gt;-2.36786&lt;/D&gt;&lt;D xsi:type="xsd:double"&gt;-6.323087&lt;/D&gt;&lt;D xsi:type="xsd:double"&gt;-6.796116&lt;/D&gt;&lt;D xsi:type="xsd:double"&gt;9.920633&lt;/D&gt;&lt;D xsi:type="xsd:double"&gt;12.0036125&lt;/D&gt;&lt;D xsi:type="xsd:double"&gt;-0.8933723&lt;/D&gt;&lt;D xsi:type="xsd:double"&gt;13.826752&lt;/D&gt;&lt;D xsi:type="xsd:double"&gt;-2.5008917&lt;/D&gt;&lt;D xsi:type="xsd:double"&gt;0.7695079&lt;/D&gt;&lt;D xsi:type="xsd:double"&gt;6.945455&lt;/D&gt;&lt;D xsi:type="xsd:double"&gt;-2.8221667&lt;/D&gt;&lt;D xsi:type="xsd:double"&gt;1.4157176&lt;/D&gt;&lt;D xsi:type="xsd:double"&gt;4.2892575&lt;/D&gt;&lt;D xsi:type="xsd:double"&gt;-6.1182857&lt;/D&gt;&lt;D xsi:type="xsd:double"&gt;-5.430847&lt;/D&gt;&lt;D xsi:type="xsd:double"&gt;-5.168456&lt;/D&gt;&lt;D xsi:type="xsd:double"&gt;14.00888&lt;/D&gt;&lt;D xsi:type="xsd:double"&gt;5.033815&lt;/D&gt;&lt;D xsi:type="xsd:double"&gt;-0.9103179&lt;/D&gt;&lt;D xsi:type="xsd:double"&gt;3.7427664&lt;/D&gt;&lt;D xsi:type="xsd:double"&gt;4.1324973&lt;/D&gt;&lt;D xsi:type="xsd:double"&gt;-2.48819&lt;/D&gt;&lt;D xsi:type="xsd:double"&gt;4.134381&lt;/D&gt;&lt;D xsi:type="xsd:double"&gt;-2.6821733&lt;/D&gt;&lt;/FQL&gt;&lt;FQL&gt;&lt;Q&gt;EWA^FMA_DIV_YLD(NTMA,-10AY,0,AM,"PORTAGG","MEANR")&lt;/Q&gt;&lt;R&gt;121&lt;/R&gt;&lt;C&gt;1&lt;/C&gt;&lt;D xsi:type="xsd:double"&gt;4.78677234786745&lt;/D&gt;&lt;D xsi:type="xsd:double"&gt;4.68846278881089&lt;/D&gt;&lt;D xsi:type="xsd:double"&gt;4.68521516303042&lt;/D&gt;&lt;D xsi:type="xsd:double"&gt;5.03980277400746&lt;/D&gt;&lt;D xsi:type="xsd:double"&gt;4.88271352133388&lt;/D&gt;&lt;D xsi:type="xsd:double"&gt;5.05729751582958&lt;/D&gt;&lt;D xsi:type="xsd:double"&gt;4.9885167442505&lt;/D&gt;&lt;D xsi:type="xsd:double"&gt;4.86203826761833&lt;/D&gt;&lt;D xsi:type="xsd:double"&gt;4.54828740335052&lt;/D&gt;&lt;D xsi:type="xsd:double"&gt;4.5684427082027&lt;/D&gt;&lt;D xsi:type="xsd:double"&gt;4.53553743595644&lt;/D&gt;&lt;D xsi:type="xsd:double"&gt;4.77851724283054&lt;/D&gt;&lt;D xsi:type="xsd:double"&gt;4.89755043169825&lt;/D&gt;&lt;D xsi:type="xsd:double"&gt;4.9009573669201&lt;/D&gt;&lt;D xsi:type="xsd:double"&gt;5.23730062819432&lt;/D&gt;&lt;D xsi:type="xsd:double"&gt;5.42263512663771&lt;/D&gt;&lt;D xsi:type="xsd:double"&gt;5.1401667412887&lt;/D&gt;&lt;D xsi:type="xsd:double"&gt;5.25630061437879&lt;/D&gt;&lt;D xsi:type="xsd:double"&gt;5.20098826358728&lt;/D&gt;&lt;D xsi:type="xsd:double"&gt;5.1960129861549&lt;/D&gt;&lt;D xsi:type="xsd:double"&gt;5.05190282869525&lt;/D&gt;&lt;D xsi:type="xsd:double"&gt;4.83064228566828&lt;/D&gt;&lt;D xsi:type="xsd:double"&gt;4.69338265661264&lt;/D&gt;&lt;D xsi:type="xsd:double"&gt;4.5362987598256&lt;/D&gt;&lt;D xsi:type="xsd:double"&gt;4.80044561821585&lt;/D&gt;&lt;D xsi:type="xsd:double"&gt;4.42258939279334&lt;/D&gt;&lt;D xsi:type="xsd:double"&gt;4.4539298539889&lt;/D&gt;&lt;D xsi:type="xsd:double"&gt;4.56160658259138&lt;/D&gt;&lt;D xsi:type="xsd:double"&gt;4.6867506255911&lt;/D&gt;&lt;D xsi:type="xsd:double"&gt;4.54758492507427&lt;/D&gt;&lt;D xsi:type="xsd:double"&gt;4.51369143535814&lt;/D&gt;&lt;D xsi:type="xsd:double"&gt;4.5141225654101&lt;/D&gt;&lt;D xsi:type="xsd:double"&gt;4.5717486002536&lt;/D&gt;&lt;D xsi:type="xsd:double"&gt;4.54304690137284&lt;/D&gt;&lt;D xsi:type="xsd:double"&gt;4.48460239361545&lt;/D&gt;&lt;D xsi:type="xsd:double"&gt;4.6383672605413&lt;/D&gt;&lt;D xsi:type="xsd:double"&gt;4.61621783607841&lt;/D&gt;&lt;D xsi:type="xsd:double"&gt;4.60366883765647&lt;/D&gt;&lt;D xsi:type="xsd:double"&gt;4.58238909859924&lt;/D&gt;&lt;D xsi:type="xsd:double"&gt;4.62730124111652&lt;/D&gt;&lt;D xsi:type="xsd:double"&gt;4.50514582636755&lt;/D&gt;&lt;D xsi:type="xsd:double"&gt;4.47235143513748&lt;/D&gt;&lt;D xsi:type="xsd:double"&gt;4.43684567206397&lt;/D&gt;&lt;D xsi:type="xsd:double"&gt;4.5034632422418&lt;/D&gt;&lt;D xsi:type="xsd:double"&gt;4.59136730906863&lt;/D&gt;&lt;D xsi:type="xsd:double"&gt;4.83456624132692&lt;/D&gt;&lt;D xsi:type="xsd:double"&gt;4.73986710245507&lt;/D&gt;&lt;D xsi:type="xsd:double"&gt;4.67852969101817&lt;/D&gt;&lt;D xsi:type="xsd:double"&gt;4.59178356329823&lt;/D&gt;&lt;D xsi:type="xsd:double"&gt;4.54738070279837&lt;/D&gt;&lt;D xsi:type="xsd:double"&gt;4.61840025434395&lt;/D&gt;&lt;D xsi:type="xsd:double"&gt;4.74035855664265&lt;/D&gt;&lt;D xsi:type="xsd:double"&gt;5.20974591365752&lt;/D&gt;&lt;D xsi:type="xsd:double"&gt;5.26229320071788&lt;/D&gt;&lt;D xsi:type="xsd:double"&gt;5.34606614790594&lt;/D&gt;&lt;D xsi:type="xsd:double"&gt;5.07017035801693&lt;/D&gt;&lt;D xsi:type="xsd:double"&gt;4.92273926541311&lt;/D&gt;&lt;D xsi:type="xsd:double"&gt;4.95436720617635&lt;/D&gt;&lt;D xsi:type="xsd:double"&gt;4.82419557237943&lt;/D&gt;&lt;D xsi:type="xsd:double"&gt;4.7711772757373&lt;/D&gt;&lt;D xsi:type="xsd:double"&gt;4.61133917838728&lt;/D&gt;&lt;D xsi:type="xsd:double"&gt;4.5301883556159&lt;/D&gt;&lt;D xsi:type="xsd:double"&gt;4.6789662404013&lt;/D&gt;&lt;D xsi:type="xsd:double"&gt;4.42810256240158&lt;/D&gt;&lt;D xsi:type="xsd:double"&gt;4.35899206472477&lt;/D&gt;&lt;D xsi:type="xsd:double"&gt;4.26935703196658&lt;/D&gt;&lt;D xsi:type="xsd:double"&gt;4.23245304942827&lt;/D&gt;&lt;D xsi:type="xsd:double"&gt;4.18262831647715&lt;/D&gt;&lt;D xsi:type="xsd:double"&gt;4.49462427624511&lt;/D&gt;&lt;D xsi:type="xsd:double"&gt;5.57966199481073&lt;/D&gt;&lt;D xsi:type="xsd:double"&gt;4.1415841400418&lt;/D&gt;&lt;D xsi:type="xsd:double"&gt;3.51052874990391&lt;/D&gt;&lt;D xsi:type="xsd:double"&gt;3.48487588352116&lt;/D&gt;&lt;D xsi:type="xsd:double"&gt;3.39551925470204&lt;/D&gt;&lt;D xsi:type="xsd:double"&gt;3.39267829742766&lt;/D&gt;&lt;D xsi:type="xsd:double"&gt;3.61134883767043&lt;/D&gt;&lt;D xsi:type="xsd:double"&gt;3.68166007383263&lt;/D&gt;&lt;D xsi:type="xsd:double"&gt;3.4687711916758&lt;/D&gt;&lt;D xsi:type="xsd:double"&gt;3.55603637989752&lt;/D&gt;&lt;D xsi:type="xsd:double"&gt;3.64338554786456&lt;/D&gt;&lt;D xsi:type="xsd:double"&gt;3.92576677494895&lt;/D&gt;&lt;D xsi:type="xsd:double"&gt;3.95975505274232&lt;/D&gt;&lt;D xsi:type="xsd:double"&gt;3.89981523681974&lt;/D&gt;&lt;D xsi:type="xsd:double"&gt;3.87746931847295&lt;/D&gt;&lt;D xsi:type="xsd:double"&gt;4.02610438563814&lt;/D&gt;&lt;D xsi:type="xsd:double"&gt;4.15762356745517&lt;/D&gt;&lt;D xsi:type="xsd:double"&gt;4.06412570941067&lt;/D&gt;&lt;D xsi:type="xsd:double"&gt;4.09987830236059&lt;/D&gt;&lt;D xsi:type="xsd:double"&gt;3.91461695470399&lt;/D&gt;&lt;D xsi:type="xsd:double"&gt;4.0686939432585&lt;/D&gt;&lt;D xsi:type="xsd:double"&gt;3.88973142934425&lt;/D&gt;&lt;D xsi:type="xsd:double"&gt;4.16543369598566&lt;/D&gt;&lt;D xsi:type="xsd:double"&gt;4.3854093997208&lt;/D&gt;&lt;D xsi:type="xsd:double"&gt;4.19128226975205&lt;/D&gt;&lt;D xsi:type="xsd:double"&gt;4.51176940747319&lt;/D&gt;&lt;D xsi:type="xsd:double"&gt;4.65076941902515&lt;/D&gt;&lt;D xsi:type="xsd:double"&gt;5.09155125741191&lt;/D&gt;&lt;D xsi:type="xsd:double"&gt;4.85924720054688&lt;/D&gt;&lt;D xsi:type="xsd:double"&gt;4.65888943864414&lt;/D&gt;&lt;D xsi:type="xsd:double"&gt;5.2609526091464&lt;/D&gt;&lt;D xsi:type="xsd:double"&gt;5.00023425022617&lt;/D&gt;&lt;D xsi:type="xsd:double"&gt;4.51415577371238&lt;/D&gt;&lt;D xsi:type="xsd:double"&gt;4.51182185919304&lt;/D&gt;&lt;D xsi:type="xsd:double"&gt;4.2475112710783&lt;/D&gt;&lt;D xsi:type="xsd:double"&gt;4.4748128289896&lt;/D&gt;&lt;D xsi:type="xsd:double"&gt;4.62570505011457&lt;/D&gt;&lt;D xsi:type="xsd:double"&gt;4.42963180770204&lt;/D&gt;&lt;D xsi:type="xsd:double"&gt;4.52782035848453&lt;/D&gt;&lt;D xsi:type="xsd:double"&gt;4.33455130592011&lt;/D&gt;&lt;D xsi:type="xsd:double"&gt;4.08718983948249&lt;/D&gt;&lt;D xsi:type="xsd:double"&gt;4.23158269612477&lt;/D&gt;&lt;D xsi:type="xsd:double"&gt;4.33314445654386&lt;/D&gt;&lt;D xsi:type="xsd:double"&gt;4.51551829004802&lt;/D&gt;&lt;D xsi:type="xsd:double"&gt;4.34100074633075&lt;/D&gt;&lt;D xsi:type="xsd:double"&gt;3.95507303450011&lt;/D&gt;&lt;D xsi:type="xsd:double"&gt;4.02749300057405&lt;/D&gt;&lt;D xsi:type="xsd:double"&gt;4.00730476948752&lt;/D&gt;&lt;D xsi:type="xsd:double"&gt;3.89800470048343&lt;/D&gt;&lt;D xsi:type="xsd:double"&gt;4.04483917597034&lt;/D&gt;&lt;D xsi:type="xsd:double"&gt;3.95249130847429&lt;/D&gt;&lt;D xsi:type="xsd:double"&gt;3.93983803575111&lt;/D&gt;&lt;/FQL&gt;&lt;FQL&gt;&lt;Q&gt;ENZL^JULIAN(FMA_DIV_YLD(NTMA,-10AY,0,AM,"PORTAGG","MEANR").DATES)&lt;/Q&gt;&lt;R&gt;121&lt;/R&gt;&lt;C&gt;1&lt;/C&gt;&lt;D xsi:type="xsd:long"&gt;41817&lt;/D&gt;&lt;D xsi:type="xsd:long"&gt;41848&lt;/D&gt;&lt;D xsi:type="xsd:long"&gt;41879&lt;/D&gt;&lt;D xsi:type="xsd:long"&gt;41908&lt;/D&gt;&lt;D xsi:type="xsd:long"&gt;41940&lt;/D&gt;&lt;D xsi:type="xsd:long"&gt;41971&lt;/D&gt;&lt;D xsi:type="xsd:long"&gt;41999&lt;/D&gt;&lt;D xsi:type="xsd:long"&gt;42032&lt;/D&gt;&lt;D xsi:type="xsd:long"&gt;42062&lt;/D&gt;&lt;D xsi:type="xsd:long"&gt;42090&lt;/D&gt;&lt;D xsi:type="xsd:long"&gt;42122&lt;/D&gt;&lt;D xsi:type="xsd:long"&gt;42152&lt;/D&gt;&lt;D xsi:type="xsd:long"&gt;42181&lt;/D&gt;&lt;D xsi:type="xsd:long"&gt;42213&lt;/D&gt;&lt;D xsi:type="xsd:long"&gt;42244&lt;/D&gt;&lt;D xsi:type="xsd:long"&gt;42275&lt;/D&gt;&lt;D xsi:type="xsd:long"&gt;42305&lt;/D&gt;&lt;D xsi:type="xsd:long"&gt;42335&lt;/D&gt;&lt;D xsi:type="xsd:long"&gt;42366&lt;/D&gt;&lt;D xsi:type="xsd:long"&gt;42397&lt;/D&gt;&lt;D xsi:type="xsd:long"&gt;42426&lt;/D&gt;&lt;D xsi:type="xsd:long"&gt;42457&lt;/D&gt;&lt;D xsi:type="xsd:long"&gt;42488&lt;/D&gt;&lt;D xsi:type="xsd:long"&gt;42517&lt;/D&gt;&lt;D xsi:type="xsd:long"&gt;42549&lt;/D&gt;&lt;D xsi:type="xsd:long"&gt;42579&lt;/D&gt;&lt;D xsi:type="xsd:long"&gt;42608&lt;/D&gt;&lt;D xsi:type="xsd:long"&gt;42641&lt;/D&gt;&lt;D xsi:type="xsd:long"&gt;42671&lt;/D&gt;&lt;D xsi:type="xsd:long"&gt;42702&lt;/D&gt;&lt;D xsi:type="xsd:long"&gt;42732&lt;/D&gt;&lt;D xsi:type="xsd:long"&gt;42762&lt;/D&gt;&lt;D xsi:type="xsd:long"&gt;42794&lt;/D&gt;&lt;D xsi:type="xsd:long"&gt;42822&lt;/D&gt;&lt;D xsi:type="xsd:long"&gt;42853&lt;/D&gt;&lt;D xsi:type="xsd:long"&gt;42881&lt;/D&gt;&lt;D xsi:type="xsd:long"&gt;42914&lt;/D&gt;&lt;D xsi:type="xsd:long"&gt;42944&lt;/D&gt;&lt;D xsi:type="xsd:long"&gt;42975&lt;/D&gt;&lt;D xsi:type="xsd:long"&gt;43006&lt;/D&gt;&lt;D xsi:type="xsd:long"&gt;43035&lt;/D&gt;&lt;D xsi:type="xsd:long"&gt;43067&lt;/D&gt;&lt;D xsi:type="xsd:long"&gt;43097&lt;/D&gt;&lt;D xsi:type="xsd:long"&gt;43126&lt;/D&gt;&lt;D xsi:type="xsd:long"&gt;43159&lt;/D&gt;&lt;D xsi:type="xsd:long"&gt;43187&lt;/D&gt;&lt;D xsi:type="xsd:long"&gt;43217&lt;/D&gt;&lt;D xsi:type="xsd:long"&gt;43245&lt;/D&gt;&lt;D xsi:type="xsd:long"&gt;43279&lt;/D&gt;&lt;D xsi:type="xsd:long"&gt;43308&lt;/D&gt;&lt;D xsi:type="xsd:long"&gt;43340&lt;/D&gt;&lt;D xsi:type="xsd:long"&gt;43371&lt;/D&gt;&lt;D xsi:type="xsd:long"&gt;43399&lt;/D&gt;&lt;D xsi:type="xsd:long"&gt;43432&lt;/D&gt;&lt;D xsi:type="xsd:long"&gt;43462&lt;/D&gt;&lt;D xsi:type="xsd:long"&gt;43493&lt;/D&gt;&lt;D xsi:type="xsd:long"&gt;43524&lt;/D&gt;&lt;D xsi:type="xsd:long"&gt;43552&lt;/D&gt;&lt;D xsi:type="xsd:long"&gt;43581&lt;/D&gt;&lt;D xsi:type="xsd:long"&gt;43613&lt;/D&gt;&lt;D xsi:type="xsd:long"&gt;43644&lt;/D&gt;&lt;D xsi:type="xsd:long"&gt;43672&lt;/D&gt;&lt;D xsi:type="xsd:long"&gt;43705&lt;/D&gt;&lt;D xsi:type="xsd:long"&gt;43735&lt;/D&gt;&lt;D xsi:type="xsd:long"&gt;43766&lt;/D&gt;&lt;D xsi:type="xsd:long"&gt;43796&lt;/D&gt;&lt;D xsi:type="xsd:long"&gt;43826&lt;/D&gt;&lt;D xsi:type="xsd:long"&gt;43858&lt;/D&gt;&lt;D xsi:type="xsd:long"&gt;43889&lt;/D&gt;&lt;D xsi:type="xsd:long"&gt;43917&lt;/D&gt;&lt;D xsi:type="xsd:long"&gt;43949&lt;/D&gt;&lt;D xsi:type="xsd:long"&gt;43979&lt;/D&gt;&lt;D xsi:type="xsd:long"&gt;44008&lt;/D&gt;&lt;D xsi:type="xsd:long"&gt;44040&lt;/D&gt;&lt;D xsi:type="xsd:long"&gt;44071&lt;/D&gt;&lt;D xsi:type="xsd:long"&gt;44102&lt;/D&gt;&lt;D xsi:type="xsd:long"&gt;44132&lt;/D&gt;&lt;D xsi:type="xsd:long"&gt;44162&lt;/D&gt;&lt;D xsi:type="xsd:long"&gt;44193&lt;/D&gt;&lt;D xsi:type="xsd:long"&gt;44224&lt;/D&gt;&lt;D xsi:type="xsd:long"&gt;44253&lt;/D&gt;&lt;D xsi:type="xsd:long"&gt;44281&lt;/D&gt;&lt;D xsi:type="xsd:long"&gt;44314&lt;/D&gt;&lt;D xsi:type="xsd:long"&gt;44344&lt;/D&gt;&lt;D xsi:type="xsd:long"&gt;44375&lt;/D&gt;&lt;D xsi:type="xsd:long"&gt;44405&lt;/D&gt;&lt;D xsi:type="xsd:long"&gt;44435&lt;/D&gt;&lt;D xsi:type="xsd:long"&gt;44467&lt;/D&gt;&lt;D xsi:type="xsd:long"&gt;44497&lt;/D&gt;&lt;D xsi:type="xsd:long"&gt;44526&lt;/D&gt;&lt;D xsi:type="xsd:long"&gt;44558&lt;/D&gt;&lt;D xsi:type="xsd:long"&gt;44589&lt;/D&gt;&lt;D xsi:type="xsd:long"&gt;44620&lt;/D&gt;&lt;D xsi:type="xsd:long"&gt;44648&lt;/D&gt;&lt;D xsi:type="xsd:long"&gt;44679&lt;/D&gt;&lt;D xsi:type="xsd:long"&gt;44708&lt;/D&gt;&lt;D xsi:type="xsd:long"&gt;44740&lt;/D&gt;&lt;D xsi:type="xsd:long"&gt;44770&lt;/D&gt;&lt;D xsi:type="xsd:long"&gt;44799&lt;/D&gt;&lt;D xsi:type="xsd:long"&gt;44832&lt;/D&gt;&lt;D xsi:type="xsd:long"&gt;44862&lt;/D&gt;&lt;D xsi:type="xsd:long"&gt;44893&lt;/D&gt;&lt;D xsi:type="xsd:long"&gt;44923&lt;/D&gt;&lt;D xsi:type="xsd:long"&gt;44953&lt;/D&gt;&lt;D xsi:type="xsd:long"&gt;44985&lt;/D&gt;&lt;D xsi:type="xsd:long"&gt;45013&lt;/D&gt;&lt;D xsi:type="xsd:long"&gt;45044&lt;/D&gt;&lt;D xsi:type="xsd:long"&gt;45072&lt;/D&gt;&lt;D xsi:type="xsd:long"&gt;45105&lt;/D&gt;&lt;D xsi:type="xsd:long"&gt;45135&lt;/D&gt;&lt;D xsi:type="xsd:long"&gt;45166&lt;/D&gt;&lt;D xsi:type="xsd:long"&gt;45197&lt;/D&gt;&lt;D xsi:type="xsd:long"&gt;45226&lt;/D&gt;&lt;D xsi:type="xsd:long"&gt;45258&lt;/D&gt;&lt;D xsi:type="xsd:long"&gt;45288&lt;/D&gt;&lt;D xsi:type="xsd:long"&gt;45317&lt;/D&gt;&lt;D xsi:type="xsd:long"&gt;45350&lt;/D&gt;&lt;D xsi:type="xsd:long"&gt;45379&lt;/D&gt;&lt;D xsi:type="xsd:long"&gt;45408&lt;/D&gt;&lt;D xsi:type="xsd:long"&gt;45440&lt;/D&gt;&lt;D xsi:type="xsd:long"&gt;45469&lt;/D&gt;&lt;/FQL&gt;&lt;FQL&gt;&lt;Q&gt;DDR3512M-FDS^FG_PRICE(0)/MAX(FG_PRICE(0,-1AY))&lt;/Q&gt;&lt;R&gt;1&lt;/R&gt;&lt;C&gt;1&lt;/C&gt;&lt;D xsi:type="xsd:double"&gt;0.89728775&lt;/D&gt;&lt;/FQL&gt;&lt;FQL&gt;&lt;Q&gt;PASP-FDS^FG_PRICE(0)/MAX(FG_PRICE(0,-1AY))&lt;/Q&gt;&lt;R&gt;1&lt;/R&gt;&lt;C&gt;1&lt;/C&gt;&lt;D xsi:type="xsd:double"&gt;0.708955223880597&lt;/D&gt;&lt;/FQL&gt;&lt;FQL&gt;&lt;Q&gt;PLATI-FDS^FG_PRICE(0)/MAX(FG_PRICE(0,-1AY))&lt;/Q&gt;&lt;R&gt;1&lt;/R&gt;&lt;C&gt;1&lt;/C&gt;&lt;D xsi:type="xsd:double"&gt;0.942937324602432&lt;/D&gt;&lt;/FQL&gt;&lt;FQL&gt;&lt;Q&gt;W-FDS^FG_PRICE(0)/MAX(FG_PRICE(0,-1AY))&lt;/Q&gt;&lt;R&gt;1&lt;/R&gt;&lt;C&gt;1&lt;/C&gt;&lt;D xsi:type="xsd:double"&gt;0.72804998355804&lt;/D&gt;&lt;/FQL&gt;&lt;FQL&gt;&lt;Q&gt;COPP-FDS^FG_PRICE(0)/MAX(FG_PRICE(0,-1AY))&lt;/Q&gt;&lt;R&gt;1&lt;/R&gt;&lt;C&gt;1&lt;/C&gt;&lt;D xsi:type="xsd:double"&gt;0.857687048251612&lt;/D&gt;&lt;/FQL&gt;&lt;FQL&gt;&lt;Q&gt;FC0000JP^FG_PRICE(0)&lt;/Q&gt;&lt;R&gt;1&lt;/R&gt;&lt;C&gt;1&lt;/C&gt;&lt;D xsi:type="xsd:double"&gt;171.2707&lt;/D&gt;&lt;/FQL&gt;&lt;FQL&gt;&lt;Q&gt;FC0000NZ^FG_PRICE(0)&lt;/Q&gt;&lt;R&gt;1&lt;/R&gt;&lt;C&gt;1&lt;/C&gt;&lt;D xsi:type="xsd:double"&gt;384.21664&lt;/D&gt;&lt;/FQL&gt;&lt;FQL&gt;&lt;Q&gt;EWQ^FG_PRICE_MAVG(0,,,,60)&lt;/Q&gt;&lt;R&gt;1&lt;/R&gt;&lt;C&gt;1&lt;/C&gt;&lt;D xsi:type="xsd:double"&gt;40.542&lt;/D&gt;&lt;/FQL&gt;&lt;FQL&gt;&lt;Q&gt;EWL^FG_PRICE_MAVG(0,,,,60)&lt;/Q&gt;&lt;R&gt;1&lt;/R&gt;&lt;C&gt;1&lt;/C&gt;&lt;D xsi:type="xsd:double"&gt;47.6525&lt;/D&gt;&lt;/FQL&gt;&lt;FQL&gt;&lt;Q&gt;EWA^FG_PRICE_MAVG(0,,,,60)&lt;/Q&gt;&lt;R&gt;1&lt;/R&gt;&lt;C&gt;1&lt;/C&gt;&lt;D xsi:type="xsd:double"&gt;24.329666&lt;/D&gt;&lt;/FQL&gt;&lt;FQL&gt;&lt;Q&gt;EWJ^FG_COMPANY_NAME&lt;/Q&gt;&lt;R&gt;1&lt;/R&gt;&lt;C&gt;1&lt;/C&gt;&lt;D xsi:type="xsd:string"&gt;iShares MSCI Japan ETF&lt;/D&gt;&lt;/FQL&gt;&lt;FQL&gt;&lt;Q&gt;SPY^P_PRICE(0)/P_PRICE_HIGH_PR(0,,,,,,"PRICE","INTRA","52W")&lt;/Q&gt;&lt;R&gt;1&lt;/R&gt;&lt;C&gt;1&lt;/C&gt;&lt;D xsi:type="xsd:double"&gt;0.9889873&lt;/D&gt;&lt;/FQL&gt;&lt;FQL&gt;&lt;Q&gt;URTH^FG_TOTAL_RETURNC(0,-12AM)&lt;/Q&gt;&lt;R&gt;1&lt;/R&gt;&lt;C&gt;1&lt;/C&gt;&lt;D xsi:type="xsd:double"&gt;22.07433&lt;/D&gt;&lt;/FQL&gt;&lt;FQL&gt;&lt;Q&gt;VWO^PERCENT_CHANGE(FMA_EPS(+1,0,,,,"PORTAGG","MEAN"),FMA_EPS(+1,-1AM,,,,"PORTAGG","MEAN"))&lt;/Q&gt;&lt;R&gt;1&lt;/R&gt;&lt;C&gt;1&lt;/C&gt;&lt;D xsi:type="xsd:double"&gt;2.01593348845896&lt;/D&gt;&lt;/FQL&gt;&lt;FQL&gt;&lt;Q&gt;EWI^FG_TOTAL_RETURNC(0,-1AM)&lt;/Q&gt;&lt;R&gt;1&lt;/R&gt;&lt;C&gt;1&lt;/C&gt;&lt;D xsi:type="xsd:double"&gt;-5.4123697&lt;/D&gt;&lt;/FQL&gt;&lt;FQL&gt;&lt;Q&gt;EWN^FG_TOTAL_RETURNC(0,-6AM)&lt;/Q&gt;&lt;R&gt;1&lt;/R&gt;&lt;C&gt;1&lt;/C&gt;&lt;D xsi:type="xsd:double"&gt;13.791788&lt;/D&gt;&lt;/FQL&gt;&lt;FQL&gt;&lt;Q&gt;SPY^P_PRICE(0)/P_PRICE_LOW_PR(0,,,,,,"PRICE","INTRA","52W")-1&lt;/Q&gt;&lt;R&gt;1&lt;/R&gt;&lt;C&gt;1&lt;/C&gt;&lt;D xsi:type="xsd:double"&gt;0.3299284&lt;/D&gt;&lt;/FQL&gt;&lt;FQL&gt;&lt;Q&gt;QQQ^FMA_PCT_ABOVE_MAVG(200,0,,,,"PORTAGG")&lt;/Q&gt;&lt;R&gt;1&lt;/R&gt;&lt;C&gt;1&lt;/C&gt;&lt;D xsi:type="xsd:double"&gt;61.7647058823529&lt;/D&gt;&lt;/FQL&gt;&lt;FQL&gt;&lt;Q&gt;EWL^PERCENT_CHANGE(FMA_EPS(+1,0,,,,"PORTAGG","MEAN"),FMA_EPS(+1,-3AM,,,,"PORTAGG","MEAN"))&lt;/Q&gt;&lt;R&gt;1&lt;/R&gt;&lt;C&gt;1&lt;/C&gt;&lt;D xsi:type="xsd:double"&gt;2.07388340514301&lt;/D&gt;&lt;/FQL&gt;&lt;FQL&gt;&lt;Q&gt;EWG^FG_TOTAL_RETURNC(0,-3AM)&lt;/Q&gt;&lt;R&gt;1&lt;/R&gt;&lt;C&gt;1&lt;/C&gt;&lt;D xsi:type="xsd:double"&gt;-1.1802495&lt;/D&gt;&lt;/FQL&gt;&lt;FQL&gt;&lt;Q&gt;EWA^P_PRICE(0)/P_PRICE_HIGH_PR(0,,,,,,"PRICE","INTRA","52W")&lt;/Q&gt;&lt;R&gt;1&lt;/R&gt;&lt;C&gt;1&lt;/C&gt;&lt;D xsi:type="xsd:double"&gt;0.9679081&lt;/D&gt;&lt;/FQL&gt;&lt;FQL&gt;&lt;Q&gt;FXI^SIZE(FG_CONSTITUENTS)&lt;/Q&gt;&lt;R&gt;1&lt;/R&gt;&lt;C&gt;1&lt;/C&gt;&lt;D xsi:type="xsd:long"&gt;53&lt;/D&gt;&lt;/FQL&gt;&lt;FQL&gt;&lt;Q&gt;VGK^FMA_COS_DOWN("EPS","1M",+1,0,,,"PORTAGG","MEANR")&lt;/Q&gt;&lt;R&gt;1&lt;/R&gt;&lt;C&gt;1&lt;/C&gt;&lt;D xsi:type="xsd:double"&gt;437&lt;/D&gt;&lt;/FQL&gt;&lt;FQL&gt;&lt;Q&gt;SPY^FMA_COS_UP("EPS","1M",+1,0,,,"PORTAGG","MEANR")&lt;/Q&gt;&lt;R&gt;1&lt;/R&gt;&lt;C&gt;1&lt;/C&gt;&lt;D xsi:type="xsd:double"&gt;155&lt;/D&gt;&lt;/FQL&gt;&lt;FQL&gt;&lt;Q&gt;EWC^SIZE(FG_CONSTITUENTS)&lt;/Q&gt;&lt;R&gt;1&lt;/R&gt;&lt;C&gt;1&lt;/C&gt;&lt;D xsi:type="xsd:long"&gt;88&lt;/D&gt;&lt;/FQL&gt;&lt;FQL&gt;&lt;Q&gt;TRYIT10Y-FDS^FG_YIELD_NAME&lt;/Q&gt;&lt;R&gt;1&lt;/R&gt;&lt;C&gt;1&lt;/C&gt;&lt;D xsi:type="xsd:string"&gt;Italy Benchmark Bond - 10 Year&lt;/D&gt;&lt;/FQL&gt;&lt;FQL&gt;&lt;Q&gt;EWA^FMA_ROE(NTMA,-20AY,NOW,FY,"PORTAGG","MEANR")&lt;/Q&gt;&lt;R&gt;20&lt;/R&gt;&lt;C&gt;1&lt;/C&gt;&lt;D xsi:type="xsd:double"&gt;15.4970825561621&lt;/D&gt;&lt;D xsi:type="xsd:double"&gt;16.532509518014&lt;/D&gt;&lt;D xsi:type="xsd:double"&gt;17.0193996486167&lt;/D&gt;&lt;D xsi:type="xsd:double"&gt;15.5609914058652&lt;/D&gt;&lt;D xsi:type="xsd:double"&gt;13.5690116283254&lt;/D&gt;&lt;D xsi:type="xsd:double"&gt;12.8492110125335&lt;/D&gt;&lt;D xsi:type="xsd:double"&gt;14.2386354612725&lt;/D&gt;&lt;D xsi:type="xsd:double"&gt;14.168071267681&lt;/D&gt;&lt;D xsi:type="xsd:double"&gt;12.6921652881541&lt;/D&gt;&lt;D xsi:type="xsd:double"&gt;13.1922555858139&lt;/D&gt;&lt;D xsi:type="xsd:double"&gt;12.5644042089263&lt;/D&gt;&lt;D xsi:type="xsd:double"&gt;10.7321365234713&lt;/D&gt;&lt;D xsi:type="xsd:double"&gt;11.5035211675747&lt;/D&gt;&lt;D xsi:type="xsd:double"&gt;11.9072990069878&lt;/D&gt;&lt;D xsi:type="xsd:double"&gt;12.4009311752812&lt;/D&gt;&lt;D xsi:type="xsd:double"&gt;11.7272453218097&lt;/D&gt;&lt;D xsi:type="xsd:double"&gt;11.0508592064609&lt;/D&gt;&lt;D xsi:type="xsd:double"&gt;12.8471719199911&lt;/D&gt;&lt;D xsi:type="xsd:double"&gt;14.6580605840091&lt;/D&gt;&lt;D xsi:type="xsd:double"&gt;13.2261379950135&lt;/D&gt;&lt;/FQL&gt;&lt;FQL&gt;&lt;Q&gt;CAGDPY@IT^EE_ACTUAL_ANNUAL(MED,0)&lt;/Q&gt;&lt;R&gt;1&lt;/R&gt;&lt;C&gt;1&lt;/C&gt;&lt;D xsi:type="xsd:double"&gt;0.464202084267218&lt;/D&gt;&lt;/FQL&gt;&lt;FQL&gt;&lt;Q&gt;CAGDPY@JP^EE_ACTUAL_ANNUAL(MED,0)&lt;/Q&gt;&lt;R&gt;1&lt;/R&gt;&lt;C&gt;1&lt;/C&gt;&lt;D xsi:type="xsd:double"&gt;3.61295912215857&lt;/D&gt;&lt;/FQL&gt;&lt;FQL&gt;&lt;Q&gt;CC_AU^FG_COMPANY_NAME&lt;/Q&gt;&lt;R&gt;1&lt;/R&gt;&lt;C&gt;1&lt;/C&gt;&lt;D xsi:type="xsd:string"&gt;Australia&lt;/D&gt;&lt;/FQL&gt;&lt;FQL&gt;&lt;Q&gt;USDSEK^FG_PRICE(0)&lt;/Q&gt;&lt;R&gt;1&lt;/R&gt;&lt;C&gt;1&lt;/C&gt;&lt;D xsi:type="xsd:double"&gt;10.5902&lt;/D&gt;&lt;/FQL&gt;&lt;FQL&gt;&lt;Q&gt;USDCHF^FG_PRICE(0)&lt;/Q&gt;&lt;R&gt;1&lt;/R&gt;&lt;C&gt;1&lt;/C&gt;&lt;D xsi:type="xsd:double"&gt;0.8986&lt;/D&gt;&lt;/FQL&gt;&lt;FQL&gt;&lt;Q&gt;USDEUR^FG_PRICE(0)&lt;/Q&gt;&lt;R&gt;1&lt;/R&gt;&lt;C&gt;1&lt;/C&gt;&lt;D xsi:type="xsd:double"&gt;0.93305343&lt;/D&gt;&lt;/FQL&gt;&lt;FQL&gt;&lt;Q&gt;USDAUD^FG_PRICE(0)&lt;/Q&gt;&lt;R&gt;1&lt;/R&gt;&lt;C&gt;1&lt;/C&gt;&lt;D xsi:type="xsd:double"&gt;1.4973422&lt;/D&gt;&lt;/FQL&gt;&lt;FQL&gt;&lt;Q&gt;EWU^FMA_EPS(NTMA,-20AY,0,CY,,"PORTAGG","MEANR")&lt;/Q&gt;&lt;R&gt;20&lt;/R&gt;&lt;C&gt;1&lt;/C&gt;&lt;D xsi:type="xsd:double"&gt;2.78829402631307&lt;/D&gt;&lt;D xsi:type="xsd:double"&gt;2.94932484667975&lt;/D&gt;&lt;D xsi:type="xsd:double"&gt;3.75488864741091&lt;/D&gt;&lt;D xsi:type="xsd:double"&gt;4.07523919059458&lt;/D&gt;&lt;D xsi:type="xsd:double"&gt;2.818707383858&lt;/D&gt;&lt;D xsi:type="xsd:double"&gt;2.6972177795125&lt;/D&gt;&lt;D xsi:type="xsd:double"&gt;3.36495665882676&lt;/D&gt;&lt;D xsi:type="xsd:double"&gt;3.43468170545609&lt;/D&gt;&lt;D xsi:type="xsd:double"&gt;3.30605625416888&lt;/D&gt;&lt;D xsi:type="xsd:double"&gt;3.23218168522276&lt;/D&gt;&lt;D xsi:type="xsd:double"&gt;2.60589751741525&lt;/D&gt;&lt;D xsi:type="xsd:double"&gt;2.12294202915382&lt;/D&gt;&lt;D xsi:type="xsd:double"&gt;2.123898319152&lt;/D&gt;&lt;D xsi:type="xsd:double"&gt;2.42405089418043&lt;/D&gt;&lt;D xsi:type="xsd:double"&gt;2.57732227429949&lt;/D&gt;&lt;D xsi:type="xsd:double"&gt;2.53485794585659&lt;/D&gt;&lt;D xsi:type="xsd:double"&gt;2.03463841720374&lt;/D&gt;&lt;D xsi:type="xsd:double"&gt;2.71427224340632&lt;/D&gt;&lt;D xsi:type="xsd:double"&gt;3.12760121442786&lt;/D&gt;&lt;D xsi:type="xsd:double"&gt;3.0028044332351&lt;/D&gt;&lt;/FQL&gt;&lt;FQL&gt;&lt;Q&gt;EWJ^P_PRICE_RETURNS_PR('52W',2,-10AY,0,AM)&lt;/Q&gt;&lt;R&gt;121&lt;/R&gt;&lt;C&gt;1&lt;/C&gt;&lt;D xsi:type="xsd:double"&gt;9.174657&lt;/D&gt;&lt;D xsi:type="xsd:double"&gt;8.737087&lt;/D&gt;&lt;D xsi:type="xsd:double"&gt;8.007681&lt;/D&gt;&lt;D xsi:type="xsd:double"&gt;-0.2465725&lt;/D&gt;&lt;D xsi:type="xsd:double"&gt;-3.181851&lt;/D&gt;&lt;D xsi:type="xsd:double"&gt;-2.3529649&lt;/D&gt;&lt;D xsi:type="xsd:double"&gt;-2.02834&lt;/D&gt;&lt;D xsi:type="xsd:double"&gt;0.9285927&lt;/D&gt;&lt;D xsi:type="xsd:double"&gt;8.291769&lt;/D&gt;&lt;D xsi:type="xsd:double"&gt;15.009367&lt;/D&gt;&lt;D xsi:type="xsd:double"&gt;21.751678&lt;/D&gt;&lt;D xsi:type="xsd:double"&gt;16.694403&lt;/D&gt;&lt;D xsi:type="xsd:double"&gt;10.102856&lt;/D&gt;&lt;D xsi:type="xsd:double"&gt;5.7364464&lt;/D&gt;&lt;D xsi:type="xsd:double"&gt;5.28692&lt;/D&gt;&lt;D xsi:type="xsd:double"&gt;-3.827262&lt;/D&gt;&lt;D xsi:type="xsd:double"&gt;11.615658&lt;/D&gt;&lt;D xsi:type="xsd:double"&gt;8.205628&lt;/D&gt;&lt;D xsi:type="xsd:double"&gt;6.2279463&lt;/D&gt;&lt;D xsi:type="xsd:double"&gt;-1.9083381&lt;/D&gt;&lt;D xsi:type="xsd:double"&gt;-9.703838&lt;/D&gt;&lt;D xsi:type="xsd:double"&gt;-8.38641&lt;/D&gt;&lt;D xsi:type="xsd:double"&gt;-12.444365&lt;/D&gt;&lt;D xsi:type="xsd:double"&gt;-10.306263&lt;/D&gt;&lt;D xsi:type="xsd:double"&gt;-11.124813&lt;/D&gt;&lt;D xsi:type="xsd:double"&gt;-5.7133017&lt;/D&gt;&lt;D xsi:type="xsd:double"&gt;3.1307936&lt;/D&gt;&lt;D xsi:type="xsd:double"&gt;13.355696&lt;/D&gt;&lt;D xsi:type="xsd:double"&gt;2.3382068&lt;/D&gt;&lt;D xsi:type="xsd:double"&gt;1.5272856&lt;/D&gt;&lt;D xsi:type="xsd:double"&gt;3.7831664&lt;/D&gt;&lt;D xsi:type="xsd:double"&gt;15.598226&lt;/D&gt;&lt;D xsi:type="xsd:double"&gt;18.088018&lt;/D&gt;&lt;D xsi:type="xsd:double"&gt;15.829134&lt;/D&gt;&lt;D xsi:type="xsd:double"&gt;14.766895&lt;/D&gt;&lt;D xsi:type="xsd:double"&gt;15.581142&lt;/D&gt;&lt;D xsi:type="xsd:double"&gt;20.077467&lt;/D&gt;&lt;D xsi:type="xsd:double"&gt;17.248703&lt;/D&gt;&lt;D xsi:type="xsd:double"&gt;13.365293&lt;/D&gt;&lt;D xsi:type="xsd:double"&gt;12.087584&lt;/D&gt;&lt;D xsi:type="xsd:double"&gt;18.027664&lt;/D&gt;&lt;D xsi:type="xsd:double"&gt;22.32418&lt;/D&gt;&lt;D xsi:type="xsd:double"&gt;22.739483&lt;/D&gt;&lt;D xsi:type="xsd:double"&gt;27.849174&lt;/D&gt;&lt;D xsi:type="xsd:double"&gt;20.779312&lt;/D&gt;&lt;D xsi:type="xsd:double"&gt;15.991735&lt;/D&gt;&lt;D xsi:type="xsd:double"&gt;18.175816&lt;/D&gt;&lt;D xsi:type="xsd:double"&gt;14.624357&lt;/D&gt;&lt;D xsi:type="xsd:double"&gt;9.141552&lt;/D&gt;&lt;D xsi:type="xsd:double"&gt;10.798883&lt;/D&gt;&lt;D xsi:type="xsd:double"&gt;8.692158&lt;/D&gt;&lt;D xsi:type="xsd:double"&gt;9.709907&lt;/D&gt;&lt;D xsi:type="xsd:double"&gt;-5.5586042&lt;/D&gt;&lt;D xsi:type="xsd:double"&gt;-6.13783&lt;/D&gt;&lt;D xsi:type="xsd:double"&gt;-13.783664&lt;/D&gt;&lt;D xsi:type="xsd:double"&gt;-15.930658&lt;/D&gt;&lt;D xsi:type="xsd:double"&gt;-9.594506&lt;/D&gt;&lt;D xsi:type="xsd:double"&gt;-7.1983695&lt;/D&gt;&lt;D xsi:type="xsd:double"&gt;-7.6835036&lt;/D&gt;&lt;D xsi:type="xsd:double"&gt;-9.971648&lt;/D&gt;&lt;D xsi:type="xsd:double"&gt;-4.470372&lt;/D&gt;&lt;D xsi:type="xsd:double"&gt;-5.929792&lt;/D&gt;&lt;D xsi:type="xsd:double"&gt;-6.908655&lt;/D&gt;&lt;D xsi:type="xsd:double"&gt;-4.830432&lt;/D&gt;&lt;D xsi:type="xsd:double"&gt;9.773803&lt;/D&gt;&lt;D xsi:type="xsd:double"&gt;11.4213705&lt;/D&gt;&lt;D xsi:type="xsd:double"&gt;19.942701&lt;/D&gt;&lt;D xsi:type="xsd:double"&gt;12.501955&lt;/D&gt;&lt;D xsi:type="xsd:double"&gt;-0.5233705&lt;/D&gt;&lt;D xsi:type="xsd:double"&gt;-6.3652396&lt;/D&gt;&lt;D xsi:type="xsd:double"&gt;-3.5335064&lt;/D&gt;&lt;D xsi:type="xsd:double"&gt;7.0487857&lt;/D&gt;&lt;D xsi:type="xsd:double"&gt;4.5045257&lt;/D&gt;&lt;D xsi:type="xsd:double"&gt;5.3113103&lt;/D&gt;&lt;D xsi:type="xsd:double"&gt;11.038613&lt;/D&gt;&lt;D xsi:type="xsd:double"&gt;7.597208&lt;/D&gt;&lt;D xsi:type="xsd:double"&gt;1.7887235&lt;/D&gt;&lt;D xsi:type="xsd:double"&gt;12.5897045&lt;/D&gt;&lt;D xsi:type="xsd:double"&gt;12.933361&lt;/D&gt;&lt;D xsi:type="xsd:double"&gt;17.428005&lt;/D&gt;&lt;D xsi:type="xsd:double"&gt;25.749361&lt;/D&gt;&lt;D xsi:type="xsd:double"&gt;41.22019&lt;/D&gt;&lt;D xsi:type="xsd:double"&gt;31.435871&lt;/D&gt;&lt;D xsi:type="xsd:double"&gt;24.195969&lt;/D&gt;&lt;D xsi:type="xsd:double"&gt;24.227737&lt;/D&gt;&lt;D xsi:type="xsd:double"&gt;20.839834&lt;/D&gt;&lt;D xsi:type="xsd:double"&gt;19.22307&lt;/D&gt;&lt;D xsi:type="xsd:double"&gt;20.56353&lt;/D&gt;&lt;D xsi:type="xsd:double"&gt;19.148933&lt;/D&gt;&lt;D xsi:type="xsd:double"&gt;3.7154317&lt;/D&gt;&lt;D xsi:type="xsd:double"&gt;3.499186&lt;/D&gt;&lt;D xsi:type="xsd:double"&gt;-6.414562&lt;/D&gt;&lt;D xsi:type="xsd:double"&gt;-5.8284817&lt;/D&gt;&lt;D xsi:type="xsd:double"&gt;-10.026825&lt;/D&gt;&lt;D xsi:type="xsd:double"&gt;-13.964444&lt;/D&gt;&lt;D xsi:type="xsd:double"&gt;-12.774981&lt;/D&gt;&lt;D xsi:type="xsd:double"&gt;-20.189936&lt;/D&gt;&lt;D xsi:type="xsd:double"&gt;-15.823585&lt;/D&gt;&lt;D xsi:type="xsd:double"&gt;-17.672937&lt;/D&gt;&lt;D xsi:type="xsd:double"&gt;-28.349287&lt;/D&gt;&lt;D xsi:type="xsd:double"&gt;-24.896324&lt;/D&gt;&lt;D xsi:type="xsd:double"&gt;-15.146696&lt;/D&gt;&lt;D xsi:type="xsd:double"&gt;-19.136883&lt;/D&gt;&lt;D xsi:type="xsd:double"&gt;-4.77131&lt;/D&gt;&lt;D xsi:type="xsd:double"&gt;-10.052729&lt;/D&gt;&lt;D xsi:type="xsd:double"&gt;-5.8552446&lt;/D&gt;&lt;D xsi:type="xsd:double"&gt;3.922677&lt;/D&gt;&lt;D xsi:type="xsd:double"&gt;5.146837&lt;/D&gt;&lt;D xsi:type="xsd:double"&gt;17.393791&lt;/D&gt;&lt;D xsi:type="xsd:double"&gt;15.571224&lt;/D&gt;&lt;D xsi:type="xsd:double"&gt;12.498533&lt;/D&gt;&lt;D xsi:type="xsd:double"&gt;24.082363&lt;/D&gt;&lt;D xsi:type="xsd:double"&gt;17.301727&lt;/D&gt;&lt;D xsi:type="xsd:double"&gt;13.689148&lt;/D&gt;&lt;D xsi:type="xsd:double"&gt;21.40547&lt;/D&gt;&lt;D xsi:type="xsd:double"&gt;13.842154&lt;/D&gt;&lt;D xsi:type="xsd:double"&gt;25.365616&lt;/D&gt;&lt;D xsi:type="xsd:double"&gt;26.746368&lt;/D&gt;&lt;D xsi:type="xsd:double"&gt;17.47223&lt;/D&gt;&lt;D xsi:type="xsd:double"&gt;16.702652&lt;/D&gt;&lt;D xsi:type="xsd:double"&gt;12.77746&lt;/D&gt;&lt;/FQL&gt;&lt;FQL&gt;&lt;Q&gt;EWC^FG_TOTAL_RETURNC(-10AY,0,AM)&lt;/Q&gt;&lt;R&gt;121&lt;/R&gt;&lt;C&gt;1&lt;/C&gt;&lt;D xsi:type="xsd:double"&gt;5.6769013&lt;/D&gt;&lt;D xsi:type="xsd:double"&gt;1.7434716&lt;/D&gt;&lt;D xsi:type="xsd:double"&gt;0.45900345&lt;/D&gt;&lt;D xsi:type="xsd:double"&gt;-5.6046367&lt;/D&gt;&lt;D xsi:type="xsd:double"&gt;-2.807355&lt;/D&gt;&lt;D xsi:type="xsd:double"&gt;-0.5976081&lt;/D&gt;&lt;D xsi:type="xsd:double"&gt;-2.2083879&lt;/D&gt;&lt;D xsi:type="xsd:double"&gt;-7.5484695&lt;/D&gt;&lt;D xsi:type="xsd:double"&gt;4.943824&lt;/D&gt;&lt;D xsi:type="xsd:double"&gt;-3.3904374&lt;/D&gt;&lt;D xsi:type="xsd:double"&gt;8.976734&lt;/D&gt;&lt;D xsi:type="xsd:double"&gt;-5.118644&lt;/D&gt;&lt;D xsi:type="xsd:double"&gt;-0.8862674&lt;/D&gt;&lt;D xsi:type="xsd:double"&gt;-8.71777&lt;/D&gt;&lt;D xsi:type="xsd:double"&gt;-3.700751&lt;/D&gt;&lt;D xsi:type="xsd:double"&gt;-7.7686014&lt;/D&gt;&lt;D xsi:type="xsd:double"&gt;8.826172&lt;/D&gt;&lt;D xsi:type="xsd:double"&gt;-4.8579693&lt;/D&gt;&lt;D xsi:type="xsd:double"&gt;-5.045265&lt;/D&gt;&lt;D xsi:type="xsd:double"&gt;-5.1270127&lt;/D&gt;&lt;D xsi:type="xsd:double"&gt;5.306709&lt;/D&gt;&lt;D xsi:type="xsd:double"&gt;7.397139&lt;/D&gt;&lt;D xsi:type="xsd:double"&gt;8.7387085&lt;/D&gt;&lt;D xsi:type="xsd:double"&gt;-2.0981789&lt;/D&gt;&lt;D xsi:type="xsd:double"&gt;-2.2627294&lt;/D&gt;&lt;D xsi:type="xsd:double"&gt;4.1701436&lt;/D&gt;&lt;D xsi:type="xsd:double"&gt;2.481985&lt;/D&gt;&lt;D xsi:type="xsd:double"&gt;0.31249523&lt;/D&gt;&lt;D xsi:type="xsd:double"&gt;-0.8956373&lt;/D&gt;&lt;D xsi:type="xsd:double"&gt;1.7681718&lt;/D&gt;&lt;D xsi:type="xsd:double"&gt;1.4671326&lt;/D&gt;&lt;D xsi:type="xsd:double"&gt;4.7655582&lt;/D&gt;&lt;D xsi:type="xsd:double"&gt;-2.0909727&lt;/D&gt;&lt;D xsi:type="xsd:double"&gt;0.5245328&lt;/D&gt;&lt;D xsi:type="xsd:double"&gt;-2.1244884&lt;/D&gt;&lt;D xsi:type="xsd:double"&gt;0.45696497&lt;/D&gt;&lt;D xsi:type="xsd:double"&gt;3.0797362&lt;/D&gt;&lt;D xsi:type="xsd:double"&gt;3.4482718&lt;/D&gt;&lt;D xsi:type="xsd:double"&gt;-1.0035813&lt;/D&gt;&lt;D xsi:type="xsd:double"&gt;4.779148&lt;/D&gt;&lt;D xsi:type="xsd:double"&gt;-0.38009882&lt;/D&gt;&lt;D xsi:type="xsd:double"&gt;0.8324623&lt;/D&gt;&lt;D xsi:type="xsd:double"&gt;3.1969547&lt;/D&gt;&lt;D xsi:type="xsd:double"&gt;2.3632646&lt;/D&gt;&lt;D xsi:type="xsd:double"&gt;-8.344322&lt;/D&gt;&lt;D xsi:type="xsd:double"&gt;-2.5548816&lt;/D&gt;&lt;D xsi:type="xsd:double"&gt;4.172814&lt;/D&gt;&lt;D xsi:type="xsd:double"&gt;1.9496679&lt;/D&gt;&lt;D xsi:type="xsd:double"&gt;-1.4490187&lt;/D&gt;&lt;D xsi:type="xsd:double"&gt;3.271687&lt;/D&gt;&lt;D xsi:type="xsd:double"&gt;0.6198287&lt;/D&gt;&lt;D xsi:type="xsd:double"&gt;-1.505816&lt;/D&gt;&lt;D xsi:type="xsd:double"&gt;-8.7560835&lt;/D&gt;&lt;D xsi:type="xsd:double"&gt;1.2566686&lt;/D&gt;&lt;D xsi:type="xsd:double"&gt;-8.802795&lt;/D&gt;&lt;D xsi:type="xsd:double"&gt;11.40461&lt;/D&gt;&lt;D xsi:type="xsd:double"&gt;4.817462&lt;/D&gt;&lt;D xsi:type="xsd:double"&gt;-0.96948147&lt;/D&gt;&lt;D xsi:type="xsd:double"&gt;3.19072&lt;/D&gt;&lt;D xsi:type="xsd:double"&gt;-2.3893118&lt;/D&gt;&lt;D xsi:type="xsd:double"&gt;3.9598346&lt;/D&gt;&lt;D xsi:type="xsd:double"&gt;0.27952194&lt;/D&gt;&lt;D xsi:type="xsd:double"&gt;-2.9268324&lt;/D&gt;&lt;D xsi:type="xsd:double"&gt;3.6611557&lt;/D&gt;&lt;D xsi:type="xsd:double"&gt;0.06924868&lt;/D&gt;&lt;D xsi:type="xsd:double"&gt;2.629757&lt;/D&gt;&lt;D xsi:type="xsd:double"&gt;1.8473387&lt;/D&gt;&lt;D xsi:type="xsd:double"&gt;1.5095592&lt;/D&gt;&lt;D xsi:type="xsd:double"&gt;-8.823532&lt;/D&gt;&lt;D xsi:type="xsd:double"&gt;-25.117796&lt;/D&gt;&lt;D xsi:type="xsd:double"&gt;16.747343&lt;/D&gt;&lt;D xsi:type="xsd:double"&gt;5.2238703&lt;/D&gt;&lt;D xsi:type="xsd:double"&gt;0.051426888&lt;/D&gt;&lt;D xsi:type="xsd:double"&gt;8.393002&lt;/D&gt;&lt;D xsi:type="xsd:double"&gt;6.165135&lt;/D&gt;&lt;D xsi:type="xsd:double"&gt;-4.7010064&lt;/D&gt;&lt;D xsi:type="xsd:double"&gt;-3.8810313&lt;/D&gt;&lt;D xsi:type="xsd:double"&gt;15.094339&lt;/D&gt;&lt;D xsi:type="xsd:double"&gt;2.4134398&lt;/D&gt;&lt;D xsi:type="xsd:double"&gt;0.94002485&lt;/D&gt;&lt;D xsi:type="xsd:double"&gt;3.3076406&lt;/D&gt;&lt;D xsi:type="xsd:double"&gt;6.061554&lt;/D&gt;&lt;D xsi:type="xsd:double"&gt;5.5978894&lt;/D&gt;&lt;D xsi:type="xsd:double"&gt;5.1068544&lt;/D&gt;&lt;D xsi:type="xsd:double"&gt;-0.58006644&lt;/D&gt;&lt;D xsi:type="xsd:double"&gt;-0.9620428&lt;/D&gt;&lt;D xsi:type="xsd:double"&gt;1.349163&lt;/D&gt;&lt;D xsi:type="xsd:double"&gt;-2.8221548&lt;/D&gt;&lt;D xsi:type="xsd:double"&gt;8.493149&lt;/D&gt;&lt;D xsi:type="xsd:double"&gt;-3.5606086&lt;/D&gt;&lt;D xsi:type="xsd:double"&gt;1.4270306&lt;/D&gt;&lt;D xsi:type="xsd:double"&gt;-2.405864&lt;/D&gt;&lt;D xsi:type="xsd:double"&gt;2.41158&lt;/D&gt;&lt;D xsi:type="xsd:double"&gt;5.6253195&lt;/D&gt;&lt;D xsi:type="xsd:double"&gt;-6.167942&lt;/D&gt;&lt;D xsi:type="xsd:double"&gt;-0.68638325&lt;/D&gt;&lt;D xsi:type="xsd:double"&gt;-8.17222&lt;/D&gt;&lt;D xsi:type="xsd:double"&gt;1.6622901&lt;/D&gt;&lt;D xsi:type="xsd:double"&gt;0.2868533&lt;/D&gt;&lt;D xsi:type="xsd:double"&gt;-9.782606&lt;/D&gt;&lt;D xsi:type="xsd:double"&gt;5.009508&lt;/D&gt;&lt;D xsi:type="xsd:double"&gt;4.7403336&lt;/D&gt;&lt;D xsi:type="xsd:double"&gt;-5.2403746&lt;/D&gt;&lt;D xsi:type="xsd:double"&gt;10.092581&lt;/D&gt;&lt;D xsi:type="xsd:double"&gt;-4.54163&lt;/D&gt;&lt;D xsi:type="xsd:double"&gt;-2.5256991&lt;/D&gt;&lt;D xsi:type="xsd:double"&gt;6.0560465&lt;/D&gt;&lt;D xsi:type="xsd:double"&gt;-4.034096&lt;/D&gt;&lt;D xsi:type="xsd:double"&gt;2.777481&lt;/D&gt;&lt;D xsi:type="xsd:double"&gt;4.102409&lt;/D&gt;&lt;D xsi:type="xsd:double"&gt;-5.1984367&lt;/D&gt;&lt;D xsi:type="xsd:double"&gt;-0.56013465&lt;/D&gt;&lt;D xsi:type="xsd:double"&gt;-6.670618&lt;/D&gt;&lt;D xsi:type="xsd:double"&gt;9.783995&lt;/D&gt;&lt;D xsi:type="xsd:double"&gt;7.639003&lt;/D&gt;&lt;D xsi:type="xsd:double"&gt;-0.6267011&lt;/D&gt;&lt;D xsi:type="xsd:double"&gt;0.19193888&lt;/D&gt;&lt;D xsi:type="xsd:double"&gt;4.7618985&lt;/D&gt;&lt;D xsi:type="xsd:double"&gt;-1.6980112&lt;/D&gt;&lt;D xsi:type="xsd:double"&gt;1.3553023&lt;/D&gt;&lt;D xsi:type="xsd:double"&gt;-1.8322468&lt;/D&gt;&lt;/FQL&gt;&lt;FQL&gt;&lt;Q&gt;ENZL^FMA_DIV_YLD(NTMA,-10AY,0,AM,"PORTAGG","MEANR")&lt;/Q&gt;&lt;R&gt;121&lt;/R&gt;&lt;C&gt;1&lt;/C&gt;&lt;D xsi:type="xsd:double"&gt;4.26895122955234&lt;/D&gt;&lt;D xsi:</t>
        </r>
      </text>
    </comment>
    <comment ref="A9" authorId="0" shapeId="0" xr:uid="{435CBDC2-5E98-4D4B-83F5-599DCCA8883F}">
      <text>
        <r>
          <rPr>
            <b/>
            <sz val="9"/>
            <color indexed="81"/>
            <rFont val="Tahoma"/>
            <charset val="1"/>
          </rPr>
          <t>type="xsd:double"&gt;4.42278190243516&lt;/D&gt;&lt;D xsi:type="xsd:double"&gt;4.51760987913649&lt;/D&gt;&lt;D xsi:type="xsd:double"&gt;4.57172910160159&lt;/D&gt;&lt;D xsi:type="xsd:double"&gt;4.53777864196919&lt;/D&gt;&lt;D xsi:type="xsd:double"&gt;4.54861858802081&lt;/D&gt;&lt;D xsi:type="xsd:double"&gt;4.4532055061177&lt;/D&gt;&lt;D xsi:type="xsd:double"&gt;4.26290674878491&lt;/D&gt;&lt;D xsi:type="xsd:double"&gt;4.26227285815805&lt;/D&gt;&lt;D xsi:type="xsd:double"&gt;4.39963047108167&lt;/D&gt;&lt;D xsi:type="xsd:double"&gt;4.50837795987916&lt;/D&gt;&lt;D xsi:type="xsd:double"&gt;4.45374946448426&lt;/D&gt;&lt;D xsi:type="xsd:double"&gt;4.65300367779847&lt;/D&gt;&lt;D xsi:type="xsd:double"&gt;4.61296577359501&lt;/D&gt;&lt;D xsi:type="xsd:double"&gt;5.01368140299907&lt;/D&gt;&lt;D xsi:type="xsd:double"&gt;5.15949871281634&lt;/D&gt;&lt;D xsi:type="xsd:double"&gt;4.90905205344111&lt;/D&gt;&lt;D xsi:type="xsd:double"&gt;4.81372173146439&lt;/D&gt;&lt;D xsi:type="xsd:double"&gt;4.80628657162469&lt;/D&gt;&lt;D xsi:type="xsd:double"&gt;4.89179464851475&lt;/D&gt;&lt;D xsi:type="xsd:double"&gt;4.85116509122552&lt;/D&gt;&lt;D xsi:type="xsd:double"&gt;4.613023329306&lt;/D&gt;&lt;D xsi:type="xsd:double"&gt;4.58930535008487&lt;/D&gt;&lt;D xsi:type="xsd:double"&gt;4.44755318030269&lt;/D&gt;&lt;D xsi:type="xsd:double"&gt;4.5334702678918&lt;/D&gt;&lt;D xsi:type="xsd:double"&gt;4.15022095574834&lt;/D&gt;&lt;D xsi:type="xsd:double"&gt;4.21461735867198&lt;/D&gt;&lt;D xsi:type="xsd:double"&gt;4.35631701663453&lt;/D&gt;&lt;D xsi:type="xsd:double"&gt;4.57688628452683&lt;/D&gt;&lt;D xsi:type="xsd:double"&gt;4.59122011633914&lt;/D&gt;&lt;D xsi:type="xsd:double"&gt;4.62701395903768&lt;/D&gt;&lt;D xsi:type="xsd:double"&gt;4.47939616113487&lt;/D&gt;&lt;D xsi:type="xsd:double"&gt;4.65708432864585&lt;/D&gt;&lt;D xsi:type="xsd:double"&gt;4.67082094068757&lt;/D&gt;&lt;D xsi:type="xsd:double"&gt;4.45831054108891&lt;/D&gt;&lt;D xsi:type="xsd:double"&gt;4.44322159044133&lt;/D&gt;&lt;D xsi:type="xsd:double"&gt;4.33617854540218&lt;/D&gt;&lt;D xsi:type="xsd:double"&gt;4.43363397692153&lt;/D&gt;&lt;D xsi:type="xsd:double"&gt;4.30362328881467&lt;/D&gt;&lt;D xsi:type="xsd:double"&gt;4.41552338222058&lt;/D&gt;&lt;D xsi:type="xsd:double"&gt;4.36629584804597&lt;/D&gt;&lt;D xsi:type="xsd:double"&gt;4.36947500037565&lt;/D&gt;&lt;D xsi:type="xsd:double"&gt;4.19844791123944&lt;/D&gt;&lt;D xsi:type="xsd:double"&gt;4.26427339463985&lt;/D&gt;&lt;D xsi:type="xsd:double"&gt;4.17407572230652&lt;/D&gt;&lt;D xsi:type="xsd:double"&gt;4.28774933474469&lt;/D&gt;&lt;D xsi:type="xsd:double"&gt;4.31122027068862&lt;/D&gt;&lt;D xsi:type="xsd:double"&gt;4.21781842953627&lt;/D&gt;&lt;D xsi:type="xsd:double"&gt;4.02558802341403&lt;/D&gt;&lt;D xsi:type="xsd:double"&gt;4.05913697025415&lt;/D&gt;&lt;D xsi:type="xsd:double"&gt;3.93138077790505&lt;/D&gt;&lt;D xsi:type="xsd:double"&gt;3.97900716158369&lt;/D&gt;&lt;D xsi:type="xsd:double"&gt;4.38607379306462&lt;/D&gt;&lt;D xsi:type="xsd:double"&gt;4.29515032884429&lt;/D&gt;&lt;D xsi:type="xsd:double"&gt;4.18458476178962&lt;/D&gt;&lt;D xsi:type="xsd:double"&gt;4.04744736166179&lt;/D&gt;&lt;D xsi:type="xsd:double"&gt;3.96160583866143&lt;/D&gt;&lt;D xsi:type="xsd:double"&gt;3.79234351581745&lt;/D&gt;&lt;D xsi:type="xsd:double"&gt;3.69468587635097&lt;/D&gt;&lt;D xsi:type="xsd:double"&gt;3.71919636224857&lt;/D&gt;&lt;D xsi:type="xsd:double"&gt;3.56275271946662&lt;/D&gt;&lt;D xsi:type="xsd:double"&gt;3.41780138965898&lt;/D&gt;&lt;D xsi:type="xsd:double"&gt;3.41976382688186&lt;/D&gt;&lt;D xsi:type="xsd:double"&gt;3.37937427518384&lt;/D&gt;&lt;D xsi:type="xsd:double"&gt;3.38578763433503&lt;/D&gt;&lt;D xsi:type="xsd:double"&gt;3.27983606955584&lt;/D&gt;&lt;D xsi:type="xsd:double"&gt;3.14079418403057&lt;/D&gt;&lt;D xsi:type="xsd:double"&gt;3.11254161430495&lt;/D&gt;&lt;D xsi:type="xsd:double"&gt;3.16993345843363&lt;/D&gt;&lt;D xsi:type="xsd:double"&gt;3.44708922141302&lt;/D&gt;&lt;D xsi:type="xsd:double"&gt;2.64334938587864&lt;/D&gt;&lt;D xsi:type="xsd:double"&gt;2.49350214508754&lt;/D&gt;&lt;D xsi:type="xsd:double"&gt;2.56457852735202&lt;/D&gt;&lt;D xsi:type="xsd:double"&gt;2.41875002985667&lt;/D&gt;&lt;D xsi:type="xsd:double"&gt;2.29349605311253&lt;/D&gt;&lt;D xsi:type="xsd:double"&gt;2.43966715699422&lt;/D&gt;&lt;D xsi:type="xsd:double"&gt;2.39487010709394&lt;/D&gt;&lt;D xsi:type="xsd:double"&gt;2.44193551866225&lt;/D&gt;&lt;D xsi:type="xsd:double"&gt;2.40253516124756&lt;/D&gt;&lt;D xsi:type="xsd:double"&gt;2.47032662407943&lt;/D&gt;&lt;D xsi:type="xsd:double"&gt;2.63905375014513&lt;/D&gt;&lt;D xsi:type="xsd:double"&gt;2.604526743839&lt;/D&gt;&lt;D xsi:type="xsd:double"&gt;2.57893527964791&lt;/D&gt;&lt;D xsi:type="xsd:double"&gt;2.74304334825687&lt;/D&gt;&lt;D xsi:type="xsd:double"&gt;2.66101865822839&lt;/D&gt;&lt;D xsi:type="xsd:double"&gt;2.64013402584166&lt;/D&gt;&lt;D xsi:type="xsd:double"&gt;2.58455471437226&lt;/D&gt;&lt;D xsi:type="xsd:double"&gt;2.63592909947809&lt;/D&gt;&lt;D xsi:type="xsd:double"&gt;2.69682841203415&lt;/D&gt;&lt;D xsi:type="xsd:double"&gt;2.76889916749643&lt;/D&gt;&lt;D xsi:type="xsd:double"&gt;2.78337621697444&lt;/D&gt;&lt;D xsi:type="xsd:double"&gt;3.07022326131236&lt;/D&gt;&lt;D xsi:type="xsd:double"&gt;3.05800894408413&lt;/D&gt;&lt;D xsi:type="xsd:double"&gt;3.10980165234862&lt;/D&gt;&lt;D xsi:type="xsd:double"&gt;3.1320281455969&lt;/D&gt;&lt;D xsi:type="xsd:double"&gt;3.27688214158403&lt;/D&gt;&lt;D xsi:type="xsd:double"&gt;3.33221886945461&lt;/D&gt;&lt;D xsi:type="xsd:double"&gt;3.30537892393945&lt;/D&gt;&lt;D xsi:type="xsd:double"&gt;3.197992672027&lt;/D&gt;&lt;D xsi:type="xsd:double"&gt;3.40202776693017&lt;/D&gt;&lt;D xsi:type="xsd:double"&gt;3.428446345525&lt;/D&gt;&lt;D xsi:type="xsd:double"&gt;3.39930475431419&lt;/D&gt;&lt;D xsi:type="xsd:double"&gt;3.44187585185527&lt;/D&gt;&lt;D xsi:type="xsd:double"&gt;3.3143519884008&lt;/D&gt;&lt;D xsi:type="xsd:double"&gt;3.37058087818336&lt;/D&gt;&lt;D xsi:type="xsd:double"&gt;3.43023798663833&lt;/D&gt;&lt;D xsi:type="xsd:double"&gt;3.38217498951632&lt;/D&gt;&lt;D xsi:type="xsd:double"&gt;3.50870281491996&lt;/D&gt;&lt;D xsi:type="xsd:double"&gt;3.46733424581034&lt;/D&gt;&lt;D xsi:type="xsd:double"&gt;3.42082712899268&lt;/D&gt;&lt;D xsi:type="xsd:double"&gt;3.49874978620121&lt;/D&gt;&lt;D xsi:type="xsd:double"&gt;3.46057173427708&lt;/D&gt;&lt;D xsi:type="xsd:double"&gt;3.6013076656932&lt;/D&gt;&lt;D xsi:type="xsd:double"&gt;3.38326856330426&lt;/D&gt;&lt;D xsi:type="xsd:double"&gt;2.96873423099881&lt;/D&gt;&lt;D xsi:type="xsd:double"&gt;2.97871440833777&lt;/D&gt;&lt;D xsi:type="xsd:double"&gt;2.88141316292291&lt;/D&gt;&lt;D xsi:type="xsd:double"&gt;2.74179906309109&lt;/D&gt;&lt;D xsi:type="xsd:double"&gt;2.79050772787111&lt;/D&gt;&lt;D xsi:type="xsd:double"&gt;2.77627469579204&lt;/D&gt;&lt;D xsi:type="xsd:double"&gt;2.72096110623001&lt;/D&gt;&lt;/FQL&gt;&lt;FQL&gt;&lt;Q&gt;EWI^FMA_PE(LTMA,-10AY,0,AM,"PORTAGG","MEANR")&lt;/Q&gt;&lt;R&gt;121&lt;/R&gt;&lt;C&gt;1&lt;/C&gt;&lt;D xsi:type="xsd:double"&gt;17.0289464901368&lt;/D&gt;&lt;D xsi:type="xsd:double"&gt;17.2139428652568&lt;/D&gt;&lt;D xsi:type="xsd:double"&gt;17.4800199327811&lt;/D&gt;&lt;D xsi:type="xsd:double"&gt;17.8599147731934&lt;/D&gt;&lt;D xsi:type="xsd:double"&gt;16.9241722384374&lt;/D&gt;&lt;D xsi:type="xsd:double"&gt;18.1616559059125&lt;/D&gt;&lt;D xsi:type="xsd:double"&gt;18.5718488422506&lt;/D&gt;&lt;D xsi:type="xsd:double"&gt;21.903605342453&lt;/D&gt;&lt;D xsi:type="xsd:double"&gt;45.3660681485857&lt;/D&gt;&lt;D xsi:type="xsd:double"&gt;42.7687759519394&lt;/D&gt;&lt;D xsi:type="xsd:double"&gt;39.9080046393751&lt;/D&gt;&lt;D xsi:type="xsd:double"&gt;37.1915017444097&lt;/D&gt;&lt;D xsi:type="xsd:double"&gt;34.4104075342983&lt;/D&gt;&lt;D xsi:type="xsd:double"&gt;31.2428371506024&lt;/D&gt;&lt;D xsi:type="xsd:double"&gt;28.1855295965427&lt;/D&gt;&lt;D xsi:type="xsd:double"&gt;24.6302460126633&lt;/D&gt;&lt;D xsi:type="xsd:double"&gt;23.5531492117385&lt;/D&gt;&lt;D xsi:type="xsd:double"&gt;21.6984993755562&lt;/D&gt;&lt;D xsi:type="xsd:double"&gt;18.1549813649607&lt;/D&gt;&lt;D xsi:type="xsd:double"&gt;14.8728815190318&lt;/D&gt;&lt;D xsi:type="xsd:double"&gt;15.2901698920908&lt;/D&gt;&lt;D xsi:type="xsd:double"&gt;15.3142109768179&lt;/D&gt;&lt;D xsi:type="xsd:double"&gt;15.3984098982807&lt;/D&gt;&lt;D xsi:type="xsd:double"&gt;15.5467365638152&lt;/D&gt;&lt;D xsi:type="xsd:double"&gt;14.1743482486369&lt;/D&gt;&lt;D xsi:type="xsd:double"&gt;14.5822767339127&lt;/D&gt;&lt;D xsi:type="xsd:double"&gt;15.065896229453&lt;/D&gt;&lt;D xsi:type="xsd:double"&gt;14.5672688432525&lt;/D&gt;&lt;D xsi:type="xsd:double"&gt;15.1727222518743&lt;/D&gt;&lt;D xsi:type="xsd:double"&gt;14.3854395886438&lt;/D&gt;&lt;D xsi:type="xsd:double"&gt;27.5774550856694&lt;/D&gt;&lt;D xsi:type="xsd:double"&gt;27.3488655567196&lt;/D&gt;&lt;D xsi:type="xsd:double"&gt;85.9689272923756&lt;/D&gt;&lt;D xsi:type="xsd:double"&gt;79.5337708828749&lt;/D&gt;&lt;D xsi:type="xsd:double"&gt;72.2320717746234&lt;/D&gt;&lt;D xsi:type="xsd:double"&gt;65.7915756784264&lt;/D&gt;&lt;D xsi:type="xsd:double"&gt;57.9836571711851&lt;/D&gt;&lt;D xsi:type="xsd:double"&gt;51.1501572746172&lt;/D&gt;&lt;D xsi:type="xsd:double"&gt;43.7939851354114&lt;/D&gt;&lt;D xsi:type="xsd:double"&gt;36.8335321987106&lt;/D&gt;&lt;D xsi:type="xsd:double"&gt;30.270561998868&lt;/D&gt;&lt;D xsi:type="xsd:double"&gt;22.7262464364453&lt;/D&gt;&lt;D xsi:type="xsd:double"&gt;15.9155784191472&lt;/D&gt;&lt;D xsi:type="xsd:double"&gt;15.9316552002445&lt;/D&gt;&lt;D xsi:type="xsd:double"&gt;14.2133860010366&lt;/D&gt;&lt;D xsi:type="xsd:double"&gt;14.0754769652074&lt;/D&gt;&lt;D xsi:type="xsd:double"&gt;14.1811937174317&lt;/D&gt;&lt;D xsi:type="xsd:double"&gt;13.6391760417305&lt;/D&gt;&lt;D xsi:type="xsd:double"&gt;13.2477328502885&lt;/D&gt;&lt;D xsi:type="xsd:double"&gt;13.2808057715658&lt;/D&gt;&lt;D xsi:type="xsd:double"&gt;12.6163657777443&lt;/D&gt;&lt;D xsi:type="xsd:double"&gt;12.333076822306&lt;/D&gt;&lt;D xsi:type="xsd:double"&gt;11.3108001361022&lt;/D&gt;&lt;D xsi:type="xsd:double"&gt;11.1850469063044&lt;/D&gt;&lt;D xsi:type="xsd:double"&gt;10.4209629178755&lt;/D&gt;&lt;D xsi:type="xsd:double"&gt;11.0376429954644&lt;/D&gt;&lt;D xsi:type="xsd:double"&gt;11.3132451904946&lt;/D&gt;&lt;D xsi:type="xsd:double"&gt;11.2987680829662&lt;/D&gt;&lt;D xsi:type="xsd:double"&gt;11.3367884322787&lt;/D&gt;&lt;D xsi:type="xsd:double"&gt;10.969473609423&lt;/D&gt;&lt;D xsi:type="xsd:double"&gt;11.1091412017896&lt;/D&gt;&lt;D xsi:type="xsd:double"&gt;11.2984827660761&lt;/D&gt;&lt;D xsi:type="xsd:double"&gt;10.9695793839209&lt;/D&gt;&lt;D xsi:type="xsd:double"&gt;11.3118920649741&lt;/D&gt;&lt;D xsi:type="xsd:double"&gt;11.661836248954&lt;/D&gt;&lt;D xsi:type="xsd:double"&gt;12.0199661032522&lt;/D&gt;&lt;D xsi:type="xsd:double"&gt;12.2369216075069&lt;/D&gt;&lt;D xsi:type="xsd:double"&gt;12.358825494119&lt;/D&gt;&lt;D xsi:type="xsd:double"&gt;11.3567081312941&lt;/D&gt;&lt;D xsi:type="xsd:double"&gt;11.0732652527067&lt;/D&gt;&lt;D xsi:type="xsd:double"&gt;12.3919706063027&lt;/D&gt;&lt;D xsi:type="xsd:double"&gt;14.4503678454115&lt;/D&gt;&lt;D xsi:type="xsd:double"&gt;16.1304157484973&lt;/D&gt;&lt;D xsi:type="xsd:double"&gt;17.7189172499847&lt;/D&gt;&lt;D xsi:type="xsd:double"&gt;17.8040005475175&lt;/D&gt;&lt;D xsi:type="xsd:double"&gt;18.170405952386&lt;/D&gt;&lt;D xsi:type="xsd:double"&gt;17.9056907967526&lt;/D&gt;&lt;D xsi:type="xsd:double"&gt;22.0709542281702&lt;/D&gt;&lt;D xsi:type="xsd:double"&gt;23.3730234813884&lt;/D&gt;&lt;D xsi:type="xsd:double"&gt;20.46924862687&lt;/D&gt;&lt;D xsi:type="xsd:double"&gt;20.3525735166553&lt;/D&gt;&lt;D xsi:type="xsd:double"&gt;19.8627345816533&lt;/D&gt;&lt;D xsi:type="xsd:double"&gt;19.2080577407885&lt;/D&gt;&lt;D xsi:type="xsd:double"&gt;18.636459448785&lt;/D&gt;&lt;D xsi:type="xsd:double"&gt;18.0659281606778&lt;/D&gt;&lt;D xsi:type="xsd:double"&gt;17.36629279307&lt;/D&gt;&lt;D xsi:type="xsd:double"&gt;15.7882782038712&lt;/D&gt;&lt;D xsi:type="xsd:double"&gt;14.7327088483873&lt;/D&gt;&lt;D xsi:type="xsd:double"&gt;14.2553072290005&lt;/D&gt;&lt;D xsi:type="xsd:double"&gt;12.7672599545387&lt;/D&gt;&lt;D xsi:type="xsd:double"&gt;12.1905672509675&lt;/D&gt;&lt;D xsi:type="xsd:double"&gt;11.7300894184922&lt;/D&gt;&lt;D xsi:type="xsd:double"&gt;10.6475829192046&lt;/D&gt;&lt;D xsi:type="xsd:double"&gt;10.5369946025259&lt;/D&gt;&lt;D xsi:type="xsd:double"&gt;10.3747332964461&lt;/D&gt;&lt;D xsi:type="xsd:double"&gt;10.1313627279421&lt;/D&gt;&lt;D xsi:type="xsd:double"&gt;9.48672581213055&lt;/D&gt;&lt;D xsi:type="xsd:double"&gt;8.98924484835969&lt;/D&gt;&lt;D xsi:type="xsd:double"&gt;8.43185685694555&lt;/D&gt;&lt;D xsi:type="xsd:double"&gt;8.04515188689894&lt;/D&gt;&lt;D xsi:type="xsd:double"&gt;8.11812219945579&lt;/D&gt;&lt;D xsi:type="xsd:double"&gt;8.03464228562088&lt;/D&gt;&lt;D xsi:type="xsd:double"&gt;7.41679172503383&lt;/D&gt;&lt;D xsi:type="xsd:double"&gt;8.13571254150702&lt;/D&gt;&lt;D xsi:type="xsd:double"&gt;8.22912587318896&lt;/D&gt;&lt;D xsi:type="xsd:double"&gt;8.24598623345068&lt;/D&gt;&lt;D xsi:type="xsd:double"&gt;8.37785429534273&lt;/D&gt;&lt;D xsi:type="xsd:double"&gt;8.2071572421251&lt;/D&gt;&lt;D xsi:type="xsd:double"&gt;8.49736525408028&lt;/D&gt;&lt;D xsi:type="xsd:double"&gt;8.53179561995333&lt;/D&gt;&lt;D xsi:type="xsd:double"&gt;8.29333116820747&lt;/D&gt;&lt;D xsi:type="xsd:double"&gt;8.23818793967225&lt;/D&gt;&lt;D xsi:type="xsd:double"&gt;7.90017820948708&lt;/D&gt;&lt;D xsi:type="xsd:double"&gt;8.26914904466106&lt;/D&gt;&lt;D xsi:type="xsd:double"&gt;8.84910035810607&lt;/D&gt;&lt;D xsi:type="xsd:double"&gt;9.01657001556237&lt;/D&gt;&lt;D xsi:type="xsd:double"&gt;9.28635847460368&lt;/D&gt;&lt;D xsi:type="xsd:double"&gt;9.48249309998736&lt;/D&gt;&lt;D xsi:type="xsd:double"&gt;9.4560969899052&lt;/D&gt;&lt;D xsi:type="xsd:double"&gt;9.58232909834433&lt;/D&gt;&lt;D xsi:type="xsd:double"&gt;9.43389760769839&lt;/D&gt;&lt;/FQL&gt;&lt;FQL&gt;&lt;Q&gt;DDR3512M-FDS^FG_PRICE_CHANGE(0,-1AY)&lt;/Q&gt;&lt;R&gt;1&lt;/R&gt;&lt;C&gt;1&lt;/C&gt;&lt;D xsi:type="xsd:double"&gt;-7.49632831959957&lt;/D&gt;&lt;/FQL&gt;&lt;FQL&gt;&lt;Q&gt;PASP-FDS^FG_PRICE_CHANGE(0,-1AY)&lt;/Q&gt;&lt;R&gt;1&lt;/R&gt;&lt;C&gt;1&lt;/C&gt;&lt;D xsi:type="xsd:double"&gt;-28.7321830457614&lt;/D&gt;&lt;/FQL&gt;&lt;FQL&gt;&lt;Q&gt;PLATI-FDS^FG_PRICE_CHANGE(0,-1AY)&lt;/Q&gt;&lt;R&gt;1&lt;/R&gt;&lt;C&gt;1&lt;/C&gt;&lt;D xsi:type="xsd:double"&gt;8.38709677419356&lt;/D&gt;&lt;/FQL&gt;&lt;FQL&gt;&lt;Q&gt;W-FDS^FG_PRICE_CHANGE(0,-1AY)&lt;/Q&gt;&lt;R&gt;1&lt;/R&gt;&lt;C&gt;1&lt;/C&gt;&lt;D xsi:type="xsd:double"&gt;-15.5928326343881&lt;/D&gt;&lt;/FQL&gt;&lt;FQL&gt;&lt;Q&gt;COPP-FDS^FG_PRICE_CHANGE(0,-1AY)&lt;/Q&gt;&lt;R&gt;1&lt;/R&gt;&lt;C&gt;1&lt;/C&gt;&lt;D xsi:type="xsd:double"&gt;18.0083322134122&lt;/D&gt;&lt;/FQL&gt;&lt;FQL&gt;&lt;Q&gt;EWQ^FG_PRICE_MAVG(0,,,,30)&lt;/Q&gt;&lt;R&gt;1&lt;/R&gt;&lt;C&gt;1&lt;/C&gt;&lt;D xsi:type="xsd:double"&gt;40.386&lt;/D&gt;&lt;/FQL&gt;&lt;FQL&gt;&lt;Q&gt;EWL^FG_PRICE_MAVG(0,,,,30)&lt;/Q&gt;&lt;R&gt;1&lt;/R&gt;&lt;C&gt;1&lt;/C&gt;&lt;D xsi:type="xsd:double"&gt;48.930332&lt;/D&gt;&lt;/FQL&gt;&lt;FQL&gt;&lt;Q&gt;EWA^FG_PRICE_MAVG(0,,,,30)&lt;/Q&gt;&lt;R&gt;1&lt;/R&gt;&lt;C&gt;1&lt;/C&gt;&lt;D xsi:type="xsd:double"&gt;24.589333&lt;/D&gt;&lt;/FQL&gt;&lt;FQL&gt;&lt;Q&gt;EWG^FG_COMPANY_NAME&lt;/Q&gt;&lt;R&gt;1&lt;/R&gt;&lt;C&gt;1&lt;/C&gt;&lt;D xsi:type="xsd:string"&gt;iShares MSCI Germany ETF&lt;/D&gt;&lt;/FQL&gt;&lt;FQL&gt;&lt;Q&gt;SPY^FG_TOTAL_RETURNC(0,-6AM)&lt;/Q&gt;&lt;R&gt;1&lt;/R&gt;&lt;C&gt;1&lt;/C&gt;&lt;D xsi:type="xsd:double"&gt;14.893556&lt;/D&gt;&lt;/FQL&gt;&lt;FQL&gt;&lt;Q&gt;ENZL^FMA_ROE(NTMA,-20AY,NOW,FY,"PORTAGG","MEANR")&lt;/Q&gt;&lt;R&gt;20&lt;/R&gt;&lt;C&gt;1&lt;/C&gt;&lt;D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xsi:type="xsd:double"&gt;10.8532267295878&lt;/D&gt;&lt;D xsi:type="xsd:double"&gt;10.9048734413645&lt;/D&gt;&lt;D xsi:type="xsd:double"&gt;11.45876758647&lt;/D&gt;&lt;D xsi:type="xsd:double"&gt;11.0832589152415&lt;/D&gt;&lt;D xsi:type="xsd:double"&gt;9.94517431688139&lt;/D&gt;&lt;D xsi:type="xsd:double"&gt;9.90242652659034&lt;/D&gt;&lt;D xsi:type="xsd:double"&gt;9.79986582903071&lt;/D&gt;&lt;D xsi:type="xsd:double"&gt;9.84792896856594&lt;/D&gt;&lt;D xsi:type="xsd:double"&gt;9.52177142619013&lt;/D&gt;&lt;D xsi:type="xsd:double"&gt;9.00388708752031&lt;/D&gt;&lt;D xsi:type="xsd:double"&gt;7.5322638919869&lt;/D&gt;&lt;D xsi:type="xsd:double"&gt;6.44400181202057&lt;/D&gt;&lt;D xsi:type="xsd:double"&gt;7.7689690341127&lt;/D&gt;&lt;D xsi:type="xsd:double"&gt;6.57910753918315&lt;/D&gt;&lt;/FQL&gt;&lt;FQL&gt;&lt;Q&gt;TRYCN10Y-FDS^FG_YIELD(-10AY,0,Y,,"YTM")&lt;/Q&gt;&lt;R&gt;10&lt;/R&gt;&lt;C&gt;1&lt;/C&gt;&lt;D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xsi:type="xsd:double"&gt;2.574&lt;/D&gt;&lt;/FQL&gt;&lt;FQL&gt;&lt;Q&gt;PASP-FDS^FG_PRICE_CHANGE(0,-6AM)&lt;/Q&gt;&lt;R&gt;1&lt;/R&gt;&lt;C&gt;1&lt;/C&gt;&lt;D xsi:type="xsd:double"&gt;-17.3913043478261&lt;/D&gt;&lt;/FQL&gt;&lt;FQL&gt;&lt;Q&gt;W-FDS^FG_PRICE_CHANGE(0,-6AM)&lt;/Q&gt;&lt;R&gt;1&lt;/R&gt;&lt;C&gt;1&lt;/C&gt;&lt;D xsi:type="xsd:double"&gt;-12.3515439429929&lt;/D&gt;&lt;/FQL&gt;&lt;FQL&gt;&lt;Q&gt;COPP-FDS^FG_PRICE_CHANGE(0,-6AM)&lt;/Q&gt;&lt;R&gt;1&lt;/R&gt;&lt;C&gt;1&lt;/C&gt;&lt;D xsi:type="xsd:double"&gt;12.2029133657041&lt;/D&gt;&lt;/FQL&gt;&lt;FQL&gt;&lt;Q&gt;EWQ^FG_PRICE(0)&lt;/Q&gt;&lt;R&gt;1&lt;/R&gt;&lt;C&gt;1&lt;/C&gt;&lt;D xsi:type="xsd:double"&gt;37.78&lt;/D&gt;&lt;/FQL&gt;&lt;FQL&gt;&lt;Q&gt;EWL^FG_PRICE(0)&lt;/Q&gt;&lt;R&gt;1&lt;/R&gt;&lt;C&gt;1&lt;/C&gt;&lt;D xsi:type="xsd:double"&gt;48.21&lt;/D&gt;&lt;/FQL&gt;&lt;FQL&gt;&lt;Q&gt;EWA^FG_PRICE(0)&lt;/Q&gt;&lt;R&gt;1&lt;/R&gt;&lt;C&gt;1&lt;/C&gt;&lt;D xsi:type="xsd:double"&gt;24.43&lt;/D&gt;&lt;/FQL&gt;&lt;FQL&gt;&lt;Q&gt;SPY^FG_TOTAL_RETURNC(0,-3AM)&lt;/Q&gt;&lt;R&gt;1&lt;/R&gt;&lt;C&gt;1&lt;/C&gt;&lt;D xsi:type="xsd:double"&gt;4.3795347&lt;/D&gt;&lt;/FQL&gt;&lt;FQL&gt;&lt;Q&gt;URTH^P_PRICE(0)/P_PRICE_HIGH_PR(0,,,,,,"PRICE","INTRA","52W")&lt;/Q&gt;&lt;R&gt;1&lt;/R&gt;&lt;C&gt;1&lt;/C&gt;&lt;D xsi:type="xsd:double"&gt;0.99079674&lt;/D&gt;&lt;/FQL&gt;&lt;FQL&gt;&lt;Q&gt;VGK^FG_TOTAL_RETURNC(0,-12AM)&lt;/Q&gt;&lt;R&gt;1&lt;/R&gt;&lt;C&gt;1&lt;/C&gt;&lt;D xsi:type="xsd:double"&gt;13.358784&lt;/D&gt;&lt;/FQL&gt;&lt;FQL&gt;&lt;Q&gt;EWI^PERCENT_CHANGE(FMA_EPS(+1,0,,,,"PORTAGG","MEAN"),FMA_EPS(+1,-1AM,,,,"PORTAGG","MEAN"))&lt;/Q&gt;&lt;R&gt;1&lt;/R&gt;&lt;C&gt;1&lt;/C&gt;&lt;D xsi:type="xsd:double"&gt;-3.74995062084522&lt;/D&gt;&lt;/FQL&gt;&lt;FQL&gt;&lt;Q&gt;EWN^FG_TOTAL_RETURNC(0,-1AM)&lt;/Q&gt;&lt;R&gt;1&lt;/R&gt;&lt;C&gt;1&lt;/C&gt;&lt;D xsi:type="xsd:double"&gt;-2.2201061&lt;/D&gt;&lt;/FQL&gt;&lt;FQL&gt;&lt;Q&gt;EWU^P_PRICE(0)/P_PRICE_LOW_PR(0,,,,,,"PRICE","INTRA","52W")-1&lt;/Q&gt;&lt;R&gt;1&lt;/R&gt;&lt;C&gt;1&lt;/C&gt;&lt;D xsi:type="xsd:double"&gt;0.15726614&lt;/D&gt;&lt;/FQL&gt;&lt;FQL&gt;&lt;Q&gt;EWL^FMA_PCT_ABOVE_MAVG(200,0,,,,"PORTAGG")&lt;/Q&gt;&lt;R&gt;1&lt;/R&gt;&lt;C&gt;1&lt;/C&gt;&lt;D xsi:type="xsd:double"&gt;64.4444444444444&lt;/D&gt;&lt;/FQL&gt;&lt;FQL&gt;&lt;Q&gt;EWG^PERCENT_CHANGE(FMA_EPS(+1,0,,,,"PORTAGG","MEAN"),FMA_EPS(+1,-3AM,,,,"PORTAGG","MEAN"))&lt;/Q&gt;&lt;R&gt;1&lt;/R&gt;&lt;C&gt;1&lt;/C&gt;&lt;D xsi:type="xsd:double"&gt;-1.01673927830609&lt;/D&gt;&lt;/FQL&gt;&lt;FQL&gt;&lt;Q&gt;CAGDPY@SE^EE_ACTUAL_ANNUAL(MED,+1)&lt;/Q&gt;&lt;R&gt;1&lt;/R&gt;&lt;C&gt;1&lt;/C&gt;&lt;D xsi:type="xsd:double"&gt;5.8&lt;/D&gt;&lt;/FQL&gt;&lt;FQL&gt;&lt;Q&gt;CAGDPY@DE^EE_ACTUAL_ANNUAL(MED,+1)&lt;/Q&gt;&lt;R&gt;1&lt;/R&gt;&lt;C&gt;1&lt;/C&gt;&lt;D xsi:type="xsd:double"&gt;6.5&lt;/D&gt;&lt;/FQL&gt;&lt;FQL&gt;&lt;Q&gt;CC_NZ^FG_COMPANY_NAME&lt;/Q&gt;&lt;R&gt;1&lt;/R&gt;&lt;C&gt;1&lt;/C&gt;&lt;D xsi:type="xsd:string"&gt;New Zealand&lt;/D&gt;&lt;/FQL&gt;&lt;FQL&gt;&lt;Q&gt;USDSEK^FG_COMPANY_NAME&lt;/Q&gt;&lt;R&gt;1&lt;/R&gt;&lt;C&gt;1&lt;/C&gt;&lt;D xsi:type="xsd:string"&gt;Swedish Krona per U.S. Dollar&lt;/D&gt;&lt;/FQL&gt;&lt;FQL&gt;&lt;Q&gt;USDCHF^FG_COMPANY_NAME&lt;/Q&gt;&lt;R&gt;1&lt;/R&gt;&lt;C&gt;1&lt;/C&gt;&lt;D xsi:type="xsd:string"&gt;Swiss Franc per U.S. Dollar&lt;/D&gt;&lt;/FQL&gt;&lt;FQL&gt;&lt;Q&gt;USDEUR^FG_COMPANY_NAME&lt;/Q&gt;&lt;R&gt;1&lt;/R&gt;&lt;C&gt;1&lt;/C&gt;&lt;D xsi:type="xsd:string"&gt;Euro per U.S. Dollar&lt;/D&gt;&lt;/FQL&gt;&lt;FQL&gt;&lt;Q&gt;USDAUD^FG_COMPANY_NAME&lt;/Q&gt;&lt;R&gt;1&lt;/R&gt;&lt;C&gt;1&lt;/C&gt;&lt;D xsi:type="xsd:string"&gt;Australian Dollar per U.S. Dollar&lt;/D&gt;&lt;/FQL&gt;&lt;FQL&gt;&lt;Q&gt;EWL^FMA_EPS(NTMA,-20AY,0,CY,,"PORTAGG","MEANR")&lt;/Q&gt;&lt;R&gt;20&lt;/R&gt;&lt;C&gt;1&lt;/C&gt;&lt;D xsi:type="xsd:double"&gt;1.15167978614637&lt;/D&gt;&lt;D xsi:type="xsd:double"&gt;1.184604896687&lt;/D&gt;&lt;D xsi:type="xsd:double"&gt;1.51903625271091&lt;/D&gt;&lt;D xsi:type="xsd:double"&gt;1.83335061944152&lt;/D&gt;&lt;D xsi:type="xsd:double"&gt;1.66417500457453&lt;/D&gt;&lt;D xsi:type="xsd:double"&gt;1.62932904763549&lt;/D&gt;&lt;D xsi:type="xsd:double"&gt;1.96787353815353&lt;/D&gt;&lt;D xsi:type="xsd:double"&gt;1.86668659044302&lt;/D&gt;&lt;D xsi:type="xsd:double"&gt;1.99956682614325&lt;/D&gt;&lt;D xsi:type="xsd:double"&gt;2.16083764016243&lt;/D&gt;&lt;D xsi:type="xsd:double"&gt;2.02137608124255&lt;/D&gt;&lt;D xsi:type="xsd:double"&gt;1.83898355626911&lt;/D&gt;&lt;D xsi:type="xsd:double"&gt;1.75546716180555&lt;/D&gt;&lt;D xsi:type="xsd:double"&gt;2.01138269666406&lt;/D&gt;&lt;D xsi:type="xsd:double"&gt;2.17519879472254&lt;/D&gt;&lt;D xsi:type="xsd:double"&gt;2.28084252382762&lt;/D&gt;&lt;D xsi:type="xsd:double"&gt;2.36864078682371&lt;/D&gt;&lt;D xsi:type="xsd:double"&gt;2.66234515884581&lt;/D&gt;&lt;D xsi:type="xsd:double"&gt;2.58388720632297&lt;/D&gt;&lt;D xsi:type="xsd:double"&gt;2.86429657487096&lt;/D&gt;&lt;/FQL&gt;&lt;FQL&gt;&lt;Q&gt;EWG^P_PRICE_RETURNS_PR('52W',2,-10AY,0,AM)&lt;/Q&gt;&lt;R&gt;121&lt;/R&gt;&lt;C&gt;1&lt;/C&gt;&lt;D xsi:type="xsd:double"&gt;28.116644&lt;/D&gt;&lt;D xsi:type="xsd:double"&gt;16.402864&lt;/D&gt;&lt;D xsi:type="xsd:double"&gt;13.784003&lt;/D&gt;&lt;D xsi:type="xsd:double"&gt;2.4187922&lt;/D&gt;&lt;D xsi:type="xsd:double"&gt;-7.178724&lt;/D&gt;&lt;D xsi:type="xsd:double"&gt;-3.3219814&lt;/D&gt;&lt;D xsi:type="xsd:double"&gt;-8.531737&lt;/D&gt;&lt;D xsi:type="xsd:double"&gt;-7.7869534&lt;/D&gt;&lt;D xsi:type="xsd:double"&gt;-3.5980344&lt;/D&gt;&lt;D xsi:type="xsd:double"&gt;-0.5595565&lt;/D&gt;&lt;D xsi:type="xsd:double"&gt;-1.3559818&lt;/D&gt;&lt;D xsi:type="xsd:double"&gt;-5.328971&lt;/D&gt;&lt;D xsi:type="xsd:double"&gt;-4.154664&lt;/D&gt;&lt;D xsi:type="xsd:double"&gt;-4.2968273&lt;/D&gt;&lt;D xsi:type="xsd:double"&gt;-7.557851&lt;/D&gt;&lt;D xsi:type="xsd:double"&gt;-11.788183&lt;/D&gt;&lt;D xsi:type="xsd:double"&gt;2.4149418&lt;/D&gt;&lt;D xsi:type="xsd:double"&gt;-4.3545904&lt;/D&gt;&lt;D xsi:type="xsd:double"&gt;-3.499335&lt;/D&gt;&lt;D xsi:type="xsd:double"&gt;-11.712331&lt;/D&gt;&lt;D xsi:type="xsd:double"&gt;-18.659782&lt;/D&gt;&lt;D xsi:type="xsd:double"&gt;-14.690935&lt;/D&gt;&lt;D xsi:type="xsd:double"&gt;-10.89704&lt;/D&gt;&lt;D xsi:type="xsd:double"&gt;-11.028528&lt;/D&gt;&lt;D xsi:type="xsd:double"&gt;-18.202908&lt;/D&gt;&lt;D xsi:type="xsd:double"&gt;-7.7985168&lt;/D&gt;&lt;D xsi:type="xsd:double"&gt;1.1534572&lt;/D&gt;&lt;D xsi:type="xsd:double"&gt;10.344815&lt;/D&gt;&lt;D xsi:type="xsd:double"&gt;-2.3649395&lt;/D&gt;&lt;D xsi:type="xsd:double"&gt;-6.844151&lt;/D&gt;&lt;D xsi:type="xsd:double"&gt;0.35682917&lt;/D&gt;&lt;D xsi:type="xsd:double"&gt;17.33234&lt;/D&gt;&lt;D xsi:type="xsd:double"&gt;19.2322&lt;/D&gt;&lt;D xsi:type="xsd:double"&gt;16.958069&lt;/D&gt;&lt;D xsi:type="xsd:double"&gt;15.283024&lt;/D&gt;&lt;D xsi:type="xsd:double"&gt;20.97019&lt;/D&gt;&lt;D xsi:type="xsd:double"&gt;34.63962&lt;/D&gt;&lt;D xsi:type="xsd:double"&gt;23.125256&lt;/D&gt;&lt;D xsi:type="xsd:double"&gt;21.326065&lt;/D&gt;&lt;D xsi:type="xsd:double"&gt;24.5502&lt;/D&gt;&lt;D xsi:type="xsd:double"&gt;29.415058&lt;/D&gt;&lt;D xsi:type="xsd:double"&gt;37.10482&lt;/D&gt;&lt;D xsi:type="xsd:double"&gt;29.41519&lt;/D&gt;&lt;D xsi:type="xsd:double"&gt;30.75447&lt;/D&gt;&lt;D xsi:type="xsd:double"&gt;20.439768&lt;/D&gt;&lt;D xsi:type="xsd:double"&gt;11.960578&lt;/D&gt;&lt;D xsi:type="xsd:double"&gt;12.470091&lt;/D&gt;&lt;D xsi:type="xsd:double"&gt;6.2983036&lt;/D&gt;&lt;D xsi:type="xsd:double"&gt;-1.8156528&lt;/D&gt;&lt;D xsi:type="xsd:double"&gt;4.991162&lt;/D&gt;&lt;D xsi:type="xsd:double"&gt;1.8808722&lt;/D&gt;&lt;D xsi:type="xsd:double"&gt;-4.6081305&lt;/D&gt;&lt;D xsi:type="xsd:double"&gt;-15.889204&lt;/D&gt;&lt;D xsi:type="xsd:double"&gt;-15.840328&lt;/D&gt;&lt;D xsi:type="xsd:double"&gt;-22.053802&lt;/D&gt;&lt;D xsi:type="xsd:double"&gt;-22.396702&lt;/D&gt;&lt;D xsi:type="xsd:double"&gt;-13.786173&lt;/D&gt;&lt;D xsi:type="xsd:double"&gt;-13.096989&lt;/D&gt;&lt;D xsi:type="xsd:double"&gt;-10.119665&lt;/D&gt;&lt;D xsi:type="xsd:double"&gt;-12.629663&lt;/D&gt;&lt;D xsi:type="xsd:double"&gt;-2.4084985&lt;/D&gt;&lt;D xsi:type="xsd:double"&gt;-9.282482&lt;/D&gt;&lt;D xsi:type="xsd:double"&gt;-13.833589&lt;/D&gt;&lt;D xsi:type="xsd:double"&gt;-8.999139&lt;/D&gt;&lt;D xsi:type="xsd:double"&gt;9.684742&lt;/D&gt;&lt;D xsi:type="xsd:double"&gt;11.232328&lt;/D&gt;&lt;D xsi:type="xsd:double"&gt;21.335018&lt;/D&gt;&lt;D xsi:type="xsd:double"&gt;11.362863&lt;/D&gt;&lt;D xsi:type="xsd:double"&gt;-1.3237476&lt;/D&gt;&lt;D xsi:type="xsd:double"&gt;-19.305157&lt;/D&gt;&lt;D xsi:type="xsd:double"&gt;-17.13065&lt;/D&gt;&lt;D xsi:type="xsd:double"&gt;-3.7296653&lt;/D&gt;&lt;D xsi:type="xsd:double"&gt;-2.938944&lt;/D&gt;&lt;D xsi:type="xsd:double"&gt;7.0599318&lt;/D&gt;&lt;D xsi:type="xsd:double"&gt;18.137026&lt;/D&gt;&lt;D xsi:type="xsd:double"&gt;10.273111&lt;/D&gt;&lt;D xsi:type="xsd:double"&gt;-6.767726&lt;/D&gt;&lt;D xsi:type="xsd:double"&gt;6.776035&lt;/D&gt;&lt;D xsi:type="xsd:double"&gt;11.4537&lt;/D&gt;&lt;D xsi:type="xsd:double"&gt;11.779833&lt;/D&gt;&lt;D xsi:type="xsd:double"&gt;20.497835&lt;/D&gt;&lt;D xsi:type="xsd:double"&gt;54.59101&lt;/D&gt;&lt;D xsi:type="xsd:double"&gt;56.8962&lt;/D&gt;&lt;D xsi:type="xsd:double"&gt;42.224648&lt;/D&gt;&lt;D xsi:type="xsd:double"&gt;35.14966&lt;/D&gt;&lt;D xsi:type="xsd:double"&gt;21.931898&lt;/D&gt;&lt;D xsi:type="xsd:double"&gt;19.852901&lt;/D&gt;&lt;D xsi:type="xsd:double"&gt;17.194307&lt;/D&gt;&lt;D xsi:type="xsd:double"&gt;33.03914&lt;/D&gt;&lt;D xsi:type="xsd:double"&gt;7.6613307&lt;/D&gt;&lt;D xsi:type="xsd:double"&gt;4.8463583&lt;/D&gt;&lt;D xsi:type="xsd:double"&gt;1.2601614&lt;/D&gt;&lt;D xsi:type="xsd:double"&gt;-6.8104625&lt;/D&gt;&lt;D xsi:type="xsd:double"&gt;-11.567706&lt;/D&gt;&lt;D xsi:type="xsd:double"&gt;-23.516172&lt;/D&gt;&lt;D xsi:type="xsd:double"&gt;-21.25249&lt;/D&gt;&lt;D xsi:type="xsd:double"&gt;-29.474598&lt;/D&gt;&lt;D xsi:type="xsd:double"&gt;-30.506813&lt;/D&gt;&lt;D xsi:type="xsd:double"&gt;-35.144955&lt;/D&gt;&lt;D xsi:type="xsd:double"&gt;-37.06645&lt;/D&gt;&lt;D xsi:type="xsd:double"&gt;-32.386024&lt;/D&gt;&lt;D xsi:type="xsd:double"&gt;-19.271755&lt;/D&gt;&lt;D xsi:type="xsd:double"&gt;-22.948915&lt;/D&gt;&lt;D xsi:type="xsd:double"&gt;-8.131266&lt;/D&gt;&lt;D xsi:type="xsd:double"&gt;-3.2212138&lt;/D&gt;&lt;D xsi:type="xsd:double"&gt;-0.9436369&lt;/D&gt;&lt;D xsi:type="xsd:double"&gt;15.233874&lt;/D&gt;&lt;D xsi:type="xsd:double"&gt;9.282923&lt;/D&gt;&lt;D xsi:type="xsd:double"&gt;22.597683&lt;/D&gt;&lt;D xsi:type="xsd:double"&gt;30.957104&lt;/D&gt;&lt;D xsi:type="xsd:double"&gt;31.24342&lt;/D&gt;&lt;D xsi:type="xsd:double"&gt;33.165897&lt;/D&gt;&lt;D xsi:type="xsd:double"&gt;15.932202&lt;/D&gt;&lt;D xsi:type="xsd:double"&gt;16.94274&lt;/D&gt;&lt;D xsi:type="xsd:double"&gt;23.936642&lt;/D&gt;&lt;D xsi:type="xsd:double"&gt;7.8136206&lt;/D&gt;&lt;D xsi:type="xsd:double"&gt;14.799774&lt;/D&gt;&lt;D xsi:type="xsd:double"&gt;18.630993&lt;/D&gt;&lt;D xsi:type="xsd:double"&gt;9.394037&lt;/D&gt;&lt;D xsi:type="xsd:double"&gt;15.909756&lt;/D&gt;&lt;D xsi:type="xsd:double"&gt;11.226201&lt;/D&gt;&lt;/FQL&gt;&lt;FQL&gt;&lt;Q&gt;EWA^FG_TOTAL_RETURNC(-10AY,0,AM)&lt;/Q&gt;&lt;R&gt;121&lt;/R&gt;&lt;C&gt;1&lt;/C&gt;&lt;D xsi:type="xsd:double"&gt;1.2377381&lt;/D&gt;&lt;D xsi:type="xsd:double"&gt;1.9674659&lt;/D&gt;&lt;D xsi:type="xsd:double"&gt;0.70500374&lt;/D&gt;&lt;D xsi:type="xsd:double"&gt;-10.832715&lt;/D&gt;&lt;D xsi:type="xsd:double"&gt;4.7933817&lt;/D&gt;&lt;D xsi:type="xsd:double"&gt;-6.8217697&lt;/D&gt;&lt;D xsi:type="xsd:double"&gt;-3.0425131&lt;/D&gt;&lt;D xsi:type="xsd:double"&gt;-0.85624456&lt;/D&gt;&lt;D xsi:type="xsd:double"&gt;7.6363683&lt;/D&gt;&lt;D xsi:type="xsd:double"&gt;-1.2668967&lt;/D&gt;&lt;D xsi:type="xsd:double"&gt;4.31993&lt;/D&gt;&lt;D xsi:type="xsd:double"&gt;-7.913083&lt;/D&gt;&lt;D xsi:type="xsd:double"&gt;-2.2280633&lt;/D&gt;&lt;D xsi:type="xsd:double"&gt;-3.3115745&lt;/D&gt;&lt;D xsi:type="xsd:double"&gt;-7.621807&lt;/D&gt;&lt;D xsi:type="xsd:double"&gt;-7.5195847&lt;/D&gt;&lt;D xsi:type="xsd:double"&gt;9.486162&lt;/D&gt;&lt;D xsi:type="xsd:double"&gt;-1.908195&lt;/D&gt;&lt;D xsi:type="xsd:double"&gt;1.0091424&lt;/D&gt;&lt;D xsi:type="xsd:double"&gt;-6.9063663&lt;/D&gt;&lt;D xsi:type="xsd:double"&gt;-0.5701482&lt;/D&gt;&lt;D xsi:type="xsd:double"&gt;11.502897&lt;/D&gt;&lt;D xsi:type="xsd:double"&gt;3.0067444&lt;/D&gt;&lt;D xsi:type="xsd:double"&gt;-1.4594913&lt;/D&gt;&lt;D xsi:type="xsd:double"&gt;-2.207923&lt;/D&gt;&lt;D xsi:type="xsd:double"&gt;9.163141&lt;/D&gt;&lt;D xsi:type="xsd:double"&gt;0.291121&lt;/D&gt;&lt;D xsi:type="xsd:double"&gt;1.4997602&lt;/D&gt;&lt;D xsi:type="xsd:double"&gt;-3.9084852&lt;/D&gt;&lt;D xsi:type="xsd:double"&gt;2.926588&lt;/D&gt;&lt;D xsi:type="xsd:double"&gt;0.051379204&lt;/D&gt;&lt;D xsi:type="xsd:double"&gt;5.8358073&lt;/D&gt;&lt;D xsi:type="xsd:double"&gt;2.5701046&lt;/D&gt;&lt;D xsi:type="xsd:double"&gt;2.460134&lt;/D&gt;&lt;D xsi:type="xsd:double"&gt;-0.1333952&lt;/D&gt;&lt;D xsi:type="xsd:double"&gt;-3.5173595&lt;/D&gt;&lt;D xsi:type="xsd:double"&gt;2.6231766&lt;/D&gt;&lt;D xsi:type="xsd:double"&gt;3.9522052&lt;/D&gt;&lt;D xsi:type="xsd:double"&gt;0.13262033&lt;/D&gt;&lt;D xsi:type="xsd:double"&gt;-1.3244987&lt;/D&gt;&lt;D xsi:type="xsd:double"&gt;2.013421&lt;/D&gt;&lt;D xsi:type="xsd:double"&gt;0.7017493&lt;/D&gt;&lt;D xsi:type="xsd:double"&gt;3.4887075&lt;/D&gt;&lt;D xsi:type="xsd:double"&gt;3.9672256&lt;/D&gt;&lt;D xsi:type="xsd:double"&gt;-5.3504825&lt;/D&gt;&lt;D xsi:type="xsd:double"&gt;-4.294479&lt;/D&gt;&lt;D xsi:type="xsd:double"&gt;2.4725199&lt;/D&gt;&lt;D xsi:type="xsd:double"&gt;0.98302364&lt;/D&gt;&lt;D xsi:type="xsd:double"&gt;1.459682&lt;/D&gt;&lt;D xsi:type="xsd:double"&gt;1.5562534&lt;/D&gt;&lt;D xsi:type="xsd:double"&gt;-0.4816115&lt;/D&gt;&lt;D xsi:type="xsd:double"&gt;-2.6836693&lt;/D&gt;&lt;D xsi:type="xsd:double"&gt;-9.764928&lt;/D&gt;&lt;D xsi:type="xsd:double"&gt;5.8116317&lt;/D&gt;&lt;D xsi:type="xsd:double"&gt;-5.336499&lt;/D&gt;&lt;D xsi:type="xsd:double"&gt;6.129873&lt;/D&gt;&lt;D xsi:type="xsd:double"&gt;4.1605473&lt;/D&gt;&lt;D xsi:type="xsd:double"&gt;0.42293072&lt;/D&gt;&lt;D xsi:type="xsd:double"&gt;2.6204944&lt;/D&gt;&lt;D xsi:type="xsd:double"&gt;-0.18240213&lt;/D&gt;&lt;D xsi:type="xsd:double"&gt;5.0728917&lt;/D&gt;&lt;D xsi:type="xsd:double"&gt;0.62111616&lt;/D&gt;&lt;D xsi:type="xsd:double"&gt;-6.2610207&lt;/D&gt;&lt;D xsi:type="xsd:double"&gt;4.8447847&lt;/D&gt;&lt;D xsi:type="xsd:double"&gt;2.2880197&lt;/D&gt;&lt;D xsi:type="xsd:double"&gt;0.74561834&lt;/D&gt;&lt;D xsi:type="xsd:double"&gt;1.022315&lt;/D&gt;&lt;D xsi:type="xsd:double"&gt;0.83516836&lt;/D&gt;&lt;D xsi:type="xsd:double"&gt;-12.292939&lt;/D&gt;&lt;D xsi:type="xsd:double"&gt;-27.932411&lt;/D&gt;&lt;D xsi:type="xsd:double"&gt;14.5517235&lt;/D&gt;&lt;D xsi:type="xsd:double"&gt;11.318481&lt;/D&gt;&lt;D xsi:type="xsd:double"&gt;3.1290412&lt;/D&gt;&lt;D xsi:type="xsd:double"&gt;7.2378874&lt;/D&gt;&lt;D xsi:type="xsd:double"&gt;3.7220836&lt;/D&gt;&lt;D xsi:type="xsd:double"&gt;-4.019141&lt;/D&gt;&lt;D xsi:type="xsd:double"&gt;-1.3958037&lt;/D&gt;&lt;D xsi:type="xsd:double"&gt;17.795742&lt;/D&gt;&lt;D xsi:type="xsd:double"&gt;4.0948033&lt;/D&gt;&lt;D xsi:type="xsd:double"&gt;1.7879486&lt;/D&gt;&lt;D xsi:type="xsd:double"&gt;0.12254715&lt;/D&gt;&lt;D xsi:type="xsd:double"&gt;2.2031784&lt;/D&gt;&lt;D xsi:type="xsd:double"&gt;5.628741&lt;/D&gt;&lt;D xsi:type="xsd:double"&gt;1.058209&lt;/D&gt;&lt;D xsi:type="xsd:double"&gt;-0.7675588&lt;/D&gt;&lt;D xsi:type="xsd:double"&gt;-1.4138341&lt;/D&gt;&lt;D xsi:type="xsd:double"&gt;0.813961&lt;/D&gt;&lt;D xsi:type="xsd:double"&gt;-4.921186&lt;/D&gt;&lt;D xsi:type="xsd:double"&gt;8.57259&lt;/D&gt;&lt;D xsi:type="xsd:double"&gt;-8.528864&lt;/D&gt;&lt;D xsi:type="xsd:double"&gt;5.0019383&lt;/D&gt;&lt;D xsi:type="xsd:double"&gt;-9.290653&lt;/D&gt;&lt;D xsi:type="xsd:double"&gt;6.557369&lt;/D&gt;&lt;D xsi:type="xsd:double"&gt;9.64657&lt;/D&gt;&lt;D xsi:type="xsd:double"&gt;-5.2711487&lt;/D&gt;&lt;D xsi:type="xsd:double"&gt;-0.12009144&lt;/D&gt;&lt;D xsi:type="xsd:double"&gt;-10.960942&lt;/D&gt;&lt;D xsi:type="xsd:double"&gt;4.3215632&lt;/D&gt;&lt;D xsi:type="xsd:double"&gt;-0.04454255&lt;/D&gt;&lt;D xsi:type="xsd:double"&gt;-10.026735&lt;/D&gt;&lt;D xsi:type="xsd:double"&gt;2.9717684&lt;/D&gt;&lt;D xsi:type="xsd:double"&gt;9.908605&lt;/D&gt;&lt;D xsi:type="xsd:double"&gt;-1.4366686&lt;/D&gt;&lt;D xsi:type="xsd:double"&gt;12.799633&lt;/D&gt;&lt;D xsi:type="xsd:double"&gt;-8.259827&lt;/D&gt;&lt;D xsi:type="xsd:double"&gt;-2.3164272&lt;/D&gt;&lt;D xsi:type="xsd:double"&gt;3.5346746&lt;/D&gt;&lt;D xsi:type="xsd:double"&gt;-3.1114936&lt;/D&gt;&lt;D xsi:type="xsd:double"&gt;0.9812474&lt;/D&gt;&lt;D xsi:type="xsd:double"&gt;4.0954113&lt;/D&gt;&lt;D xsi:type="xsd:double"&gt;-6.1392126&lt;/D&gt;&lt;D xsi:type="xsd:double"&gt;-0.3684938&lt;/D&gt;&lt;D xsi:type="xsd:double"&gt;-4.993063&lt;/D&gt;&lt;D xsi:type="xsd:double"&gt;9.537721&lt;/D&gt;&lt;D xsi:type="xsd:double"&gt;11.037647&lt;/D&gt;&lt;D xsi:type="xsd:double"&gt;-3.2666385&lt;/D&gt;&lt;D xsi:type="xsd:double"&gt;0.0844121&lt;/D&gt;&lt;D xsi:type="xsd:double"&gt;4.0067554&lt;/D&gt;&lt;D xsi:type="xsd:double"&gt;-3.8118422&lt;/D&gt;&lt;D xsi:type="xsd:double"&gt;3.7942767&lt;/D&gt;&lt;D xsi:type="xsd:double"&gt;1.1618257&lt;/D&gt;&lt;/FQL&gt;&lt;FQL&gt;&lt;Q&gt;EWD^FMA_PE(LTMA,-10AY,0,AM,"PORTAGG","MEANR")&lt;/Q&gt;&lt;R&gt;121&lt;/R&gt;&lt;C&gt;1&lt;/C&gt;&lt;D xsi:type="xsd:double"&gt;15.7467427251816&lt;/D&gt;&lt;D xsi:type="xsd:double"&gt;16.0611780216363&lt;/D&gt;&lt;D xsi:type="xsd:double"&gt;15.7988982855242&lt;/D&gt;&lt;D xsi:type="xsd:double"&gt;15.9975096250154&lt;/D&gt;&lt;D xsi:type="xsd:double"&gt;15.9956546587917&lt;/D&gt;&lt;D xsi:type="xsd:double"&gt;17.3208469203877&lt;/D&gt;&lt;D xsi:type="xsd:double"&gt;17.6296427566868&lt;/D&gt;&lt;D xsi:type="xsd:double"&gt;18.6401266621652&lt;/D&gt;&lt;D xsi:type="xsd:double"&gt;20.3028254397121&lt;/D&gt;&lt;D xsi:type="xsd:double"&gt;19.9884372154015&lt;/D&gt;&lt;D xsi:type="xsd:double"&gt;19.4821713166962&lt;/D&gt;&lt;D xsi:type="xsd:double"&gt;19.4189210515324&lt;/D&gt;&lt;D xsi:type="xsd:double"&gt;18.8407063683087&lt;/D&gt;&lt;D xsi:type="xsd:double"&gt;18.3823728814562&lt;/D&gt;&lt;D xsi:type="xsd:double"&gt;17.5856684596746&lt;/D&gt;&lt;D xsi:type="xsd:double"&gt;16.2878138020433&lt;/D&gt;&lt;D xsi:type="xsd:double"&gt;17.2372055757519&lt;/D&gt;&lt;D xsi:type="xsd:double"&gt;16.906220085457&lt;/D&gt;&lt;D xsi:type="xsd:double"&gt;15.9152585557447&lt;/D&gt;&lt;D xsi:type="xsd:double"&gt;14.3403864561743&lt;/D&gt;&lt;D xsi:type="xsd:double"&gt;15.5362511309696&lt;/D&gt;&lt;D xsi:type="xsd:double"&gt;15.5026800271982&lt;/D&gt;&lt;D xsi:type="xsd:double"&gt;15.7781099139001&lt;/D&gt;&lt;D xsi:type="xsd:double"&gt;15.6146234712481&lt;/D&gt;&lt;D xsi:type="xsd:double"&gt;15.1024593865377&lt;/D&gt;&lt;D xsi:type="xsd:double"&gt;15.7921465888239&lt;/D&gt;&lt;D xsi:type="xsd:double"&gt;16.0318551972883&lt;/D&gt;&lt;D xsi:type="xsd:double"&gt;16.3440244863119&lt;/D&gt;&lt;D xsi:type="xsd:double"&gt;17.4301617457435&lt;/D&gt;&lt;D xsi:type="xsd:double"&gt;17.2831496947272&lt;/D&gt;&lt;D xsi:type="xsd:double"&gt;18.2944564243145&lt;/D&gt;&lt;D xsi:type="xsd:double"&gt;18.2306000773971&lt;/D&gt;&lt;D xsi:type="xsd:double"&gt;17.4411948352494&lt;/D&gt;&lt;D xsi:type="xsd:double"&gt;17.5869114328011&lt;/D&gt;&lt;D xsi:type="xsd:double"&gt;17.6333708179951&lt;/D&gt;&lt;D xsi:type="xsd:double"&gt;18.0905701056251&lt;/D&gt;&lt;D xsi:type="xsd:double"&gt;17.6277805823646&lt;/D&gt;&lt;D xsi:type="xsd:double"&gt;17.3240670000655&lt;/D&gt;&lt;D xsi:type="xsd:double"&gt;16.7800513140092&lt;/D&gt;&lt;D xsi:type="xsd:double"&gt;17.604947909851&lt;/D&gt;&lt;D xsi:type="xsd:double"&gt;18.5637459837511&lt;/D&gt;&lt;D xsi:type="xsd:double"&gt;18.1424936076705&lt;/D&gt;&lt;D xsi:type="xsd:double"&gt;18.0229763786687&lt;/D&gt;&lt;D xsi:type="xsd:double"&gt;18.4267800400263&lt;/D&gt;&lt;D xsi:type="xsd:double"&gt;16.9913152915228&lt;/D&gt;&lt;D xsi:type="xsd:double"&gt;16.780394482029&lt;/D&gt;&lt;D xsi:type="xsd:double"&gt;16.8300248064505&lt;/D&gt;&lt;D xsi:type="xsd:double"&gt;16.7210733583433&lt;/D&gt;&lt;D xsi:type="xsd:double"&gt;16.3515040870561&lt;/D&gt;&lt;D xsi:type="xsd:double"&gt;16.6243819627993&lt;/D&gt;&lt;D xsi:type="xsd:double"&gt;16.8842372551674&lt;/D&gt;&lt;D xsi:type="xsd:double"&gt;16.930242746771&lt;/D&gt;&lt;D xsi:type="xsd:double"&gt;14.8901571378867&lt;/D&gt;&lt;D xsi:type="xsd:double"&gt;14.8307876630702&lt;/D&gt;&lt;D xsi:type="xsd:double"&gt;13.8014625125488&lt;/D&gt;&lt;D xsi:type="xsd:double"&gt;15.9736771707489&lt;/D&gt;&lt;D xsi:type="xsd:double"&gt;18.1595410936155&lt;/D&gt;&lt;D xsi:type="xsd:double"&gt;17.8667742022224&lt;/D&gt;&lt;D xsi:type="xsd:double"&gt;17.9724385282923&lt;/D&gt;&lt;D xsi:type="xsd:double"&gt;17.2549669166631&lt;/D&gt;&lt;D xsi:type="xsd:double"&gt;17.1495017519452&lt;/D&gt;&lt;D xsi:type="xsd:double"&gt;16.9590313232432&lt;/D&gt;&lt;D xsi:type="xsd:double"&gt;15.6635535585257&lt;/D&gt;&lt;D xsi:type="xsd:double"&gt;16.5404088383934&lt;/D&gt;&lt;D xsi:type="xsd:double"&gt;17.0408192376055&lt;/D&gt;&lt;D xsi:type="xsd:double"&gt;15.9801715072724&lt;/D&gt;&lt;D xsi:type="xsd:double"&gt;16.4809561895831&lt;/D&gt;&lt;D xsi:type="xsd:double"&gt;14.1048481736897&lt;/D&gt;&lt;D xsi:type="xsd:double"&gt;13.003641439933&lt;/D&gt;&lt;D xsi:type="xsd:double"&gt;12.8749563991943&lt;/D&gt;&lt;D xsi:type="xsd:double"&gt;14.5412273424442&lt;/D&gt;&lt;D xsi:type="xsd:double"&gt;15.9981396480163&lt;/D&gt;&lt;D xsi:type="xsd:double"&gt;17.1737945135555&lt;/D&gt;&lt;D xsi:type="xsd:double"&gt;17.2257256408604&lt;/D&gt;&lt;D xsi:type="xsd:double"&gt;17.2936140350792&lt;/D&gt;&lt;D xsi:type="xsd:double"&gt;18.2403124612238&lt;/D&gt;&lt;D xsi:type="xsd:double"&gt;15.3288656644175&lt;/D&gt;&lt;D xsi:type="xsd:double"&gt;17.3005798810319&lt;/D&gt;&lt;D xsi:type="xsd:double"&gt;17.7003175263117&lt;/D&gt;&lt;D xsi:type="xsd:double"&gt;18.5343582987461&lt;/D&gt;&lt;D xsi:type="xsd:double"&gt;17.9459081411852&lt;/D&gt;&lt;D xsi:type="xsd:double"&gt;18.4534832245052&lt;/D&gt;&lt;D xsi:type="xsd:double"&gt;18.2823759908038&lt;/D&gt;&lt;D xsi:type="xsd:double"&gt;18.0484858466941&lt;/D&gt;&lt;D xsi:type="xsd:double"&gt;18.1463659851353&lt;/D&gt;&lt;D xsi:type="xsd:double"&gt;17.8401441448299&lt;/D&gt;&lt;D xsi:type="xsd:double"&gt;17.8117378244922&lt;/D&gt;&lt;D xsi:type="xsd:double"&gt;17.1857858871689&lt;/D&gt;&lt;D xsi:type="xsd:double"&gt;16.7611147800969&lt;/D&gt;&lt;D xsi:type="xsd:double"&gt;16.4034681825857&lt;/D&gt;&lt;D xsi:type="xsd:double"&gt;17.0171420075421&lt;/D&gt;&lt;D xsi:type="xsd:double"&gt;12.0852440657045&lt;/D&gt;&lt;D xsi:type="xsd:double"&gt;11.712367883386&lt;/D&gt;&lt;D xsi:type="xsd:double"&gt;12.0694549349992&lt;/D&gt;&lt;D xsi:type="xsd:double"&gt;12.2456442166109&lt;/D&gt;&lt;D xsi:type="xsd:double"&gt;13.734336479672&lt;/D&gt;&lt;D xsi:type="xsd:double"&gt;13.4867666113835&lt;/D&gt;&lt;D xsi:type="xsd:double"&gt;14.5746114121566&lt;/D&gt;&lt;D xsi:type="xsd:double"&gt;14.623104260284&lt;/D&gt;&lt;D xsi:type="xsd:double"&gt;14.3901772232482&lt;/D&gt;&lt;D xsi:type="xsd:double"&gt;13.4848032310006&lt;/D&gt;&lt;D xsi:type="xsd:double"&gt;14.272491472968&lt;/D&gt;&lt;D xsi:type="xsd:double"&gt;15.5611739957881&lt;/D&gt;&lt;D xsi:type="xsd:double"&gt;24.9405947206644&lt;/D&gt;&lt;D xsi:type="xsd:double"&gt;25.3027275443028&lt;/D&gt;&lt;D xsi:type="xsd:double"&gt;24.0727634434601&lt;/D&gt;&lt;D xsi:type="xsd:double"&gt;23.063524935267&lt;/D&gt;&lt;D xsi:type="xsd:double"&gt;21.9684265191982&lt;/D&gt;&lt;D xsi:type="xsd:double"&gt;20.6676326664643&lt;/D&gt;&lt;D xsi:type="xsd:double"&gt;19.5109783971318&lt;/D&gt;&lt;D xsi:type="xsd:double"&gt;17.776137166826&lt;/D&gt;&lt;D xsi:type="xsd:double"&gt;16.5829648844125&lt;/D&gt;&lt;D xsi:type="xsd:double"&gt;15.6655839433443&lt;/D&gt;&lt;D xsi:type="xsd:double"&gt;15.9703258991829&lt;/D&gt;&lt;D xsi:type="xsd:double"&gt;17.964573326437&lt;/D&gt;&lt;D xsi:type="xsd:double"&gt;15.3788475532832&lt;/D&gt;&lt;D xsi:type="xsd:double"&gt;15.7421361957438&lt;/D&gt;&lt;D xsi:type="xsd:double"&gt;15.9085794415529&lt;/D&gt;&lt;D xsi:type="xsd:double"&gt;15.9069816209811&lt;/D&gt;&lt;D xsi:type="xsd:double"&gt;16.0941733432275&lt;/D&gt;&lt;D xsi:type="xsd:double"&gt;16.0320509942331&lt;/D&gt;&lt;/FQL&gt;&lt;FQL&gt;&lt;Q&gt;DDR3512M-FDS^FG_PRICE_CHANGE(0,-6AM)&lt;/Q&gt;&lt;R&gt;1&lt;/R&gt;&lt;C&gt;1&lt;/C&gt;&lt;D xsi:type="xsd:double"&gt;-4.49173520942535&lt;/D&gt;&lt;/FQL&gt;&lt;FQL&gt;&lt;Q&gt;PLATI-FDS^FG_PRICE_CHANGE(0,-6AM)&lt;/Q&gt;&lt;R&gt;1&lt;/R&gt;&lt;C&gt;1&lt;/C&gt;&lt;D xsi:type="xsd:double"&gt;0.298507462686559&lt;/D&gt;&lt;/FQL&gt;&lt;FQL&gt;&lt;Q&gt;EWC^FG_COMPANY_NAME&lt;/Q&gt;&lt;R&gt;1&lt;/R&gt;&lt;C&gt;1&lt;/C&gt;&lt;D xsi:type="xsd:string"&gt;iShares MSCI Canada ETF&lt;/D&gt;&lt;/FQL&gt;&lt;FQL&gt;&lt;Q&gt;EWA^JULIAN(FMA_ROE(NTMA,-20AY,NOW,FY,"PORTAGG","MEANR").DATES)&lt;/Q&gt;&lt;R&gt;20&lt;/R&gt;&lt;C&gt;1&lt;/C&gt;&lt;D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xsi:type="xsd:long"&gt;45289&lt;/D&gt;&lt;/FQL&gt;&lt;FQL&gt;&lt;Q&gt;TRYPH10Y-FDS^FG_YIELD(-10AY,0,Y,,"YTM")&lt;/Q&gt;&lt;R&gt;10&lt;/R&gt;&lt;C&gt;1&lt;/C&gt;&lt;D xsi:type="xsd:double"&gt;3.8633&lt;/D&gt;&lt;D xsi:type="xsd:double"&gt;4.1&lt;/D&gt;&lt;D xsi:type="xsd:double"&gt;4.628</t>
        </r>
      </text>
    </comment>
    <comment ref="A10" authorId="0" shapeId="0" xr:uid="{8F4A343E-B769-4DF4-9060-D86077B93034}">
      <text>
        <r>
          <rPr>
            <b/>
            <sz val="9"/>
            <color indexed="81"/>
            <rFont val="Tahoma"/>
            <charset val="1"/>
          </rPr>
          <t>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xsi:type="xsd:double"&gt;21.984322&lt;/D&gt;&lt;/FQL&gt;&lt;FQL&gt;&lt;Q&gt;CAGDPY@SE^EE_ACTUAL_ANNUAL(MED,0)&lt;/Q&gt;&lt;R&gt;1&lt;/R&gt;&lt;C&gt;1&lt;/C&gt;&lt;D xsi:type="xsd:double"&gt;6.4686639012956&lt;/D&gt;&lt;/FQL&gt;&lt;FQL&gt;&lt;Q&gt;CAGDPY@DE^EE_ACTUAL_ANNUAL(MED,0)&lt;/Q&gt;&lt;R&gt;1&lt;/R&gt;&lt;C&gt;1&lt;/C&gt;&lt;D xsi:type="xsd:double"&gt;6.09959759767018&lt;/D&gt;&lt;/FQL&gt;&lt;FQL&gt;&lt;Q&gt;USDITL^STD(FG_PRICE_CHANGE(0,-3AY,M))&lt;/Q&gt;&lt;R&gt;1&lt;/R&gt;&lt;C&gt;1&lt;/C&gt;&lt;D xsi:type="xsd:double"&gt;2.15371198605892&lt;/D&gt;&lt;/FQL&gt;&lt;FQL&gt;&lt;Q&gt;USDANG^STD(FG_PRICE_CHANGE(0,-3AY,M))&lt;/Q&gt;&lt;R&gt;1&lt;/R&gt;&lt;C&gt;1&lt;/C&gt;&lt;D xsi:type="xsd:double"&gt;0.0586284178983467&lt;/D&gt;&lt;/FQL&gt;&lt;FQL&gt;&lt;Q&gt;USDUSD^STD(FG_PRICE_CHANGE(0,-3AY,M))&lt;/Q&gt;&lt;R&gt;1&lt;/R&gt;&lt;C&gt;1&lt;/C&gt;&lt;D xsi:type="xsd:double"&gt;0&lt;/D&gt;&lt;/FQL&gt;&lt;FQL&gt;&lt;Q&gt;USDGBP^STD(FG_PRICE_CHANGE(0,-3AY,M))&lt;/Q&gt;&lt;R&gt;1&lt;/R&gt;&lt;C&gt;1&lt;/C&gt;&lt;D xsi:type="xsd:double"&gt;2.34575948431162&lt;/D&gt;&lt;/FQL&gt;&lt;FQL&gt;&lt;Q&gt;USDJPY^STD(FG_PRICE_CHANGE(0,-3AY,M))&lt;/Q&gt;&lt;R&gt;1&lt;/R&gt;&lt;C&gt;1&lt;/C&gt;&lt;D xsi:type="xsd:double"&gt;3.00862576067304&lt;/D&gt;&lt;/FQL&gt;&lt;FQL&gt;&lt;Q&gt;USDCAD^STD(FG_PRICE_CHANGE(0,-3AY,M))&lt;/Q&gt;&lt;R&gt;1&lt;/R&gt;&lt;C&gt;1&lt;/C&gt;&lt;D xsi:type="xsd:double"&gt;1.79553672899039&lt;/D&gt;&lt;/FQL&gt;&lt;FQL&gt;&lt;Q&gt;USDNZD^STD(FG_PRICE_CHANGE(0,-3AY,M))&lt;/Q&gt;&lt;R&gt;1&lt;/R&gt;&lt;C&gt;1&lt;/C&gt;&lt;D xsi:type="xsd:double"&gt;3.46872846416491&lt;/D&gt;&lt;/FQL&gt;&lt;FQL&gt;&lt;Q&gt;EWJ^FMA_EPS(NTMA,-20AY,0,CY,,"PORTAGG","MEANR")&lt;/Q&gt;&lt;R&gt;20&lt;/R&gt;&lt;C&gt;1&lt;/C&gt;&lt;D xsi:type="xsd:double"&gt;2.83572005832403&lt;/D&gt;&lt;D xsi:type="xsd:double"&gt;2.84830335934349&lt;/D&gt;&lt;D xsi:type="xsd:double"&gt;3.29156932486821&lt;/D&gt;&lt;D xsi:type="xsd:double"&gt;3.66778515674736&lt;/D&gt;&lt;D xsi:type="xsd:double"&gt;2.74393009109397&lt;/D&gt;&lt;D xsi:type="xsd:double"&gt;1.93733358061505&lt;/D&gt;&lt;D xsi:type="xsd:double"&gt;3.17729322550467&lt;/D&gt;&lt;D xsi:type="xsd:double"&gt;3.09458124193192&lt;/D&gt;&lt;D xsi:type="xsd:double"&gt;2.8747287105461&lt;/D&gt;&lt;D xsi:type="xsd:double"&gt;3.27496071085416&lt;/D&gt;&lt;D xsi:type="xsd:double"&gt;3.14456301788536&lt;/D&gt;&lt;D xsi:type="xsd:double"&gt;3.44827515089069&lt;/D&gt;&lt;D xsi:type="xsd:double"&gt;3.33160709427031&lt;/D&gt;&lt;D xsi:type="xsd:double"&gt;4.07233312791291&lt;/D&gt;&lt;D xsi:type="xsd:double"&gt;4.56488250158257&lt;/D&gt;&lt;D xsi:type="xsd:double"&gt;4.07638230861392&lt;/D&gt;&lt;D xsi:type="xsd:double"&gt;3.67789542177963&lt;/D&gt;&lt;D xsi:type="xsd:double"&gt;4.61613856769821&lt;/D&gt;&lt;D xsi:type="xsd:double"&gt;4.46089543101883&lt;/D&gt;&lt;D xsi:type="xsd:double"&gt;4.5665409137847&lt;/D&gt;&lt;/FQL&gt;&lt;FQL&gt;&lt;Q&gt;EWC^P_PRICE_RETURNS_PR('52W',2,-10AY,0,AM)&lt;/Q&gt;&lt;R&gt;121&lt;/R&gt;&lt;C&gt;1&lt;/C&gt;&lt;D xsi:type="xsd:double"&gt;25.677633&lt;/D&gt;&lt;D xsi:type="xsd:double"&gt;19.021929&lt;/D&gt;&lt;D xsi:type="xsd:double"&gt;22.316444&lt;/D&gt;&lt;D xsi:type="xsd:double"&gt;11.436188&lt;/D&gt;&lt;D xsi:type="xsd:double"&gt;4.909301&lt;/D&gt;&lt;D xsi:type="xsd:double"&gt;5.505812&lt;/D&gt;&lt;D xsi:type="xsd:double"&gt;1.4654279&lt;/D&gt;&lt;D xsi:type="xsd:double"&gt;-2.2598445&lt;/D&gt;&lt;D xsi:type="xsd:double"&gt;-1.3864279&lt;/D&gt;&lt;D xsi:type="xsd:double"&gt;-5.4143133&lt;/D&gt;&lt;D xsi:type="xsd:double"&gt;0.43076277&lt;/D&gt;&lt;D xsi:type="xsd:double"&gt;-6.639385&lt;/D&gt;&lt;D xsi:type="xsd:double"&gt;-11.723078&lt;/D&gt;&lt;D xsi:type="xsd:double"&gt;-21.44078&lt;/D&gt;&lt;D xsi:type="xsd:double"&gt;-24.693716&lt;/D&gt;&lt;D xsi:type="xsd:double"&gt;-26.420074&lt;/D&gt;&lt;D xsi:type="xsd:double"&gt;-17.612886&lt;/D&gt;&lt;D xsi:type="xsd:double"&gt;-23.69265&lt;/D&gt;&lt;D xsi:type="xsd:double"&gt;-23.43154&lt;/D&gt;&lt;D xsi:type="xsd:double"&gt;-21.426094&lt;/D&gt;&lt;D xsi:type="xsd:double"&gt;-20.985186&lt;/D&gt;&lt;D xsi:type="xsd:double"&gt;-12.350357&lt;/D&gt;&lt;D xsi:type="xsd:double"&gt;-12.5418005&lt;/D&gt;&lt;D xsi:type="xsd:double"&gt;-9.596163&lt;/D&gt;&lt;D xsi:type="xsd:double"&gt;-11.010909&lt;/D&gt;&lt;D xsi:type="xsd:double"&gt;1.5532374&lt;/D&gt;&lt;D xsi:type="xsd:double"&gt;12.731624&lt;/D&gt;&lt;D xsi:type="xsd:double"&gt;17.542421&lt;/D&gt;&lt;D xsi:type="xsd:double"&gt;7.041967&lt;/D&gt;&lt;D xsi:type="xsd:double"&gt;14.496875&lt;/D&gt;&lt;D xsi:type="xsd:double"&gt;22.349548&lt;/D&gt;&lt;D xsi:type="xsd:double"&gt;38.34003&lt;/D&gt;&lt;D xsi:type="xsd:double"&gt;25.616014&lt;/D&gt;&lt;D xsi:type="xsd:double"&gt;17.577553&lt;/D&gt;&lt;D xsi:type="xsd:double"&gt;5.831349&lt;/D&gt;&lt;D xsi:type="xsd:double"&gt;8.600044&lt;/D&gt;&lt;D xsi:type="xsd:double"&gt;14.529324&lt;/D&gt;&lt;D xsi:type="xsd:double"&gt;13.735676&lt;/D&gt;&lt;D xsi:type="xsd:double"&gt;9.867358&lt;/D&gt;&lt;D xsi:type="xsd:double"&gt;14.759434&lt;/D&gt;&lt;D xsi:type="xsd:double"&gt;15.085101&lt;/D&gt;&lt;D xsi:type="xsd:double"&gt;14.295793&lt;/D&gt;&lt;D xsi:type="xsd:double"&gt;16.244316&lt;/D&gt;&lt;D xsi:type="xsd:double"&gt;12.710535&lt;/D&gt;&lt;D xsi:type="xsd:double"&gt;6.324649&lt;/D&gt;&lt;D xsi:type="xsd:double"&gt;3.067553&lt;/D&gt;&lt;D xsi:type="xsd:double"&gt;9.908188&lt;/D&gt;&lt;D xsi:type="xsd:double"&gt;11.625147&lt;/D&gt;&lt;D xsi:type="xsd:double"&gt;6.4377666&lt;/D&gt;&lt;D xsi:type="xsd:double"&gt;6.7534924&lt;/D&gt;&lt;D xsi:type="xsd:double"&gt;7.998538&lt;/D&gt;&lt;D xsi:type="xsd:double"&gt;1.5204668&lt;/D&gt;&lt;D xsi:type="xsd:double"&gt;-6.4311085&lt;/D&gt;&lt;D xsi:type="xsd:double"&gt;-6.6241264&lt;/D&gt;&lt;D xsi:type="xsd:double"&gt;-17.481888&lt;/D&gt;&lt;D xsi:type="xsd:double"&gt;-10.19339&lt;/D&gt;&lt;D xsi:type="xsd:double"&gt;2.70288&lt;/D&gt;&lt;D xsi:type="xsd:double"&gt;4.3738246&lt;/D&gt;&lt;D xsi:type="xsd:double"&gt;3.8315058&lt;/D&gt;&lt;D xsi:type="xsd:double"&gt;-1.0104537&lt;/D&gt;&lt;D xsi:type="xsd:double"&gt;4.422462&lt;/D&gt;&lt;D xsi:type="xsd:double"&gt;1.0836959&lt;/D&gt;&lt;D xsi:type="xsd:double"&gt;-2.1770895&lt;/D&gt;&lt;D xsi:type="xsd:double"&gt;2.9904604&lt;/D&gt;&lt;D xsi:type="xsd:double"&gt;12.912703&lt;/D&gt;&lt;D xsi:type="xsd:double"&gt;16.369486&lt;/D&gt;&lt;D xsi:type="xsd:double"&gt;28.563427&lt;/D&gt;&lt;D xsi:type="xsd:double"&gt;16.456663&lt;/D&gt;&lt;D xsi:type="xsd:double"&gt;1.3009429&lt;/D&gt;&lt;D xsi:type="xsd:double"&gt;-23.206097&lt;/D&gt;&lt;D xsi:type="xsd:double"&gt;-13.337851&lt;/D&gt;&lt;D xsi:type="xsd:double"&gt;-6.5786004&lt;/D&gt;&lt;D xsi:type="xsd:double"&gt;-9.617114&lt;/D&gt;&lt;D xsi:type="xsd:double"&gt;-2.816397&lt;/D&gt;&lt;D xsi:type="xsd:double"&gt;6.2859297&lt;/D&gt;&lt;D xsi:type="xsd:double"&gt;-2.287978&lt;/D&gt;&lt;D xsi:type="xsd:double"&gt;-6.145203&lt;/D&gt;&lt;D xsi:type="xsd:double"&gt;5.253637&lt;/D&gt;&lt;D xsi:type="xsd:double"&gt;5.8386803&lt;/D&gt;&lt;D xsi:type="xsd:double"&gt;5.244851&lt;/D&gt;&lt;D xsi:type="xsd:double"&gt;13.449931&lt;/D&gt;&lt;D xsi:type="xsd:double"&gt;60.214676&lt;/D&gt;&lt;D xsi:type="xsd:double"&gt;52.77002&lt;/D&gt;&lt;D xsi:type="xsd:double"&gt;52.60012&lt;/D&gt;&lt;D xsi:type="xsd:double"&gt;51.63697&lt;/D&gt;&lt;D xsi:type="xsd:double"&gt;38.549686&lt;/D&gt;&lt;D xsi:type="xsd:double"&gt;32.173264&lt;/D&gt;&lt;D xsi:type="xsd:double"&gt;34.87228&lt;/D&gt;&lt;D xsi:type="xsd:double"&gt;52.235485&lt;/D&gt;&lt;D xsi:type="xsd:double"&gt;27.98016&lt;/D&gt;&lt;D xsi:type="xsd:double"&gt;26.33195&lt;/D&gt;&lt;D xsi:type="xsd:double"&gt;22.144377&lt;/D&gt;&lt;D xsi:type="xsd:double"&gt;21.08494&lt;/D&gt;&lt;D xsi:type="xsd:double"&gt;20.58692&lt;/D&gt;&lt;D xsi:type="xsd:double"&gt;7.1509957&lt;/D&gt;&lt;D xsi:type="xsd:double"&gt;1.4057398&lt;/D&gt;&lt;D xsi:type="xsd:double"&gt;-6.4864516&lt;/D&gt;&lt;D xsi:type="xsd:double"&gt;-4.0085077&lt;/D&gt;&lt;D xsi:type="xsd:double"&gt;-3.759116&lt;/D&gt;&lt;D xsi:type="xsd:double"&gt;-11.818064&lt;/D&gt;&lt;D xsi:type="xsd:double"&gt;-14.6495285&lt;/D&gt;&lt;D xsi:type="xsd:double"&gt;-7.303053&lt;/D&gt;&lt;D xsi:type="xsd:double"&gt;-13.396573&lt;/D&gt;&lt;D xsi:type="xsd:double"&gt;-1.5671492&lt;/D&gt;&lt;D xsi:type="xsd:double"&gt;-8.9385805&lt;/D&gt;&lt;D xsi:type="xsd:double"&gt;-15.965724&lt;/D&gt;&lt;D xsi:type="xsd:double"&gt;-5.018151&lt;/D&gt;&lt;D xsi:type="xsd:double"&gt;-6.7575035&lt;/D&gt;&lt;D xsi:type="xsd:double"&gt;2.7241945&lt;/D&gt;&lt;D xsi:type="xsd:double"&gt;5.189812&lt;/D&gt;&lt;D xsi:type="xsd:double"&gt;-0.56366324&lt;/D&gt;&lt;D xsi:type="xsd:double"&gt;9.601212&lt;/D&gt;&lt;D xsi:type="xsd:double"&gt;-2.205801&lt;/D&gt;&lt;D xsi:type="xsd:double"&gt;2.10104&lt;/D&gt;&lt;D xsi:type="xsd:double"&gt;15.978241&lt;/D&gt;&lt;D xsi:type="xsd:double"&gt;4.832852&lt;/D&gt;&lt;D xsi:type="xsd:double"&gt;9.877038&lt;/D&gt;&lt;D xsi:type="xsd:double"&gt;18.091917&lt;/D&gt;&lt;D xsi:type="xsd:double"&gt;11.873341&lt;/D&gt;&lt;D xsi:type="xsd:double"&gt;15.604984&lt;/D&gt;&lt;D xsi:type="xsd:double"&gt;10.419917&lt;/D&gt;&lt;/FQL&gt;&lt;FQL&gt;&lt;Q&gt;ENZL^FG_TOTAL_RETURNC(-10AY,0,AM)&lt;/Q&gt;&lt;R&gt;121&lt;/R&gt;&lt;C&gt;1&lt;/C&gt;&lt;D xsi:type="xsd:double"&gt;1.8628478&lt;/D&gt;&lt;D xsi:type="xsd:double"&gt;-1.7306745&lt;/D&gt;&lt;D xsi:type="xsd:double"&gt;-0.96502304&lt;/D&gt;&lt;D xsi:type="xsd:double"&gt;-5.286235&lt;/D&gt;&lt;D xsi:type="xsd:double"&gt;2.9320955&lt;/D&gt;&lt;D xsi:type="xsd:double"&gt;-0.024992228&lt;/D&gt;&lt;D xsi:type="xsd:double"&gt;1.7772079&lt;/D&gt;&lt;D xsi:type="xsd:double"&gt;-0.27745962&lt;/D&gt;&lt;D xsi:type="xsd:double"&gt;3.6708832&lt;/D&gt;&lt;D xsi:type="xsd:double"&gt;-0.048840046&lt;/D&gt;&lt;D xsi:type="xsd:double"&gt;0.14659166&lt;/D&gt;&lt;D xsi:type="xsd:double"&gt;-7.2212815&lt;/D&gt;&lt;D xsi:type="xsd:double"&gt;-5.39732&lt;/D&gt;&lt;D xsi:type="xsd:double"&gt;-0.19959807&lt;/D&gt;&lt;D xsi:type="xsd:double"&gt;-6.199998&lt;/D&gt;&lt;D xsi:type="xsd:double"&gt;-2.5586426&lt;/D&gt;&lt;D xsi:type="xsd:double"&gt;12.347603&lt;/D&gt;&lt;D xsi:type="xsd:double"&gt;-1.2242615&lt;/D&gt;&lt;D xsi:type="xsd:double"&gt;6.1871886&lt;/D&gt;&lt;D xsi:type="xsd:double"&gt;-5.8373747&lt;/D&gt;&lt;D xsi:type="xsd:double"&gt;4.708588&lt;/D&gt;&lt;D xsi:type="xsd:double"&gt;8.554972&lt;/D&gt;&lt;D xsi:type="xsd:double"&gt;4.672897&lt;/D&gt;&lt;D xsi:type="xsd:double"&gt;-0.2560258&lt;/D&gt;&lt;D xsi:type="xsd:double"&gt;2.1722436&lt;/D&gt;&lt;D xsi:type="xsd:double"&gt;8.8249445&lt;/D&gt;&lt;D xsi:type="xsd:double"&gt;2.9748797&lt;/D&gt;&lt;D xsi:type="xsd:double"&gt;-0.9432912&lt;/D&gt;&lt;D xsi:type="xsd:double"&gt;-7.17057&lt;/D&gt;&lt;D xsi:type="xsd:double"&gt;-1.4428735&lt;/D&gt;&lt;D xsi:type="xsd:double"&gt;-3.2143295&lt;/D&gt;&lt;D xsi:type="xsd:double"&gt;9.6416&lt;/D&gt;&lt;D xsi:type="xsd:double"&gt;-0.69060326&lt;/D&gt;&lt;D xsi:type="xsd:double"&gt;-3.963834&lt;/D&gt;&lt;D xsi:type="xsd:double"&gt;2.7757645&lt;/D&gt;&lt;D xsi:type="xsd:double"&gt;4.0394545&lt;/D&gt;&lt;D xsi:type="xsd:double"&gt;6.7424893&lt;/D&gt;&lt;D xsi:type="xsd:double"&gt;2.0034432&lt;/D&gt;&lt;D xsi:type="xsd:double"&gt;-0.8870065&lt;/D&gt;&lt;D xsi:type="xsd:double"&gt;0.53271055&lt;/D&gt;&lt;D xsi:type="xsd:double"&gt;-3.2005131&lt;/D&gt;&lt;D xsi:type="xsd:double"&gt;0.7882595&lt;/D&gt;&lt;D xsi:type="xsd:double"&gt;5.2865386&lt;/D&gt;&lt;D xsi:type="xsd:double"&gt;3.0494213&lt;/D&gt;&lt;D xsi:type="xsd:double"&gt;-1.5918314&lt;/D&gt;&lt;D xsi:type="xsd:double"&gt;0.53919554&lt;/D&gt;&lt;D xsi:type="xsd:double"&gt;-1.0932326&lt;/D&gt;&lt;D xsi:type="xsd:double"&gt;0&lt;/D&gt;&lt;D xsi:type="xsd:double"&gt;2.828443&lt;/D&gt;&lt;D xsi:type="xsd:double"&gt;-0.39184093&lt;/D&gt;&lt;D xsi:type="xsd:double"&gt;1.8840551&lt;/D&gt;&lt;D xsi:type="xsd:double"&gt;-1.2395859&lt;/D&gt;&lt;D xsi:type="xsd:double"&gt;-9.567899&lt;/D&gt;&lt;D xsi:type="xsd:double"&gt;9.169507&lt;/D&gt;&lt;D xsi:type="xsd:double"&gt;-2.3386717&lt;/D&gt;&lt;D xsi:type="xsd:double"&gt;5.58331&lt;/D&gt;&lt;D xsi:type="xsd:double"&gt;1.7283916&lt;/D&gt;&lt;D xsi:type="xsd:double"&gt;4.389167&lt;/D&gt;&lt;D xsi:type="xsd:double"&gt;0.7362962&lt;/D&gt;&lt;D xsi:type="xsd:double"&gt;-1.9042134&lt;/D&gt;&lt;D xsi:type="xsd:double"&gt;6.249082&lt;/D&gt;&lt;D xsi:type="xsd:double"&gt;2.6976347&lt;/D&gt;&lt;D xsi:type="xsd:double"&gt;-6.585187&lt;/D&gt;&lt;D xsi:type="xsd:double"&gt;0.9177923&lt;/D&gt;&lt;D xsi:type="xsd:double"&gt;1.3351321&lt;/D&gt;&lt;D xsi:type="xsd:double"&gt;4.8119187&lt;/D&gt;&lt;D xsi:type="xsd:double"&gt;7.8433156&lt;/D&gt;&lt;D xsi:type="xsd:double"&gt;-0.9489298&lt;/D&gt;&lt;D xsi:type="xsd:double"&gt;-7.9080343&lt;/D&gt;&lt;D xsi:type="xsd:double"&gt;-18.142986&lt;/D&gt;&lt;D xsi:type="xsd:double"&gt;15.355682&lt;/D&gt;&lt;D xsi:type="xsd:double"&gt;1.9562006&lt;/D&gt;&lt;D xsi:type="xsd:double"&gt;5.9199333&lt;/D&gt;&lt;D xsi:type="xsd:double"&gt;8.590102&lt;/D&gt;&lt;D xsi:type="xsd:double"&gt;5.0128937&lt;/D&gt;&lt;D xsi:type="xsd:double"&gt;-4.9373627&lt;/D&gt;&lt;D xsi:type="xsd:double"&gt;3.6520243&lt;/D&gt;&lt;D xsi:type="xsd:double"&gt;9.838783&lt;/D&gt;&lt;D xsi:type="xsd:double"&gt;3.297639&lt;/D&gt;&lt;D xsi:type="xsd:double"&gt;1.5557885&lt;/D&gt;&lt;D xsi:type="xsd:double"&gt;-8.768606&lt;/D&gt;&lt;D xsi:type="xsd:double"&gt;-1.039499&lt;/D&gt;&lt;D xsi:type="xsd:double"&gt;5.187452&lt;/D&gt;&lt;D xsi:type="xsd:double"&gt;-5.323392&lt;/D&gt;&lt;D xsi:type="xsd:double"&gt;0.11086464&lt;/D&gt;&lt;D xsi:type="xsd:double"&gt;-0.9649992&lt;/D&gt;&lt;D xsi:type="xsd:double"&gt;3.7819982&lt;/D&gt;&lt;D xsi:type="xsd:double"&gt;-1.6231716&lt;/D&gt;&lt;D xsi:type="xsd:double"&gt;2.84698&lt;/D&gt;&lt;D xsi:type="xsd:double"&gt;-8.773202&lt;/D&gt;&lt;D xsi:type="xsd:double"&gt;2.4558902&lt;/D&gt;&lt;D xsi:type="xsd:double"&gt;-12.010932&lt;/D&gt;&lt;D xsi:type="xsd:double"&gt;5.6310654&lt;/D&gt;&lt;D xsi:type="xsd:double"&gt;-0.4544139&lt;/D&gt;&lt;D xsi:type="xsd:double"&gt;-6.3945055&lt;/D&gt;&lt;D xsi:type="xsd:double"&gt;-5.5458665&lt;/D&gt;&lt;D xsi:type="xsd:double"&gt;-4.7831116&lt;/D&gt;&lt;D xsi:type="xsd:double"&gt;5.6147337&lt;/D&gt;&lt;D xsi:type="xsd:double"&gt;-2.6476145&lt;/D&gt;&lt;D xsi:type="xsd:double"&gt;-7.9538107&lt;/D&gt;&lt;D xsi:type="xsd:double"&gt;1.02005&lt;/D&gt;&lt;D xsi:type="xsd:double"&gt;6.476319&lt;/D&gt;&lt;D xsi:type="xsd:double"&gt;5.9833884&lt;/D&gt;&lt;D xsi:type="xsd:double"&gt;7.957828&lt;/D&gt;&lt;D xsi:type="xsd:double"&gt;-6.279916&lt;/D&gt;&lt;D xsi:type="xsd:double"&gt;0.51072836&lt;/D&gt;&lt;D xsi:type="xsd:double"&gt;1.4634132&lt;/D&gt;&lt;D xsi:type="xsd:double"&gt;-3.0849278&lt;/D&gt;&lt;D xsi:type="xsd:double"&gt;-0.91962814&lt;/D&gt;&lt;D xsi:type="xsd:double"&gt;3.4555435&lt;/D&gt;&lt;D xsi:type="xsd:double"&gt;-8.411402&lt;/D&gt;&lt;D xsi:type="xsd:double"&gt;-1.8901527&lt;/D&gt;&lt;D xsi:type="xsd:double"&gt;-6.9809556&lt;/D&gt;&lt;D xsi:type="xsd:double"&gt;11.330402&lt;/D&gt;&lt;D xsi:type="xsd:double"&gt;8.4931965&lt;/D&gt;&lt;D xsi:type="xsd:double"&gt;-3.4184515&lt;/D&gt;&lt;D xsi:type="xsd:double"&gt;-3.5181284&lt;/D&gt;&lt;D xsi:type="xsd:double"&gt;0.530386&lt;/D&gt;&lt;D xsi:type="xsd:double"&gt;-2.681911&lt;/D&gt;&lt;D xsi:type="xsd:double"&gt;0.8583665&lt;/D&gt;&lt;D xsi:type="xsd:double"&gt;2.5942802&lt;/D&gt;&lt;/FQL&gt;&lt;FQL&gt;&lt;Q&gt;EWI^FMA_PE(NTMA,-10AY,0,AM,"PORTAGG","MEANR")&lt;/Q&gt;&lt;R&gt;121&lt;/R&gt;&lt;C&gt;1&lt;/C&gt;&lt;D xsi:type="xsd:double"&gt;13.9565837343679&lt;/D&gt;&lt;D xsi:type="xsd:double"&gt;13.9643040105165&lt;/D&gt;&lt;D xsi:type="xsd:double"&gt;13.7250709569735&lt;/D&gt;&lt;D xsi:type="xsd:double"&gt;13.7311671849196&lt;/D&gt;&lt;D xsi:type="xsd:double"&gt;12.5721160672281&lt;/D&gt;&lt;D xsi:type="xsd:double"&gt;13.0012291690605&lt;/D&gt;&lt;D xsi:type="xsd:double"&gt;12.5626614558153&lt;/D&gt;&lt;D xsi:type="xsd:double"&gt;13.8885377030718&lt;/D&gt;&lt;D xsi:type="xsd:double"&gt;15.5512236592378&lt;/D&gt;&lt;D xsi:type="xsd:double"&gt;15.6616611687816&lt;/D&gt;&lt;D xsi:type="xsd:double"&gt;15.9562495970784&lt;/D&gt;&lt;D xsi:type="xsd:double"&gt;15.9015225865459&lt;/D&gt;&lt;D xsi:type="xsd:double"&gt;15.5950772367398&lt;/D&gt;&lt;D xsi:type="xsd:double"&gt;15.1186968098095&lt;/D&gt;&lt;D xsi:type="xsd:double"&gt;14.4423069780737&lt;/D&gt;&lt;D xsi:type="xsd:double"&gt;13.5609807909775&lt;/D&gt;&lt;D xsi:type="xsd:double"&gt;14.8779268857227&lt;/D&gt;&lt;D xsi:type="xsd:double"&gt;15.0400503047353&lt;/D&gt;&lt;D xsi:type="xsd:double"&gt;14.0926353922249&lt;/D&gt;&lt;D xsi:type="xsd:double"&gt;12.6022151403417&lt;/D&gt;&lt;D xsi:type="xsd:double"&gt;12.8578699581264&lt;/D&gt;&lt;D xsi:type="xsd:double"&gt;13.1901897933305&lt;/D&gt;&lt;D xsi:type="xsd:double"&gt;13.7176985273419&lt;/D&gt;&lt;D xsi:type="xsd:double"&gt;13.7815013289343&lt;/D&gt;&lt;D xsi:type="xsd:double"&gt;11.3686803318182&lt;/D&gt;&lt;D xsi:type="xsd:double"&gt;12.2081215025333&lt;/D&gt;&lt;D xsi:type="xsd:double"&gt;12.5575035375855&lt;/D&gt;&lt;D xsi:type="xsd:double"&gt;11.6602316125029&lt;/D&gt;&lt;D xsi:type="xsd:double"&gt;12.2404668822241&lt;/D&gt;&lt;D xsi:type="xsd:double"&gt;11.3702756545499&lt;/D&gt;&lt;D xsi:type="xsd:double"&gt;13.6393051003572&lt;/D&gt;&lt;D xsi:type="xsd:double"&gt;13.0825952970425&lt;/D&gt;&lt;D xsi:type="xsd:double"&gt;12.7903887811697&lt;/D&gt;&lt;D xsi:type="xsd:double"&gt;13.6237290486886&lt;/D&gt;&lt;D xsi:type="xsd:double"&gt;13.3991037145028&lt;/D&gt;&lt;D xsi:type="xsd:double"&gt;13.5484967635559&lt;/D&gt;&lt;D xsi:type="xsd:double"&gt;13.3260478098238&lt;/D&gt;&lt;D xsi:type="xsd:double"&gt;13.4349831159478&lt;/D&gt;&lt;D xsi:type="xsd:double"&gt;13.2579159663236&lt;/D&gt;&lt;D xsi:type="xsd:double"&gt;13.540847414068&lt;/D&gt;&lt;D xsi:type="xsd:double"&gt;13.5765474854277&lt;/D&gt;&lt;D xsi:type="xsd:double"&gt;13.172425057697&lt;/D&gt;&lt;D xsi:type="xsd:double"&gt;13.099227772513&lt;/D&gt;&lt;D xsi:type="xsd:double"&gt;13.4628376783266&lt;/D&gt;&lt;D xsi:type="xsd:double"&gt;12.5113627539402&lt;/D&gt;&lt;D xsi:type="xsd:double"&gt;12.4050394791236&lt;/D&gt;&lt;D xsi:type="xsd:double"&gt;13.0278504905678&lt;/D&gt;&lt;D xsi:type="xsd:double"&gt;11.778886222646&lt;/D&gt;&lt;D xsi:type="xsd:double"&gt;11.285421218537&lt;/D&gt;&lt;D xsi:type="xsd:double"&gt;11.590095834428&lt;/D&gt;&lt;D xsi:type="xsd:double"&gt;10.7824541436127&lt;/D&gt;&lt;D xsi:type="xsd:double"&gt;10.6168313074978&lt;/D&gt;&lt;D xsi:type="xsd:double"&gt;9.59714379893144&lt;/D&gt;&lt;D xsi:type="xsd:double"&gt;9.62704669344938&lt;/D&gt;&lt;D xsi:type="xsd:double"&gt;9.14870761961641&lt;/D&gt;&lt;D xsi:type="xsd:double"&gt;9.84218530300164&lt;/D&gt;&lt;D xsi:type="xsd:double"&gt;10.579188236159&lt;/D&gt;&lt;D xsi:type="xsd:double"&gt;10.6928579692022&lt;/D&gt;&lt;D xsi:type="xsd:double"&gt;10.8643545121416&lt;/D&gt;&lt;D xsi:type="xsd:double"&gt;10.0334876738824&lt;/D&gt;&lt;D xsi:type="xsd:double"&gt;10.4639889943715&lt;/D&gt;&lt;D xsi:type="xsd:double"&gt;10.7585131182568&lt;/D&gt;&lt;D xsi:type="xsd:double"&gt;10.2946427004136&lt;/D&gt;&lt;D xsi:type="xsd:double"&gt;10.779550435768&lt;/D&gt;&lt;D xsi:type="xsd:double"&gt;11.0760152843444&lt;/D&gt;&lt;D xsi:type="xsd:double"&gt;11.355849471257&lt;/D&gt;&lt;D xsi:type="xsd:double"&gt;11.5142226201628&lt;/D&gt;&lt;D xsi:type="xsd:double"&gt;11.5655049808911&lt;/D&gt;&lt;D xsi:type="xsd:double"&gt;10.5432842641668&lt;/D&gt;&lt;D xsi:type="xsd:double"&gt;9.44387654154972&lt;/D&gt;&lt;D xsi:type="xsd:double"&gt;12.9661229028756&lt;/D&gt;&lt;D xsi:type="xsd:double"&gt;16.0254412408991&lt;/D&gt;&lt;D xsi:type="xsd:double"&gt;17.1626935860264&lt;/D&gt;&lt;D xsi:type="xsd:double"&gt;17.3672933967536&lt;/D&gt;&lt;D xsi:type="xsd:double"&gt;15.9079809952002&lt;/D&gt;&lt;D xsi:type="xsd:double"&gt;14.849989630526&lt;/D&gt;&lt;D xsi:type="xsd:double"&gt;13.1999643536896&lt;/D&gt;&lt;D xsi:type="xsd:double"&gt;15.1239107684721&lt;/D&gt;&lt;D xsi:type="xsd:double"&gt;14.8524943574434&lt;/D&gt;&lt;D xsi:type="xsd:double"&gt;13.4913044688627&lt;/D&gt;&lt;D xsi:type="xsd:double"&gt;13.701980133488&lt;/D&gt;&lt;D xsi:type="xsd:double"&gt;13.9292694660268&lt;/D&gt;&lt;D xsi:type="xsd:double"&gt;13.6298313001502&lt;/D&gt;&lt;D xsi:type="xsd:double"&gt;13.5982743353451&lt;/D&gt;&lt;D xsi:type="xsd:double"&gt;13.4541148650836&lt;/D&gt;&lt;D xsi:type="xsd:double"&gt;13.081929335765&lt;/D&gt;&lt;D xsi:type="xsd:double"&gt;11.9968823855508&lt;/D&gt;&lt;D xsi:type="xsd:double"&gt;11.5775501235376&lt;/D&gt;&lt;D xsi:type="xsd:double"&gt;11.7210635513332&lt;/D&gt;&lt;D xsi:type="xsd:double"&gt;10.9811363781928&lt;/D&gt;&lt;D xsi:type="xsd:double"&gt;11.1192522514085&lt;/D&gt;&lt;D xsi:type="xsd:double"&gt;10.6054622005951&lt;/D&gt;&lt;D xsi:type="xsd:double"&gt;9.83888117357743&lt;/D&gt;&lt;D xsi:type="xsd:double"&gt;9.6108596014976&lt;/D&gt;&lt;D xsi:type="xsd:double"&gt;9.3469730657631&lt;/D&gt;&lt;D xsi:type="xsd:double"&gt;9.07744000110074&lt;/D&gt;&lt;D xsi:type="xsd:double"&gt;8.01318599643673&lt;/D&gt;&lt;D xsi:type="xsd:double"&gt;7.65631755788619&lt;/D&gt;&lt;D xsi:type="xsd:double"&gt;7.42976503025865&lt;/D&gt;&lt;D xsi:type="xsd:double"&gt;7.21979632726026&lt;/D&gt;&lt;D xsi:type="xsd:double"&gt;7.78565646180999&lt;/D&gt;&lt;D xsi:type="xsd:double"&gt;8.00785172653481&lt;/D&gt;&lt;D xsi:type="xsd:double"&gt;7.65405305901628&lt;/D&gt;&lt;D xsi:type="xsd:double"&gt;8.42317401597185&lt;/D&gt;&lt;D xsi:type="xsd:double"&gt;8.25846077016601&lt;/D&gt;&lt;D xsi:type="xsd:double"&gt;8.26768247969392&lt;/D&gt;&lt;D xsi:type="xsd:double"&gt;8.58843610479894&lt;/D&gt;&lt;D xsi:type="xsd:double"&gt;8.12436312729496&lt;/D&gt;&lt;D xsi:type="xsd:double"&gt;8.62927907190731&lt;/D&gt;&lt;D xsi:type="xsd:double"&gt;8.75894527940749&lt;/D&gt;&lt;D xsi:type="xsd:double"&gt;8.34344371627955&lt;/D&gt;&lt;D xsi:type="xsd:double"&gt;8.23423957018928&lt;/D&gt;&lt;D xsi:type="xsd:double"&gt;7.78544513223225&lt;/D&gt;&lt;D xsi:type="xsd:double"&gt;8.28723294004359&lt;/D&gt;&lt;D xsi:type="xsd:double"&gt;8.89162395496868&lt;/D&gt;&lt;D xsi:type="xsd:double"&gt;8.95295433427643&lt;/D&gt;&lt;D xsi:type="xsd:double"&gt;9.27044509460288&lt;/D&gt;&lt;D xsi:type="xsd:double"&gt;9.80532738080598&lt;/D&gt;&lt;D xsi:type="xsd:double"&gt;9.57997279571212&lt;/D&gt;&lt;D xsi:type="xsd:double"&gt;9.75213368627522&lt;/D&gt;&lt;D xsi:type="xsd:double"&gt;9.31875467970636&lt;/D&gt;&lt;/FQL&gt;&lt;FQL&gt;&lt;Q&gt;EWN^FMA_PE(LTMA,-10AY,0,AM,"PORTAGG","MEANR")&lt;/Q&gt;&lt;R&gt;121&lt;/R&gt;&lt;C&gt;1&lt;/C&gt;&lt;D xsi:type="xsd:double"&gt;16.6468033524706&lt;/D&gt;&lt;D xsi:type="xsd:double"&gt;16.4316904607368&lt;/D&gt;&lt;D xsi:type="xsd:double"&gt;16.5722264033016&lt;/D&gt;&lt;D xsi:type="xsd:double"&gt;16.7587827406305&lt;/D&gt;&lt;D xsi:type="xsd:double"&gt;16.1915297007355&lt;/D&gt;&lt;D xsi:type="xsd:double"&gt;18.0265464065326&lt;/D&gt;&lt;D xsi:type="xsd:double"&gt;17.6644900500192&lt;/D&gt;&lt;D xsi:type="xsd:double"&gt;18.6992583034372&lt;/D&gt;&lt;D xsi:type="xsd:double"&gt;20.1223054586507&lt;/D&gt;&lt;D xsi:type="xsd:double"&gt;19.9157582397055&lt;/D&gt;&lt;D xsi:type="xsd:double"&gt;19.8183341998011&lt;/D&gt;&lt;D xsi:type="xsd:double"&gt;19.6057875866644&lt;/D&gt;&lt;D xsi:type="xsd:double"&gt;19.2686697328413&lt;/D&gt;&lt;D xsi:type="xsd:double"&gt;18.9082325291488&lt;/D&gt;&lt;D xsi:type="xsd:double"&gt;17.5854878735079&lt;/D&gt;&lt;D xsi:type="xsd:double"&gt;16.478765414725&lt;/D&gt;&lt;D xsi:type="xsd:double"&gt;17.6347300083892&lt;/D&gt;&lt;D xsi:type="xsd:double"&gt;18.2517716650076&lt;/D&gt;&lt;D xsi:type="xsd:double"&gt;17.1166505891303&lt;/D&gt;&lt;D xsi:type="xsd:double"&gt;15.8940359849444&lt;/D&gt;&lt;D xsi:type="xsd:double"&gt;16.2192761305052&lt;/D&gt;&lt;D xsi:type="xsd:double"&gt;16.3791726805746&lt;/D&gt;&lt;D xsi:type="xsd:double"&gt;16.3514642411335&lt;/D&gt;&lt;D xsi:type="xsd:double"&gt;16.3849644431134&lt;/D&gt;&lt;D xsi:type="xsd:double"&gt;15.4761947925503&lt;/D&gt;&lt;D xsi:type="xsd:double"&gt;16.0766224387162&lt;/D&gt;&lt;D xsi:type="xsd:double"&gt;16.143297624822&lt;/D&gt;&lt;D xsi:type="xsd:double"&gt;16.0494492460377&lt;/D&gt;&lt;D xsi:type="xsd:double"&gt;15.87174931831&lt;/D&gt;&lt;D xsi:type="xsd:double"&gt;15.5300726045514&lt;/D&gt;&lt;D xsi:type="xsd:double"&gt;16.3300535809227&lt;/D&gt;&lt;D xsi:type="xsd:double"&gt;16.3436329511664&lt;/D&gt;&lt;D xsi:type="xsd:double"&gt;16.402686545474&lt;/D&gt;&lt;D xsi:type="xsd:double"&gt;16.4838407531114&lt;/D&gt;&lt;D xsi:type="xsd:double"&gt;16.6536301956244&lt;/D&gt;&lt;D xsi:type="xsd:double"&gt;16.7272567607889&lt;/D&gt;&lt;D xsi:type="xsd:double"&gt;16.602083328141&lt;/D&gt;&lt;D xsi:type="xsd:double"&gt;16.7096139408053&lt;/D&gt;&lt;D xsi:type="xsd:double"&gt;16.5122581349401&lt;/D&gt;&lt;D xsi:type="xsd:double"&gt;16.9038827451073&lt;/D&gt;&lt;D xsi:type="xsd:double"&gt;17.2696013624524&lt;/D&gt;&lt;D xsi:type="xsd:double"&gt;17.2876159910729&lt;/D&gt;&lt;D xsi:type="xsd:double"&gt;17.3066721530781&lt;/D&gt;&lt;D xsi:type="xsd:double"&gt;17.5240262691346&lt;/D&gt;&lt;D xsi:type="xsd:double"&gt;16.6659184482538&lt;/D&gt;&lt;D xsi:type="xsd:double"&gt;16.5526231315194&lt;/D&gt;&lt;D xsi:type="xsd:double"&gt;16.5902275298072&lt;/D&gt;&lt;D xsi:type="xsd:double"&gt;16.7124678648962&lt;/D&gt;&lt;D xsi:type="xsd:double"&gt;16.4444794565205&lt;/D&gt;&lt;D xsi:type="xsd:double"&gt;16.8681212405149&lt;/D&gt;&lt;D xsi:type="xsd:double"&gt;16.666576905377&lt;/D&gt;&lt;D xsi:type="xsd:double"&gt;16.2922426656578&lt;/D&gt;&lt;D xsi:type="xsd:double"&gt;15.2369517361537&lt;/D&gt;&lt;D xsi:type="xsd:double"&gt;15.4184339472699&lt;/D&gt;&lt;D xsi:type="xsd:double"&gt;14.1347259949666&lt;/D&gt;&lt;D xsi:type="xsd:double"&gt;15.1310319785671&lt;/D&gt;&lt;D xsi:type="xsd:double"&gt;16.1413693740359&lt;/D&gt;&lt;D xsi:type="xsd:double"&gt;16.1155394241693&lt;/D&gt;&lt;D xsi:type="xsd:double"&gt;16.3134571546665&lt;/D&gt;&lt;D xsi:type="xsd:double"&gt;16.0935264629574&lt;/D&gt;&lt;D xsi:type="xsd:double"&gt;16.3913612047219&lt;/D&gt;&lt;D xsi:type="xsd:double"&gt;16.7684398174934&lt;/D&gt;&lt;D xsi:type="xsd:double"&gt;16.3953900897814&lt;/D&gt;&lt;D xsi:type="xsd:double"&gt;17.043682883514&lt;/D&gt;&lt;D xsi:type="xsd:double"&gt;17.3977656962217&lt;/D&gt;&lt;D xsi:type="xsd:double"&gt;18.0938151975424&lt;/D&gt;&lt;D xsi:type="xsd:double"&gt;18.7883981766724&lt;/D&gt;&lt;D xsi:type="xsd:double"&gt;18.59896089623&lt;/D&gt;&lt;D xsi:type="xsd:double"&gt;17.3367558592985&lt;/D&gt;&lt;D xsi:type="xsd:double"&gt;16.7781881219891&lt;/D&gt;&lt;D xsi:type="xsd:double"&gt;17.7995024954651&lt;/D&gt;&lt;D xsi:type="xsd:double"&gt;18.5898832435905&lt;/D&gt;&lt;D xsi:type="xsd:double"&gt;19.4286033317722&lt;/D&gt;&lt;D xsi:type="xsd:double"&gt;20.4271611811995&lt;/D&gt;&lt;D xsi:type="xsd:double"&gt;21.27776599445&lt;/D&gt;&lt;D xsi:type="xsd:double"&gt;21.7864252934527&lt;/D&gt;&lt;D xsi:type="xsd:double"&gt;21.6679527432082&lt;/D&gt;&lt;D xsi:type="xsd:double"&gt;25.2124997430295&lt;/D&gt;&lt;D xsi:type="xsd:double"&gt;27.2882082401889&lt;/D&gt;&lt;D xsi:type="xsd:double"&gt;27.5105058853445&lt;/D&gt;&lt;D xsi:type="xsd:double"&gt;28.9833052381028&lt;/D&gt;&lt;D xsi:type="xsd:double"&gt;28.6240768907173&lt;/D&gt;&lt;D xsi:type="xsd:double"&gt;28.0317953643511&lt;/D&gt;&lt;D xsi:type="xsd:double"&gt;27.1189921730992&lt;/D&gt;&lt;D xsi:type="xsd:double"&gt;26.6572471870832&lt;/D&gt;&lt;D xsi:type="xsd:double"&gt;26.2583510194118&lt;/D&gt;&lt;D xsi:type="xsd:double"&gt;26.0662196061201&lt;/D&gt;&lt;D xsi:type="xsd:double"&gt;24.522982409869&lt;/D&gt;&lt;D xsi:type="xsd:double"&gt;24.7269668315583&lt;/D&gt;&lt;D xsi:type="xsd:double"&gt;22.9560332613628&lt;/D&gt;&lt;D xsi:type="xsd:double"&gt;22.8834221639165&lt;/D&gt;&lt;D xsi:type="xsd:double"&gt;20.1757932498599&lt;/D&gt;&lt;D xsi:type="xsd:double"&gt;18.3316789033893&lt;/D&gt;&lt;D xsi:type="xsd:double"&gt;18.5067684782076&lt;/D&gt;&lt;D xsi:type="xsd:double"&gt;18.2773655002146&lt;/D&gt;&lt;D xsi:type="xsd:double"&gt;18.5096848993216&lt;/D&gt;&lt;D xsi:type="xsd:double"&gt;18.2256160596035&lt;/D&gt;&lt;D xsi:type="xsd:double"&gt;19.5583211632464&lt;/D&gt;&lt;D xsi:type="xsd:double"&gt;18.9947858568893&lt;/D&gt;&lt;D xsi:type="xsd:double"&gt;17.3019634937755&lt;/D&gt;&lt;D xsi:type="xsd:double"&gt;18.1086900775098&lt;/D&gt;&lt;D xsi:type="xsd:double"&gt;18.5954609729032&lt;/D&gt;&lt;D xsi:type="xsd:double"&gt;17.6677914814006&lt;/D&gt;&lt;D xsi:type="xsd:double"&gt;19.5801267691276&lt;/D&gt;&lt;D xsi:type="xsd:double"&gt;20.6531685379495&lt;/D&gt;&lt;D xsi:type="xsd:double"&gt;20.2281362976121&lt;/D&gt;&lt;D xsi:type="xsd:double"&gt;19.8621341051432&lt;/D&gt;&lt;D xsi:type="xsd:double"&gt;19.6212473800492&lt;/D&gt;&lt;D xsi:type="xsd:double"&gt;19.1748762743478&lt;/D&gt;&lt;D xsi:type="xsd:double"&gt;19.3078073594379&lt;/D&gt;&lt;D xsi:type="xsd:double"&gt;17.7938832202714&lt;/D&gt;&lt;D xsi:type="xsd:double"&gt;16.6398222495331&lt;/D&gt;&lt;D xsi:type="xsd:double"&gt;15.7191842540295&lt;/D&gt;&lt;D xsi:type="xsd:double"&gt;16.3994624755448&lt;/D&gt;&lt;D xsi:type="xsd:double"&gt;16.6827149727024&lt;/D&gt;&lt;D xsi:type="xsd:double"&gt;17.3871092095876&lt;/D&gt;&lt;D xsi:type="xsd:double"&gt;18.4809471903323&lt;/D&gt;&lt;D xsi:type="xsd:double"&gt;18.4593068979735&lt;/D&gt;&lt;D xsi:type="xsd:double"&gt;18.1838648439437&lt;/D&gt;&lt;D xsi:type="xsd:double"&gt;18.3496530714527&lt;/D&gt;&lt;D xsi:type="xsd:double"&gt;18.2850494482172&lt;/D&gt;&lt;/FQL&gt;&lt;FQL&gt;&lt;Q&gt;DDR3512M-FDS^FG_PRICE_CHANGE(0,-3AM)&lt;/Q&gt;&lt;R&gt;1&lt;/R&gt;&lt;C&gt;1&lt;/C&gt;&lt;D xsi:type="xsd:double"&gt;-2.69630039608451&lt;/D&gt;&lt;/FQL&gt;&lt;FQL&gt;&lt;Q&gt;PASP-FDS^FG_PRICE_CHANGE(0,-3AM)&lt;/Q&gt;&lt;R&gt;1&lt;/R&gt;&lt;C&gt;1&lt;/C&gt;&lt;D xsi:type="xsd:double"&gt;-7.3170731707317&lt;/D&gt;&lt;/FQL&gt;&lt;FQL&gt;&lt;Q&gt;PLATI-FDS^FG_PRICE_CHANGE(0,-3AM)&lt;/Q&gt;&lt;R&gt;1&lt;/R&gt;&lt;C&gt;1&lt;/C&gt;&lt;D xsi:type="xsd:double"&gt;9.56521739130434&lt;/D&gt;&lt;/FQL&gt;&lt;FQL&gt;&lt;Q&gt;W-FDS^FG_PRICE_CHANGE(0,-3AM)&lt;/Q&gt;&lt;R&gt;1&lt;/R&gt;&lt;C&gt;1&lt;/C&gt;&lt;D xsi:type="xsd:double"&gt;-1.20481927710843&lt;/D&gt;&lt;/FQL&gt;&lt;FQL&gt;&lt;Q&gt;COPP-FDS^FG_PRICE_CHANGE(0,-3AM)&lt;/Q&gt;&lt;R&gt;1&lt;/R&gt;&lt;C&gt;1&lt;/C&gt;&lt;D xsi:type="xsd:double"&gt;9.66654177594606&lt;/D&gt;&lt;/FQL&gt;&lt;FQL&gt;&lt;Q&gt;EWI^FG_PRICE_MAVG(0,,,,200)&lt;/Q&gt;&lt;R&gt;1&lt;/R&gt;&lt;C&gt;1&lt;/C&gt;&lt;D xsi:type="xsd:double"&gt;34.46175&lt;/D&gt;&lt;/FQL&gt;&lt;FQL&gt;&lt;Q&gt;SPY^FG_PRICE_MAVG(0,,,,200)&lt;/Q&gt;&lt;R&gt;1&lt;/R&gt;&lt;C&gt;1&lt;/C&gt;&lt;D xsi:type="xsd:double"&gt;485.36835&lt;/D&gt;&lt;/FQL&gt;&lt;FQL&gt;&lt;Q&gt;EWJ^FG_PRICE_MAVG(0,,,,200)&lt;/Q&gt;&lt;R&gt;1&lt;/R&gt;&lt;C&gt;1&lt;/C&gt;&lt;D xsi:type="xsd:double"&gt;65.4759&lt;/D&gt;&lt;/FQL&gt;&lt;FQL&gt;&lt;Q&gt;ENZL^FG_PRICE_MAVG(0,,,,200)&lt;/Q&gt;&lt;R&gt;1&lt;/R&gt;&lt;C&gt;1&lt;/C&gt;&lt;D xsi:type="xsd:double"&gt;45.381004&lt;/D&gt;&lt;/FQL&gt;&lt;FQL&gt;&lt;Q&gt;SPY^FG_TOTAL_RETURNC(0,-1AM)&lt;/Q&gt;&lt;R&gt;1&lt;/R&gt;&lt;C&gt;1&lt;/C&gt;&lt;D xsi:type="xsd:double"&gt;3.0516744&lt;/D&gt;&lt;/FQL&gt;&lt;FQL&gt;&lt;Q&gt;URTH^FG_TOTAL_RETURNC(0,-6AM)&lt;/Q&gt;&lt;R&gt;1&lt;/R&gt;&lt;C&gt;1&lt;/C&gt;&lt;D xsi:type="xsd:double"&gt;11.563408&lt;/D&gt;&lt;/FQL&gt;&lt;FQL&gt;&lt;Q&gt;VGK^P_PRICE(0)/P_PRICE_LOW_PR(0,,,,,,"PRICE","INTRA","52W")-1&lt;/Q&gt;&lt;R&gt;1&lt;/R&gt;&lt;C&gt;1&lt;/C&gt;&lt;D xsi:type="xsd:double"&gt;0.212677&lt;/D&gt;&lt;/FQL&gt;&lt;FQL&gt;&lt;Q&gt;EWI^FMA_PCT_ABOVE_MAVG(200,0,,,,"PORTAGG")&lt;/Q&gt;&lt;R&gt;1&lt;/R&gt;&lt;C&gt;1&lt;/C&gt;&lt;D xsi:type="xsd:double"&gt;52&lt;/D&gt;&lt;/FQL&gt;&lt;FQL&gt;&lt;Q&gt;EWN^PERCENT_CHANGE(FMA_EPS(+1,0,,,,"PORTAGG","MEAN"),FMA_EPS(+1,-3AM,,,,"PORTAGG","MEAN"))&lt;/Q&gt;&lt;R&gt;1&lt;/R&gt;&lt;C&gt;1&lt;/C&gt;&lt;D xsi:type="xsd:double"&gt;-1.77030932834955&lt;/D&gt;&lt;/FQL&gt;&lt;FQL&gt;&lt;Q&gt;EWD^FMA_PE(NTMA,-10AY,0,AM,"PORTAGG","MEANR")&lt;/Q&gt;&lt;R&gt;121&lt;/R&gt;&lt;C&gt;1&lt;/C&gt;&lt;D xsi:type="xsd:double"&gt;15.5303178945298&lt;/D&gt;&lt;D xsi:type="xsd:double"&gt;15.6275326730427&lt;/D&gt;&lt;D xsi:type="xsd:double"&gt;14.6916139058729&lt;/D&gt;&lt;D xsi:type="xsd:double"&gt;14.6050360839399&lt;/D&gt;&lt;D xsi:type="xsd:double"&gt;14.3337511694805&lt;/D&gt;&lt;D xsi:type="xsd:double"&gt;15.6989876845885&lt;/D&gt;&lt;D xsi:type="xsd:double"&gt;15.7046229483106&lt;/D&gt;&lt;D xsi:type="xsd:double"&gt;16.5424876198681&lt;/D&gt;&lt;D xsi:type="xsd:double"&gt;17.3936140410266&lt;/D&gt;&lt;D xsi:type="xsd:double"&gt;16.9545597539632&lt;/D&gt;&lt;D xsi:type="xsd:double"&gt;16.4045870923368&lt;/D&gt;&lt;D xsi:type="xsd:double"&gt;16.7149696899292&lt;/D&gt;&lt;D xsi:type="xsd:double"&gt;16.0282338496078&lt;/D&gt;&lt;D xsi:type="xsd:double"&gt;15.7261319812649&lt;/D&gt;&lt;D xsi:type="xsd:double"&gt;14.9965770666275&lt;/D&gt;&lt;D xsi:type="xsd:double"&gt;13.8287317549284&lt;/D&gt;&lt;D xsi:type="xsd:double"&gt;15.483410315682&lt;/D&gt;&lt;D xsi:type="xsd:double"&gt;15.5641889758175&lt;/D&gt;&lt;D xsi:type="xsd:double"&gt;14.8361228575839&lt;/D&gt;&lt;D xsi:type="xsd:double"&gt;14.2761879950436&lt;/D&gt;&lt;D xsi:type="xsd:double"&gt;15.1124638352433&lt;/D&gt;&lt;D xsi:type="xsd:double"&gt;14.8098286306975&lt;/D&gt;&lt;D xsi:type="xsd:double"&gt;15.6288560099109&lt;/D&gt;&lt;D xsi:type="xsd:double"&gt;15.0941833698299&lt;/D&gt;&lt;D xsi:type="xsd:double"&gt;14.0052329536308&lt;/D&gt;&lt;D xsi:type="xsd:double"&gt;15.1799651196368&lt;/D&gt;&lt;D xsi:type="xsd:double"&gt;15.4426152553483&lt;/D&gt;&lt;D xsi:type="xsd:double"&gt;15.4981612720195&lt;/D&gt;&lt;D xsi:type="xsd:double"&gt;16.2347847568305&lt;/D&gt;&lt;D xsi:type="xsd:double"&gt;16.0714360553745&lt;/D&gt;&lt;D xsi:type="xsd:double"&gt;16.524514356487&lt;/D&gt;&lt;D xsi:type="xsd:double"&gt;16.3948013417411&lt;/D&gt;&lt;D xsi:type="xsd:double"&gt;16.3898648505327&lt;/D&gt;&lt;D xsi:type="xsd:double"&gt;17.0851941028595&lt;/D&gt;&lt;D xsi:type="xsd:double"&gt;17.090100577415&lt;/D&gt;&lt;D xsi:type="xsd:double"&gt;18.0171480827448&lt;/D&gt;&lt;D xsi:type="xsd:double"&gt;16.7293487577503&lt;/D&gt;&lt;D xsi:type="xsd:double"&gt;16.1686002397141&lt;/D&gt;&lt;D xsi:type="xsd:double"&gt;15.6770440067044&lt;/D&gt;&lt;D xsi:type="xsd:double"&gt;16.6697128923411&lt;/D&gt;&lt;D xsi:type="xsd:double"&gt;17.3207387816282&lt;/D&gt;&lt;D xsi:type="xsd:double"&gt;16.6786551968506&lt;/D&gt;&lt;D xsi:type="xsd:double"&gt;16.2402064267162&lt;/D&gt;&lt;D xsi:type="xsd:double"&gt;16.6833353702567&lt;/D&gt;&lt;D xsi:type="xsd:double"&gt;16.3892673839327&lt;/D&gt;&lt;D xsi:type="xsd:double"&gt;15.5921405309202&lt;/D&gt;&lt;D xsi:type="xsd:double"&gt;15.9748155896869&lt;/D&gt;&lt;D xsi:type="xsd:double"&gt;15.7591945336442&lt;/D&gt;&lt;D xsi:type="xsd:double"&gt;15.0983192476923&lt;/D&gt;&lt;D xsi:type="xsd:double"&gt;15.6151325209726&lt;/D&gt;&lt;D xsi:type="xsd:double"&gt;15.9774885569838&lt;/D&gt;&lt;D xsi:type="xsd:double"&gt;15.8808559138146&lt;/D&gt;&lt;D xsi:type="xsd:double"&gt;13.9171393119493&lt;/D&gt;&lt;D xsi:type="xsd:double"&gt;14.0580017636351&lt;/D&gt;&lt;D xsi:type="xsd:double"&gt;13.3263765362382&lt;/D&gt;&lt;D xsi:type="xsd:double"&gt;13.885310433192&lt;/D&gt;&lt;D xsi:type="xsd:double"&gt;14.7869103765623&lt;/D&gt;&lt;D xsi:type="xsd:double"&gt;14.7612127029991&lt;/D&gt;&lt;D xsi:type="xsd:double"&gt;15.8891311389215&lt;/D&gt;&lt;D xsi:type="xsd:double"&gt;14.6284024639348&lt;/D&gt;&lt;D xsi:type="xsd:double"&gt;15.0017797984324&lt;/D&gt;&lt;D xsi:type="xsd:double"&gt;15.0583585867772&lt;/D&gt;&lt;D xsi:type="xsd:double"&gt;13.5332328639447&lt;/D&gt;&lt;D xsi:type="xsd:double"&gt;15.0689863981754&lt;/D&gt;&lt;D xsi:type="xsd:double"&gt;15.9469884978664&lt;/D&gt;&lt;D xsi:type="xsd:double"&gt;15.7087257041092&lt;/D&gt;&lt;D xsi:type="xsd:double"&gt;16.3857057849898&lt;/D&gt;&lt;D xsi:type="xsd:double"&gt;16.251158026973&lt;/D&gt;&lt;D xsi:type="xsd:double"&gt;15.0630381290316&lt;/D&gt;&lt;D xsi:type="xsd:double"&gt;13.5306074789682&lt;/D&gt;&lt;D xsi:type="xsd:double"&gt;16.9772878563775&lt;/D&gt;&lt;D xsi:type="xsd:double"&gt;18.8737734959862&lt;/D&gt;&lt;D xsi:type="xsd:double"&gt;19.2607166452467&lt;/D&gt;&lt;D xsi:type="xsd:double"&gt;18.7166259629413&lt;/D&gt;&lt;D xsi:type="xsd:double"&gt;18.240243005214&lt;/D&gt;&lt;D xsi:type="xsd:double"&gt;18.405241141464&lt;/D&gt;&lt;D xsi:type="xsd:double"&gt;16.3246662493943&lt;/D&gt;&lt;D xsi:type="xsd:double"&gt;17.5741032098376&lt;/D&gt;&lt;D xsi:type="xsd:double"&gt;17.2741139850313&lt;/D&gt;&lt;D xsi:type="xsd:double"&gt;18.7827483046616&lt;/D&gt;&lt;D xsi:type="xsd:double"&gt;18.7926173478026&lt;/D&gt;&lt;D xsi:type="xsd:double"&gt;20.3277463651872&lt;/D&gt;&lt;D xsi:type="xsd:double"&gt;19.120892917457&lt;/D&gt;&lt;D xsi:type="xsd:double"&gt;18.5256920987005&lt;/D&gt;&lt;D xsi:type="xsd:double"&gt;18.5884889533149&lt;/D&gt;&lt;D xsi:type="xsd:double"&gt;18.6246304834563&lt;/D&gt;&lt;D xsi:type="xsd:double"&gt;18.6297450997014&lt;/D&gt;&lt;D xsi:type="xsd:double"&gt;17.8366283205761&lt;/D&gt;&lt;D xsi:type="xsd:double"&gt;18.3377913867373&lt;/D&gt;&lt;D xsi:type="xsd:double"&gt;17.8910129870232&lt;/D&gt;&lt;D xsi:type="xsd:double"&gt;18.683923189087&lt;/D&gt;&lt;D xsi:type="xsd:double"&gt;16.4780354888962&lt;/D&gt;&lt;D xsi:type="xsd:double"&gt;15.1468533194272&lt;/D&gt;&lt;D xsi:type="xsd:double"&gt;15.1680767816586&lt;/D&gt;&lt;D xsi:type="xsd:double"&gt;14.4702636567714&lt;/D&gt;&lt;D xsi:type="xsd:double"&gt;16.1692037980442&lt;/D&gt;&lt;D xsi:type="xsd:double"&gt;14.4741439041099&lt;/D&gt;&lt;D xsi:type="xsd:double"&gt;15.2158039334273&lt;/D&gt;&lt;D xsi:type="xsd:double"&gt;14.271908245054&lt;/D&gt;&lt;D xsi:type="xsd:double"&gt;13.1493643086544&lt;/D&gt;&lt;D xsi:type="xsd:double"&gt;13.237770483772&lt;/D&gt;&lt;D xsi:type="xsd:double"&gt;12.9999326446365&lt;/D&gt;&lt;D xsi:type="xsd:double"&gt;12.7290473355695&lt;/D&gt;&lt;D xsi:type="xsd:double"&gt;14.1048421241613&lt;/D&gt;&lt;D xsi:type="xsd:double"&gt;14.0983987816113&lt;/D&gt;&lt;D xsi:type="xsd:double"&gt;13.1882174581248&lt;/D&gt;&lt;D xsi:type="xsd:double"&gt;13.7870870387016&lt;/D&gt;&lt;D xsi:type="xsd:double"&gt;13.5614768103215&lt;/D&gt;&lt;D xsi:type="xsd:double"&gt;13.411102488489&lt;/D&gt;&lt;D xsi:type="xsd:double"&gt;13.4419235361669&lt;/D&gt;&lt;D xsi:type="xsd:double"&gt;12.7380442541995&lt;/D&gt;&lt;D xsi:type="xsd:double"&gt;12.792194157516&lt;/D&gt;&lt;D xsi:type="xsd:double"&gt;12.3913850859726&lt;/D&gt;&lt;D xsi:type="xsd:double"&gt;13.3580706964399&lt;/D&gt;&lt;D xsi:type="xsd:double"&gt;15.714837647022&lt;/D&gt;&lt;D xsi:type="xsd:double"&gt;15.4849573842263&lt;/D&gt;&lt;D xsi:type="xsd:double"&gt;16.2276443392016&lt;/D&gt;&lt;D xsi:type="xsd:double"&gt;16.4211459844151&lt;/D&gt;&lt;D xsi:type="xsd:double"&gt;16.0409530901524&lt;/D&gt;&lt;D xsi:type="xsd:double"&gt;16.2994978672248&lt;/D&gt;&lt;D xsi:type="xsd:double"&gt;15.9192626069432&lt;/D&gt;&lt;/FQL&gt;&lt;FQL&gt;&lt;Q&gt;DDR3512M-FDS^FG_PRICE_CHANGE(0,-1AM)&lt;/Q&gt;&lt;R&gt;1&lt;/R&gt;&lt;C&gt;1&lt;/C&gt;&lt;D xsi:type="xsd:double"&gt;-2.97454306097333&lt;/D&gt;&lt;/FQL&gt;&lt;FQL&gt;&lt;Q&gt;PASP-FDS^FG_PRICE_CHANGE(0,-1AM)&lt;/Q&gt;&lt;R&gt;1&lt;/R&gt;&lt;C&gt;1&lt;/C&gt;&lt;D xsi:type="xsd:double"&gt;-3.55329949238579&lt;/D&gt;&lt;/FQL&gt;&lt;FQL&gt;&lt;Q&gt;PLATI-FDS^FG_PRICE_CHANGE(0,-1AM)&lt;/Q&gt;&lt;R&gt;1&lt;/R&gt;&lt;C&gt;1&lt;/C&gt;&lt;D xsi:type="xsd:double"&gt;-4.90566037735849&lt;/D&gt;&lt;/FQL&gt;&lt;FQL&gt;&lt;Q&gt;W-FDS^FG_PRICE_CHANGE(0,-1AM)&lt;/Q&gt;&lt;R&gt;1&lt;/R&gt;&lt;C&gt;1&lt;/C&gt;&lt;D xsi:type="xsd:double"&gt;-20.9568011424491&lt;/D&gt;&lt;/FQL&gt;&lt;FQL&gt;&lt;Q&gt;COPP-FDS^FG_PRICE_CHANGE(0,-1AM)&lt;/Q&gt;&lt;R&gt;1&lt;/R&gt;&lt;C&gt;1&lt;/C&gt;&lt;D xsi:type="xsd:double"&gt;-9.94769767203363&lt;/D&gt;&lt;/FQL&gt;&lt;FQL&gt;&lt;Q&gt;EWI^FG_PRICE_MAVG(0,,,,60)&lt;/Q&gt;&lt;R&gt;1&lt;/R&gt;&lt;C&gt;1&lt;/C&gt;&lt;D xsi:type="xsd:double"&gt;37.367832&lt;/D&gt;&lt;/FQL&gt;&lt;FQL&gt;&lt;Q&gt;SPY^FG_PRICE_MAVG(0,,,,60)&lt;/Q&gt;&lt;R&gt;1&lt;/R&gt;&lt;C&gt;1&lt;/C&gt;&lt;D xsi:type="xsd:double"&gt;523.55066&lt;/D&gt;&lt;/FQL&gt;&lt;FQL&gt;&lt;Q&gt;CAGDPY@NL^EE_ACTUAL_ANNUAL(MED,+1)&lt;/Q&gt;&lt;R&gt;1&lt;/R&gt;&lt;C&gt;1&lt;/C&gt;&lt;D xsi:type="xsd:double"&gt;9.3&lt;/D&gt;&lt;/FQL&gt;&lt;FQL&gt;&lt;Q&gt;CAGDPY@CA^EE_ACTUAL_ANNUAL(MED,+1)&lt;/Q&gt;&lt;R&gt;1&lt;/R&gt;&lt;C&gt;1&lt;/C&gt;&lt;D xsi:type="xsd:double"&gt;-0.6&lt;/D&gt;&lt;/FQL&gt;&lt;FQL&gt;&lt;Q&gt;USDITL^STD(FG_PRICE_CHANGE(0,-1AY,AM))&lt;/Q&gt;&lt;R&gt;1&lt;/R&gt;&lt;C&gt;1&lt;/C&gt;&lt;D xsi:type="xsd:double"&gt;1.84751268008856&lt;/D&gt;&lt;/FQL&gt;&lt;FQL&gt;&lt;Q&gt;USDANG^STD(FG_PRICE_CHANGE(0,-1AY,AM))&lt;/Q&gt;&lt;R&gt;1&lt;/R&gt;&lt;C&gt;1&lt;/C&gt;&lt;D xsi:type="xsd:double"&gt;0&lt;/D&gt;&lt;/FQL&gt;&lt;FQL&gt;&lt;Q&gt;USDGBP^STD(FG_PRICE_CHANGE(0,-1AY,AM))&lt;/Q&gt;&lt;R&gt;1&lt;/R&gt;&lt;C&gt;1&lt;/C&gt;&lt;D xsi:type="xsd:double"&gt;2.07218146056375&lt;/D&gt;&lt;/FQL&gt;&lt;FQL&gt;&lt;Q&gt;USDJPY^STD(FG_PRICE_CHANGE(0,-1AY,AM))&lt;/Q&gt;&lt;R&gt;1&lt;/R&gt;&lt;C&gt;1&lt;/C&gt;&lt;D xsi:type="xsd:double"&gt;2.8978346864021&lt;/D&gt;&lt;/FQL&gt;&lt;FQL&gt;&lt;Q&gt;USDCAD^STD(FG_PRICE_CHANGE(0,-1AY,AM))&lt;/Q&gt;&lt;R&gt;1&lt;/R&gt;&lt;C&gt;1&lt;/C&gt;&lt;D xsi:type="xsd:double"&gt;1.84836125101577&lt;/D&gt;&lt;/FQL&gt;&lt;FQL&gt;&lt;Q&gt;USDNZD^STD(FG_PRICE_CHANGE(0,-1AY,AM))&lt;/Q&gt;&lt;R&gt;1&lt;/R&gt;&lt;C&gt;1&lt;/C&gt;&lt;D xsi:type="xsd:double"&gt;2.88521952836666&lt;/D&gt;&lt;/FQL&gt;&lt;FQL&gt;&lt;Q&gt;EWG^FMA_EPS(NTMA,-20AY,0,CY,,"PORTAGG","MEANR")&lt;/Q&gt;&lt;R&gt;20&lt;/R&gt;&lt;C&gt;1&lt;/C&gt;&lt;D xsi:type="xsd:double"&gt;1.52066411043583&lt;/D&gt;&lt;D xsi:type="xsd:double"&gt;1.60643474084628&lt;/D&gt;&lt;D xsi:type="xsd:double"&gt;2.11909900762238&lt;/D&gt;&lt;D xsi:type="xsd:double"&gt;2.80661608339197&lt;/D&gt;&lt;D xsi:type="xsd:double"&gt;1.99715132688841&lt;/D&gt;&lt;D xsi:type="xsd:double"&gt;1.74300870329695&lt;/D&gt;&lt;D xsi:type="xsd:double"&gt;2.17390808983831&lt;/D&gt;&lt;D xsi:type="xsd:double"&gt;2.1750966873774&lt;/D&gt;&lt;D xsi:type="xsd:double"&gt;2.27358500860511&lt;/D&gt;&lt;D xsi:type="xsd:double"&gt;2.40616014173578&lt;/D&gt;&lt;D xsi:type="xsd:double"&gt;2.13415894814862&lt;/D&gt;&lt;D xsi:type="xsd:double"&gt;1.96165601541568&lt;/D&gt;&lt;D xsi:type="xsd:double"&gt;1.94158660997406&lt;/D&gt;&lt;D xsi:type="xsd:double"&gt;2.40362877806351&lt;/D&gt;&lt;D xsi:type="xsd:double"&gt;2.32116072306873&lt;/D&gt;&lt;D xsi:type="xsd:double"&gt;2.08815829612982&lt;/D&gt;&lt;D xsi:type="xsd:double"&gt;1.98003612030208&lt;/D&gt;&lt;D xsi:type="xsd:double"&gt;2.44944590598376&lt;/D&gt;&lt;D xsi:type="xsd:double"&gt;2.3638683988907</t>
        </r>
      </text>
    </comment>
    <comment ref="A11" authorId="0" shapeId="0" xr:uid="{D043BD3C-D3AE-4DF7-BA50-980888E42DF3}">
      <text>
        <r>
          <rPr>
            <b/>
            <sz val="9"/>
            <color indexed="81"/>
            <rFont val="Tahoma"/>
            <charset val="1"/>
          </rPr>
          <t>8&lt;/D&gt;&lt;D xsi:type="xsd:double"&gt;2.65863143369802&lt;/D&gt;&lt;/FQL&gt;&lt;FQL&gt;&lt;Q&gt;EWA^P_PRICE_RETURNS_PR('52W',2,-10AY,0,AM)&lt;/Q&gt;&lt;R&gt;121&lt;/R&gt;&lt;C&gt;1&lt;/C&gt;&lt;D xsi:type="xsd:double"&gt;19.340683&lt;/D&gt;&lt;D xsi:type="xsd:double"&gt;16.679455&lt;/D&gt;&lt;D xsi:type="xsd:double"&gt;20.457125&lt;/D&gt;&lt;D xsi:type="xsd:double"&gt;-2.333337&lt;/D&gt;&lt;D xsi:type="xsd:double"&gt;-2.7050972&lt;/D&gt;&lt;D xsi:type="xsd:double"&gt;-3.4360647&lt;/D&gt;&lt;D xsi:type="xsd:double"&gt;-4.3179154&lt;/D&gt;&lt;D xsi:type="xsd:double"&gt;-0.53090453&lt;/D&gt;&lt;D xsi:type="xsd:double"&gt;-0.88799596&lt;/D&gt;&lt;D xsi:type="xsd:double"&gt;-4.1344585&lt;/D&gt;&lt;D xsi:type="xsd:double"&gt;-4.1553917&lt;/D&gt;&lt;D xsi:type="xsd:double"&gt;-11.173463&lt;/D&gt;&lt;D xsi:type="xsd:double"&gt;-14.214373&lt;/D&gt;&lt;D xsi:type="xsd:double"&gt;-18.65564&lt;/D&gt;&lt;D xsi:type="xsd:double"&gt;-25.381613&lt;/D&gt;&lt;D xsi:type="xsd:double"&gt;-22.609066&lt;/D&gt;&lt;D xsi:type="xsd:double"&gt;-19.143402&lt;/D&gt;&lt;D xsi:type="xsd:double"&gt;-16.71241&lt;/D&gt;&lt;D xsi:type="xsd:double"&gt;-11.32257&lt;/D&gt;&lt;D xsi:type="xsd:double"&gt;-16.733997&lt;/D&gt;&lt;D xsi:type="xsd:double"&gt;-22.559196&lt;/D&gt;&lt;D xsi:type="xsd:double"&gt;-13.134193&lt;/D&gt;&lt;D xsi:type="xsd:double"&gt;-14.227676&lt;/D&gt;&lt;D xsi:type="xsd:double"&gt;-9.4662075&lt;/D&gt;&lt;D xsi:type="xsd:double"&gt;-8.197719&lt;/D&gt;&lt;D xsi:type="xsd:double"&gt;3.6465883&lt;/D&gt;&lt;D xsi:type="xsd:double"&gt;14.13393&lt;/D&gt;&lt;D xsi:type="xsd:double"&gt;23.498953&lt;/D&gt;&lt;D xsi:type="xsd:double"&gt;8.38995&lt;/D&gt;&lt;D xsi:type="xsd:double"&gt;13.732314&lt;/D&gt;&lt;D xsi:type="xsd:double"&gt;12.653899&lt;/D&gt;&lt;D xsi:type="xsd:double"&gt;30.390549&lt;/D&gt;&lt;D xsi:type="xsd:double"&gt;32.11827&lt;/D&gt;&lt;D xsi:type="xsd:double"&gt;21.403622&lt;/D&gt;&lt;D xsi:type="xsd:double"&gt;17.702663&lt;/D&gt;&lt;D xsi:type="xsd:double"&gt;15.362465&lt;/D&gt;&lt;D xsi:type="xsd:double"&gt;20.937908&lt;/D&gt;&lt;D xsi:type="xsd:double"&gt;15.164911&lt;/D&gt;&lt;D xsi:type="xsd:double"&gt;14.982891&lt;/D&gt;&lt;D xsi:type="xsd:double"&gt;11.783468&lt;/D&gt;&lt;D xsi:type="xsd:double"&gt;18.086672&lt;/D&gt;&lt;D xsi:type="xsd:double"&gt;16.107237&lt;/D&gt;&lt;D xsi:type="xsd:double"&gt;20.096184&lt;/D&gt;&lt;D xsi:type="xsd:double"&gt;18.307507&lt;/D&gt;&lt;D xsi:type="xsd:double"&gt;8.865595&lt;/D&gt;&lt;D xsi:type="xsd:double"&gt;1.6887069&lt;/D&gt;&lt;D xsi:type="xsd:double"&gt;4.6216607&lt;/D&gt;&lt;D xsi:type="xsd:double"&gt;8.508146&lt;/D&gt;&lt;D xsi:type="xsd:double"&gt;7.9710007&lt;/D&gt;&lt;D xsi:type="xsd:double"&gt;4.833567&lt;/D&gt;&lt;D xsi:type="xsd:double"&gt;4.8353553&lt;/D&gt;&lt;D xsi:type="xsd:double"&gt;3.3913374&lt;/D&gt;&lt;D xsi:type="xsd:double"&gt;-8.102739&lt;/D&gt;&lt;D xsi:type="xsd:double"&gt;-3.905481&lt;/D&gt;&lt;D xsi:type="xsd:double"&gt;-12.100124&lt;/D&gt;&lt;D xsi:type="xsd:double"&gt;-10.271704&lt;/D&gt;&lt;D xsi:type="xsd:double"&gt;-1.2551844&lt;/D&gt;&lt;D xsi:type="xsd:double"&gt;3.6120296&lt;/D&gt;&lt;D xsi:type="xsd:double"&gt;4.367888&lt;/D&gt;&lt;D xsi:type="xsd:double"&gt;2.5641441&lt;/D&gt;&lt;D xsi:type="xsd:double"&gt;6.216693&lt;/D&gt;&lt;D xsi:type="xsd:double"&gt;5.8410525&lt;/D&gt;&lt;D xsi:type="xsd:double"&gt;-0.8729756&lt;/D&gt;&lt;D xsi:type="xsd:double"&gt;6.7955613&lt;/D&gt;&lt;D xsi:type="xsd:double"&gt;21.060514&lt;/D&gt;&lt;D xsi:type="xsd:double"&gt;17.037737&lt;/D&gt;&lt;D xsi:type="xsd:double"&gt;23.908197&lt;/D&gt;&lt;D xsi:type="xsd:double"&gt;16.870367&lt;/D&gt;&lt;D xsi:type="xsd:double"&gt;-1.5908062&lt;/D&gt;&lt;D xsi:type="xsd:double"&gt;-28.844786&lt;/D&gt;&lt;D xsi:type="xsd:double"&gt;-21.16658&lt;/D&gt;&lt;D xsi:type="xsd:double"&gt;-12.083471&lt;/D&gt;&lt;D xsi:type="xsd:double"&gt;-13.325387&lt;/D&gt;&lt;D xsi:type="xsd:double"&gt;-8.035559&lt;/D&gt;&lt;D xsi:type="xsd:double"&gt;1.7585754&lt;/D&gt;&lt;D xsi:type="xsd:double"&gt;-6.844449&lt;/D&gt;&lt;D xsi:type="xsd:double"&gt;-10.19935&lt;/D&gt;&lt;D xsi:type="xsd:double"&gt;4.9984455&lt;/D&gt;&lt;D xsi:type="xsd:double"&gt;8.191872&lt;/D&gt;&lt;D xsi:type="xsd:double"&gt;9.214163&lt;/D&gt;&lt;D xsi:type="xsd:double"&gt;18.37864&lt;/D&gt;&lt;D xsi:type="xsd:double"&gt;63.501835&lt;/D&gt;&lt;D xsi:type="xsd:double"&gt;63.035107&lt;/D&gt;&lt;D xsi:type="xsd:double"&gt;48.008095&lt;/D&gt;&lt;D xsi:type="xsd:double"&gt;42.4158&lt;/D&gt;&lt;D xsi:type="xsd:double"&gt;30.926014&lt;/D&gt;&lt;D xsi:type="xsd:double"&gt;27.744114&lt;/D&gt;&lt;D xsi:type="xsd:double"&gt;26.059174&lt;/D&gt;&lt;D xsi:type="xsd:double"&gt;38.803135&lt;/D&gt;&lt;D xsi:type="xsd:double"&gt;7.185817&lt;/D&gt;&lt;D xsi:type="xsd:double"&gt;8.723127&lt;/D&gt;&lt;D xsi:type="xsd:double"&gt;-3.1103015&lt;/D&gt;&lt;D xsi:type="xsd:double"&gt;3.1167507&lt;/D&gt;&lt;D xsi:type="xsd:double"&gt;10.626686&lt;/D&gt;&lt;D xsi:type="xsd:double"&gt;-0.788939&lt;/D&gt;&lt;D xsi:type="xsd:double"&gt;-1.9457042&lt;/D&gt;&lt;D xsi:type="xsd:double"&gt;-12.018061&lt;/D&gt;&lt;D xsi:type="xsd:double"&gt;-6.8995895&lt;/D&gt;&lt;D xsi:type="xsd:double"&gt;-6.3238087&lt;/D&gt;&lt;D xsi:type="xsd:double"&gt;-12.649137&lt;/D&gt;&lt;D xsi:type="xsd:double"&gt;-17.155218&lt;/D&gt;&lt;D xsi:type="xsd:double"&gt;-0.45651793&lt;/D&gt;&lt;D xsi:type="xsd:double"&gt;-6.560409&lt;/D&gt;&lt;D xsi:type="xsd:double"&gt;16.711891&lt;/D&gt;&lt;D xsi:type="xsd:double"&gt;0.037443638&lt;/D&gt;&lt;D xsi:type="xsd:double"&gt;-10.877156&lt;/D&gt;&lt;D xsi:type="xsd:double"&gt;-2.5924623&lt;/D&gt;&lt;D xsi:type="xsd:double"&gt;-3.4985542&lt;/D&gt;&lt;D xsi:type="xsd:double"&gt;7.163489&lt;/D&gt;&lt;D xsi:type="xsd:double"&gt;6.9311857&lt;/D&gt;&lt;D xsi:type="xsd:double"&gt;0.41117668&lt;/D&gt;&lt;D xsi:type="xsd:double"&gt;11.189878&lt;/D&gt;&lt;D xsi:type="xsd:double"&gt;2.7376413&lt;/D&gt;&lt;D xsi:type="xsd:double"&gt;2.243197&lt;/D&gt;&lt;D xsi:type="xsd:double"&gt;15.183258&lt;/D&gt;&lt;D xsi:type="xsd:double"&gt;-1.5383601&lt;/D&gt;&lt;D xsi:type="xsd:double"&gt;7.7618003&lt;/D&gt;&lt;D xsi:type="xsd:double"&gt;14.737356&lt;/D&gt;&lt;D xsi:type="xsd:double"&gt;7.9960465&lt;/D&gt;&lt;D xsi:type="xsd:double"&gt;14.193606&lt;/D&gt;&lt;D xsi:type="xsd:double"&gt;14.397812&lt;/D&gt;&lt;/FQL&gt;&lt;FQL&gt;&lt;Q&gt;ENZL^JULIAN(FG_TOTAL_RETURNC(-10AY,0,AM).DATES)&lt;/Q&gt;&lt;R&gt;121&lt;/R&gt;&lt;C&gt;1&lt;/C&gt;&lt;D xsi:type="xsd:long"&gt;41817&lt;/D&gt;&lt;D xsi:type="xsd:long"&gt;41848&lt;/D&gt;&lt;D xsi:type="xsd:long"&gt;41879&lt;/D&gt;&lt;D xsi:type="xsd:long"&gt;41908&lt;/D&gt;&lt;D xsi:type="xsd:long"&gt;41940&lt;/D&gt;&lt;D xsi:type="xsd:long"&gt;41971&lt;/D&gt;&lt;D xsi:type="xsd:long"&gt;41999&lt;/D&gt;&lt;D xsi:type="xsd:long"&gt;42032&lt;/D&gt;&lt;D xsi:type="xsd:long"&gt;42062&lt;/D&gt;&lt;D xsi:type="xsd:long"&gt;42090&lt;/D&gt;&lt;D xsi:type="xsd:long"&gt;42122&lt;/D&gt;&lt;D xsi:type="xsd:long"&gt;42152&lt;/D&gt;&lt;D xsi:type="xsd:long"&gt;42181&lt;/D&gt;&lt;D xsi:type="xsd:long"&gt;42213&lt;/D&gt;&lt;D xsi:type="xsd:long"&gt;42244&lt;/D&gt;&lt;D xsi:type="xsd:long"&gt;42275&lt;/D&gt;&lt;D xsi:type="xsd:long"&gt;42305&lt;/D&gt;&lt;D xsi:type="xsd:long"&gt;42335&lt;/D&gt;&lt;D xsi:type="xsd:long"&gt;42366&lt;/D&gt;&lt;D xsi:type="xsd:long"&gt;42397&lt;/D&gt;&lt;D xsi:type="xsd:long"&gt;42426&lt;/D&gt;&lt;D xsi:type="xsd:long"&gt;42457&lt;/D&gt;&lt;D xsi:type="xsd:long"&gt;42488&lt;/D&gt;&lt;D xsi:type="xsd:long"&gt;42517&lt;/D&gt;&lt;D xsi:type="xsd:long"&gt;42549&lt;/D&gt;&lt;D xsi:type="xsd:long"&gt;42579&lt;/D&gt;&lt;D xsi:type="xsd:long"&gt;42608&lt;/D&gt;&lt;D xsi:type="xsd:long"&gt;42641&lt;/D&gt;&lt;D xsi:type="xsd:long"&gt;42671&lt;/D&gt;&lt;D xsi:type="xsd:long"&gt;42702&lt;/D&gt;&lt;D xsi:type="xsd:long"&gt;42732&lt;/D&gt;&lt;D xsi:type="xsd:long"&gt;42762&lt;/D&gt;&lt;D xsi:type="xsd:long"&gt;42794&lt;/D&gt;&lt;D xsi:type="xsd:long"&gt;42822&lt;/D&gt;&lt;D xsi:type="xsd:long"&gt;42853&lt;/D&gt;&lt;D xsi:type="xsd:long"&gt;42881&lt;/D&gt;&lt;D xsi:type="xsd:long"&gt;42914&lt;/D&gt;&lt;D xsi:type="xsd:long"&gt;42944&lt;/D&gt;&lt;D xsi:type="xsd:long"&gt;42975&lt;/D&gt;&lt;D xsi:type="xsd:long"&gt;43006&lt;/D&gt;&lt;D xsi:type="xsd:long"&gt;43035&lt;/D&gt;&lt;D xsi:type="xsd:long"&gt;43067&lt;/D&gt;&lt;D xsi:type="xsd:long"&gt;43097&lt;/D&gt;&lt;D xsi:type="xsd:long"&gt;43126&lt;/D&gt;&lt;D xsi:type="xsd:long"&gt;43159&lt;/D&gt;&lt;D xsi:type="xsd:long"&gt;43187&lt;/D&gt;&lt;D xsi:type="xsd:long"&gt;43217&lt;/D&gt;&lt;D xsi:type="xsd:long"&gt;43245&lt;/D&gt;&lt;D xsi:type="xsd:long"&gt;43279&lt;/D&gt;&lt;D xsi:type="xsd:long"&gt;43308&lt;/D&gt;&lt;D xsi:type="xsd:long"&gt;43340&lt;/D&gt;&lt;D xsi:type="xsd:long"&gt;43371&lt;/D&gt;&lt;D xsi:type="xsd:long"&gt;43399&lt;/D&gt;&lt;D xsi:type="xsd:long"&gt;43432&lt;/D&gt;&lt;D xsi:type="xsd:long"&gt;43462&lt;/D&gt;&lt;D xsi:type="xsd:long"&gt;43493&lt;/D&gt;&lt;D xsi:type="xsd:long"&gt;43524&lt;/D&gt;&lt;D xsi:type="xsd:long"&gt;43552&lt;/D&gt;&lt;D xsi:type="xsd:long"&gt;43581&lt;/D&gt;&lt;D xsi:type="xsd:long"&gt;43613&lt;/D&gt;&lt;D xsi:type="xsd:long"&gt;43644&lt;/D&gt;&lt;D xsi:type="xsd:long"&gt;43672&lt;/D&gt;&lt;D xsi:type="xsd:long"&gt;43705&lt;/D&gt;&lt;D xsi:type="xsd:long"&gt;43735&lt;/D&gt;&lt;D xsi:type="xsd:long"&gt;43766&lt;/D&gt;&lt;D xsi:type="xsd:long"&gt;43796&lt;/D&gt;&lt;D xsi:type="xsd:long"&gt;43826&lt;/D&gt;&lt;D xsi:type="xsd:long"&gt;43858&lt;/D&gt;&lt;D xsi:type="xsd:long"&gt;43889&lt;/D&gt;&lt;D xsi:type="xsd:long"&gt;43917&lt;/D&gt;&lt;D xsi:type="xsd:long"&gt;43949&lt;/D&gt;&lt;D xsi:type="xsd:long"&gt;43979&lt;/D&gt;&lt;D xsi:type="xsd:long"&gt;44008&lt;/D&gt;&lt;D xsi:type="xsd:long"&gt;44040&lt;/D&gt;&lt;D xsi:type="xsd:long"&gt;44071&lt;/D&gt;&lt;D xsi:type="xsd:long"&gt;44102&lt;/D&gt;&lt;D xsi:type="xsd:long"&gt;44132&lt;/D&gt;&lt;D xsi:type="xsd:long"&gt;44162&lt;/D&gt;&lt;D xsi:type="xsd:long"&gt;44193&lt;/D&gt;&lt;D xsi:type="xsd:long"&gt;44224&lt;/D&gt;&lt;D xsi:type="xsd:long"&gt;44253&lt;/D&gt;&lt;D xsi:type="xsd:long"&gt;44281&lt;/D&gt;&lt;D xsi:type="xsd:long"&gt;44314&lt;/D&gt;&lt;D xsi:type="xsd:long"&gt;44344&lt;/D&gt;&lt;D xsi:type="xsd:long"&gt;44375&lt;/D&gt;&lt;D xsi:type="xsd:long"&gt;44405&lt;/D&gt;&lt;D xsi:type="xsd:long"&gt;44435&lt;/D&gt;&lt;D xsi:type="xsd:long"&gt;44467&lt;/D&gt;&lt;D xsi:type="xsd:long"&gt;44497&lt;/D&gt;&lt;D xsi:type="xsd:long"&gt;44526&lt;/D&gt;&lt;D xsi:type="xsd:long"&gt;44558&lt;/D&gt;&lt;D xsi:type="xsd:long"&gt;44589&lt;/D&gt;&lt;D xsi:type="xsd:long"&gt;44620&lt;/D&gt;&lt;D xsi:type="xsd:long"&gt;44648&lt;/D&gt;&lt;D xsi:type="xsd:long"&gt;44679&lt;/D&gt;&lt;D xsi:type="xsd:long"&gt;44708&lt;/D&gt;&lt;D xsi:type="xsd:long"&gt;44740&lt;/D&gt;&lt;D xsi:type="xsd:long"&gt;44770&lt;/D&gt;&lt;D xsi:type="xsd:long"&gt;44799&lt;/D&gt;&lt;D xsi:type="xsd:long"&gt;44832&lt;/D&gt;&lt;D xsi:type="xsd:long"&gt;44862&lt;/D&gt;&lt;D xsi:type="xsd:long"&gt;44893&lt;/D&gt;&lt;D xsi:type="xsd:long"&gt;44923&lt;/D&gt;&lt;D xsi:type="xsd:long"&gt;44953&lt;/D&gt;&lt;D xsi:type="xsd:long"&gt;44985&lt;/D&gt;&lt;D xsi:type="xsd:long"&gt;45013&lt;/D&gt;&lt;D xsi:type="xsd:long"&gt;45044&lt;/D&gt;&lt;D xsi:type="xsd:long"&gt;45072&lt;/D&gt;&lt;D xsi:type="xsd:long"&gt;45105&lt;/D&gt;&lt;D xsi:type="xsd:long"&gt;45135&lt;/D&gt;&lt;D xsi:type="xsd:long"&gt;45166&lt;/D&gt;&lt;D xsi:type="xsd:long"&gt;45197&lt;/D&gt;&lt;D xsi:type="xsd:long"&gt;45226&lt;/D&gt;&lt;D xsi:type="xsd:long"&gt;45258&lt;/D&gt;&lt;D xsi:type="xsd:long"&gt;45288&lt;/D&gt;&lt;D xsi:type="xsd:long"&gt;45317&lt;/D&gt;&lt;D xsi:type="xsd:long"&gt;45350&lt;/D&gt;&lt;D xsi:type="xsd:long"&gt;45379&lt;/D&gt;&lt;D xsi:type="xsd:long"&gt;45408&lt;/D&gt;&lt;D xsi:type="xsd:long"&gt;45440&lt;/D&gt;&lt;D xsi:type="xsd:long"&gt;45471&lt;/D&gt;&lt;/FQL&gt;&lt;FQL&gt;&lt;Q&gt;EWQ^FMA_PE(LTMA,-10AY,0,AM,"PORTAGG","MEANR")&lt;/Q&gt;&lt;R&gt;121&lt;/R&gt;&lt;C&gt;1&lt;/C&gt;&lt;D xsi:type="xsd:double"&gt;15.6779284495105&lt;/D&gt;&lt;D xsi:type="xsd:double"&gt;15.4378203446007&lt;/D&gt;&lt;D xsi:type="xsd:double"&gt;15.3991090658538&lt;/D&gt;&lt;D xsi:type="xsd:double"&gt;15.3731192448609&lt;/D&gt;&lt;D xsi:type="xsd:double"&gt;14.6583754186708&lt;/D&gt;&lt;D xsi:type="xsd:double"&gt;15.4478417961018&lt;/D&gt;&lt;D xsi:type="xsd:double"&gt;15.1233756070699&lt;/D&gt;&lt;D xsi:type="xsd:double"&gt;16.188952901764&lt;/D&gt;&lt;D xsi:type="xsd:double"&gt;17.5590988431393&lt;/D&gt;&lt;D xsi:type="xsd:double"&gt;17.5399411741343&lt;/D&gt;&lt;D xsi:type="xsd:double"&gt;17.5957913935368&lt;/D&gt;&lt;D xsi:type="xsd:double"&gt;17.5615036171762&lt;/D&gt;&lt;D xsi:type="xsd:double"&gt;17.3969752417282&lt;/D&gt;&lt;D xsi:type="xsd:double"&gt;17.1376420123799&lt;/D&gt;&lt;D xsi:type="xsd:double"&gt;16.2018849903923&lt;/D&gt;&lt;D xsi:type="xsd:double"&gt;15.329294188019&lt;/D&gt;&lt;D xsi:type="xsd:double"&gt;16.3898600076103&lt;/D&gt;&lt;D xsi:type="xsd:double"&gt;16.3796450807112&lt;/D&gt;&lt;D xsi:type="xsd:double"&gt;15.3550916838041&lt;/D&gt;&lt;D xsi:type="xsd:double"&gt;14.3949941287144&lt;/D&gt;&lt;D xsi:type="xsd:double"&gt;15.0134818455844&lt;/D&gt;&lt;D xsi:type="xsd:double"&gt;15.0924984594099&lt;/D&gt;&lt;D xsi:type="xsd:double"&gt;15.303036926493&lt;/D&gt;&lt;D xsi:type="xsd:double"&gt;15.2619188509632&lt;/D&gt;&lt;D xsi:type="xsd:double"&gt;14.5598112980887&lt;/D&gt;&lt;D xsi:type="xsd:double"&gt;15.0602302532277&lt;/D&gt;&lt;D xsi:type="xsd:double"&gt;14.9344542492125&lt;/D&gt;&lt;D xsi:type="xsd:double"&gt;14.8451983026826&lt;/D&gt;&lt;D xsi:type="xsd:double"&gt;15.0584470495502&lt;/D&gt;&lt;D xsi:type="xsd:double"&gt;14.799321178259&lt;/D&gt;&lt;D xsi:type="xsd:double"&gt;15.7093420467691&lt;/D&gt;&lt;D xsi:type="xsd:double"&gt;15.6889412314576&lt;/D&gt;&lt;D xsi:type="xsd:double"&gt;15.5832062176459&lt;/D&gt;&lt;D xsi:type="xsd:double"&gt;15.6379201928902&lt;/D&gt;&lt;D xsi:type="xsd:double"&gt;15.7677768365969&lt;/D&gt;&lt;D xsi:type="xsd:double"&gt;15.805845667154&lt;/D&gt;&lt;D xsi:type="xsd:double"&gt;15.6921175787291&lt;/D&gt;&lt;D xsi:type="xsd:double"&gt;15.5432494066367&lt;/D&gt;&lt;D xsi:type="xsd:double"&gt;15.4304475234238&lt;/D&gt;&lt;D xsi:type="xsd:double"&gt;15.8405563503979&lt;/D&gt;&lt;D xsi:type="xsd:double"&gt;16.2793605653617&lt;/D&gt;&lt;D xsi:type="xsd:double"&gt;16.0878490782777&lt;/D&gt;&lt;D xsi:type="xsd:double"&gt;16.0313942859884&lt;/D&gt;&lt;D xsi:type="xsd:double"&gt;16.6075926058874&lt;/D&gt;&lt;D xsi:type="xsd:double"&gt;15.6214282695546&lt;/D&gt;&lt;D xsi:type="xsd:double"&gt;15.4507525004458&lt;/D&gt;&lt;D xsi:type="xsd:double"&gt;15.5943383349066&lt;/D&gt;&lt;D xsi:type="xsd:double"&gt;15.5509828623392&lt;/D&gt;&lt;D xsi:type="xsd:double"&gt;15.1172228774354&lt;/D&gt;&lt;D xsi:type="xsd:double"&gt;15.3473106547823&lt;/D&gt;&lt;D xsi:type="xsd:double"&gt;15.17606112166&lt;/D&gt;&lt;D xsi:type="xsd:double"&gt;15.1034403151283&lt;/D&gt;&lt;D xsi:type="xsd:double"&gt;13.9018180370076&lt;/D&gt;&lt;D xsi:type="xsd:double"&gt;13.7202940765995&lt;/D&gt;&lt;D xsi:type="xsd:double"&gt;12.8117959428372&lt;/D&gt;&lt;D xsi:type="xsd:double"&gt;13.4761874743701&lt;/D&gt;&lt;D xsi:type="xsd:double"&gt;14.5731947255995&lt;/D&gt;&lt;D xsi:type="xsd:double"&gt;14.5123113224696&lt;/D&gt;&lt;D xsi:type="xsd:double"&gt;14.6781481223226&lt;/D&gt;&lt;D xsi:type="xsd:double"&gt;14.4335721877356&lt;/D&gt;&lt;D xsi:type="xsd:double"&gt;14.6838894979361&lt;/D&gt;&lt;D xsi:type="xsd:double"&gt;14.9554047587309&lt;/D&gt;&lt;D xsi:type="xsd:double"&gt;14.5744054787222&lt;/D&gt;&lt;D xsi:type="xsd:double"&gt;15.1225834866721&lt;/D&gt;&lt;D xsi:type="xsd:double"&gt;15.5880461876682&lt;/D&gt;&lt;D xsi:type="xsd:double"&gt;16.1378360310591&lt;/D&gt;&lt;D xsi:type="xsd:double"&gt;16.622265830344&lt;/D&gt;&lt;D xsi:type="xsd:double"&gt;16.344430458987&lt;/D&gt;&lt;D xsi:type="xsd:double"&gt;14.6441363459583&lt;/D&gt;&lt;D xsi:type="xsd:double"&gt;14.3441610195966&lt;/D&gt;&lt;D xsi:type="xsd:double"&gt;15.7162453288052&lt;/D&gt;&lt;D xsi:type="xsd:double"&gt;16.9527206961277&lt;/D&gt;&lt;D xsi:type="xsd:double"&gt;18.2904883037623&lt;/D&gt;&lt;D xsi:type="xsd:double"&gt;20.3614934940039&lt;/D&gt;&lt;D xsi:type="xsd:double"&gt;22.6072366656098&lt;/D&gt;&lt;D xsi:type="xsd:double"&gt;23.1539119819932&lt;/D&gt;&lt;D xsi:type="xsd:double"&gt;22.862033922236&lt;/D&gt;&lt;D xsi:type="xsd:double"&gt;28.1560525764494&lt;/D&gt;&lt;D xsi:type="xsd:double"&gt;28.9401012111029&lt;/D&gt;&lt;D xsi:type="xsd:double"&gt;27.8758993730499&lt;/D&gt;&lt;D xsi:type="xsd:double"&gt;27.0710572154549&lt;/D&gt;&lt;D xsi:type="xsd:double"&gt;26.4099334502148&lt;/D&gt;&lt;D xsi:type="xsd:double"&gt;25.611898696666&lt;/D&gt;&lt;D xsi:type="xsd:double"&gt;24.7097661622561&lt;/D&gt;&lt;D xsi:type="xsd:double"&gt;23.7567864757599&lt;/D&gt;&lt;D xsi:type="xsd:double"&gt;22.571824981684&lt;/D&gt;&lt;D xsi:type="xsd:double"&gt;21.1628647537208&lt;/D&gt;&lt;D xsi:type="xsd:double"&gt;19.646437030284&lt;/D&gt;&lt;D xsi:type="xsd:double"&gt;18.9483475463143&lt;/D&gt;&lt;D xsi:type="xsd:double"&gt;17.3750006491248&lt;/D&gt;&lt;D xsi:type="xsd:double"&gt;17.3441792948884&lt;/D&gt;&lt;D xsi:type="xsd:double"&gt;16.2070506189848&lt;/D&gt;&lt;D xsi:type="xsd:double"&gt;15.4793464797258&lt;/D&gt;&lt;D xsi:type="xsd:double"&gt;15.239764005706&lt;/D&gt;&lt;D xsi:type="xsd:double"&gt;14.8664483629712&lt;/D&gt;&lt;D xsi:type="xsd:double"&gt;14.4411733569588&lt;/D&gt;&lt;D xsi:type="xsd:double"&gt;13.7459079498169&lt;/D&gt;&lt;D xsi:type="xsd:double"&gt;13.3892208871488&lt;/D&gt;&lt;D xsi:type="xsd:double"&gt;12.7282791075152&lt;/D&gt;&lt;D xsi:type="xsd:double"&gt;11.5248361638719&lt;/D&gt;&lt;D xsi:type="xsd:double"&gt;11.8384112510001&lt;/D&gt;&lt;D xsi:type="xsd:double"&gt;12.1169573473503&lt;/D&gt;&lt;D xsi:type="xsd:double"&gt;11.5854721906601&lt;/D&gt;&lt;D xsi:type="xsd:double"&gt;12.8782828086893&lt;/D&gt;&lt;D xsi:type="xsd:double"&gt;12.9007030112978&lt;/D&gt;&lt;D xsi:type="xsd:double"&gt;12.8795370699921&lt;/D&gt;&lt;D xsi:type="xsd:double"&gt;13.2308014693638&lt;/D&gt;&lt;D xsi:type="xsd:double"&gt;13.1063165473447&lt;/D&gt;&lt;D xsi:type="xsd:double"&gt;13.220778946529&lt;/D&gt;&lt;D xsi:type="xsd:double"&gt;13.4505599355244&lt;/D&gt;&lt;D xsi:type="xsd:double"&gt;13.2584396930723&lt;/D&gt;&lt;D xsi:type="xsd:double"&gt;12.9567261008705&lt;/D&gt;&lt;D xsi:type="xsd:double"&gt;12.4938024962678&lt;/D&gt;&lt;D xsi:type="xsd:double"&gt;13.3149702595161&lt;/D&gt;&lt;D xsi:type="xsd:double"&gt;14.0655639005272&lt;/D&gt;&lt;D xsi:type="xsd:double"&gt;14.4774339639435&lt;/D&gt;&lt;D xsi:type="xsd:double"&gt;15.5440878253408&lt;/D&gt;&lt;D xsi:type="xsd:double"&gt;15.5309918003758&lt;/D&gt;&lt;D xsi:type="xsd:double"&gt;15.4554193871891&lt;/D&gt;&lt;D xsi:type="xsd:double"&gt;15.3938828167758&lt;/D&gt;&lt;D xsi:type="xsd:double"&gt;14.9926750359257&lt;/D&gt;&lt;/FQL&gt;&lt;FQL&gt;&lt;Q&gt;TRYBR10Y-FDS^FG_YIELD(-10AY,0,Y,,"YTM")&lt;/Q&gt;&lt;R&gt;10&lt;/R&gt;&lt;C&gt;1&lt;/C&gt;&lt;D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xsi:type="xsd:double"&gt;10.455909&lt;/D&gt;&lt;/FQL&gt;&lt;FQL&gt;&lt;Q&gt;EWN^FMA_PE(NTMA,-10AY,0,AM,"PORTAGG","MEANR")&lt;/Q&gt;&lt;R&gt;121&lt;/R&gt;&lt;C&gt;1&lt;/C&gt;&lt;D xsi:type="xsd:double"&gt;14.239938799722&lt;/D&gt;&lt;D xsi:type="xsd:double"&gt;14.0732518050867&lt;/D&gt;&lt;D xsi:type="xsd:double"&gt;14.4086586687299&lt;/D&gt;&lt;D xsi:type="xsd:double"&gt;14.6043634602116&lt;/D&gt;&lt;D xsi:type="xsd:double"&gt;14.0912493744036&lt;/D&gt;&lt;D xsi:type="xsd:double"&gt;15.2708740916053&lt;/D&gt;&lt;D xsi:type="xsd:double"&gt;14.8835903560663&lt;/D&gt;&lt;D xsi:type="xsd:double"&gt;15.7136235878234&lt;/D&gt;&lt;D xsi:type="xsd:double"&gt;16.9244555464129&lt;/D&gt;&lt;D xsi:type="xsd:double"&gt;17.0369201402442&lt;/D&gt;&lt;D xsi:type="xsd:double"&gt;17.4037973597398&lt;/D&gt;&lt;D xsi:type="xsd:double"&gt;17.2804076801377&lt;/D&gt;&lt;D xsi:type="xsd:double"&gt;16.9223364397987&lt;/D&gt;&lt;D xsi:type="xsd:double"&gt;16.6198896891555&lt;/D&gt;&lt;D xsi:type="xsd:double"&gt;15.0305176997617&lt;/D&gt;&lt;D xsi:type="xsd:double"&gt;14.129832841936&lt;/D&gt;&lt;D xsi:type="xsd:double"&gt;15.8372694195526&lt;/D&gt;&lt;D xsi:type="xsd:double"&gt;16.5384330968825&lt;/D&gt;&lt;D xsi:type="xsd:double"&gt;15.5414358103027&lt;/D&gt;&lt;D xsi:type="xsd:double"&gt;14.6103799808108&lt;/D&gt;&lt;D xsi:type="xsd:double"&gt;14.7354410919535&lt;/D&gt;&lt;D xsi:type="xsd:double"&gt;15.2356838952172&lt;/D&gt;&lt;D xsi:type="xsd:double"&gt;15.2640262289036&lt;/D&gt;&lt;D xsi:type="xsd:double"&gt;15.3805035896872&lt;/D&gt;&lt;D xsi:type="xsd:double"&gt;13.5542068243007&lt;/D&gt;&lt;D xsi:type="xsd:double"&gt;14.7010815102227&lt;/D&gt;&lt;D xsi:type="xsd:double"&gt;14.9229762715567&lt;/D&gt;&lt;D xsi:type="xsd:double"&gt;14.8336447288262&lt;/D&gt;&lt;D xsi:type="xsd:double"&gt;14.7948942973229&lt;/D&gt;&lt;D xsi:type="xsd:double"&gt;14.5308255896309&lt;/D&gt;&lt;D xsi:type="xsd:double"&gt;15.0764403616131&lt;/D&gt;&lt;D xsi:type="xsd:double"&gt;15.1461186354191&lt;/D&gt;&lt;D xsi:type="xsd:double"&gt;15.4775278626066&lt;/D&gt;&lt;D xsi:type="xsd:double"&gt;15.9560803204899&lt;/D&gt;&lt;D xsi:type="xsd:double"&gt;16.3456238317593&lt;/D&gt;&lt;D xsi:type="xsd:double"&gt;16.3547968889701&lt;/D&gt;&lt;D xsi:type="xsd:double"&gt;15.9004501710517&lt;/D&gt;&lt;D xsi:type="xsd:double"&gt;15.9790912658229&lt;/D&gt;&lt;D xsi:type="xsd:double"&gt;15.5985596361705&lt;/D&gt;&lt;D xsi:type="xsd:double"&gt;15.8835822538319&lt;/D&gt;&lt;D xsi:type="xsd:double"&gt;16.2565971851708&lt;/D&gt;&lt;D xsi:type="xsd:double"&gt;16.0406879179298&lt;/D&gt;&lt;D xsi:type="xsd:double"&gt;15.9797516443663&lt;/D&gt;&lt;D xsi:type="xsd:double"&gt;16.3819912514202&lt;/D&gt;&lt;D xsi:type="xsd:double"&gt;15.6135502244024&lt;/D&gt;&lt;D xsi:type="xsd:double"&gt;15.3416389075717&lt;/D&gt;&lt;D xsi:type="xsd:double"&gt;15.677400198192&lt;/D&gt;&lt;D xsi:type="xsd:double"&gt;15.9930823957064&lt;/D&gt;&lt;D xsi:type="xsd:double"&gt;15.3814160858803&lt;/D&gt;&lt;D xsi:type="xsd:double"&gt;16.0704301945225&lt;/D&gt;&lt;D xsi:type="xsd:double"&gt;15.5922766139146&lt;/D&gt;&lt;D xsi:type="xsd:double"&gt;14.9443294080648&lt;/D&gt;&lt;D xsi:type="xsd:double"&gt;13.7349906754253&lt;/D&gt;&lt;D xsi:type="xsd:double"&gt;14.141356200369&lt;/D&gt;&lt;D xsi:type="xsd:double"&gt;12.9703594783904&lt;/D&gt;&lt;D xsi:type="xsd:double"&gt;13.9535940515001&lt;/D&gt;&lt;D xsi:type="xsd:double"&gt;14.8504332804713&lt;/D&gt;&lt;D xsi:type="xsd:double"&gt;15.0068824538918&lt;/D&gt;&lt;D xsi:type="xsd:double"&gt;15.6817720931421&lt;/D&gt;&lt;D xsi:type="xsd:double"&gt;15.0284335260467&lt;/D&gt;&lt;D xsi:type="xsd:double"&gt;15.4834378485148&lt;/D&gt;&lt;D xsi:type="xsd:double"&gt;15.98423343854&lt;/D&gt;&lt;D xsi:type="xsd:double"&gt;15.2283692108983&lt;/D&gt;&lt;D xsi:type="xsd:double"&gt;16.184677901641&lt;/D&gt;&lt;D xsi:type="xsd:double"&gt;16.27423545004&lt;/D&gt;&lt;D xsi:type="xsd:double"&gt;16.7645426154781&lt;/D&gt;&lt;D xsi:type="xsd:double"&gt;17.1821495250251&lt;/D&gt;&lt;D xsi:type="xsd:double"&gt;17.0845808854699&lt;/D&gt;&lt;D xsi:type="xsd:double"&gt;15.652215115505&lt;/D&gt;&lt;D xsi:type="xsd:double"&gt;13.7338412928161&lt;/D&gt;&lt;D xsi:type="xsd:double"&gt;17.1661129321401&lt;/D&gt;&lt;D xsi:type="xsd:double"&gt;18.54543719856&lt;/D&gt;&lt;D xsi:type="xsd:double"&gt;19.4000913770864&lt;/D&gt;&lt;D xsi:type="xsd:double"&gt;20.040095716886&lt;/D&gt;&lt;D xsi:type="xsd:double"&gt;19.8467330585131&lt;/D&gt;&lt;D xsi:type="xsd:double"&gt;19.2512438179736&lt;/D&gt;&lt;D xsi:type="xsd:double"&gt;18.6689337934544&lt;/D&gt;&lt;D xsi:type="xsd:double"&gt;20.734021447468&lt;/D&gt;&lt;D xsi:type="xsd:double"&gt;20.6534399566737&lt;/D&gt;&lt;D xsi:type="xsd:double"&gt;21.1445046559669&lt;/D&gt;&lt;D xsi:type="xsd:double"&gt;21.4166993700112&lt;/D&gt;&lt;D xsi:type="xsd:double"&gt;22.289181552451&lt;/D&gt;&lt;D xsi:type="xsd:double"&gt;22.185852537602&lt;/D&gt;&lt;D xsi:type="xsd:double"&gt;21.2145092805885&lt;/D&gt;&lt;D xsi:type="xsd:double"&gt;21.3563739470065&lt;/D&gt;&lt;D xsi:type="xsd:double"&gt;21.3838194872875&lt;/D&gt;&lt;D xsi:type="xsd:double"&gt;21.9161825784566&lt;/D&gt;&lt;D xsi:type="xsd:double"&gt;20.6232708193059&lt;/D&gt;&lt;D xsi:type="xsd:double"&gt;21.2624818925137&lt;/D&gt;&lt;D xsi:type="xsd:double"&gt;20.2241606212676&lt;/D&gt;&lt;D xsi:type="xsd:double"&gt;20.6065234952806&lt;/D&gt;&lt;D xsi:type="xsd:double"&gt;18.2780994873101&lt;/D&gt;&lt;D xsi:type="xsd:double"&gt;17.4728515755676&lt;/D&gt;&lt;D xsi:type="xsd:double"&gt;18.1905453198721&lt;/D&gt;&lt;D xsi:type="xsd:double"&gt;17.1244132708079&lt;/D&gt;&lt;D xsi:type="xsd:double"&gt;17.2613078155288&lt;/D&gt;&lt;D xsi:type="xsd:double"&gt;16.2647638305226&lt;/D&gt;&lt;D xsi:type="xsd:double"&gt;17.8659743786689&lt;/D&gt;&lt;D xsi:type="xsd:double"&gt;16.7172590051053&lt;/D&gt;&lt;D xsi:type="xsd:double"&gt;14.4570234454413&lt;/D&gt;&lt;D xsi:type="xsd:double"&gt;15.1512264680533&lt;/D&gt;&lt;D xsi:type="xsd:double"&gt;16.4533127271851&lt;/D&gt;&lt;D xsi:type="xsd:double"&gt;15.3429641723471&lt;/D&gt;&lt;D xsi:type="xsd:double"&gt;17.131947211805&lt;/D&gt;&lt;D xsi:type="xsd:double"&gt;16.4807481202809&lt;/D&gt;&lt;D xsi:type="xsd:double"&gt;15.9127458808374&lt;/D&gt;&lt;D xsi:type="xsd:double"&gt;15.8332249132083&lt;/D&gt;&lt;D xsi:type="xsd:double"&gt;15.9889947034409&lt;/D&gt;&lt;D xsi:type="xsd:double"&gt;15.6984402693034&lt;/D&gt;&lt;D xsi:type="xsd:double"&gt;16.3822686244203&lt;/D&gt;&lt;D xsi:type="xsd:double"&gt;14.6815457202831&lt;/D&gt;&lt;D xsi:type="xsd:double"&gt;13.4921368911034&lt;/D&gt;&lt;D xsi:type="xsd:double"&gt;13.1294577249204&lt;/D&gt;&lt;D xsi:type="xsd:double"&gt;14.5960866548614&lt;/D&gt;&lt;D xsi:type="xsd:double"&gt;15.1353313127805&lt;/D&gt;&lt;D xsi:type="xsd:double"&gt;15.7669416123871&lt;/D&gt;&lt;D xsi:type="xsd:double"&gt;16.2981876502045&lt;/D&gt;&lt;D xsi:type="xsd:double"&gt;16.3778003736016&lt;/D&gt;&lt;D xsi:type="xsd:double"&gt;15.7707094085458&lt;/D&gt;&lt;D xsi:type="xsd:double"&gt;16.3710210906531&lt;/D&gt;&lt;D xsi:type="xsd:double"&gt;16.2301122784385&lt;/D&gt;&lt;/FQL&gt;&lt;FQL&gt;&lt;Q&gt;SPY^FMA_PE(LTMA,-10AY,0,AM,"PORTAGG","MEANR")&lt;/Q&gt;&lt;R&gt;121&lt;/R&gt;&lt;C&gt;1&lt;/C&gt;&lt;D xsi:type="xsd:double"&gt;16.3928473764384&lt;/D&gt;&lt;D xsi:type="xsd:double"&gt;16.4017578019337&lt;/D&gt;&lt;D xsi:type="xsd:double"&gt;16.482424651592&lt;/D&gt;&lt;D xsi:type="xsd:double"&gt;16.4333048698529&lt;/D&gt;&lt;D xsi:type="xsd:double"&gt;16.5200877352003&lt;/D&gt;&lt;D xsi:type="xsd:double"&gt;17.1148636188273&lt;/D&gt;&lt;D xsi:type="xsd:double"&gt;17.5230511247465&lt;/D&gt;&lt;D xsi:type="xsd:double"&gt;16.8102582432781&lt;/D&gt;&lt;D xsi:type="xsd:double"&gt;17.59103730002&lt;/D&gt;&lt;D xsi:type="xsd:double"&gt;17.494488374599&lt;/D&gt;&lt;D xsi:type="xsd:double"&gt;17.5881007271073&lt;/D&gt;&lt;D xsi:type="xsd:double"&gt;17.5593866955943&lt;/D&gt;&lt;D xsi:type="xsd:double"&gt;17.484466481276&lt;/D&gt;&lt;D xsi:type="xsd:double"&gt;17.4737706550469&lt;/D&gt;&lt;D xsi:type="xsd:double"&gt;16.9143178043277&lt;/D&gt;&lt;D xsi:type="xsd:double"&gt;16.2268504871937&lt;/D&gt;&lt;D xsi:type="xsd:double"&gt;17.5029596885784&lt;/D&gt;&lt;D xsi:type="xsd:double"&gt;17.4962548504994&lt;/D&gt;&lt;D xsi:type="xsd:double"&gt;17.2269315558638&lt;/D&gt;&lt;D xsi:type="xsd:double"&gt;15.8540396881997&lt;/D&gt;&lt;D xsi:type="xsd:double"&gt;16.2966838906097&lt;/D&gt;&lt;D xsi:type="xsd:double"&gt;16.18819342752&lt;/D&gt;&lt;D xsi:type="xsd:double"&gt;16.4452153070474&lt;/D&gt;&lt;D xsi:type="xsd:double"&gt;16.7505275257683&lt;/D&gt;&lt;D xsi:type="xsd:double"&gt;16.6274372620514&lt;/D&gt;&lt;D xsi:type="xsd:double"&gt;17.3417153101231&lt;/D&gt;&lt;D xsi:type="xsd:double"&gt;17.5168705731979&lt;/D&gt;&lt;D xsi:type="xsd:double"&gt;17.7586808901792&lt;/D&gt;&lt;D xsi:type="xsd:double"&gt;17.5366805511185&lt;/D&gt;&lt;D xsi:type="xsd:double"&gt;18.269117714608&lt;/D&gt;&lt;D xsi:type="xsd:double"&gt;18.8685089405499&lt;/D&gt;&lt;D xsi:type="xsd:double"&gt;19.0923490355538&lt;/D&gt;&lt;D xsi:type="xsd:double"&gt;19.4949236055791&lt;/D&gt;&lt;D xsi:type="xsd:double"&gt;19.3513265349602&lt;/D&gt;&lt;D xsi:type="xsd:double"&gt;19.2294920728576&lt;/D&gt;&lt;D xsi:type="xsd:double"&gt;19.1914525240663&lt;/D&gt;&lt;D xsi:type="xsd:double"&gt;19.1563885213301&lt;/D&gt;&lt;D xsi:type="xsd:double"&gt;19.1828759477783&lt;/D&gt;&lt;D xsi:type="xsd:double"&gt;18.950177580018&lt;/D&gt;&lt;D xsi:type="xsd:double"&gt;19.2692803368464&lt;/D&gt;&lt;D xsi:type="xsd:double"&gt;19.6519421968673&lt;/D&gt;&lt;D xsi:type="xsd:double"&gt;19.8871502775086&lt;/D&gt;&lt;D xsi:type="xsd:double"&gt;20.3424092743981&lt;/D&gt;&lt;D xsi:type="xsd:double"&gt;21.4535182086338&lt;/D&gt;&lt;D xsi:type="xsd:double"&gt;19.7961415133282&lt;/D&gt;&lt;D xsi:type="xsd:double"&gt;19.397854491575&lt;/D&gt;&lt;D xsi:type="xsd:double"&gt;19.1526422058075&lt;/D&gt;&lt;D xsi:type="xsd:double"&gt;18.9513526310138&lt;/D&gt;&lt;D xsi:type="xsd:double"&gt;18.6162559107363&lt;/D&gt;&lt;D xsi:type="xsd:double"&gt;18.6682207451327&lt;/D&gt;&lt;D xsi:type="xsd:double"&gt;18.7065684233451&lt;/D&gt;&lt;D xsi:type="xsd:double"&gt;18.5967626970535&lt;/D&gt;&lt;D xsi:type="xsd:double"&gt;17.0772898744462&lt;/D&gt;&lt;D xsi:type="xsd:double"&gt;17.190153762362&lt;/D&gt;&lt;D xsi:type="xsd:double"&gt;15.3994994148198&lt;/D&gt;&lt;D xsi:type="xsd:double"&gt;16.3417810595753&lt;/D&gt;&lt;D xsi:type="xsd:double"&gt;17.1101396920555&lt;/D&gt;&lt;D xsi:type="xsd:double"&gt;17.1098787682915&lt;/D&gt;&lt;D xsi:type="xsd:double"&gt;17.3057946397782&lt;/D&gt;&lt;D xsi:type="xsd:double"&gt;16.9967297261562&lt;/D&gt;&lt;D xsi:type="xsd:double"&gt;17.4039736504324&lt;/D&gt;&lt;D xsi:type="xsd:double"&gt;17.7995704835975&lt;/D&gt;&lt;D xsi:type="xsd:double"&gt;17.3741378906798&lt;/D&gt;&lt;D xsi:type="xsd:double"&gt;17.7948497713015&lt;/D&gt;&lt;D xsi:type="xsd:double"&gt;18.3311216819533&lt;/D&gt;&lt;D xsi:type="xsd:double"&gt;19.14879162315&lt;/D&gt;&lt;D xsi:type="xsd:double"&gt;19.904822482927&lt;/D&gt;&lt;D xsi:type="xsd:double"&gt;20.0311131668123&lt;/D&gt;&lt;D xsi:type="xsd:double"&gt;17.9045011539571&lt;/D&gt;&lt;D xsi:type="xsd:double"&gt;17.5178035405494&lt;/D&gt;&lt;D xsi:type="xsd:double"&gt;19.1152577497124&lt;/D&gt;&lt;D xsi:type="xsd:double"&gt;20.3720615312344&lt;/D&gt;&lt;D xsi:type="xsd:double"&gt;20.8154241075015&lt;/D&gt;&lt;D xsi:type="xsd:double"&gt;22.0667572716777&lt;/D&gt;&lt;D xsi:type="xsd:double"&gt;23.6538679165597&lt;/D&gt;&lt;D xsi:type="xsd:double"&gt;23.4501282526467&lt;/D&gt;&lt;D xsi:type="xsd:double"&gt;23.1079115641256&lt;/D&gt;&lt;D xsi:type="xsd:double"&gt;25.37700644091&lt;/D&gt;&lt;D xsi:type="xsd:double"&gt;27.2088074131602&lt;/D&gt;&lt;D xsi:type="xsd:double"&gt;26.8664242513535&lt;/D&gt;&lt;D xsi:type="xsd:double"&gt;26.2931693999151&lt;/D&gt;&lt;D xsi:type="xsd:double"&gt;26.0763065684802&lt;/D&gt;&lt;D xsi:type="xsd:double"&gt;25.7203226526062&lt;/D&gt;&lt;D xsi:type="xsd:double"&gt;25.1175797993225&lt;/D&gt;&lt;D xsi:type="xsd:double"&gt;24.8489104811995&lt;/D&gt;&lt;D xsi:type="xsd:double"&gt;24.2957347203158&lt;/D&gt;&lt;D xsi:type="xsd:double"&gt;24.0129849878474&lt;/D&gt;&lt;D xsi:type="xsd:double"&gt;23.0912091267124&lt;/D&gt;&lt;D xsi:type="xsd:double"&gt;23.3081837064345&lt;/D&gt;&lt;D xsi:type="xsd:double"&gt;22.8264105343905&lt;/D&gt;&lt;D xsi:type="xsd:double"&gt;23.3684783730455&lt;/D&gt;&lt;D xsi:type="xsd:double"&gt;21.3974826070577&lt;/D&gt;&lt;D xsi:type="xsd:double"&gt;20.7184478615194&lt;/D&gt;&lt;D xsi:type="xsd:double"&gt;20.7699573676528&lt;/D&gt;&lt;D xsi:type="xsd:double"&gt;20.2135642692974&lt;/D&gt;&lt;D xsi:type="xsd:double"&gt;19.8217811952963&lt;/D&gt;&lt;D xsi:type="xsd:double"&gt;18.845862847626&lt;/D&gt;&lt;D xsi:type="xsd:double"&gt;19.2046775781938&lt;/D&gt;&lt;D xsi:type="xsd:double"&gt;18.9991269056082&lt;/D&gt;&lt;D xsi:type="xsd:double"&gt;17.7131277535044&lt;/D&gt;&lt;D xsi:type="xsd:double"&gt;18.2029673079963&lt;/D&gt;&lt;D xsi:type="xsd:double"&gt;18.1976298721585&lt;/D&gt;&lt;D xsi:type="xsd:double"&gt;17.1770261962923&lt;/D&gt;&lt;D xsi:type="xsd:double"&gt;18.4998907302&lt;/D&gt;&lt;D xsi:type="xsd:double"&gt;18.0557703168231&lt;/D&gt;&lt;D xsi:type="xsd:double"&gt;18.0500663299995&lt;/D&gt;&lt;D xsi:type="xsd:double"&gt;18.3316453496115&lt;/D&gt;&lt;D xsi:type="xsd:double"&gt;18.4400900889249&lt;/D&gt;&lt;D xsi:type="xsd:double"&gt;18.9549987966586&lt;/D&gt;&lt;D xsi:type="xsd:double"&gt;19.6785869832257&lt;/D&gt;&lt;D xsi:type="xsd:double"&gt;19.3089651218082&lt;/D&gt;&lt;D xsi:type="xsd:double"&gt;19.082059067741&lt;/D&gt;&lt;D xsi:type="xsd:double"&gt;18.5610313860259&lt;/D&gt;&lt;D xsi:type="xsd:double"&gt;20.381856765429&lt;/D&gt;&lt;D xsi:type="xsd:double"&gt;21.7651845122956&lt;/D&gt;&lt;D xsi:type="xsd:double"&gt;22.2767425496848&lt;/D&gt;&lt;D xsi:type="xsd:double"&gt;22.665781846874&lt;/D&gt;&lt;D xsi:type="xsd:double"&gt;22.7675107402841&lt;/D&gt;&lt;D xsi:type="xsd:double"&gt;22.4327679812251&lt;/D&gt;&lt;D xsi:type="xsd:double"&gt;22.5507802149751&lt;/D&gt;&lt;D xsi:type="xsd:double"&gt;22.817985806256&lt;/D&gt;&lt;/FQL&gt;&lt;FQL&gt;&lt;Q&gt;DDR3512M-FDS^FG_PRICE_MAVG(0,,,,30)&lt;/Q&gt;&lt;R&gt;1&lt;/R&gt;&lt;C&gt;1&lt;/C&gt;&lt;D xsi:type="xsd:double"&gt;0.9556652&lt;/D&gt;&lt;/FQL&gt;&lt;FQL&gt;&lt;Q&gt;PASP-FDS^FG_PRICE_MAVG(0,,,,30)&lt;/Q&gt;&lt;R&gt;1&lt;/R&gt;&lt;C&gt;1&lt;/C&gt;&lt;D xsi:type="xsd:double"&gt;957.36664&lt;/D&gt;&lt;/FQL&gt;&lt;FQL&gt;&lt;Q&gt;PLATI-FDS^FG_PRICE_MAVG(0,,,,30)&lt;/Q&gt;&lt;R&gt;1&lt;/R&gt;&lt;C&gt;1&lt;/C&gt;&lt;D xsi:type="xsd:double"&gt;1012.7&lt;/D&gt;&lt;/FQL&gt;&lt;FQL&gt;&lt;Q&gt;W-FDS^FG_PRICE_MAVG(0,,,,30)&lt;/Q&gt;&lt;R&gt;1&lt;/R&gt;&lt;C&gt;1&lt;/C&gt;&lt;D xsi:type="xsd:double"&gt;6.308833&lt;/D&gt;&lt;/FQL&gt;&lt;FQL&gt;&lt;Q&gt;COPP-FDS^FG_PRICE_MAVG(0,,,,30)&lt;/Q&gt;&lt;R&gt;1&lt;/R&gt;&lt;C&gt;1&lt;/C&gt;&lt;D xsi:type="xsd:double"&gt;4.6506834&lt;/D&gt;&lt;/FQL&gt;&lt;FQL&gt;&lt;Q&gt;CAGDPY@NL^EE_ACTUAL_ANNUAL(MED,0)&lt;/Q&gt;&lt;R&gt;1&lt;/R&gt;&lt;C&gt;1&lt;/C&gt;&lt;D xsi:type="xsd:double"&gt;10.1631565168417&lt;/D&gt;&lt;/FQL&gt;&lt;FQL&gt;&lt;Q&gt;CAGDPY@CA^EE_ACTUAL_ANNUAL(MED,0)&lt;/Q&gt;&lt;R&gt;1&lt;/R&gt;&lt;C&gt;1&lt;/C&gt;&lt;D xsi:type="xsd:double"&gt;-0.725414399026327&lt;/D&gt;&lt;/FQL&gt;&lt;FQL&gt;&lt;Q&gt;USDITL^FG_PRICE_CHANGE(0,-6AM)&lt;/Q&gt;&lt;R&gt;1&lt;/R&gt;&lt;C&gt;1&lt;/C&gt;&lt;D xsi:type="xsd:double"&gt;3.6202549999999998&lt;/D&gt;&lt;/FQL&gt;&lt;FQL&gt;&lt;Q&gt;USDANG^FG_PRICE_CHANGE(0,-6AM)&lt;/Q&gt;&lt;R&gt;1&lt;/R&gt;&lt;C&gt;1&lt;/C&gt;&lt;D xsi:type="xsd:double"&gt;0&lt;/D&gt;&lt;/FQL&gt;&lt;FQL&gt;&lt;Q&gt;USDGBP^FG_PRICE_CHANGE(0,-6AM)&lt;/Q&gt;&lt;R&gt;1&lt;/R&gt;&lt;C&gt;1&lt;/C&gt;&lt;D xsi:type="xsd:double"&gt;1.0204911&lt;/D&gt;&lt;/FQL&gt;&lt;FQL&gt;&lt;Q&gt;USDJPY^FG_PRICE_CHANGE(0,-6AM)&lt;/Q&gt;&lt;R&gt;1&lt;/R&gt;&lt;C&gt;1&lt;/C&gt;&lt;D xsi:type="xsd:double"&gt;14.170122&lt;/D&gt;&lt;/FQL&gt;&lt;FQL&gt;&lt;Q&gt;USDCAD^FG_PRICE_CHANGE(0,-6AM)&lt;/Q&gt;&lt;R&gt;1&lt;/R&gt;&lt;C&gt;1&lt;/C&gt;&lt;D xsi:type="xsd:double"&gt;3.7690043&lt;/D&gt;&lt;/FQL&gt;&lt;FQL&gt;&lt;Q&gt;USDNZD^FG_PRICE_CHANGE(0,-6AM)&lt;/Q&gt;&lt;R&gt;1&lt;/R&gt;&lt;C&gt;1&lt;/C&gt;&lt;D xsi:type="xsd:double"&gt;4.332483&lt;/D&gt;&lt;/FQL&gt;&lt;FQL&gt;&lt;Q&gt;EWC^FMA_EPS(NTMA,-20AY,0,CY,,"PORTAGG","MEANR")&lt;/Q&gt;&lt;R&gt;20&lt;/R&gt;&lt;C&gt;1&lt;/C&gt;&lt;D xsi:type="xsd:double"&gt;1.20309203563583&lt;/D&gt;&lt;D xsi:type="xsd:double"&gt;1.51116357259943&lt;/D&gt;&lt;D xsi:type="xsd:double"&gt;1.75142389864603&lt;/D&gt;&lt;D xsi:type="xsd:double"&gt;2.13167450038286&lt;/D&gt;&lt;D xsi:type="xsd:double"&gt;1.71974218387406&lt;/D&gt;&lt;D xsi:type="xsd:double"&gt;1.79551827424964&lt;/D&gt;&lt;D xsi:type="xsd:double"&gt;2.09754276006241&lt;/D&gt;&lt;D xsi:type="xsd:double"&gt;2.2894893869441&lt;/D&gt;&lt;D xsi:type="xsd:double"&gt;2.21761530023934&lt;/D&gt;&lt;D xsi:type="xsd:double"&gt;2.02017545762442&lt;/D&gt;&lt;D xsi:type="xsd:double"&gt;1.86130476812284&lt;/D&gt;&lt;D xsi:type="xsd:double"&gt;1.52246252495242&lt;/D&gt;&lt;D xsi:type="xsd:double"&gt;1.66157074539786&lt;/D&gt;&lt;D xsi:type="xsd:double"&gt;1.86172454535832&lt;/D&gt;&lt;D xsi:type="xsd:double"&gt;1.97740509819126&lt;/D&gt;&lt;D xsi:type="xsd:double"&gt;2.07393921799229&lt;/D&gt;&lt;D xsi:type="xsd:double"&gt;1.95784087398727&lt;/D&gt;&lt;D xsi:type="xsd:double"&gt;2.66448337817763&lt;/D&gt;&lt;D xsi:type="xsd:double"&gt;2.74920456102042&lt;/D&gt;&lt;D xsi:type="xsd:double"&gt;2.68263358415049&lt;/D&gt;&lt;/FQL&gt;&lt;FQL&gt;&lt;Q&gt;ENZL^P_PRICE_RETURNS_PR('52W',2,-10AY,0,AM)&lt;/Q&gt;&lt;R&gt;121&lt;/R&gt;&lt;C&gt;1&lt;/C&gt;&lt;D xsi:type="xsd:double"&gt;31.260944&lt;/D&gt;&lt;D xsi:type="xsd:double"&gt;19.711994&lt;/D&gt;&lt;D xsi:type="xsd:double"&gt;25.170158&lt;/D&gt;&lt;D xsi:type="xsd:double"&gt;5.305612&lt;/D&gt;&lt;D xsi:type="xsd:double"&gt;5.2200913&lt;/D&gt;&lt;D xsi:type="xsd:double"&gt;9.209024&lt;/D&gt;&lt;D xsi:type="xsd:double"&gt;12.191319&lt;/D&gt;&lt;D xsi:type="xsd:double"&gt;7.9549313&lt;/D&gt;&lt;D xsi:type="xsd:double"&gt;8.312106&lt;/D&gt;&lt;D xsi:type="xsd:double"&gt;0.83146095&lt;/D&gt;&lt;D xsi:type="xsd:double"&gt;2.079451&lt;/D&gt;&lt;D xsi:type="xsd:double"&gt;-5.582863&lt;/D&gt;&lt;D xsi:type="xsd:double"&gt;-11.957497&lt;/D&gt;&lt;D xsi:type="xsd:double"&gt;-10.946125&lt;/D&gt;&lt;D xsi:type="xsd:double"&gt;-15.653503&lt;/D&gt;&lt;D xsi:type="xsd:double"&gt;-13.22447&lt;/D&gt;&lt;D xsi:type="xsd:double"&gt;-5.2868485&lt;/D&gt;&lt;D xsi:type="xsd:double"&gt;-7.555169&lt;/D&gt;&lt;D xsi:type="xsd:double"&gt;-2.368337&lt;/D&gt;&lt;D xsi:type="xsd:double"&gt;-7.8116775&lt;/D&gt;&lt;D xsi:type="xsd:double"&gt;-6.431919&lt;/D&gt;&lt;D xsi:type="xsd:double"&gt;1.1260986&lt;/D&gt;&lt;D xsi:type="xsd:double"&gt;5.696678&lt;/D&gt;&lt;D xsi:type="xsd:double"&gt;12.448978&lt;/D&gt;&lt;D xsi:type="xsd:double"&gt;22.723888&lt;/D&gt;&lt;D xsi:type="xsd:double"&gt;33.82131&lt;/D&gt;&lt;D xsi:type="xsd:double"&gt;49.413906&lt;/D&gt;&lt;D xsi:type="xsd:double"&gt;49.346207&lt;/D&gt;&lt;D xsi:type="xsd:double"&gt;23.400259&lt;/D&gt;&lt;D xsi:type="xsd:double"&gt;23.127138&lt;/D&gt;&lt;D xsi:type="xsd:double"&gt;12.225819&lt;/D&gt;&lt;D xsi:type="xsd:double"&gt;32.269108&lt;/D&gt;&lt;D xsi:type="xsd:double"&gt;23.936033&lt;/D&gt;&lt;D xsi:type="xsd:double"&gt;9.643448&lt;/D&gt;&lt;D xsi:type="xsd:double"&gt;7.6562405&lt;/D&gt;&lt;D xsi:type="xsd:double"&gt;12.167358&lt;/D&gt;&lt;D xsi:type="xsd:double"&gt;17.3154&lt;/D&gt;&lt;D xsi:type="xsd:double"&gt;9.961689&lt;/D&gt;&lt;D xsi:type="xsd:double"&gt;5.8377743&lt;/D&gt;&lt;D xsi:type="xsd:double"&gt;7.4148297&lt;/D&gt;&lt;D xsi:type="xsd:double"&gt;12.532436&lt;/D&gt;&lt;D xsi:type="xsd:double"&gt;14.544296&lt;/D&gt;&lt;D xsi:type="xsd:double"&gt;24.60494&lt;/D&gt;&lt;D xsi:type="xsd:double"&gt;17.491758&lt;/D&gt;&lt;D xsi:type="xsd:double"&gt;16.050316&lt;/D&gt;&lt;D xsi:type="xsd:double"&gt;21.49179&lt;/D&gt;&lt;D xsi:type="xsd:double"&gt;17.193449&lt;/D&gt;&lt;D xsi:type="xsd:double"&gt;13.247908&lt;/D&gt;&lt;D xsi:type="xsd:double"&gt;8.25802&lt;/D&gt;&lt;D xsi:type="xsd:double"&gt;5.470836&lt;/D&gt;&lt;D xsi:type="xsd:double"&gt;8.671534&lt;/D&gt;&lt;D xsi:type="xsd:double"&gt;6.7557573&lt;/D&gt;&lt;D xsi:type="xsd:double"&gt;0.57024956&lt;/D&gt;&lt;D xsi:type="xsd:double"&gt;8.026981&lt;/D&gt;&lt;D xsi:type="xsd:double"&gt;0.2032876&lt;/D&gt;&lt;D xsi:type="xsd:double"&gt;2.6671886&lt;/D&gt;&lt;D xsi:type="xsd:double"&gt;6.1311364&lt;/D&gt;&lt;D xsi:type="xsd:double"&gt;10.195231&lt;/D&gt;&lt;D xsi:type="xsd:double"&gt;13.34455&lt;/D&gt;&lt;D xsi:type="xsd:double"&gt;10.0963955&lt;/D&gt;&lt;D xsi:type="xsd:double"&gt;13.758814&lt;/D&gt;&lt;D xsi:type="xsd:double"&gt;17.971062&lt;/D&gt;&lt;D xsi:type="xsd:double"&gt;7.537532&lt;/D&gt;&lt;D xsi:type="xsd:double"&gt;10.067833&lt;/D&gt;&lt;D xsi:type="xsd:double"&gt;23.135233&lt;/D&gt;&lt;D xsi:type="xsd:double"&gt;21.434475&lt;/D&gt;&lt;D xsi:type="xsd:double"&gt;29.2261&lt;/D&gt;&lt;D xsi:type="xsd:double"&gt;22.468985&lt;/D&gt;&lt;D xsi:type="xsd:double"&gt;10.86787&lt;/D&gt;&lt;D xsi:type="xsd:double"&gt;-12.229377&lt;/D&gt;&lt;D xsi:type="xsd:double"&gt;-0.44589043&lt;/D&gt;&lt;D xsi:type="xsd:double"&gt;3.471911&lt;/D&gt;&lt;D xsi:type="xsd:double"&gt;4.7606587&lt;/D&gt;&lt;D xsi:type="xsd:double"&gt;9.069872&lt;/D&gt;&lt;D xsi:type="xsd:double"&gt;22.61164&lt;/D&gt;&lt;D xsi:type="xsd:double"&gt;15.497816&lt;/D&gt;&lt;D xsi:type="xsd:double"&gt;18.138515&lt;/D&gt;&lt;D xsi:type="xsd:double"&gt;23.804546&lt;/D&gt;&lt;D xsi:type="xsd:double"&gt;18.586086&lt;/D&gt;&lt;D xsi:type="xsd:double"&gt;21.584797&lt;/D&gt;&lt;D xsi:type="xsd:double"&gt;15.762925&lt;/D&gt;&lt;D xsi:type="xsd:double"&gt;35.993122&lt;/D&gt;&lt;D xsi:type="xsd:double"&gt;32.78004&lt;/D&gt;&lt;D xsi:type="xsd:double"&gt;23.299658&lt;/D&gt;&lt;D xsi:type="xsd:double"&gt;16.537403&lt;/D&gt;&lt;D xsi:type="xsd:double"&gt;6.283009&lt;/D&gt;&lt;D xsi:type="xsd:double"&gt;5.7263017&lt;/D&gt;&lt;D xsi:type="xsd:double"&gt;8.699155&lt;/D&gt;&lt;D xsi:type="xsd:double"&gt;7.8549147&lt;/D&gt;&lt;D xsi:type="xsd:double"&gt;-10.285175&lt;/D&gt;&lt;D xsi:type="xsd:double"&gt;-11.1508665&lt;/D&gt;&lt;D xsi:type="xsd:double"&gt;-23.020119&lt;/D&gt;&lt;D xsi:type="xsd:double"&gt;-10.869855&lt;/D&gt;&lt;D xsi:type="xsd:double"&gt;-10.3428955&lt;/D&gt;&lt;D xsi:type="xsd:double"&gt;-20.214838&lt;/D&gt;&lt;D xsi:type="xsd:double"&gt;-21.01115&lt;/D&gt;&lt;D xsi:type="xsd:double"&gt;-24.293495&lt;/D&gt;&lt;D xsi:type="xsd:double"&gt;-19.263666&lt;/D&gt;&lt;D xsi:type="xsd:double"&gt;-23.400068&lt;/D&gt;&lt;D xsi:type="xsd:double"&gt;-29.139114&lt;/D&gt;&lt;D xsi:type="xsd:double"&gt;-30.397856&lt;/D&gt;&lt;D xsi:type="xsd:double"&gt;-18.763124&lt;/D&gt;&lt;D xsi:type="xsd:double"&gt;-15.966188&lt;/D&gt;&lt;D xsi:type="xsd:double"&gt;0.30043125&lt;/D&gt;&lt;D xsi:type="xsd:double"&gt;-8.5211935&lt;/D&gt;&lt;D xsi:type="xsd:double"&gt;-7.63427&lt;/D&gt;&lt;D xsi:type="xsd:double"&gt;0.11956692&lt;/D&gt;&lt;D xsi:type="xsd:double"&gt;3.4167051&lt;/D&gt;&lt;D xsi:type="xsd:double"&gt;6.8963647&lt;/D&gt;&lt;D xsi:type="xsd:double"&gt;4.710984&lt;/D&gt;&lt;D xsi:type="xsd:double"&gt;-1.4884889&lt;/D&gt;&lt;D xsi:type="xsd:double"&gt;5.00108&lt;/D&gt;&lt;D xsi:type="xsd:double"&gt;-2.4090886&lt;/D&gt;&lt;D xsi:type="xsd:double"&gt;1.0924816&lt;/D&gt;&lt;D xsi:type="xsd:double"&gt;3.4864664&lt;/D&gt;&lt;D xsi:type="xsd:double"&gt;-7.9473734&lt;/D&gt;&lt;D xsi:type="xsd:double"&gt;-4.6904087&lt;/D&gt;&lt;D xsi:type="xsd:double"&gt;-4.6717644&lt;/D&gt;&lt;D xsi:type="xsd:double"&gt;-6.525427&lt;/D&gt;&lt;D xsi:type="xsd:double"&gt;-4.846162&lt;/D&gt;&lt;D xsi:type="xsd:double"&gt;-1.4715075&lt;/D&gt;&lt;/FQL&gt;&lt;FQL&gt;&lt;Q&gt;EWI^FMA_DIV_YLD(NTMA,-10AY,0,AM,"PORTAGG","MEANR")&lt;/Q&gt;&lt;R&gt;121&lt;/</t>
        </r>
      </text>
    </comment>
    <comment ref="A12" authorId="0" shapeId="0" xr:uid="{2FB87D93-AD3A-4DBE-B973-24DE4AF886B1}">
      <text>
        <r>
          <rPr>
            <b/>
            <sz val="9"/>
            <color indexed="81"/>
            <rFont val="Tahoma"/>
            <charset val="1"/>
          </rPr>
          <t>R&gt;&lt;C&gt;1&lt;/C&gt;&lt;D xsi:type="xsd:double"&gt;3.53834836860931&lt;/D&gt;&lt;D xsi:type="xsd:double"&gt;3.4633092936735&lt;/D&gt;&lt;D xsi:type="xsd:double"&gt;3.60339535441902&lt;/D&gt;&lt;D xsi:type="xsd:double"&gt;3.6034078742135&lt;/D&gt;&lt;D xsi:type="xsd:double"&gt;3.93055819721228&lt;/D&gt;&lt;D xsi:type="xsd:double"&gt;3.87477681546849&lt;/D&gt;&lt;D xsi:type="xsd:double"&gt;4.00401583903138&lt;/D&gt;&lt;D xsi:type="xsd:double"&gt;3.81736137338666&lt;/D&gt;&lt;D xsi:type="xsd:double"&gt;3.41457510831913&lt;/D&gt;&lt;D xsi:type="xsd:double"&gt;3.125377393635&lt;/D&gt;&lt;D xsi:type="xsd:double"&gt;3.12332019992572&lt;/D&gt;&lt;D xsi:type="xsd:double"&gt;3.14493389748772&lt;/D&gt;&lt;D xsi:type="xsd:double"&gt;3.20644966201649&lt;/D&gt;&lt;D xsi:type="xsd:double"&gt;3.23282505542394&lt;/D&gt;&lt;D xsi:type="xsd:double"&gt;3.36161607645676&lt;/D&gt;&lt;D xsi:type="xsd:double"&gt;3.62704032346599&lt;/D&gt;&lt;D xsi:type="xsd:double"&gt;3.52530888758981&lt;/D&gt;&lt;D xsi:type="xsd:double"&gt;3.5514159722485&lt;/D&gt;&lt;D xsi:type="xsd:double"&gt;3.84874800246021&lt;/D&gt;&lt;D xsi:type="xsd:double"&gt;4.53666471060743&lt;/D&gt;&lt;D xsi:type="xsd:double"&gt;4.53903714469403&lt;/D&gt;&lt;D xsi:type="xsd:double"&gt;4.36113590156608&lt;/D&gt;&lt;D xsi:type="xsd:double"&gt;4.23463956966988&lt;/D&gt;&lt;D xsi:type="xsd:double"&gt;4.46586461677135&lt;/D&gt;&lt;D xsi:type="xsd:double"&gt;5.22480321140259&lt;/D&gt;&lt;D xsi:type="xsd:double"&gt;4.84567846013278&lt;/D&gt;&lt;D xsi:type="xsd:double"&gt;4.72703655986063&lt;/D&gt;&lt;D xsi:type="xsd:double"&gt;5.03441941996967&lt;/D&gt;&lt;D xsi:type="xsd:double"&gt;4.72184418267947&lt;/D&gt;&lt;D xsi:type="xsd:double"&gt;4.96802964962956&lt;/D&gt;&lt;D xsi:type="xsd:double"&gt;4.29669173872417&lt;/D&gt;&lt;D xsi:type="xsd:double"&gt;4.35892248650116&lt;/D&gt;&lt;D xsi:type="xsd:double"&gt;4.31029051930143&lt;/D&gt;&lt;D xsi:type="xsd:double"&gt;3.93471224630049&lt;/D&gt;&lt;D xsi:type="xsd:double"&gt;3.91933641965632&lt;/D&gt;&lt;D xsi:type="xsd:double"&gt;3.83574998414522&lt;/D&gt;&lt;D xsi:type="xsd:double"&gt;3.78999102476899&lt;/D&gt;&lt;D xsi:type="xsd:double"&gt;3.77611740327441&lt;/D&gt;&lt;D xsi:type="xsd:double"&gt;3.77922270627494&lt;/D&gt;&lt;D xsi:type="xsd:double"&gt;3.69113898340999&lt;/D&gt;&lt;D xsi:type="xsd:double"&gt;3.80407245657845&lt;/D&gt;&lt;D xsi:type="xsd:double"&gt;3.90264003205092&lt;/D&gt;&lt;D xsi:type="xsd:double"&gt;3.9407952404814&lt;/D&gt;&lt;D xsi:type="xsd:double"&gt;3.715486927804&lt;/D&gt;&lt;D xsi:type="xsd:double"&gt;3.97217746579567&lt;/D&gt;&lt;D xsi:type="xsd:double"&gt;4.12093541584289&lt;/D&gt;&lt;D xsi:type="xsd:double"&gt;3.89973611984773&lt;/D&gt;&lt;D xsi:type="xsd:double"&gt;4.26631934256164&lt;/D&gt;&lt;D xsi:type="xsd:double"&gt;4.5298309513909&lt;/D&gt;&lt;D xsi:type="xsd:double"&gt;4.3825683159902&lt;/D&gt;&lt;D xsi:type="xsd:double"&gt;4.67537192993438&lt;/D&gt;&lt;D xsi:type="xsd:double"&gt;4.70037028921162&lt;/D&gt;&lt;D xsi:type="xsd:double"&gt;5.15511531246389&lt;/D&gt;&lt;D xsi:type="xsd:double"&gt;5.13766918132521&lt;/D&gt;&lt;D xsi:type="xsd:double"&gt;5.4543874162368&lt;/D&gt;&lt;D xsi:type="xsd:double"&gt;5.11748617147708&lt;/D&gt;&lt;D xsi:type="xsd:double"&gt;4.81990355712117&lt;/D&gt;&lt;D xsi:type="xsd:double"&gt;4.71372866129699&lt;/D&gt;&lt;D xsi:type="xsd:double"&gt;4.64846280292744&lt;/D&gt;&lt;D xsi:type="xsd:double"&gt;4.99825972915832&lt;/D&gt;&lt;D xsi:type="xsd:double"&gt;4.84056531922918&lt;/D&gt;&lt;D xsi:type="xsd:double"&gt;4.72456656508601&lt;/D&gt;&lt;D xsi:type="xsd:double"&gt;4.96851145944815&lt;/D&gt;&lt;D xsi:type="xsd:double"&gt;4.74352820058867&lt;/D&gt;&lt;D xsi:type="xsd:double"&gt;4.63933279537819&lt;/D&gt;&lt;D xsi:type="xsd:double"&gt;4.52978251901181&lt;/D&gt;&lt;D xsi:type="xsd:double"&gt;4.44693216965644&lt;/D&gt;&lt;D xsi:type="xsd:double"&gt;4.46208439250665&lt;/D&gt;&lt;D xsi:type="xsd:double"&gt;5.00870337290942&lt;/D&gt;&lt;D xsi:type="xsd:double"&gt;6.32249178308411&lt;/D&gt;&lt;D xsi:type="xsd:double"&gt;5.33199937869182&lt;/D&gt;&lt;D xsi:type="xsd:double"&gt;4.61566542196607&lt;/D&gt;&lt;D xsi:type="xsd:double"&gt;4.4130319974048&lt;/D&gt;&lt;D xsi:type="xsd:double"&gt;4.31090408874201&lt;/D&gt;&lt;D xsi:type="xsd:double"&gt;3.99841115369264&lt;/D&gt;&lt;D xsi:type="xsd:double"&gt;4.17260865869728&lt;/D&gt;&lt;D xsi:type="xsd:double"&gt;4.5488970479574&lt;/D&gt;&lt;D xsi:type="xsd:double"&gt;3.87059193919859&lt;/D&gt;&lt;D xsi:type="xsd:double"&gt;3.9263997256899&lt;/D&gt;&lt;D xsi:type="xsd:double"&gt;4.10942434548994&lt;/D&gt;&lt;D xsi:type="xsd:double"&gt;4.12158272097112&lt;/D&gt;&lt;D xsi:type="xsd:double"&gt;4.03481708851624&lt;/D&gt;&lt;D xsi:type="xsd:double"&gt;4.13189907989272&lt;/D&gt;&lt;D xsi:type="xsd:double"&gt;4.09625271062973&lt;/D&gt;&lt;D xsi:type="xsd:double"&gt;4.12836256051948&lt;/D&gt;&lt;D xsi:type="xsd:double"&gt;4.22456730249964&lt;/D&gt;&lt;D xsi:type="xsd:double"&gt;4.39015084236153&lt;/D&gt;&lt;D xsi:type="xsd:double"&gt;4.5619310801819&lt;/D&gt;&lt;D xsi:type="xsd:double"&gt;4.38664395323379&lt;/D&gt;&lt;D xsi:type="xsd:double"&gt;4.6191803458662&lt;/D&gt;&lt;D xsi:type="xsd:double"&gt;4.5753233866312&lt;/D&gt;&lt;D xsi:type="xsd:double"&gt;4.80874726815908&lt;/D&gt;&lt;D xsi:type="xsd:double"&gt;5.07032951742041&lt;/D&gt;&lt;D xsi:type="xsd:double"&gt;5.14374987525138&lt;/D&gt;&lt;D xsi:type="xsd:double"&gt;5.1605287910056&lt;/D&gt;&lt;D xsi:type="xsd:double"&gt;5.09435706025578&lt;/D&gt;&lt;D xsi:type="xsd:double"&gt;5.73074126933345&lt;/D&gt;&lt;D xsi:type="xsd:double"&gt;5.89699034266719&lt;/D&gt;&lt;D xsi:type="xsd:double"&gt;5.8092080616023&lt;/D&gt;&lt;D xsi:type="xsd:double"&gt;6.14092495423626&lt;/D&gt;&lt;D xsi:type="xsd:double"&gt;5.77312539170413&lt;/D&gt;&lt;D xsi:type="xsd:double"&gt;5.54981329889721&lt;/D&gt;&lt;D xsi:type="xsd:double"&gt;5.90728745306375&lt;/D&gt;&lt;D xsi:type="xsd:double"&gt;5.42929540805749&lt;/D&gt;&lt;D xsi:type="xsd:double"&gt;5.57739276786835&lt;/D&gt;&lt;D xsi:type="xsd:double"&gt;5.55587827050823&lt;/D&gt;&lt;D xsi:type="xsd:double"&gt;5.39790572246111&lt;/D&gt;&lt;D xsi:type="xsd:double"&gt;5.68716740384613&lt;/D&gt;&lt;D xsi:type="xsd:double"&gt;5.3992866371773&lt;/D&gt;&lt;D xsi:type="xsd:double"&gt;5.22225193256251&lt;/D&gt;&lt;D xsi:type="xsd:double"&gt;5.51763997674725&lt;/D&gt;&lt;D xsi:type="xsd:double"&gt;5.54510714380129&lt;/D&gt;&lt;D xsi:type="xsd:double"&gt;5.81248357827925&lt;/D&gt;&lt;D xsi:type="xsd:double"&gt;5.55238419362445&lt;/D&gt;&lt;D xsi:type="xsd:double"&gt;5.48372322432957&lt;/D&gt;&lt;D xsi:type="xsd:double"&gt;5.43406890767703&lt;/D&gt;&lt;D xsi:type="xsd:double"&gt;5.31598887820835&lt;/D&gt;&lt;D xsi:type="xsd:double"&gt;5.07952817824143&lt;/D&gt;&lt;D xsi:type="xsd:double"&gt;5.24226208945742&lt;/D&gt;&lt;D xsi:type="xsd:double"&gt;5.22840037216431&lt;/D&gt;&lt;D xsi:type="xsd:double"&gt;5.48221082220876&lt;/D&gt;&lt;/FQL&gt;&lt;FQL&gt;&lt;Q&gt;EWI^FG_PRICE_MAVG(0,,,,30)&lt;/Q&gt;&lt;R&gt;1&lt;/R&gt;&lt;C&gt;1&lt;/C&gt;&lt;D xsi:type="xsd:double"&gt;37.631668&lt;/D&gt;&lt;/FQL&gt;&lt;FQL&gt;&lt;Q&gt;SPY^FG_PRICE_MAVG(0,,,,30)&lt;/Q&gt;&lt;R&gt;1&lt;/R&gt;&lt;C&gt;1&lt;/C&gt;&lt;D xsi:type="xsd:double"&gt;536.006&lt;/D&gt;&lt;/FQL&gt;&lt;FQL&gt;&lt;Q&gt;EWJ^FG_PRICE_MAVG(0,,,,30)&lt;/Q&gt;&lt;R&gt;1&lt;/R&gt;&lt;C&gt;1&lt;/C&gt;&lt;D xsi:type="xsd:double"&gt;68.06067&lt;/D&gt;&lt;/FQL&gt;&lt;FQL&gt;&lt;Q&gt;ENZL^FG_PRICE_MAVG(0,,,,30)&lt;/Q&gt;&lt;R&gt;1&lt;/R&gt;&lt;C&gt;1&lt;/C&gt;&lt;D xsi:type="xsd:double"&gt;45.717426&lt;/D&gt;&lt;/FQL&gt;&lt;FQL&gt;&lt;Q&gt;EWI^FMA_ROE(NTMA,-20AY,NOW,FY,"PORTAGG","MEANR")&lt;/Q&gt;&lt;R&gt;20&lt;/R&gt;&lt;C&gt;1&lt;/C&gt;&lt;D xsi:type="xsd:double"&gt;12.7201174133668&lt;/D&gt;&lt;D xsi:type="xsd:double"&gt;14.3538872460945&lt;/D&gt;&lt;D xsi:type="xsd:double"&gt;15.0689086026843&lt;/D&gt;&lt;D xsi:type="xsd:double"&gt;13.8121430445963&lt;/D&gt;&lt;D xsi:type="xsd:double"&gt;10.7897502226351&lt;/D&gt;&lt;D xsi:type="xsd:double"&gt;8.0585564947071&lt;/D&gt;&lt;D xsi:type="xsd:double"&gt;8.81990423698703&lt;/D&gt;&lt;D xsi:type="xsd:double"&gt;8.11660136585425&lt;/D&gt;&lt;D xsi:type="xsd:double"&gt;7.83939542493847&lt;/D&gt;&lt;D xsi:type="xsd:double"&gt;7.34575996709421&lt;/D&gt;&lt;D xsi:type="xsd:double"&gt;7.29870487123998&lt;/D&gt;&lt;D xsi:type="xsd:double"&gt;7.28937842659948&lt;/D&gt;&lt;D xsi:type="xsd:double"&gt;7.64480507807432&lt;/D&gt;&lt;D xsi:type="xsd:double"&gt;9.05384965064241&lt;/D&gt;&lt;D xsi:type="xsd:double"&gt;10.3909656073461&lt;/D&gt;&lt;D xsi:type="xsd:double"&gt;10.2353053584578&lt;/D&gt;&lt;D xsi:type="xsd:double"&gt;8.27578853786002&lt;/D&gt;&lt;D xsi:type="xsd:double"&gt;11.7277999998841&lt;/D&gt;&lt;D xsi:type="xsd:double"&gt;13.3202789860828&lt;/D&gt;&lt;D xsi:type="xsd:double"&gt;13.3572149047324&lt;/D&gt;&lt;/FQL&gt;&lt;FQL&gt;&lt;Q&gt;TRYVN10Y-FDS^FG_YIELD(-10AY,0,Y,,"YTM")&lt;/Q&gt;&lt;R&gt;10&lt;/R&gt;&lt;C&gt;1&lt;/C&gt;&lt;D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xsi:type="xsd:double"&gt;1.211&lt;/D&gt;&lt;/FQL&gt;&lt;FQL&gt;&lt;Q&gt;SPY^PERCENT_CHANGE(FMA_EPS(+1,0,,,,"PORTAGG","MEAN"),FMA_EPS(+1,-1AM,,,,"PORTAGG","MEAN"))&lt;/Q&gt;&lt;R&gt;1&lt;/R&gt;&lt;C&gt;1&lt;/C&gt;&lt;D xsi:type="xsd:double"&gt;-0.507189181449166&lt;/D&gt;&lt;/FQL&gt;&lt;FQL&gt;&lt;Q&gt;EWC^P_PRICE(0)/P_PRICE_LOW_PR(0,,,,,,"PRICE","INTRA","52W")-1&lt;/Q&gt;&lt;R&gt;1&lt;/R&gt;&lt;C&gt;1&lt;/C&gt;&lt;D xsi:type="xsd:double"&gt;0.18083417&lt;/D&gt;&lt;/FQL&gt;&lt;FQL&gt;&lt;Q&gt;EWJ^SIZE(FG_CONSTITUENTS)&lt;/Q&gt;&lt;R&gt;1&lt;/R&gt;&lt;C&gt;1&lt;/C&gt;&lt;D xsi:type="xsd:long"&gt;205&lt;/D&gt;&lt;/FQL&gt;&lt;FQL&gt;&lt;Q&gt;EWI^FMA_RBICS_REV_CURRENT(30, LOC, "PORTAGG")&lt;/Q&gt;&lt;R&gt;1&lt;/R&gt;&lt;C&gt;1&lt;/C&gt;&lt;D xsi:type="xsd:double"&gt;37.3007280733583&lt;/D&gt;&lt;/FQL&gt;&lt;FQL&gt;&lt;Q&gt;EWQ^FG_ROE(0)&lt;/Q&gt;&lt;R&gt;1&lt;/R&gt;&lt;C&gt;1&lt;/C&gt;&lt;D xsi:type="xsd:double"&gt;12.7753102309871&lt;/D&gt;&lt;/FQL&gt;&lt;FQL&gt;&lt;Q&gt;REFFFUND-FDS^(SUBARRAY(NOT_NA(NO_REPEAT_F(FG_YIELD(NOW,-10AY,D))),0,1)-SUBARRAY(NOT_NA(NO_REPEAT_F(FG_YIELD(NOW,-10AY,D))),1,1))*100&lt;/Q&gt;&lt;R&gt;1&lt;/R&gt;&lt;C&gt;1&lt;/C&gt;&lt;D xsi:type="xsd:double"&gt;25&lt;/D&gt;&lt;/FQL&gt;&lt;FQL&gt;&lt;Q&gt;TRYNZ10Y-FDS^FG_YIELD_NAME&lt;/Q&gt;&lt;R&gt;1&lt;/R&gt;&lt;C&gt;1&lt;/C&gt;&lt;D xsi:type="xsd:string"&gt;New Zealand Benchmark Bond - 10 Year&lt;/D&gt;&lt;/FQL&gt;&lt;FQL&gt;&lt;Q&gt;VWO^FG_FCF_YIELD_NTM(0)&lt;/Q&gt;&lt;R&gt;1&lt;/R&gt;&lt;C&gt;1&lt;/C&gt;&lt;D xsi:type="xsd:double"&gt;5.42403043686262&lt;/D&gt;&lt;/FQL&gt;&lt;FQL&gt;&lt;Q&gt;EWI^FMA_PE(NTMA,0,,,"PORTAGG","MEANR")&lt;/Q&gt;&lt;R&gt;1&lt;/R&gt;&lt;C&gt;1&lt;/C&gt;&lt;D xsi:type="xsd:double"&gt;9.31875467970636&lt;/D&gt;&lt;/FQL&gt;&lt;FQL&gt;&lt;Q&gt;EWN^JULIAN(FMA_DIV_YLD(NTMA,NOW,NOW,M,"PORTAGG","MEANR").DATES)&lt;/Q&gt;&lt;R&gt;1&lt;/R&gt;&lt;C&gt;1&lt;/C&gt;&lt;D xsi:type="xsd:long"&gt;45470&lt;/D&gt;&lt;/FQL&gt;&lt;FQL&gt;&lt;Q&gt;QQQ^FMA_EVAL_EBITDA(NTMA,0,,,"PORTAGG","MEANR")&lt;/Q&gt;&lt;R&gt;1&lt;/R&gt;&lt;C&gt;1&lt;/C&gt;&lt;D xsi:type="xsd:double"&gt;16.9128532965975&lt;/D&gt;&lt;/FQL&gt;&lt;FQL&gt;&lt;Q&gt;TRYGR10Y-FDS^FG_YIELD(-10AY,0,Y,,"YTM")&lt;/Q&gt;&lt;R&gt;10&lt;/R&gt;&lt;C&gt;1&lt;/C&gt;&lt;D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xsi:type="xsd:double"&gt;3.099&lt;/D&gt;&lt;/FQL&gt;&lt;FQL&gt;&lt;Q&gt;ENZL^FMA_PE(LTMA,-10AY,0,AM,"PORTAGG","MEANR")&lt;/Q&gt;&lt;R&gt;121&lt;/R&gt;&lt;C&gt;1&lt;/C&gt;&lt;D xsi:type="xsd:double"&gt;17.9603066708657&lt;/D&gt;&lt;D xsi:type="xsd:double"&gt;18.1215551860966&lt;/D&gt;&lt;D xsi:type="xsd:double"&gt;18.1050061348496&lt;/D&gt;&lt;D xsi:type="xsd:double"&gt;17.9041434392104&lt;/D&gt;&lt;D xsi:type="xsd:double"&gt;18.2491863053381&lt;/D&gt;&lt;D xsi:type="xsd:double"&gt;18.4770941038802&lt;/D&gt;&lt;D xsi:type="xsd:double"&gt;19.135174035517&lt;/D&gt;&lt;D xsi:type="xsd:double"&gt;20.0829081486078&lt;/D&gt;&lt;D xsi:type="xsd:double"&gt;20.5337322033324&lt;/D&gt;&lt;D xsi:type="xsd:double"&gt;20.2006707560209&lt;/D&gt;&lt;D xsi:type="xsd:double"&gt;20.0557428804355&lt;/D&gt;&lt;D xsi:type="xsd:double"&gt;19.9766431577194&lt;/D&gt;&lt;D xsi:type="xsd:double"&gt;19.6496878236845&lt;/D&gt;&lt;D xsi:type="xsd:double"&gt;19.7242208505507&lt;/D&gt;&lt;D xsi:type="xsd:double"&gt;19.2539410452504&lt;/D&gt;&lt;D xsi:type="xsd:double"&gt;18.8898802758935&lt;/D&gt;&lt;D xsi:type="xsd:double"&gt;19.5270315424037&lt;/D&gt;&lt;D xsi:type="xsd:double"&gt;19.5938339966836&lt;/D&gt;&lt;D xsi:type="xsd:double"&gt;19.7503846980901&lt;/D&gt;&lt;D xsi:type="xsd:double"&gt;19.0872812444902&lt;/D&gt;&lt;D xsi:type="xsd:double"&gt;19.2903080505808&lt;/D&gt;&lt;D xsi:type="xsd:double"&gt;19.2428302603712&lt;/D&gt;&lt;D xsi:type="xsd:double"&gt;19.4198652735723&lt;/D&gt;&lt;D xsi:type="xsd:double"&gt;19.7113687304568&lt;/D&gt;&lt;D xsi:type="xsd:double"&gt;19.4194722029618&lt;/D&gt;&lt;D xsi:type="xsd:double"&gt;20.4848001334618&lt;/D&gt;&lt;D xsi:type="xsd:double"&gt;20.7805426923717&lt;/D&gt;&lt;D xsi:type="xsd:double"&gt;20.8121612414088&lt;/D&gt;&lt;D xsi:type="xsd:double"&gt;20.0749684485734&lt;/D&gt;&lt;D xsi:type="xsd:double"&gt;20.088094613932&lt;/D&gt;&lt;D xsi:type="xsd:double"&gt;19.995063383353&lt;/D&gt;&lt;D xsi:type="xsd:double"&gt;20.6890630841297&lt;/D&gt;&lt;D xsi:type="xsd:double"&gt;19.7021358680457&lt;/D&gt;&lt;D xsi:type="xsd:double"&gt;19.708271012537&lt;/D&gt;&lt;D xsi:type="xsd:double"&gt;19.9491833529165&lt;/D&gt;&lt;D xsi:type="xsd:double"&gt;20.018662549414&lt;/D&gt;&lt;D xsi:type="xsd:double"&gt;20.1845278340189&lt;/D&gt;&lt;D xsi:type="xsd:double"&gt;20.2788784152449&lt;/D&gt;&lt;D xsi:type="xsd:double"&gt;20.7024470206733&lt;/D&gt;&lt;D xsi:type="xsd:double"&gt;20.615949003739&lt;/D&gt;&lt;D xsi:type="xsd:double"&gt;21.2738816920246&lt;/D&gt;&lt;D xsi:type="xsd:double"&gt;21.3817267546877&lt;/D&gt;&lt;D xsi:type="xsd:double"&gt;22.3832747686785&lt;/D&gt;&lt;D xsi:type="xsd:double"&gt;22.0496253338217&lt;/D&gt;&lt;D xsi:type="xsd:double"&gt;22.6915007290246&lt;/D&gt;&lt;D xsi:type="xsd:double"&gt;22.444129212815&lt;/D&gt;&lt;D xsi:type="xsd:double"&gt;22.2664753550181&lt;/D&gt;&lt;D xsi:type="xsd:double"&gt;22.3886540725343&lt;/D&gt;&lt;D xsi:type="xsd:double"&gt;22.9283628355234&lt;/D&gt;&lt;D xsi:type="xsd:double"&gt;22.9621223800791&lt;/D&gt;&lt;D xsi:type="xsd:double"&gt;23.5254090043749&lt;/D&gt;&lt;D xsi:type="xsd:double"&gt;23.5544135019859&lt;/D&gt;&lt;D xsi:type="xsd:double"&gt;22.1527705536011&lt;/D&gt;&lt;D xsi:type="xsd:double"&gt;22.4364979380737&lt;/D&gt;&lt;D xsi:type="xsd:double"&gt;22.9248217065475&lt;/D&gt;&lt;D xsi:type="xsd:double"&gt;23.5225709144912&lt;/D&gt;&lt;D xsi:type="xsd:double"&gt;24.1815760550784&lt;/D&gt;&lt;D xsi:type="xsd:double"&gt;24.1364963825939&lt;/D&gt;&lt;D xsi:type="xsd:double"&gt;24.1921509649454&lt;/D&gt;&lt;D xsi:type="xsd:double"&gt;24.3629122826639&lt;/D&gt;&lt;D xsi:type="xsd:double"&gt;24.6848111926374&lt;/D&gt;&lt;D xsi:type="xsd:double"&gt;25.2092204939537&lt;/D&gt;&lt;D xsi:type="xsd:double"&gt;27.6784705243212&lt;/D&gt;&lt;D xsi:type="xsd:double"&gt;28.3667682013023&lt;/D&gt;&lt;D xsi:type="xsd:double"&gt;28.6233470831364&lt;/D&gt;&lt;D xsi:type="xsd:double"&gt;30.6718305405671&lt;/D&gt;&lt;D xsi:type="xsd:double"&gt;32.6498180472433&lt;/D&gt;&lt;D xsi:type="xsd:double"&gt;32.5829269066197&lt;/D&gt;&lt;D xsi:type="xsd:double"&gt;31.1164202842496&lt;/D&gt;&lt;D xsi:type="xsd:double"&gt;30.3305862666326&lt;/D&gt;&lt;D xsi:type="xsd:double"&gt;31.7642863436313&lt;/D&gt;&lt;D xsi:type="xsd:double"&gt;32.752382371143&lt;/D&gt;&lt;D xsi:type="xsd:double"&gt;32.4023525668873&lt;/D&gt;&lt;D xsi:type="xsd:double"&gt;33.4928266692619&lt;/D&gt;&lt;D xsi:type="xsd:double"&gt;34.5065602866794&lt;/D&gt;&lt;D xsi:type="xsd:double"&gt;33.8189932885928&lt;/D&gt;&lt;D xsi:type="xsd:double"&gt;35.3700177871155&lt;/D&gt;&lt;D xsi:type="xsd:double"&gt;35.3171921537724&lt;/D&gt;&lt;D xsi:type="xsd:double"&gt;37.8661436110235&lt;/D&gt;&lt;D xsi:type="xsd:double"&gt;37.0373389089881&lt;/D&gt;&lt;D xsi:type="xsd:double"&gt;34.3437409257866&lt;/D&gt;&lt;D xsi:type="xsd:double"&gt;34.3833292210324&lt;/D&gt;&lt;D xsi:type="xsd:double"&gt;34.5449741942013&lt;/D&gt;&lt;D xsi:type="xsd:double"&gt;34.8523571738549&lt;/D&gt;&lt;D xsi:type="xsd:double"&gt;35.9585281370919&lt;/D&gt;&lt;D xsi:type="xsd:double"&gt;36.3860015941751&lt;/D&gt;&lt;D xsi:type="xsd:double"&gt;37.9228829617447&lt;/D&gt;&lt;D xsi:type="xsd:double"&gt;38.7409937458024&lt;/D&gt;&lt;D xsi:type="xsd:double"&gt;38.7385952535251&lt;/D&gt;&lt;D xsi:type="xsd:double"&gt;37.6876440363277&lt;/D&gt;&lt;D xsi:type="xsd:double"&gt;39.0132458955301&lt;/D&gt;&lt;D xsi:type="xsd:double"&gt;35.9252840202751&lt;/D&gt;&lt;D xsi:type="xsd:double"&gt;35.2856899235504&lt;/D&gt;&lt;D xsi:type="xsd:double"&gt;34.8682963880562&lt;/D&gt;&lt;D xsi:type="xsd:double"&gt;34.5265592880477&lt;/D&gt;&lt;D xsi:type="xsd:double"&gt;33.6730168098908&lt;/D&gt;&lt;D xsi:type="xsd:double"&gt;33.1101155922631&lt;/D&gt;&lt;D xsi:type="xsd:double"&gt;32.9720414517544&lt;/D&gt;&lt;D xsi:type="xsd:double"&gt;34.7676740696063&lt;/D&gt;&lt;D xsi:type="xsd:double"&gt;31.9355970458491&lt;/D&gt;&lt;D xsi:type="xsd:double"&gt;31.1603399728811&lt;/D&gt;&lt;D xsi:type="xsd:double"&gt;29.8565106361636&lt;/D&gt;&lt;D xsi:type="xsd:double"&gt;29.318165816822&lt;/D&gt;&lt;D xsi:type="xsd:double"&gt;29.9135173023169&lt;/D&gt;&lt;D xsi:type="xsd:double"&gt;29.6107728543115&lt;/D&gt;&lt;D xsi:type="xsd:double"&gt;28.9576701482729&lt;/D&gt;&lt;D xsi:type="xsd:double"&gt;28.5523055121322&lt;/D&gt;&lt;D xsi:type="xsd:double"&gt;28.015046681685&lt;/D&gt;&lt;D xsi:type="xsd:double"&gt;25.9936634844192&lt;/D&gt;&lt;D xsi:type="xsd:double"&gt;25.3922147114173&lt;/D&gt;&lt;D xsi:type="xsd:double"&gt;24.1798908283643&lt;/D&gt;&lt;D xsi:type="xsd:double"&gt;23.6712833173912&lt;/D&gt;&lt;D xsi:type="xsd:double"&gt;22.3274437998573&lt;/D&gt;&lt;D xsi:type="xsd:double"&gt;22.1031086272878&lt;/D&gt;&lt;D xsi:type="xsd:double"&gt;24.0890600462941&lt;/D&gt;&lt;D xsi:type="xsd:double"&gt;23.4235962947973&lt;/D&gt;&lt;D xsi:type="xsd:double"&gt;23.3814962282699&lt;/D&gt;&lt;D xsi:type="xsd:double"&gt;24.0463237926062&lt;/D&gt;&lt;D xsi:type="xsd:double"&gt;24.2210869495927&lt;/D&gt;&lt;D xsi:type="xsd:double"&gt;24.4228620560199&lt;/D&gt;&lt;D xsi:type="xsd:double"&gt;24.4842845625929&lt;/D&gt;&lt;/FQL&gt;&lt;FQL&gt;&lt;Q&gt;BRENT-FDS^FG_PRICE_MAVG(0,,,,30)&lt;/Q&gt;&lt;R&gt;1&lt;/R&gt;&lt;C&gt;1&lt;/C&gt;&lt;D xsi:type="xsd:double"&gt;85.86&lt;/D&gt;&lt;/FQL&gt;&lt;FQL&gt;&lt;Q&gt;SPY^PERCENT_CHANGE(FMA_EPS(+1,0,,,,"PORTAGG","MEAN"),FMA_EPS(+1,-3AM,,,,"PORTAGG","MEAN"))&lt;/Q&gt;&lt;R&gt;1&lt;/R&gt;&lt;C&gt;1&lt;/C&gt;&lt;D xsi:type="xsd:double"&gt;0.247710272643617&lt;/D&gt;&lt;/FQL&gt;&lt;FQL&gt;&lt;Q&gt;EWJ^FG_TOTAL_RETURNC(0,-3AM)&lt;/Q&gt;&lt;R&gt;1&lt;/R&gt;&lt;C&gt;1&lt;/C&gt;&lt;D xsi:type="xsd:double"&gt;-3.6440134&lt;/D&gt;&lt;/FQL&gt;&lt;FQL&gt;&lt;Q&gt;EWA^PERCENT_CHANGE(FMA_EPS(+1,0,,,,"PORTAGG","MEAN"),FMA_EPS(+1,-3AM,,,,"PORTAGG","MEAN"))&lt;/Q&gt;&lt;R&gt;1&lt;/R&gt;&lt;C&gt;1&lt;/C&gt;&lt;D xsi:type="xsd:double"&gt;-1.83176802136874&lt;/D&gt;&lt;/FQL&gt;&lt;FQL&gt;&lt;Q&gt;VGK^SIZE(FG_CONSTITUENTS)&lt;/Q&gt;&lt;R&gt;1&lt;/R&gt;&lt;C&gt;1&lt;/C&gt;&lt;D xsi:type="xsd:long"&gt;1279&lt;/D&gt;&lt;/FQL&gt;&lt;FQL&gt;&lt;Q&gt;REFJPTON-FDS^(SUBARRAY(NOT_NA(NO_REPEAT_F(FG_YIELD(NOW,-10AY,D))),0,1)-SUBARRAY(NOT_NA(NO_REPEAT_F(FG_YIELD(NOW,-10AY,D))),1,1))*100&lt;/Q&gt;&lt;R&gt;1&lt;/R&gt;&lt;C&gt;1&lt;/C&gt;&lt;D xsi:type="xsd:double"&gt;10&lt;/D&gt;&lt;/FQL&gt;&lt;FQL&gt;&lt;Q&gt;TRYUS10Y-FDS^PCTCHG(FG_YIELD(0,,,,"YTM"),FG_YIELD(-1AM,,,,"YTM"))&lt;/Q&gt;&lt;R&gt;1&lt;/R&gt;&lt;C&gt;1&lt;/C&gt;&lt;D xsi:type="xsd:double"&gt;-3.7334774&lt;/D&gt;&lt;/FQL&gt;&lt;FQL&gt;&lt;Q&gt;EWI^FMA_EVAL_EBITDA(NTMA,0,,,"PORTAGG","MEANR")&lt;/Q&gt;&lt;R&gt;1&lt;/R&gt;&lt;C&gt;1&lt;/C&gt;&lt;D xsi:type="xsd:double"&gt;6.71204858001922&lt;/D&gt;&lt;/FQL&gt;&lt;FQL&gt;&lt;Q&gt;EWQ^JULIAN(FMA_DIV_YLD(NTMA,NOW,NOW,M,"PORTAGG","MEANR").DATES)&lt;/Q&gt;&lt;R&gt;1&lt;/R&gt;&lt;C&gt;1&lt;/C&gt;&lt;D xsi:type="xsd:long"&gt;45469&lt;/D&gt;&lt;/FQL&gt;&lt;FQL&gt;&lt;Q&gt;EWL^FMA_EVAL_EBITDA(NTMA,0,,,"PORTAGG","MEANR")&lt;/Q&gt;&lt;R&gt;1&lt;/R&gt;&lt;C&gt;1&lt;/C&gt;&lt;D xsi:type="xsd:double"&gt;12.8511965486583&lt;/D&gt;&lt;/FQL&gt;&lt;FQL&gt;&lt;Q&gt;UUP^P_PRICE(0)/P_PRICE_HIGH_PR(0,,,USD,,,"PRICE","INTRA","52W")&lt;/Q&gt;&lt;R&gt;1&lt;/R&gt;&lt;C&gt;1&lt;/C&gt;&lt;D xsi:type="xsd:double"&gt;0.96568865&lt;/D&gt;&lt;/FQL&gt;&lt;FQL&gt;&lt;Q&gt;EWI^FG_FCF_YIELD_NTM(0)&lt;/Q&gt;&lt;R&gt;1&lt;/R&gt;&lt;C&gt;1&lt;/C&gt;&lt;D xsi:type="xsd:double"&gt;6.32390338712534&lt;/D&gt;&lt;/FQL&gt;&lt;FQL&gt;&lt;Q&gt;EWL^FG_FCF_YIELD_NTM(0)&lt;/Q&gt;&lt;R&gt;1&lt;/R&gt;&lt;C&gt;1&lt;/C&gt;&lt;D xsi:type="xsd:double"&gt;4.78601878537241&lt;/D&gt;&lt;/FQL&gt;&lt;FQL&gt;&lt;Q&gt;EWC^FMA_PE(LTM,0,,,"PORTAGG","MEANR")&lt;/Q&gt;&lt;R&gt;1&lt;/R&gt;&lt;C&gt;1&lt;/C&gt;&lt;D xsi:type="xsd:double"&gt;17.1082534229334&lt;/D&gt;&lt;/FQL&gt;&lt;FQL&gt;&lt;Q&gt;EWJ^P_PRICE(0)/P_PRICE_HIGH_PR(0,,,USD,,,"PRICE","INTRA","52W")&lt;/Q&gt;&lt;R&gt;1&lt;/R&gt;&lt;C&gt;1&lt;/C&gt;&lt;D xsi:type="xsd:double"&gt;0.94692284&lt;/D&gt;&lt;/FQL&gt;&lt;FQL&gt;&lt;Q&gt;TRYGB10Y-FDS^PCTCHG(FG_YIELD(0,,,,"YTM"),FG_YIELD(-3AM,,,,"YTM"))&lt;/Q&gt;&lt;R&gt;1&lt;/R&gt;&lt;C&gt;1&lt;/C&gt;&lt;D xsi:type="xsd:double"&gt;5.6829715&lt;/D&gt;&lt;/FQL&gt;&lt;FQL&gt;&lt;Q&gt;TRYFR10Y-FDS^FG_YIELD_NAME&lt;/Q&gt;&lt;R&gt;1&lt;/R&gt;&lt;C&gt;1&lt;/C&gt;&lt;D xsi:type="xsd:string"&gt;France Benchmark Bond - 10 Year&lt;/D&gt;&lt;/FQL&gt;&lt;FQL&gt;&lt;Q&gt;EWI^JULIAN(FMA_DIV_YLD(NTMA,NOW,NOW,M,"PORTAGG","MEANR").DATES)&lt;/Q&gt;&lt;R&gt;1&lt;/R&gt;&lt;C&gt;1&lt;/C&gt;&lt;D xsi:type="xsd:long"&gt;45470&lt;/D&gt;&lt;/FQL&gt;&lt;FQL&gt;&lt;Q&gt;EWL^FMA_PE(LTM,0,,,"PORTAGG","MEANR")&lt;/Q&gt;&lt;R&gt;1&lt;/R&gt;&lt;C&gt;1&lt;/C&gt;&lt;D xsi:type="xsd:double"&gt;16.8990566433059&lt;/D&gt;&lt;/FQL&gt;&lt;FQL&gt;&lt;Q&gt;UUP^FG_TOTAL_RETURNC(0,-1AM)&lt;/Q&gt;&lt;R&gt;1&lt;/R&gt;&lt;C&gt;1&lt;/C&gt;&lt;D xsi:type="xsd:double"&gt;1.7819643&lt;/D&gt;&lt;/FQL&gt;&lt;FQL&gt;&lt;Q&gt;TRYCH10Y-FDS^PCTCHG(FG_YIELD(0,,,,"YTM"),FG_YIELD(-1AM,,,,"YTM"))&lt;/Q&gt;&lt;R&gt;1&lt;/R&gt;&lt;C&gt;1&lt;/C&gt;&lt;D xsi:type="xsd:double"&gt;-33.94608&lt;/D&gt;&lt;/FQL&gt;&lt;FQL&gt;&lt;Q&gt;EWD^FG_FCF_YIELD_NTM(0)&lt;/Q&gt;&lt;R&gt;1&lt;/R&gt;&lt;C&gt;1&lt;/C&gt;&lt;D xsi:type="xsd:double"&gt;5.08929894935341&lt;/D&gt;&lt;/FQL&gt;&lt;FQL&gt;&lt;Q&gt;GLD^P_PRICE(0)/P_PRICE_HIGH_PR(0,,,USD,,,"PRICE","INTRA","52W")&lt;/Q&gt;&lt;R&gt;1&lt;/R&gt;&lt;C&gt;1&lt;/C&gt;&lt;D xsi:type="xsd:double"&gt;0.95280504&lt;/D&gt;&lt;/FQL&gt;&lt;FQL&gt;&lt;Q&gt;EWC^FMA_COS_DOWN("EPS","1M",+1,0,,,"PORTAGG","MEANR")&lt;/Q&gt;&lt;R&gt;1&lt;/R&gt;&lt;C&gt;1&lt;/C&gt;&lt;D xsi:type="xsd:double"&gt;26&lt;/D&gt;&lt;/FQL&gt;&lt;FQL&gt;&lt;Q&gt;REFCATARG-FDS^PROPER_NAME(0,,,"SECURITY","NAME")&lt;/Q&gt;&lt;R&gt;1&lt;/R&gt;&lt;C&gt;1&lt;/C&gt;&lt;D xsi:type="xsd:string"&gt;Canada Target Rate&lt;/D&gt;&lt;/FQL&gt;&lt;FQL&gt;&lt;Q&gt;CC_CA^IMF_IFS_RCPI_Q(0)&lt;/Q&gt;&lt;R&gt;1&lt;/R&gt;&lt;C&gt;1&lt;/C&gt;&lt;D xsi:type="xsd:double"&gt;2.8466706&lt;/D&gt;&lt;/FQL&gt;&lt;FQL&gt;&lt;Q&gt;EWA^FG_FCF_YIELD_NTM(0)&lt;/Q&gt;&lt;R&gt;1&lt;/R&gt;&lt;C&gt;1&lt;/C&gt;&lt;D xsi:type="xsd:double"&gt;5.08347807042692&lt;/D&gt;&lt;/FQL&gt;&lt;FQL&gt;&lt;Q&gt;URTH^FG_TOTAL_RETURNC(0,-1AM)&lt;/Q&gt;&lt;R&gt;1&lt;/R&gt;&lt;C&gt;1&lt;/C&gt;&lt;D xsi:type="xsd:double"&gt;1.6070247&lt;/D&gt;&lt;/FQL&gt;&lt;FQL&gt;&lt;Q&gt;QQQ^PERCENT_CHANGE(FMA_EPS(+1,0,,,,"PORTAGG","MEAN"),FMA_EPS(+1,-1AM,,,,"PORTAGG","MEAN"))&lt;/Q&gt;&lt;R&gt;1&lt;/R&gt;&lt;C&gt;1&lt;/C&gt;&lt;D xsi:type="xsd:double"&gt;-0.132928896151293&lt;/D&gt;&lt;/FQL&gt;&lt;FQL&gt;&lt;Q&gt;EWG^FG_TOTAL_RETURNC(0,-6AM)&lt;/Q&gt;&lt;R&gt;1&lt;/R&gt;&lt;C&gt;1&lt;/C&gt;&lt;D xsi:type="xsd:double"&gt;5.783117&lt;/D&gt;&lt;/FQL&gt;&lt;FQL&gt;&lt;Q&gt;ENZL^PERCENT_CHANGE(FMA_EPS(+1,0,,,,"PORTAGG","MEAN"),FMA_EPS(+1,-3AM,,,,"PORTAGG","MEAN"))&lt;/Q&gt;&lt;R&gt;1&lt;/R&gt;&lt;C&gt;1&lt;/C&gt;&lt;D xsi:type="xsd:double"&gt;1.50140553829834&lt;/D&gt;&lt;/FQL&gt;&lt;FQL&gt;&lt;Q&gt;EWN^FMA_COS_DOWN("EPS","1M",+1,0,,,"PORTAGG","MEANR")&lt;/Q&gt;&lt;R&gt;1&lt;/R&gt;&lt;C&gt;1&lt;/C&gt;&lt;D xsi:type="xsd:double"&gt;17&lt;/D&gt;&lt;/FQL&gt;&lt;FQL&gt;&lt;Q&gt;EWC^FMA_COS_UP("EPS","1M",+1,0,,,"PORTAGG","MEANR")&lt;/Q&gt;&lt;R&gt;1&lt;/R&gt;&lt;C&gt;1&lt;/C&gt;&lt;D xsi:type="xsd:double"&gt;27&lt;/D&gt;&lt;/FQL&gt;&lt;FQL&gt;&lt;Q&gt;TRYFR10Y-FDS^FG_YIELD(-10AY,0,Y,,"YTM")&lt;/Q&gt;&lt;R&gt;10&lt;/R&gt;&lt;C&gt;1&lt;/C&gt;&lt;D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xsi:type="xsd:double"&gt;2.534&lt;/D&gt;&lt;/FQL&gt;&lt;FQL&gt;&lt;Q&gt;EWI^PERCENT_CHANGE(FMA_EPS(+1,0,,,,"PORTAGG","MEAN"),FMA_EPS(+1,-3AM,,,,"PORTAGG","MEAN"))&lt;/Q&gt;&lt;R&gt;1&lt;/R&gt;&lt;C&gt;1&lt;/C&gt;&lt;D xsi:type="xsd:double"&gt;-1.0952127021139&lt;/D&gt;&lt;/FQL&gt;&lt;FQL&gt;&lt;Q&gt;QQQ^P_PRICE(0)/P_PRICE_HIGH_PR(0,,,,,,"PRICE","INTRA","52W")&lt;/Q&gt;&lt;R&gt;1&lt;/R&gt;&lt;C&gt;1&lt;/C&gt;&lt;D xsi:type="xsd:double"&gt;0.98339486&lt;/D&gt;&lt;/FQL&gt;&lt;FQL&gt;&lt;Q&gt;EWA^PERCENT_CHANGE(FMA_EPS(+1,0,,,,"PORTAGG","MEAN"),FMA_EPS(+1,-1AM,,,,"PORTAGG","MEAN"))&lt;/Q&gt;&lt;R&gt;1&lt;/R&gt;&lt;C&gt;1&lt;/C&gt;&lt;D xsi:type="xsd:double"&gt;-1.32419582872001&lt;/D&gt;&lt;/FQL&gt;&lt;FQL&gt;&lt;Q&gt;EWD^FMA_RBICS_REV_CURRENT(30, LOC, "PORTAGG")&lt;/Q&gt;&lt;R&gt;1&lt;/R&gt;&lt;C&gt;1&lt;/C&gt;&lt;D xsi:type="xsd:double"&gt;26.1566900370566&lt;/D&gt;&lt;/FQL&gt;&lt;FQL&gt;&lt;Q&gt;TRYSE10Y-FDS^FG_YIELD_NAME&lt;/Q&gt;&lt;R&gt;1&lt;/R&gt;&lt;C&gt;1&lt;/C&gt;&lt;D xsi:type="xsd:string"&gt;Sweden Benchmark Bond - 10 Year&lt;/D&gt;&lt;/FQL&gt;&lt;FQL&gt;&lt;Q&gt;REFEUREFI-FDS^PROPER_NAME(0,,,"SECURITY","NAME")&lt;/Q&gt;&lt;R&gt;1&lt;/R&gt;&lt;C&gt;1&lt;/C&gt;&lt;D xsi:type="xsd:string"&gt;Eurozone Main Refinancing Operations Minimum Bid Rate&lt;/D&gt;&lt;/FQL&gt;&lt;FQL&gt;&lt;Q&gt;TRYFR10Y-FDS^FG_YIELD(0,,,,"YTM")&lt;/Q&gt;&lt;R&gt;1&lt;/R&gt;&lt;C&gt;1&lt;/C&gt;&lt;D xsi:type="xsd:double"&gt;3.257&lt;/D&gt;&lt;/FQL&gt;&lt;FQL&gt;&lt;Q&gt;CC_GB^IMF_IFS_RCPI_Q(0)&lt;/Q&gt;&lt;R&gt;1&lt;/R&gt;&lt;C&gt;1&lt;/C&gt;&lt;D xsi:type="xsd:double"&gt;3.9194994&lt;/D&gt;&lt;/FQL&gt;&lt;FQL&gt;&lt;Q&gt;UUP^FG_TOTAL_RETURNC(0,-6AM)&lt;/Q&gt;&lt;R&gt;1&lt;/R&gt;&lt;C&gt;1&lt;/C&gt;&lt;D xsi:type="xsd:double"&gt;7.72928&lt;/D&gt;&lt;/FQL&gt;&lt;FQL&gt;&lt;Q&gt;EWI^FMA_DIV_YLD(NTMA,NOW,NOW,M,"PORTAGG","MEANR")&lt;/Q&gt;&lt;R&gt;1&lt;/R&gt;&lt;C&gt;1&lt;/C&gt;&lt;D xsi:type="xsd:double"&gt;5.48221082220876&lt;/D&gt;&lt;/FQL&gt;&lt;FQL&gt;&lt;Q&gt;EWL^FMA_DIV_YLD(NTMA,NOW,NOW,M,"PORTAGG","MEANR")&lt;/Q&gt;&lt;R&gt;1&lt;/R&gt;&lt;C&gt;1&lt;/C&gt;&lt;D xsi:type="xsd:double"&gt;3.22623202006623&lt;/D&gt;&lt;/FQL&gt;&lt;FQL&gt;&lt;Q&gt;TRYJP10Y-FDS^PCTCHG(FG_YIELD(0,,,,"YTM"),FG_YIELD(-3AM,,,,"YTM"))&lt;/Q&gt;&lt;R&gt;1&lt;/R&gt;&lt;C&gt;1&lt;/C&gt;&lt;D xsi:type="xsd:double"&gt;51.237553&lt;/D&gt;&lt;/FQL&gt;&lt;FQL&gt;&lt;Q&gt;EWD^FMA_DIV_YLD(NTMA,NOW,NOW,M,"PORTAGG","MEANR")&lt;/Q&gt;&lt;R&gt;1&lt;/R&gt;&lt;C&gt;1&lt;/C&gt;&lt;D xsi:type="xsd:double"&gt;3.24313109850871&lt;/D&gt;&lt;/FQL&gt;&lt;FQL&gt;&lt;Q&gt;SPY^JULIAN(FMA_DIV_YLD(NTMA,NOW,NOW,M,"PORTAGG","MEANR").DATES)&lt;/Q&gt;&lt;R&gt;1&lt;/R&gt;&lt;C&gt;1&lt;/C&gt;&lt;D xsi:type="xsd:long"&gt;45470&lt;/D&gt;&lt;/FQL&gt;&lt;FQL&gt;&lt;Q&gt;EWJ^FMA_DIV_YLD(NTMA,NOW,NOW,M,"PORTAGG","MEANR")&lt;/Q&gt;&lt;R&gt;1&lt;/R&gt;&lt;C&gt;1&lt;/C&gt;&lt;D xsi:type="xsd:double"&gt;2.23979514316628&lt;/D&gt;&lt;/FQL&gt;&lt;FQL&gt;&lt;Q&gt;EWI^FMA_EPS(NTMA,-20AY,0,CY,,"PORTAGG","MEANR")&lt;/Q&gt;&lt;R&gt;20&lt;/R&gt;&lt;C&gt;1&lt;/C&gt;&lt;D xsi:type="xsd:double"&gt;3.169168339117&lt;/D&gt;&lt;D xsi:type="xsd:double"&gt;3.12405993279458&lt;/D&gt;&lt;D xsi:type="xsd:double"&gt;5.04981282066684&lt;/D&gt;&lt;D xsi:type="xsd:double"&gt;5.56224784875388&lt;/D&gt;&lt;D xsi:type="xsd:double"&gt;4.17624790880873&lt;/D&gt;&lt;D xsi:type="xsd:double"&gt;3.08892808052067&lt;/D&gt;&lt;D xsi:type="xsd:double"&gt;3.32359348097665&lt;/D&gt;&lt;D xsi:type="xsd:double"&gt;2.98712765861625&lt;/D&gt;&lt;D xsi:type="xsd:double"&gt;2.83099275676073&lt;/D&gt;&lt;D xsi:type="xsd:double"&gt;2.51709042577162&lt;/D&gt;&lt;D xsi:type="xsd:double"&gt;2.20451072320163&lt;/D&gt;&lt;D xsi:type="xsd:double"&gt;1.95489186317479&lt;/D&gt;&lt;D xsi:type="xsd:double"&gt;1.78844259381098&lt;/D&gt;&lt;D xsi:type="xsd:double"&gt;2.35129536081733&lt;/D&gt;&lt;D xsi:type="xsd:double"&gt;2.64924756496654&lt;/D&gt;&lt;D xsi:type="xsd:double"&gt;2.59251661571796&lt;/D&gt;&lt;D xsi:type="xsd:double"&gt;1.99711745729498&lt;/D&gt;&lt;D xsi:type="xsd:double"&gt;2.96400297596909&lt;/D&gt;&lt;D xsi:type="xsd:double"&gt;3.54736708862932&lt;/D&gt;&lt;D xsi:type="xsd:double"&gt;3.81180271683843&lt;/D&gt;&lt;/FQL&gt;&lt;FQL&gt;&lt;Q&gt;QQQ^FG_TOTAL_RETURNC(0,-6AM)&lt;/Q&gt;&lt;R&gt;1&lt;/R&gt;&lt;C&gt;1&lt;/C&gt;&lt;D xsi:type="xsd:double"&gt;16.826857&lt;/D&gt;&lt;/FQL&gt;&lt;FQL&gt;&lt;Q&gt;EWJ^FMA_PCT_ABOVE_MAVG(200,0,,,,"PORTAGG")&lt;/Q&gt;&lt;R&gt;1&lt;/R&gt;&lt;C&gt;1&lt;/C&gt;&lt;D xsi:type="xsd:double"&gt;68.1372549019608&lt;/D&gt;&lt;/FQL&gt;&lt;FQL&gt;&lt;Q&gt;ENZL^FG_TOTAL_RETURNC(0,-12AM)&lt;/Q&gt;&lt;R&gt;1&lt;/R&gt;&lt;C&gt;1&lt;/C&gt;&lt;D xsi:type="xsd:double"&gt;-1.4715075&lt;/D&gt;&lt;/FQL&gt;&lt;FQL&gt;&lt;Q&gt;VGK^FMA_COS_UP("EPS","1M",+1,0,,,"PORTAGG","MEANR")&lt;/Q&gt;&lt;R&gt;1&lt;/R&gt;&lt;C&gt;1&lt;/C&gt;&lt;D xsi:type="xsd:double"&gt;516&lt;/D&gt;&lt;/FQL&gt;&lt;FQL&gt;&lt;Q&gt;EWG^SIZE(FG_CONSTITUENTS)&lt;/Q&gt;&lt;R&gt;1&lt;/R&gt;&lt;C&gt;1&lt;/C&gt;&lt;D xsi:type="xsd:long"&gt;59&lt;/D&gt;&lt;/FQL&gt;&lt;FQL&gt;&lt;Q&gt;EWQ^FMA_RBICS_REV_CURRENT(30, LOC, "PORTAGG")&lt;/Q&gt;&lt;R&gt;1&lt;/R&gt;&lt;C&gt;1&lt;/C&gt;&lt;D xsi:type="xsd:double"&gt;11.8223044537398&lt;/D&gt;&lt;/FQL&gt;&lt;FQL&gt;&lt;Q&gt;TRYNL10Y-FDS^FG_YIELD_NAME&lt;/Q&gt;&lt;R&gt;1&lt;/R&gt;&lt;C&gt;1&lt;/C&gt;&lt;D xsi:type="xsd:string"&gt;Netherlands Benchmark Bond - 10 Year&lt;/D&gt;&lt;/FQL&gt;&lt;FQL&gt;&lt;Q&gt;REFJPTON-FDS^FG_YIELD(NOW,,,0)&lt;/Q&gt;&lt;R&gt;1&lt;/R&gt;&lt;C&gt;1&lt;/C&gt;&lt;D xsi:type="xsd:double"&gt;0.1&lt;/D&gt;&lt;/FQL&gt;&lt;FQL&gt;&lt;Q&gt;SPY^FMA_EVAL_EBIT(LTMA,NOW,NOW,M,"PORTAGG","MEANR")&lt;/Q&gt;&lt;R&gt;1&lt;/R&gt;&lt;C&gt;1&lt;/C&gt;&lt;D xsi:type="xsd:double"&gt;20.7854440805067&lt;/D&gt;&lt;/FQL&gt;&lt;FQL&gt;&lt;Q&gt;DDR3512M-FDS^MAX(FG_PRICE(0,-5AY))&lt;/Q&gt;&lt;R&gt;1&lt;/R&gt;&lt;C&gt;1&lt;/C&gt;&lt;D xsi:type="xsd:double"&gt;3.3053632&lt;/D&gt;&lt;/FQL&gt;&lt;FQL&gt;&lt;Q&gt;COPP-FDS^MAX(FG_PRICE(0,-5AY))&lt;/Q&gt;&lt;R&gt;1&lt;/R&gt;&lt;C&gt;1&lt;/C&gt;&lt;D xsi:type="xsd:double"&gt;5.119&lt;/D&gt;&lt;/FQL&gt;&lt;FQL&gt;&lt;Q&gt;EWD^FG_TOTAL_RETURNC(0,-12AM)&lt;/Q&gt;&lt;R&gt;1&lt;/R&gt;&lt;C&gt;1&lt;/C&gt;&lt;D xsi:type="xsd:double"&gt;20.565392&lt;/D&gt;&lt;/FQL&gt;&lt;FQL&gt;&lt;Q&gt;QQQ^FG_TOTAL_RETURNC(0,-3AM)&lt;/Q&gt;&lt;R&gt;1&lt;/R&gt;&lt;C&gt;1&lt;/C&gt;&lt;D xsi:type="xsd:double"&gt;8.078599&lt;/D&gt;&lt;/FQL&gt;&lt;FQL&gt;&lt;Q&gt;EWG^FG_TOTAL_RETURNC(0,-12AM)&lt;/Q&gt;&lt;R&gt;1&lt;/R&gt;&lt;C&gt;1&lt;/C&gt;&lt;D xsi:type="xsd:double"&gt;11.226201&lt;/D&gt;&lt;/FQL&gt;&lt;FQL&gt;&lt;Q&gt;ENZL^P_PRICE(0)/P_PRICE_HIGH_PR(0,,,,,,"PRICE","INTRA","52W")&lt;/Q&gt;&lt;R&gt;1&lt;/R&gt;&lt;C&gt;1&lt;/C&gt;&lt;D xsi:type="xsd:double"&gt;0.8863326&lt;/D&gt;&lt;/FQL&gt;&lt;FQL&gt;&lt;Q&gt;EWI^SIZE(FG_CONSTITUENTS)&lt;/Q&gt;&lt;R&gt;1&lt;/R&gt;&lt;C&gt;1&lt;/C&gt;&lt;D xsi:type="xsd:long"&gt;27&lt;/D&gt;&lt;/FQL&gt;&lt;FQL&gt;&lt;Q&gt;SPY^FMA_RBICS_REV_CURRENT(30, LOC, "PORTAGG")&lt;/Q&gt;&lt;R&gt;1&lt;/R&gt;&lt;C&gt;1&lt;/C&gt;&lt;D xsi:type="xsd:double"&gt;12.3968672783065&lt;/D&gt;&lt;/FQL&gt;&lt;FQL&gt;&lt;Q&gt;REFSEREPO-FDS^(SUBARRAY(NOT_NA(NO_REPEAT_F(FG_YIELD(NOW,-10AY,D))),0,1)-SUBARRAY(NOT_NA(NO_REPEAT_F(FG_YIELD(NOW,-10AY,D))),1,1))*100&lt;/Q&gt;&lt;R&gt;1&lt;/R&gt;&lt;C&gt;1&lt;/C&gt;&lt;D xsi:type="xsd:double"&gt;-25&lt;/D&gt;&lt;/FQL&gt;&lt;FQL&gt;&lt;Q&gt;REFJPTON-FDS^PROPER_NAME(0,,,"SECURITY","NAME")&lt;/Q&gt;&lt;R&gt;1&lt;/R&gt;&lt;C&gt;1&lt;/C&gt;&lt;D xsi:type="xsd:string"&gt;Japan Policy Rate&lt;/D&gt;&lt;/FQL&gt;&lt;FQL&gt;&lt;Q&gt;TRYUS10Y-FDS^FG_YIELD(0,,,,"YTM")&lt;/Q&gt;&lt;R&gt;1&lt;/R&gt;&lt;C&gt;1&lt;/C&gt;&lt;D xsi:type="xsd:double"&gt;4.3705&lt;/D&gt;&lt;/FQL&gt;&lt;FQL&gt;&lt;Q&gt;CC_CH^IMF_IFS_RCPI_Q(0)&lt;/Q&gt;&lt;R&gt;1&lt;/R&gt;&lt;C&gt;1&lt;/C&gt;&lt;D xsi:type="xsd:double"&gt;1.1636324&lt;/D&gt;&lt;/FQL&gt;&lt;FQL&gt;&lt;Q&gt;EWI^FMA_PE(LTM,0,,,"PORTAGG","MEANR")&lt;/Q&gt;&lt;R&gt;1&lt;/R&gt;&lt;C&gt;1&lt;/C&gt;&lt;D xsi:type="xsd:double"&gt;9.79705918940951&lt;/D&gt;&lt;/FQL&gt;&lt;FQL&gt;&lt;Q&gt;EWL^FMA_PE(NTMA,0,,,"PORTAGG","MEANR")&lt;/Q&gt;&lt;R&gt;1&lt;/R&gt;&lt;C&gt;1&lt;/C&gt;&lt;D xsi:type="xsd:double"&gt;17.1592352790359&lt;/D&gt;&lt;/FQL&gt;&lt;FQL&gt;&lt;Q&gt;EWC^JULIAN(FMA_DIV_YLD(NTMA,NOW,NOW,M,"PORTAGG","MEANR").DATES)&lt;/Q&gt;&lt;R&gt;1&lt;/R&gt;&lt;C&gt;1&lt;/C&gt;&lt;D xsi:type="xsd:long"&gt;45470&lt;/D&gt;&lt;/FQL&gt;&lt;FQL&gt;&lt;Q&gt;UUP^FG_TOTAL_RETURNC(0,-3AM)&lt;/Q&gt;&lt;R&gt;1&lt;/R&gt;&lt;C&gt;1&lt;/C&gt;&lt;D xsi:type="xsd:double"&gt;2.678883&lt;/D&gt;&lt;/FQL&gt;&lt;FQL&gt;&lt;Q&gt;EWD^P_PRICE(0)/P_PRICE_LOW_PR(0,,,,,,"PRICE","INTRA","52W")-1&lt;/Q&gt;&lt;R&gt;1&lt;/R&gt;&lt;C&gt;1&lt;/C&gt;&lt;D xsi:type="xsd:double"&gt;0.31171584&lt;/D&gt;&lt;/FQL&gt;&lt;FQL&gt;&lt;Q&gt;EWJ^FMA_EVAL_EBITDA(NTMA,0,,,"PORTAGG","MEANR")&lt;/Q&gt;&lt;R&gt;1&lt;/R&gt;&lt;C&gt;1&lt;/C&gt;&lt;D xsi:type="xsd:double"&gt;10.5824882081639&lt;/D&gt;&lt;/FQL&gt;&lt;FQL&gt;&lt;Q&gt;EWN^FG_PRICE_MAVG(0,,,,30)&lt;/Q&gt;&lt;R&gt;1&lt;/R&gt;&lt;C&gt;1&lt;/C&gt;&lt;D xsi:type="xsd:double"&gt;51.262165&lt;/D&gt;&lt;/FQL&gt;&lt;FQL&gt;&lt;Q&gt;TRYDE10Y-FDS^FG_YIELD_NAME&lt;/Q&gt;&lt;R&gt;1&lt;/R&gt;&lt;C&gt;1&lt;/C&gt;&lt;D xsi:type="xsd:string"&gt;Germany Benchmark Bond - 10 Year&lt;/D&gt;&lt;/FQL&gt;&lt;FQL&gt;&lt;Q&gt;EWN^FG_TOTAL_RETURNC(0,-12AM)&lt;/Q&gt;&lt;R&gt;1&lt;/R&gt;&lt;C&gt;1&lt;/C&gt;&lt;D xsi:type="xsd:double"&gt;19.467545&lt;/D&gt;&lt;/FQL&gt;&lt;FQL&gt;&lt;Q&gt;EWA^FMA_DIV_YLD(NTMA,NOW,NOW,M,"PORTAGG","MEANR")&lt;/Q&gt;&lt;R&gt;1&lt;/R&gt;&lt;C&gt;1&lt;/C&gt;&lt;D xsi:type="xsd:double"&gt;3.93983803575111&lt;/D&gt;&lt;/FQL&gt;&lt;FQL&gt;&lt;Q&gt;GLD^FG_TOTAL_RETURNC(0,-6AM)&lt;/Q&gt;&lt;R&gt;1&lt;/R&gt;&lt;C&gt;1&lt;/C&gt;&lt;D xsi:type="xsd:double"&gt;12.294352&lt;/D&gt;&lt;/FQL&gt;&lt;FQL&gt;&lt;Q&gt;EWA^FMA_PE(NTMA,0,,,"PORTAGG","MEANR")&lt;/Q&gt;&lt;R&gt;1&lt;/R&gt;&lt;C&gt;1&lt;/C&gt;&lt;D xsi:type="xsd:double"&gt;16.8019959406309&lt;/D&gt;&lt;/FQL&gt;&lt;FQL&gt;&lt;Q&gt;ENZL^FG_TOTAL_RETURNC(0,-6AM)&lt;/Q&gt;&lt;R&gt;1&lt;/R&gt;&lt;C&gt;1&lt;/C&gt;&lt;D xsi:type="xsd:double"&gt;-5.6665063&lt;/D&gt;&lt;/FQL&gt;&lt;FQL&gt;&lt;Q&gt;EWG^FMA_COS_DOWN("EPS","1M",+1,0,,,"PORTAGG","MEANR")&lt;/Q&gt;&lt;R&gt;1&lt;/R&gt;&lt;C&gt;1&lt;/C&gt;&lt;D xsi:type="xsd:double"&gt;23&lt;/D&gt;&lt;/FQL&gt;&lt;FQL&gt;&lt;Q&gt;QQQ^FMA_RBICS_REV_CURRENT(30, LOC, "PORTAGG")&lt;/Q&gt;&lt;R&gt;1&lt;/R&gt;&lt;C&gt;1&lt;/C&gt;&lt;D xsi:type="xsd:double"&gt;0.853987069260757&lt;/D&gt;&lt;/FQL&gt;&lt;FQL&gt;&lt;Q&gt;REFEUREFI-FDS^(SUBARRAY(NOT_NA(NO_REPEAT_F(FG_YIELD(NOW,-10AY,D))),0,1)-SUBARRAY(NOT_NA(NO_REPEAT_F(FG_YIELD(NOW,-10AY,D))),1,1))*100&lt;/Q&gt;&lt;R&gt;1&lt;/R&gt;&lt;C&gt;1&lt;/C&gt;&lt;D xsi:type="xsd:double"&gt;-25&lt;/D&gt;&lt;/FQL&gt;&lt;FQL&gt;&lt;Q&gt;TRYGB10Y-FDS^PCTCHG(FG_YIELD(0,,,,"YTM"),FG_YIELD(-1AM,,,,"YTM"))&lt;/Q&gt;&lt;R&gt;1&lt;/R&gt;&lt;C&gt;1&lt;/C&gt;&lt;D xsi:type="xsd:double"&gt;-3.220537&lt;/D&gt;&lt;/FQL&gt;&lt;FQL&gt;&lt;Q&gt;SPY^FMA_EVAL_EBITDA(NTMA,0,,,"PORTAGG","MEANR")&lt;/Q&gt;&lt;R&gt;1&lt;/R&gt;&lt;C&gt;1&lt;/C&gt;&lt;D xsi:type="xsd:double"&gt;14.5808117198129&lt;/D&gt;&lt;/FQL&gt;&lt;FQL&gt;&lt;Q&gt;SPY^FMA_DIV_YLD(NTMA,NOW,NOW,M,"PORTAGG","MEANR")&lt;/Q&gt;&lt;R&gt;1&lt;/R&gt;&lt;C&gt;1&lt;/C&gt;&lt;D xsi:type="xsd:double"&gt;1.40175999121007&lt;/D&gt;&lt;/FQL&gt;&lt;FQL&gt;&lt;Q&gt;VGK^FG_TOTAL_RETURNC(0,-6AM)&lt;/Q&gt;&lt;R&gt;1&lt;/R&gt;&lt;C&gt;1&lt;/C&gt;&lt;D xsi:type="xsd:double"&gt;5.8270574&lt;/D&gt;&lt;/FQL&gt;&lt;FQL&gt;&lt;Q&gt;URTH^FG_TOTAL_RETURNC(0,-3AM)&lt;/Q&gt;&lt;R&gt;1&lt;/R&gt;&lt;C&gt;1&lt;/C&gt;&lt;D xsi:type="xsd:double"&gt;2.609706&lt;/D&gt;&lt;/FQL&gt;&lt;FQL&gt;&lt;Q&gt;TRYCH10Y-FDS^FG_YIELD(0,,,,"YTM")&lt;/Q&gt;&lt;R&gt;1&lt;/R&gt;&lt;C&gt;1&lt;/C&gt;&lt;D xsi:type="xsd:double"&gt;0.539&lt;/D&gt;&lt;/FQL&gt;&lt;FQL&gt;&lt;Q&gt;SPY^FMA_PE(NTMA,0,,,"PORTAGG","MEANR")&lt;/Q&gt;&lt;R&gt;1&lt;/R&gt;&lt;C&gt;1&lt;/C&gt;&lt;D xsi:type="xsd:double"&gt;21.0940854669369&lt;/D&gt;&lt;/FQL&gt;&lt;FQL&gt;&lt;Q&gt;REFAUCASH-FDS^(SUBARRAY(NOT_NA(NO_REPEAT_F(FG_YIELD(NOW,-10AY,D))),0,1)-SUBARRAY(NOT_NA(NO_REPEAT_F(FG_YIELD(NOW,-10AY,D))),1,1))*100&lt;/Q&gt;&lt;R&gt;1&lt;/R&gt;&lt;C&gt;1&lt;/C&gt;&lt;D xsi:type="xsd:double"&gt;25&lt;/D&gt;&lt;/FQL&gt;&lt;FQL&gt;&lt;Q&gt;CC_AU^IMF_IFS_RCPI_Q(0)&lt;/Q&gt;&lt;R&gt;1&lt;/R&gt;&lt;C&gt;1&lt;/C&gt;&lt;D xsi:type="xsd:double"&gt;3.61991&lt;/D&gt;&lt;/FQL&gt;&lt;FQL&gt;&lt;Q&gt;EWD^PERCENT_CHANGE(FMA_EPS(+1,0,,,,"PORTAGG","MEAN"),FMA_EPS(+1,-3AM,,,,"PORTAGG","MEAN"))&lt;/Q&gt;&lt;R&gt;1&lt;/R&gt;&lt;C&gt;1&lt;/C&gt;&lt;D xsi:type="xsd:double"&gt;2.32064520249059&lt;/D&gt;&lt;/FQL&gt;&lt;FQL&gt;&lt;Q&gt;QQQ^FG_TOTAL_RETURNC(0,-1AM)&lt;/Q&gt;&lt;R&gt;1&lt;/R&gt;&lt;C&gt;1&lt;/C&gt;&lt;D xsi:type="xsd:double"&gt;4.3943167&lt;/D&gt;&lt;/FQL&gt;&lt;FQL&gt;&lt;Q&gt;EWG^P_PRICE(0)/P_PRICE_LOW_PR(0,,,,,,"PRICE","INTRA","52W")-1&lt;/Q&gt;&lt;R&gt;1&lt;/R&gt;&lt;C&gt;1&lt;/C&gt;&lt;D xsi:type="xsd:double"&gt;0.2394253&lt;/D&gt;&lt;/FQL&gt;&lt;FQL&gt;&lt;Q&gt;ENZL^FG_TOTAL_RETURNC(0,-3AM)&lt;/Q&gt;&lt;R&gt;1&lt;/R&gt;&lt;C&gt;1&lt;/C&gt;&lt;D xsi:type="xsd:double"&gt;0.6997943&lt;/D&gt;&lt;/FQL&gt;&lt;FQL&gt;&lt;Q&gt;EWI^FMA_COS_DOWN("EPS","1M",+1,0,,,"PORTAGG","MEANR")&lt;/Q&gt;&lt;R&gt;1&lt;/R&gt;&lt;C&gt;1&lt;/C&gt;&lt;D xsi:type="xsd:double"&gt;9&lt;/D&gt;&lt;/FQL&gt;&lt;FQL&gt;&lt;Q&gt;REFSEREPO-FDS^FG_YIELD(NOW,,,0)&lt;/Q&gt;&lt;R&gt;1&lt;/R&gt;&lt;C&gt;1&lt;/C&gt;&lt;D xsi:type="xsd:double"&gt;3.75&lt;/D&gt;&lt;/FQL&gt;&lt;FQL&gt;&lt;Q&gt;CC_JP^IMF_IFS_RCPI_Q(0)&lt;/Q&gt;&lt;R&gt;1&lt;/R&gt;&lt;C&gt;1&lt;/C&gt;&lt;D xsi:type="xsd:double"&gt;2.5231562&lt;/D&gt;&lt;/FQL&gt;&lt;FQL&gt;&lt;Q&gt;EWD^FMA_EVAL_EBIT(LTMA,NOW,NOW,M,"PORTAGG","MEANR")&lt;/Q&gt;&lt;R&gt;1&lt;/R&gt;&lt;C&gt;1&lt;/C&gt;&lt;D xsi:type="xsd:double"&gt;15.8500264000408&lt;/D&gt;&lt;/FQL&gt;&lt;FQL&gt;&lt;Q&gt;SPY^FG_FCF_YIELD_NTM(0)&lt;/Q&gt;&lt;R&gt;1&lt;/R&gt;&lt;C&gt;1&lt;/C&gt;&lt;D xsi:type="xsd:double"&gt;4.10274192984514&lt;/D&gt;&lt;/FQL&gt;&lt;FQL&gt;&lt;Q&gt;EWL^JULIAN(FMA_DIV_YLD(NTMA,NOW,NOW,M,"PORTAGG","MEANR").DATES)&lt;/Q&gt;&lt;R&gt;1&lt;/R&gt;&lt;C&gt;1&lt;/C&gt;&lt;D xsi:type="xsd:long"&gt;45469&lt;/D&gt;&lt;/FQL&gt;&lt;FQL&gt;&lt;Q&gt;EWA^FMA_EVAL_EBIT(LTMA,NOW,NOW,M,"PORTAGG","MEANR")&lt;/Q&gt;&lt;R&gt;1&lt;/R&gt;&lt;C&gt;1&lt;/C&gt;&lt;D xsi:type="xsd:double"&gt;12.3997077850541&lt;/D&gt;&lt;/FQL&gt;&lt;FQL&gt;&lt;Q&gt;TRYDE10Y-FDS^PCTCHG(FG_YIELD(0,,,,"YTM"),FG_YIELD(-1AM,,,,"YTM"))&lt;/Q&gt;&lt;R&gt;1&lt;/R&gt;&lt;C&gt;1&lt;/C&gt;&lt;D xsi:type="xsd:double"&gt;-4.5612597&lt;/D&gt;&lt;/FQL&gt;&lt;FQL&gt;&lt;Q&gt;VWO^FMA_EVAL_EBITDA(NTMA,0,,,"PORTAGG","MEANR")&lt;/Q&gt;&lt;R&gt;1&lt;/R&gt;&lt;C&gt;1&lt;/C&gt;&lt;D xsi:type="xsd:double"&gt;8.88711554157185&lt;/D&gt;&lt;/FQL&gt;&lt;FQL&gt;&lt;Q&gt;SPY^P_PRICE(0)/P_PRICE_HIGH_PR(0,,,USD,,,"PRICE","INTRA","52W")&lt;/Q&gt;&lt;R&gt;1&lt;/R&gt;&lt;C&gt;1&lt;/C&gt;&lt;D xsi:type="xsd:double"&gt;0.9889873&lt;/D&gt;&lt;/FQL&gt;&lt;FQL&gt;&lt;Q&gt;EWA^FMA_RBICS_REV_CURRENT(30, LOC, "PORTAGG")&lt;/Q&gt;&lt;R&gt;1&lt;/R&gt;&lt;C&gt;1&lt;/C&gt;&lt;D xsi:type="xsd:double"&gt;41.3569255279872&lt;/D&gt;&lt;/FQL&gt;&lt;FQL&gt;&lt;Q&gt;EWN^P_PRICE_RETURNS_PR('52W',2,-10AY,0,AM)&lt;/Q&gt;&lt;R&gt;121&lt;/R&gt;&lt;C&gt;1&lt;/C&gt;&lt;D xsi:type="xsd:double"&gt;24.896395&lt;/D&gt;&lt;D xsi:type="xsd:double"&gt;9.885132&lt;/D&gt;&lt;D xsi:type="xsd:double"&gt;10.245776&lt;/D&gt;&lt;D xsi:type="xsd:double"&gt;3.1582355&lt;/D&gt;&lt;D xsi:type="xsd:double"&gt;-3.685391&lt;/D&gt;&lt;D xsi:type="xsd:double"&gt;0.87025166&lt;/D&gt;&lt;D xsi:type="xsd:double"&gt;-2.6778936&lt;/D&gt;&lt;D xsi:type="xsd:double"&gt;-3.669256&lt;/D&gt;&lt;D xsi:type="xsd:double"&gt;2.1462917&lt;/D&gt;&lt;D xsi:type="xsd:double"&gt;1.548028&lt;/D&gt;&lt;D xsi:type="xsd:double"&gt;7.3197722&lt;/D&gt;&lt;D xsi:type="xsd:double"&gt;6.838274&lt;/D&gt;&lt;D xsi:type="xsd:double"&gt;7.0798993&lt;/D&gt;&lt;D xsi:type="xsd:double"&gt;9.432602&lt;/D&gt;&lt;D xsi:type="xsd:double"&gt;0.8637309&lt;/D&gt;&lt;D xsi:type="xsd:double"&gt;-4.30007&lt;/D&gt;&lt;D xsi:type="xsd:double"&gt;7.641244&lt;/D&gt;&lt;D xsi:type="xsd:double"&gt;2.0985603&lt;/D&gt;&lt;D xsi:type="xsd:double"&gt;0.8409858&lt;/D&gt;&lt;D xsi:type="xsd:double"&gt;-1.766485&lt;/D&gt;&lt;D xsi:type="xsd:double"&gt;-9.647882&lt;/D&gt;&lt;D xsi:type="xsd:double"&gt;-2.758044&lt;/D&gt;&lt;D xsi:type="xsd:double"&gt;-4.8714757&lt;/D&gt;&lt;D xsi:type="xsd:double"&gt;-4.996628&lt;/D&gt;&lt;D xsi:type="xsd:double"&gt;-15.418112&lt;/D&gt;&lt;D xsi:type="xsd:double"&gt;-7.610595&lt;/D&gt;&lt;D xsi:type="xsd:double"&gt;3.0100226&lt;/D&gt;&lt;D xsi:type="xsd:double"&gt;11.543846&lt;/D&gt;&lt;D xsi:type="xsd:double"&gt;-0.31152368&lt;/D&gt;&lt;D xsi:type="xsd:double"&gt;-3.878826&lt;/D&gt;&lt;D xsi:type="xsd:double"&gt;1.5632153&lt;/D&gt;&lt;D xsi:type="xsd:double"&gt;12.233818&lt;/D&gt;&lt;D xsi:type="xsd:double"&gt;15.0491&lt;/D&gt;&lt;D xsi:type="xsd:double"&gt;14.160705&lt;/D&gt;&lt;D xsi:type="xsd:double"&gt;16.296112&lt;/D&gt;&lt;D xsi:type="xsd:double"&gt;21.035803&lt;/D&gt;&lt;D xsi:type="xsd:double"&gt;34.95209&lt;/D&gt;&lt;D xsi:type="xsd:double"&gt;31.62216&lt;/D&gt;&lt;D xsi:type="xsd:double"&gt;27.154266&lt;/D&gt;&lt;D xsi:type="xsd:double"&gt;27.628922&lt;/D&gt;&lt;D xsi:type="xsd:double"&gt;32.30537&lt;/D&gt;&lt;D xsi:type="xsd:double"&gt;38.763855&lt;/D&gt;&lt;D xsi:type="xsd:double"&gt;35.1071&lt;/D&gt;&lt;D xsi:type="xsd:double"&gt;39.839912&lt;/D&gt;&lt;D xsi:type="xsd:double"&gt;27.238571&lt;/D&gt;&lt;D xsi:type="xsd:double"&gt;19.788837&lt;/D&gt;&lt;D xsi:type="xsd:double"&gt;17.284466&lt;/D&gt;&lt;D xsi:type="xsd:double"&gt;10.003435&lt;/D&gt;&lt;D xsi:type="xsd:double"&gt;5.664134&lt;/D&gt;&lt;D xsi:type="xsd:double"&gt;6.0448766&lt;/D&gt;&lt;D xsi:type="xsd:double"&gt;5.2772045&lt;/D&gt;&lt;D xsi:type="xsd:double"&gt;-0.693202&lt;/D&gt;&lt;D xsi:type="xsd:double"&gt;-11.246103&lt;/D&gt;&lt;D xsi:type="xsd:double"&gt;-7.4030933&lt;/D&gt;&lt;D xsi:type="xsd:double"&gt;-15.912258&lt;/D&gt;&lt;D xsi:type="xsd:double"&gt;-15.883517&lt;/D&gt;&lt;D xsi:type="xsd:double"&gt;-4.850352&lt;/D&gt;&lt;D xsi:type="xsd:double"&gt;-4.837579&lt;/D&gt;&lt;D xsi:type="xsd:double"&gt;-1.4939427&lt;/D&gt;&lt;D xsi:type="xsd:double"&gt;-3.804487&lt;/D&gt;&lt;D xsi:type="xsd:double"&gt;5.1014066&lt;/D&gt;&lt;D xsi:type="xsd:double"&gt;2.6614547&lt;/D&gt;&lt;D xsi:type="xsd:double"&gt;-1.6882002&lt;/D&gt;&lt;D xsi:type="xsd:double"&gt;4.979062&lt;/D&gt;&lt;D xsi:type="xsd:double"&gt;20.357788&lt;/D&gt;&lt;D xsi:type="xsd:double"&gt;19.166243&lt;/D&gt;&lt;D xsi:type="xsd:double"&gt;33.30121&lt;/D&gt;&lt;D xsi:type="xsd:double"&gt;21.704435&lt;/D&gt;&lt;D xsi:type="xsd:double"&gt;5.658746&lt;/D&gt;&lt;D xsi:type="xsd:double"&gt;-11.211991&lt;/D&gt;&lt;D xsi:type="xsd:double"&gt;-7.369918&lt;/D&gt;&lt;D xsi:type="xsd:double"&gt;4.04557&lt;/D&gt;&lt;D xsi:type="xsd:double"&gt;7.207179&lt;/D&gt;&lt;D xsi:type="xsd:double"&gt;11.48678&lt;/D&gt;&lt;D xsi:type="xsd:double"&gt;20.497763&lt;/D&gt;&lt;D xsi:type="xsd:double"&gt;13.027752&lt;/D&gt;&lt;D xsi:type="xsd:double"&gt;7.701862&lt;/D&gt;&lt;D xsi:type="xsd:double"&gt;21.550167&lt;/D&gt;&lt;D xsi:type="xsd</t>
        </r>
      </text>
    </comment>
    <comment ref="A13" authorId="0" shapeId="0" xr:uid="{A3655D42-B591-4396-BF62-8722C55313D9}">
      <text>
        <r>
          <rPr>
            <b/>
            <sz val="9"/>
            <color indexed="81"/>
            <rFont val="Tahoma"/>
            <charset val="1"/>
          </rPr>
          <t>:double"&gt;23.722887&lt;/D&gt;&lt;D xsi:type="xsd:double"&gt;31.114006&lt;/D&gt;&lt;D xsi:type="xsd:double"&gt;40.022552&lt;/D&gt;&lt;D xsi:type="xsd:double"&gt;75.49988&lt;/D&gt;&lt;D xsi:type="xsd:double"&gt;76.70765&lt;/D&gt;&lt;D xsi:type="xsd:double"&gt;64.34241&lt;/D&gt;&lt;D xsi:type="xsd:double"&gt;52.095413&lt;/D&gt;&lt;D xsi:type="xsd:double"&gt;43.92935&lt;/D&gt;&lt;D xsi:type="xsd:double"&gt;48.463486&lt;/D&gt;&lt;D xsi:type="xsd:double"&gt;45.699097&lt;/D&gt;&lt;D xsi:type="xsd:double"&gt;55.45094&lt;/D&gt;&lt;D xsi:type="xsd:double"&gt;28.251219&lt;/D&gt;&lt;D xsi:type="xsd:double"&gt;22.087395&lt;/D&gt;&lt;D xsi:type="xsd:double"&gt;5.7031393&lt;/D&gt;&lt;D xsi:type="xsd:double"&gt;-1.6943455&lt;/D&gt;&lt;D xsi:type="xsd:double"&gt;-6.964856&lt;/D&gt;&lt;D xsi:type="xsd:double"&gt;-19.648392&lt;/D&gt;&lt;D xsi:type="xsd:double"&gt;-19.322432&lt;/D&gt;&lt;D xsi:type="xsd:double"&gt;-26.055807&lt;/D&gt;&lt;D xsi:type="xsd:double"&gt;-22.951258&lt;/D&gt;&lt;D xsi:type="xsd:double"&gt;-31.101143&lt;/D&gt;&lt;D xsi:type="xsd:double"&gt;-36.805473&lt;/D&gt;&lt;D xsi:type="xsd:double"&gt;-35.795403&lt;/D&gt;&lt;D xsi:type="xsd:double"&gt;-21.820944&lt;/D&gt;&lt;D xsi:type="xsd:double"&gt;-24.75161&lt;/D&gt;&lt;D xsi:type="xsd:double"&gt;-3.1506538&lt;/D&gt;&lt;D xsi:type="xsd:double"&gt;-2.893263&lt;/D&gt;&lt;D xsi:type="xsd:double"&gt;-3.3891737&lt;/D&gt;&lt;D xsi:type="xsd:double"&gt;10.6161&lt;/D&gt;&lt;D xsi:type="xsd:double"&gt;13.938797&lt;/D&gt;&lt;D xsi:type="xsd:double"&gt;22.95903&lt;/D&gt;&lt;D xsi:type="xsd:double"&gt;21.832705&lt;/D&gt;&lt;D xsi:type="xsd:double"&gt;19.292128&lt;/D&gt;&lt;D xsi:type="xsd:double"&gt;22.906483&lt;/D&gt;&lt;D xsi:type="xsd:double"&gt;13.8125305&lt;/D&gt;&lt;D xsi:type="xsd:double"&gt;12.598252&lt;/D&gt;&lt;D xsi:type="xsd:double"&gt;22.954035&lt;/D&gt;&lt;D xsi:type="xsd:double"&gt;9.614002&lt;/D&gt;&lt;D xsi:type="xsd:double"&gt;18.564177&lt;/D&gt;&lt;D xsi:type="xsd:double"&gt;24.658382&lt;/D&gt;&lt;D xsi:type="xsd:double"&gt;18.733013&lt;/D&gt;&lt;D xsi:type="xsd:double"&gt;23.06062&lt;/D&gt;&lt;D xsi:type="xsd:double"&gt;19.467545&lt;/D&gt;&lt;/FQL&gt;&lt;FQL&gt;&lt;Q&gt;WL-FDS^FG_PRICE_CHANGE(0,-3AM)&lt;/Q&gt;&lt;R&gt;1&lt;/R&gt;&lt;C&gt;1&lt;/C&gt;&lt;D xsi:type="xsd:double"&gt;-8.2911877394636&lt;/D&gt;&lt;/FQL&gt;&lt;FQL&gt;&lt;Q&gt;TIOS-FDS^FG_PRICE_CHANGE(0,-3AM)&lt;/Q&gt;&lt;R&gt;1&lt;/R&gt;&lt;C&gt;1&lt;/C&gt;&lt;D xsi:type="xsd:double"&gt;-2.7572354606044&lt;/D&gt;&lt;/FQL&gt;&lt;FQL&gt;&lt;Q&gt;EWN^FG_PRICE_MAVG(0,,,,200)&lt;/Q&gt;&lt;R&gt;1&lt;/R&gt;&lt;C&gt;1&lt;/C&gt;&lt;D xsi:type="xsd:double"&gt;45.278336&lt;/D&gt;&lt;/FQL&gt;&lt;FQL&gt;&lt;Q&gt;URTH^P_PRICE(0)/P_PRICE_LOW_PR(0,,,,,,"PRICE","INTRA","52W")-1&lt;/Q&gt;&lt;R&gt;1&lt;/R&gt;&lt;C&gt;1&lt;/C&gt;&lt;D xsi:type="xsd:double"&gt;0.28587627&lt;/D&gt;&lt;/FQL&gt;&lt;FQL&gt;&lt;Q&gt;EWD^PERCENT_CHANGE(FMA_EPS(+1,0,,,,"PORTAGG","MEAN"),FMA_EPS(+1,-1AM,,,,"PORTAGG","MEAN"))&lt;/Q&gt;&lt;R&gt;1&lt;/R&gt;&lt;C&gt;1&lt;/C&gt;&lt;D xsi:type="xsd:double"&gt;-2.28953328058685&lt;/D&gt;&lt;/FQL&gt;&lt;FQL&gt;&lt;Q&gt;EWI^FMA_COS_UP("EPS","1M",+1,0,,,"PORTAGG","MEANR")&lt;/Q&gt;&lt;R&gt;1&lt;/R&gt;&lt;C&gt;1&lt;/C&gt;&lt;D xsi:type="xsd:double"&gt;9&lt;/D&gt;&lt;/FQL&gt;&lt;FQL&gt;&lt;Q&gt;EWG^FMA_COS_UP("EPS","1M",+1,0,,,"PORTAGG","MEANR")&lt;/Q&gt;&lt;R&gt;1&lt;/R&gt;&lt;C&gt;1&lt;/C&gt;&lt;D xsi:type="xsd:double"&gt;25&lt;/D&gt;&lt;/FQL&gt;&lt;FQL&gt;&lt;Q&gt;EWU^FMA_RBICS_REV_CURRENT(30, LOC, "PORTAGG")&lt;/Q&gt;&lt;R&gt;1&lt;/R&gt;&lt;C&gt;1&lt;/C&gt;&lt;D xsi:type="xsd:double"&gt;19.3898803393086&lt;/D&gt;&lt;/FQL&gt;&lt;FQL&gt;&lt;Q&gt;REFCATARG-FDS^(SUBARRAY(NOT_NA(NO_REPEAT_F(FG_YIELD(NOW,-10AY,D))),0,1)-SUBARRAY(NOT_NA(NO_REPEAT_F(FG_YIELD(NOW,-10AY,D))),1,1))*100&lt;/Q&gt;&lt;R&gt;1&lt;/R&gt;&lt;C&gt;1&lt;/C&gt;&lt;D xsi:type="xsd:double"&gt;-25&lt;/D&gt;&lt;/FQL&gt;&lt;FQL&gt;&lt;Q&gt;TRYCH10Y-FDS^PCTCHG(FG_YIELD(0,,,,"YTM"),FG_YIELD(-3AM,,,,"YTM"))&lt;/Q&gt;&lt;R&gt;1&lt;/R&gt;&lt;C&gt;1&lt;/C&gt;&lt;D xsi:type="xsd:double"&gt;-22.3343&lt;/D&gt;&lt;/FQL&gt;&lt;FQL&gt;&lt;Q&gt;TRYGB10Y-FDS^FG_YIELD(0,,,,"YTM")&lt;/Q&gt;&lt;R&gt;1&lt;/R&gt;&lt;C&gt;1&lt;/C&gt;&lt;D xsi:type="xsd:double"&gt;4.147&lt;/D&gt;&lt;/FQL&gt;&lt;FQL&gt;&lt;Q&gt;CC_DE^IMF_IFS_RCPI_Q(0)&lt;/Q&gt;&lt;R&gt;1&lt;/R&gt;&lt;C&gt;1&lt;/C&gt;&lt;D xsi:type="xsd:double"&gt;2.5173564&lt;/D&gt;&lt;/FQL&gt;&lt;FQL&gt;&lt;Q&gt;EWD^FMA_EVAL_EBITDA(NTMA,0,,,"PORTAGG","MEANR")&lt;/Q&gt;&lt;R&gt;1&lt;/R&gt;&lt;C&gt;1&lt;/C&gt;&lt;D xsi:type="xsd:double"&gt;10.9220930874597&lt;/D&gt;&lt;/FQL&gt;&lt;FQL&gt;&lt;Q&gt;EWJ^FMA_EVAL_EBIT(LTMA,NOW,NOW,M,"PORTAGG","MEANR")&lt;/Q&gt;&lt;R&gt;1&lt;/R&gt;&lt;C&gt;1&lt;/C&gt;&lt;D xsi:type="xsd:double"&gt;17.7618942362341&lt;/D&gt;&lt;/FQL&gt;&lt;FQL&gt;&lt;Q&gt;EWA^FMA_EVAL_EBITDA(NTMA,0,,,"PORTAGG","MEANR")&lt;/Q&gt;&lt;R&gt;1&lt;/R&gt;&lt;C&gt;1&lt;/C&gt;&lt;D xsi:type="xsd:double"&gt;8.60310747157683&lt;/D&gt;&lt;/FQL&gt;&lt;FQL&gt;&lt;Q&gt;VGK^P_PRICE(0)/P_PRICE_HIGH_PR(0,,,USD,,,"PRICE","INTRA","52W")&lt;/Q&gt;&lt;R&gt;1&lt;/R&gt;&lt;C&gt;1&lt;/C&gt;&lt;D xsi:type="xsd:double"&gt;0.944747&lt;/D&gt;&lt;/FQL&gt;&lt;FQL&gt;&lt;Q&gt;EWD^FMA_PCT_ABOVE_MAVG(200,0,,,,"PORTAGG")&lt;/Q&gt;&lt;R&gt;1&lt;/R&gt;&lt;C&gt;1&lt;/C&gt;&lt;D xsi:type="xsd:double"&gt;79.5454545454545&lt;/D&gt;&lt;/FQL&gt;&lt;FQL&gt;&lt;Q&gt;QQQ^PERCENT_CHANGE(FMA_EPS(+1,0,,,,"PORTAGG","MEAN"),FMA_EPS(+1,-3AM,,,,"PORTAGG","MEAN"))&lt;/Q&gt;&lt;R&gt;1&lt;/R&gt;&lt;C&gt;1&lt;/C&gt;&lt;D xsi:type="xsd:double"&gt;0.238027733148554&lt;/D&gt;&lt;/FQL&gt;&lt;FQL&gt;&lt;Q&gt;EWG^P_PRICE(0)/P_PRICE_HIGH_PR(0,,,,,,"PRICE","INTRA","52W")&lt;/Q&gt;&lt;R&gt;1&lt;/R&gt;&lt;C&gt;1&lt;/C&gt;&lt;D xsi:type="xsd:double"&gt;0.9350332&lt;/D&gt;&lt;/FQL&gt;&lt;FQL&gt;&lt;Q&gt;ENZL^FG_TOTAL_RETURNC(0,-1AM)&lt;/Q&gt;&lt;R&gt;1&lt;/R&gt;&lt;C&gt;1&lt;/C&gt;&lt;D xsi:type="xsd:double"&gt;2.5942802&lt;/D&gt;&lt;/FQL&gt;&lt;FQL&gt;&lt;Q&gt;REFSEREPO-FDS^PROPER_NAME(0,,,"SECURITY","NAME")&lt;/Q&gt;&lt;R&gt;1&lt;/R&gt;&lt;C&gt;1&lt;/C&gt;&lt;D xsi:type="xsd:string"&gt;Sweden Repo Rate&lt;/D&gt;&lt;/FQL&gt;&lt;FQL&gt;&lt;Q&gt;EWD^FMA_COS_UP("EPS","1M",+1,0,,,"PORTAGG","MEANR")&lt;/Q&gt;&lt;R&gt;1&lt;/R&gt;&lt;C&gt;1&lt;/C&gt;&lt;D xsi:type="xsd:double"&gt;9&lt;/D&gt;&lt;/FQL&gt;&lt;FQL&gt;&lt;Q&gt;EWL^FMA_RBICS_REV_CURRENT(30, LOC, "PORTAGG")&lt;/Q&gt;&lt;R&gt;1&lt;/R&gt;&lt;C&gt;1&lt;/C&gt;&lt;D xsi:type="xsd:double"&gt;18.424673270129&lt;/D&gt;&lt;/FQL&gt;&lt;FQL&gt;&lt;Q&gt;TRYCA10Y-FDS^FG_YIELD_NAME&lt;/Q&gt;&lt;R&gt;1&lt;/R&gt;&lt;C&gt;1&lt;/C&gt;&lt;D xsi:type="xsd:string"&gt;Canada Benchmark Bond - 10 Year&lt;/D&gt;&lt;/FQL&gt;&lt;FQL&gt;&lt;Q&gt;EWD^SIZE(FG_CONSTITUENTS)&lt;/Q&gt;&lt;R&gt;1&lt;/R&gt;&lt;C&gt;1&lt;/C&gt;&lt;D xsi:type="xsd:long"&gt;46&lt;/D&gt;&lt;/FQL&gt;&lt;FQL&gt;&lt;Q&gt;TRYCH10Y-FDS^FG_YIELD_NAME&lt;/Q&gt;&lt;R&gt;1&lt;/R&gt;&lt;C&gt;1&lt;/C&gt;&lt;D xsi:type="xsd:string"&gt;Treasury - Switzerland Benchmark Bond 10Y&lt;/D&gt;&lt;/FQL&gt;&lt;FQL&gt;&lt;Q&gt;REFCATARG-FDS^FG_YIELD(NOW,,,0)&lt;/Q&gt;&lt;R&gt;1&lt;/R&gt;&lt;C&gt;1&lt;/C&gt;&lt;D xsi:type="xsd:double"&gt;4.75&lt;/D&gt;&lt;/FQL&gt;&lt;FQL&gt;&lt;Q&gt;EWJ^FG_FCF_YIELD_NTM(0)&lt;/Q&gt;&lt;R&gt;1&lt;/R&gt;&lt;C&gt;1&lt;/C&gt;&lt;D xsi:type="xsd:double"&gt;3.78376760942696&lt;/D&gt;&lt;/FQL&gt;&lt;FQL&gt;&lt;Q&gt;EWA^FMA_COS_UP("EPS","1M",+1,0,,,"PORTAGG","MEANR")&lt;/Q&gt;&lt;R&gt;1&lt;/R&gt;&lt;C&gt;1&lt;/C&gt;&lt;D xsi:type="xsd:double"&gt;19&lt;/D&gt;&lt;/FQL&gt;&lt;FQL&gt;&lt;Q&gt;REFAUCASH-FDS^PROPER_NAME(0,,,"SECURITY","NAME")&lt;/Q&gt;&lt;R&gt;1&lt;/R&gt;&lt;C&gt;1&lt;/C&gt;&lt;D xsi:type="xsd:string"&gt;Australia Target Cash Rate&lt;/D&gt;&lt;/FQL&gt;&lt;FQL&gt;&lt;Q&gt;ENZL^FMA_EVAL_EBIT(LTMA,NOW,NOW,M,"PORTAGG","MEANR")&lt;/Q&gt;&lt;R&gt;1&lt;/R&gt;&lt;C&gt;1&lt;/C&gt;&lt;D xsi:type="xsd:double"&gt;20.4843133785883&lt;/D&gt;&lt;/FQL&gt;&lt;FQL&gt;&lt;Q&gt;WL-FDS^FG_PRICE_MAVG(0,,,,30)&lt;/Q&gt;&lt;R&gt;1&lt;/R&gt;&lt;C&gt;1&lt;/C&gt;&lt;D xsi:type="xsd:double"&gt;553.99664&lt;/D&gt;&lt;/FQL&gt;&lt;FQL&gt;&lt;Q&gt;TIOS-FDS^FG_PRICE_MAVG(0,,,,30)&lt;/Q&gt;&lt;R&gt;1&lt;/R&gt;&lt;C&gt;1&lt;/C&gt;&lt;D xsi:type="xsd:double"&gt;110.97467&lt;/D&gt;&lt;/FQL&gt;&lt;FQL&gt;&lt;Q&gt;TLT^FG_TOTAL_RETURNC(0,-6AM)&lt;/Q&gt;&lt;R&gt;1&lt;/R&gt;&lt;C&gt;1&lt;/C&gt;&lt;D xsi:type="xsd:double"&gt;-6.490034&lt;/D&gt;&lt;/FQL&gt;&lt;FQL&gt;&lt;Q&gt;GLD^FG_TOTAL_RETURNC(0,-1AM)&lt;/Q&gt;&lt;R&gt;1&lt;/R&gt;&lt;C&gt;1&lt;/C&gt;&lt;D xsi:type="xsd:double"&gt;-1.4574468&lt;/D&gt;&lt;/FQL&gt;&lt;FQL&gt;&lt;Q&gt;EWQ^FMA_COS_DOWN("EPS","1M",+1,0,,,"PORTAGG","MEANR")&lt;/Q&gt;&lt;R&gt;1&lt;/R&gt;&lt;C&gt;1&lt;/C&gt;&lt;D xsi:type="xsd:double"&gt;26&lt;/D&gt;&lt;/FQL&gt;&lt;FQL&gt;&lt;Q&gt;SPY^FG_TOTAL_RETURNC(-10AY,0,AM)&lt;/Q&gt;&lt;R&gt;121&lt;/R&gt;&lt;C&gt;1&lt;/C&gt;&lt;D xsi:type="xsd:double"&gt;2.809143&lt;/D&gt;&lt;D xsi:type="xsd:double"&gt;1.0111332&lt;/D&gt;&lt;D xsi:type="xsd:double"&gt;1.1830091&lt;/D&gt;&lt;D xsi:type="xsd:double"&gt;-0.6564915&lt;/D&gt;&lt;D xsi:type="xsd:double"&gt;0.25770664&lt;/D&gt;&lt;D xsi:type="xsd:double"&gt;4.4302225&lt;/D&gt;&lt;D xsi:type="xsd:double"&gt;1.1512876&lt;/D&gt;&lt;D xsi:type="xsd:double"&gt;-3.9819598&lt;/D&gt;&lt;D xsi:type="xsd:double"&gt;5.256319&lt;/D&gt;&lt;D xsi:type="xsd:double"&gt;-1.9034684&lt;/D&gt;&lt;D xsi:type="xsd:double"&gt;2.7704835&lt;/D&gt;&lt;D xsi:type="xsd:double"&gt;0.48240423&lt;/D&gt;&lt;D xsi:type="xsd:double"&gt;-0.76003075&lt;/D&gt;&lt;D xsi:type="xsd:double"&gt;-0.23353696&lt;/D&gt;&lt;D xsi:type="xsd:double"&gt;-4.801035&lt;/D&gt;&lt;D xsi:type="xsd:double"&gt;-5.1565228&lt;/D&gt;&lt;D xsi:type="xsd:double"&gt;11.1377125&lt;/D&gt;&lt;D xsi:type="xsd:double"&gt;0.29193163&lt;/D&gt;&lt;D xsi:type="xsd:double"&gt;-1.4826298&lt;/D&gt;&lt;D xsi:type="xsd:double"&gt;-7.845622&lt;/D&gt;&lt;D xsi:type="xsd:double"&gt;3.1617641&lt;/D&gt;&lt;D xsi:type="xsd:double"&gt;4.712999&lt;/D&gt;&lt;D xsi:type="xsd:double"&gt;2.0702124&lt;/D&gt;&lt;D xsi:type="xsd:double"&gt;1.3461232&lt;/D&gt;&lt;D xsi:type="xsd:double"&gt;-2.843982&lt;/D&gt;&lt;D xsi:type="xsd:double"&gt;6.678307&lt;/D&gt;&lt;D xsi:type="xsd:double"&gt;0.23988485&lt;/D&gt;&lt;D xsi:type="xsd:double"&gt;0.20648241&lt;/D&gt;&lt;D xsi:type="xsd:double"&gt;-1.8925428&lt;/D&gt;&lt;D xsi:type="xsd:double"&gt;3.7357688&lt;/D&gt;&lt;D xsi:type="xsd:double"&gt;2.3789644&lt;/D&gt;&lt;D xsi:type="xsd:double"&gt;2.0365477&lt;/D&gt;&lt;D xsi:type="xsd:double"&gt;3.2755375&lt;/D&gt;&lt;D xsi:type="xsd:double"&gt;-0.052571297&lt;/D&gt;&lt;D xsi:type="xsd:double"&gt;1.1728644&lt;/D&gt;&lt;D xsi:type="xsd:double"&gt;1.5246987&lt;/D&gt;&lt;D xsi:type="xsd:double"&gt;1.2276173&lt;/D&gt;&lt;D xsi:type="xsd:double"&gt;1.4045715&lt;/D&gt;&lt;D xsi:type="xsd:double"&gt;-0.94771385&lt;/D&gt;&lt;D xsi:type="xsd:double"&gt;2.8704762&lt;/D&gt;&lt;D xsi:type="xsd:double"&gt;2.93988&lt;/D&gt;&lt;D xsi:type="xsd:double"&gt;2.0022511&lt;/D&gt;&lt;D xsi:type="xsd:double"&gt;2.4187803&lt;/D&gt;&lt;D xsi:type="xsd:double"&gt;6.9847226&lt;/D&gt;&lt;D xsi:type="xsd:double"&gt;-5.209714&lt;/D&gt;&lt;D xsi:type="xsd:double"&gt;-3.9686024&lt;/D&gt;&lt;D xsi:type="xsd:double"&gt;2.5901556&lt;/D&gt;&lt;D xsi:type="xsd:double"&gt;2.0970821&lt;/D&gt;&lt;D xsi:type="xsd:double"&gt;-0.015604496&lt;/D&gt;&lt;D xsi:type="xsd:double"&gt;3.8871884&lt;/D&gt;&lt;D xsi:type="xsd:double"&gt;3.0203938&lt;/D&gt;&lt;D xsi:type="xsd:double"&gt;0.730145&lt;/D&gt;&lt;D xsi:type="xsd:double"&gt;-8.733493&lt;/D&gt;&lt;D xsi:type="xsd:double"&gt;3.486228&lt;/D&gt;&lt;D xsi:type="xsd:double"&gt;-9.233194&lt;/D&gt;&lt;D xsi:type="xsd:double"&gt;6.4621687&lt;/D&gt;&lt;D xsi:type="xsd:double"&gt;5.6566477&lt;/D&gt;&lt;D xsi:type="xsd:double"&gt;1.1699677&lt;/D&gt;&lt;D xsi:type="xsd:double"&gt;4.524243&lt;/D&gt;&lt;D xsi:type="xsd:double"&gt;-4.5192776&lt;/D&gt;&lt;D xsi:type="xsd:double"&gt;5.0961256&lt;/D&gt;&lt;D xsi:type="xsd:double"&gt;3.075087&lt;/D&gt;&lt;D xsi:type="xsd:double"&gt;-4.344225&lt;/D&gt;&lt;D xsi:type="xsd:double"&gt;2.7277708&lt;/D&gt;&lt;D xsi:type="xsd:double"&gt;2.6743412&lt;/D&gt;&lt;D xsi:type="xsd:double"&gt;4.015839&lt;/D&gt;&lt;D xsi:type="xsd:double"&gt;2.8402328&lt;/D&gt;&lt;D xsi:type="xsd:double"&gt;1.2482285&lt;/D&gt;&lt;D xsi:type="xsd:double"&gt;-9.370125&lt;/D&gt;&lt;D xsi:type="xsd:double"&gt;-13.934792&lt;/D&gt;&lt;D xsi:type="xsd:double"&gt;12.749588&lt;/D&gt;&lt;D xsi:type="xsd:double"&gt;6.033659&lt;/D&gt;&lt;D xsi:type="xsd:double"&gt;-0.52539706&lt;/D&gt;&lt;D xsi:type="xsd:double"&gt;7.0388317&lt;/D&gt;&lt;D xsi:type="xsd:double"&gt;9.157133&lt;/D&gt;&lt;D xsi:type="xsd:double"&gt;-4.289019&lt;/D&gt;&lt;D xsi:type="xsd:double"&gt;-2.2532105&lt;/D&gt;&lt;D xsi:type="xsd:double"&gt;11.32983&lt;/D&gt;&lt;D xsi:type="xsd:double"&gt;2.7752638&lt;/D&gt;&lt;D xsi:type="xsd:double"&gt;1.467073&lt;/D&gt;&lt;D xsi:type="xsd:double"&gt;0.7229209&lt;/D&gt;&lt;D xsi:type="xsd:double"&gt;4.4481993&lt;/D&gt;&lt;D xsi:type="xsd:double"&gt;5.40936&lt;/D&gt;&lt;D xsi:type="xsd:double"&gt;0.6324887&lt;/D&gt;&lt;D xsi:type="xsd:double"&gt;2.1063328&lt;/D&gt;&lt;D xsi:type="xsd:double"&gt;2.657497&lt;/D&gt;&lt;D xsi:type="xsd:double"&gt;2.6023746&lt;/D&gt;&lt;D xsi:type="xsd:double"&gt;-3.3596337&lt;/D&gt;&lt;D xsi:type="xsd:double"&gt;5.671859&lt;/D&gt;&lt;D xsi:type="xsd:double"&gt;0.14182329&lt;/D&gt;&lt;D xsi:type="xsd:double"&gt;4.269755&lt;/D&gt;&lt;D xsi:type="xsd:double"&gt;-7.3227463&lt;/D&gt;&lt;D xsi:type="xsd:double"&gt;-1.2037575&lt;/D&gt;&lt;D xsi:type="xsd:double"&gt;4.736519&lt;/D&gt;&lt;D xsi:type="xsd:double"&gt;-6.163496&lt;/D&gt;&lt;D xsi:type="xsd:double"&gt;-2.933544&lt;/D&gt;&lt;D xsi:type="xsd:double"&gt;-7.9394636&lt;/D&gt;&lt;D xsi:type="xsd:double"&gt;6.6780567&lt;/D&gt;&lt;D xsi:type="xsd:double"&gt;-0.18716455&lt;/D&gt;&lt;D xsi:type="xsd:double"&gt;-8.202571&lt;/D&gt;&lt;D xsi:type="xsd:double"&gt;4.9901485&lt;/D&gt;&lt;D xsi:type="xsd:double"&gt;1.7711163&lt;/D&gt;&lt;D xsi:type="xsd:double"&gt;-4.42003&lt;/D&gt;&lt;D xsi:type="xsd:double"&gt;7.704556&lt;/D&gt;&lt;D xsi:type="xsd:double"&gt;-2.322024&lt;/D&gt;&lt;D xsi:type="xsd:double"&gt;0.2190113&lt;/D&gt;&lt;D xsi:type="xsd:double"&gt;5.139029&lt;/D&gt;&lt;D xsi:type="xsd:double"&gt;0.9833336&lt;/D&gt;&lt;D xsi:type="xsd:double"&gt;4.284787&lt;/D&gt;&lt;D xsi:type="xsd:double"&gt;4.704511&lt;/D&gt;&lt;D xsi:type="xsd:double"&gt;-3.0990124&lt;/D&gt;&lt;D xsi:type="xsd:double"&gt;-2.8705955&lt;/D&gt;&lt;D xsi:type="xsd:double"&gt;-4.163164&lt;/D&gt;&lt;D xsi:type="xsd:double"&gt;10.774815&lt;/D&gt;&lt;D xsi:type="xsd:double"&gt;5.208707&lt;/D&gt;&lt;D xsi:type="xsd:double"&gt;2.2488356&lt;/D&gt;&lt;D xsi:type="xsd:double"&gt;3.8673878&lt;/D&gt;&lt;D xsi:type="xsd:double"&gt;3.6436558&lt;/D&gt;&lt;D xsi:type="xsd:double"&gt;-2.8313577&lt;/D&gt;&lt;D xsi:type="xsd:double"&gt;4.2399526&lt;/D&gt;&lt;D xsi:type="xsd:double"&gt;3.0516744&lt;/D&gt;&lt;/FQL&gt;&lt;FQL&gt;&lt;Q&gt;VWO^P_PRICE(0)/P_PRICE_LOW_PR(0,,,,,,"PRICE","INTRA","52W")-1&lt;/Q&gt;&lt;R&gt;1&lt;/R&gt;&lt;C&gt;1&lt;/C&gt;&lt;D xsi:type="xsd:double"&gt;0.1683352&lt;/D&gt;&lt;/FQL&gt;&lt;FQL&gt;&lt;Q&gt;EWN^FMA_COS_UP("EPS","1M",+1,0,,,"PORTAGG","MEANR")&lt;/Q&gt;&lt;R&gt;1&lt;/R&gt;&lt;C&gt;1&lt;/C&gt;&lt;D xsi:type="xsd:double"&gt;25&lt;/D&gt;&lt;/FQL&gt;&lt;FQL&gt;&lt;Q&gt;EWJ^FMA_RBICS_REV_CURRENT(30, LOC, "PORTAGG")&lt;/Q&gt;&lt;R&gt;1&lt;/R&gt;&lt;C&gt;1&lt;/C&gt;&lt;D xsi:type="xsd:double"&gt;18.8758256480555&lt;/D&gt;&lt;/FQL&gt;&lt;FQL&gt;&lt;Q&gt;TRYAU10Y-FDS^FG_YIELD_NAME&lt;/Q&gt;&lt;R&gt;1&lt;/R&gt;&lt;C&gt;1&lt;/C&gt;&lt;D xsi:type="xsd:string"&gt;Australia Benchmark Bond - 10 Year&lt;/D&gt;&lt;/FQL&gt;&lt;FQL&gt;&lt;Q&gt;TRYJP10Y-FDS^PCTCHG(FG_YIELD(0,,,,"YTM"),FG_YIELD(-1AM,,,,"YTM"))&lt;/Q&gt;&lt;R&gt;1&lt;/R&gt;&lt;C&gt;1&lt;/C&gt;&lt;D xsi:type="xsd:double"&gt;2.794163&lt;/D&gt;&lt;/FQL&gt;&lt;FQL&gt;&lt;Q&gt;SPY^FMA_PE(LTM,0,,,"PORTAGG","MEANR")&lt;/Q&gt;&lt;R&gt;1&lt;/R&gt;&lt;C&gt;1&lt;/C&gt;&lt;D xsi:type="xsd:double"&gt;26.2760672423898&lt;/D&gt;&lt;/FQL&gt;&lt;FQL&gt;&lt;Q&gt;TLT^P_PRICE(0)/P_PRICE_HIGH_PR(0,,,USD,,,"PRICE","INTRA","52W")&lt;/Q&gt;&lt;R&gt;1&lt;/R&gt;&lt;C&gt;1&lt;/C&gt;&lt;D xsi:type="xsd:double"&gt;0.8888674&lt;/D&gt;&lt;/FQL&gt;&lt;FQL&gt;&lt;Q&gt;GLD^FG_TOTAL_RETURNC(0,-3AM)&lt;/Q&gt;&lt;R&gt;1&lt;/R&gt;&lt;C&gt;1&lt;/C&gt;&lt;D xsi:type="xsd:double"&gt;4.5158386&lt;/D&gt;&lt;/FQL&gt;&lt;FQL&gt;&lt;Q&gt;EWD^FMA_PE(NTMA,0,,,"PORTAGG","MEANR")&lt;/Q&gt;&lt;R&gt;1&lt;/R&gt;&lt;C&gt;1&lt;/C&gt;&lt;D xsi:type="xsd:double"&gt;15.9192626069432&lt;/D&gt;&lt;/FQL&gt;&lt;FQL&gt;&lt;Q&gt;PASP-FDS^MAX(FG_PRICE(0,-5AY))&lt;/Q&gt;&lt;R&gt;1&lt;/R&gt;&lt;C&gt;1&lt;/C&gt;&lt;D xsi:type="xsd:double"&gt;3158.12&lt;/D&gt;&lt;/FQL&gt;&lt;FQL&gt;&lt;Q&gt;EWQ^FG_PRICE_MAVG(0,,,,200)&lt;/Q&gt;&lt;R&gt;1&lt;/R&gt;&lt;C&gt;1&lt;/C&gt;&lt;D xsi:type="xsd:double"&gt;38.716076&lt;/D&gt;&lt;/FQL&gt;&lt;FQL&gt;&lt;Q&gt;VWO^P_PRICE(0)/P_PRICE_HIGH_PR(0,,,,,,"PRICE","INTRA","52W")&lt;/Q&gt;&lt;R&gt;1&lt;/R&gt;&lt;C&gt;1&lt;/C&gt;&lt;D xsi:type="xsd:double"&gt;0.97318184&lt;/D&gt;&lt;/FQL&gt;&lt;FQL&gt;&lt;Q&gt;EWN^P_PRICE(0)/P_PRICE_LOW_PR(0,,,,,,"PRICE","INTRA","52W")-1&lt;/Q&gt;&lt;R&gt;1&lt;/R&gt;&lt;C&gt;1&lt;/C&gt;&lt;D xsi:type="xsd:double"&gt;0.38412786&lt;/D&gt;&lt;/FQL&gt;&lt;FQL&gt;&lt;Q&gt;EWU^FG_TOTAL_RETURNC(0,-12AM)&lt;/Q&gt;&lt;R&gt;1&lt;/R&gt;&lt;C&gt;1&lt;/C&gt;&lt;D xsi:type="xsd:double"&gt;13.799787&lt;/D&gt;&lt;/FQL&gt;&lt;FQL&gt;&lt;Q&gt;EWG^FG_TOTAL_RETURNC(0,-1AM)&lt;/Q&gt;&lt;R&gt;1&lt;/R&gt;&lt;C&gt;1&lt;/C&gt;&lt;D xsi:type="xsd:double"&gt;-2.6821733&lt;/D&gt;&lt;/FQL&gt;&lt;FQL&gt;&lt;Q&gt;ENZL^PERCENT_CHANGE(FMA_EPS(+1,0,,,,"PORTAGG","MEAN"),FMA_EPS(+1,-1AM,,,,"PORTAGG","MEAN"))&lt;/Q&gt;&lt;R&gt;1&lt;/R&gt;&lt;C&gt;1&lt;/C&gt;&lt;D xsi:type="xsd:double"&gt;2.73102562467483&lt;/D&gt;&lt;/FQL&gt;&lt;FQL&gt;&lt;Q&gt;EWQ^SIZE(FG_CONSTITUENTS)&lt;/Q&gt;&lt;R&gt;1&lt;/R&gt;&lt;C&gt;1&lt;/C&gt;&lt;D xsi:type="xsd:long"&gt;62&lt;/D&gt;&lt;/FQL&gt;&lt;FQL&gt;&lt;Q&gt;EWA^SIZE(FG_CONSTITUENTS)&lt;/Q&gt;&lt;R&gt;1&lt;/R&gt;&lt;C&gt;1&lt;/C&gt;&lt;D xsi:type="xsd:long"&gt;60&lt;/D&gt;&lt;/FQL&gt;&lt;FQL&gt;&lt;Q&gt;REFAUCASH-FDS^FG_YIELD(NOW,,,0)&lt;/Q&gt;&lt;R&gt;1&lt;/R&gt;&lt;C&gt;1&lt;/C&gt;&lt;D xsi:type="xsd:double"&gt;4.35&lt;/D&gt;&lt;/FQL&gt;&lt;FQL&gt;&lt;Q&gt;CC_NZ^IMF_IFS_RCPI_Q(0)&lt;/Q&gt;&lt;R&gt;1&lt;/R&gt;&lt;C&gt;1&lt;/C&gt;&lt;D xsi:type="xsd:double"&gt;4.022989&lt;/D&gt;&lt;/FQL&gt;&lt;FQL&gt;&lt;Q&gt;EWU^FG_TOTAL_RETURNC(-10AY,0,AM)&lt;/Q&gt;&lt;R&gt;121&lt;/R&gt;&lt;C&gt;1&lt;/C&gt;&lt;D xsi:type="xsd:double"&gt;1.088202&lt;/D&gt;&lt;D xsi:type="xsd:double"&gt;0&lt;/D&gt;&lt;D xsi:type="xsd:double"&gt;-1.7745852&lt;/D&gt;&lt;D xsi:type="xsd:double"&gt;-4.199213&lt;/D&gt;&lt;D xsi:type="xsd:double"&gt;-4.0774765&lt;/D&gt;&lt;D xsi:type="xsd:double"&gt;1.1158347&lt;/D&gt;&lt;D xsi:type="xsd:double"&gt;-1.348567&lt;/D&gt;&lt;D xsi:type="xsd:double"&gt;-0.86908937&lt;/D&gt;&lt;D xsi:type="xsd:double"&gt;4.657531&lt;/D&gt;&lt;D xsi:type="xsd:double"&gt;-3.979057&lt;/D&gt;&lt;D xsi:type="xsd:double"&gt;6.215918&lt;/D&gt;&lt;D xsi:type="xsd:double"&gt;0.05133152&lt;/D&gt;&lt;D xsi:type="xsd:double"&gt;-1.2598515&lt;/D&gt;&lt;D xsi:type="xsd:double"&gt;-3.4920633&lt;/D&gt;&lt;D xsi:type="xsd:double"&gt;-5.9758782&lt;/D&gt;&lt;D xsi:type="xsd:double"&gt;-6.5306067&lt;/D&gt;&lt;D xsi:type="xsd:double"&gt;9.918904&lt;/D&gt;&lt;D xsi:type="xsd:double"&gt;-2.4971664&lt;/D&gt;&lt;D xsi:type="xsd:double"&gt;-3.1683564&lt;/D&gt;&lt;D xsi:type="xsd:double"&gt;-7.847947&lt;/D&gt;&lt;D xsi:type="xsd:double"&gt;-0.7984042&lt;/D&gt;&lt;D xsi:type="xsd:double"&gt;3.9570808&lt;/D&gt;&lt;D xsi:type="xsd:double"&gt;5.3548336&lt;/D&gt;&lt;D xsi:type="xsd:double"&gt;0.48989058&lt;/D&gt;&lt;D xsi:type="xsd:double"&gt;-8.896857&lt;/D&gt;&lt;D xsi:type="xsd:double"&gt;6.511307&lt;/D&gt;&lt;D xsi:type="xsd:double"&gt;1.6087532&lt;/D&gt;&lt;D xsi:type="xsd:double"&gt;0.4433155&lt;/D&gt;&lt;D xsi:type="xsd:double"&gt;-5.359393&lt;/D&gt;&lt;D xsi:type="xsd:double"&gt;-0.3664255&lt;/D&gt;&lt;D xsi:type="xsd:double"&gt;2.7745128&lt;/D&gt;&lt;D xsi:type="xsd:double"&gt;4.1556716&lt;/D&gt;&lt;D xsi:type="xsd:double"&gt;1.0449648&lt;/D&gt;&lt;D xsi:type="xsd:double"&gt;1.848948&lt;/D&gt;&lt;D xsi:type="xsd:double"&gt;1.8461466&lt;/D&gt;&lt;D xsi:type="xsd:double"&gt;4.16919&lt;/D&gt;&lt;D xsi:type="xsd:double"&gt;-0.7519126&lt;/D&gt;&lt;D xsi:type="xsd:double"&gt;1.4639854&lt;/D&gt;&lt;D xsi:type="xsd:double"&gt;-0.97172856&lt;/D&gt;&lt;D xsi:type="xsd:double"&gt;3.0924678&lt;/D&gt;&lt;D xsi:type="xsd:double"&gt;0.028848648&lt;/D&gt;&lt;D xsi:type="xsd:double"&gt;1.2399077&lt;/D&gt;&lt;D xsi:type="xsd:double"&gt;3.3405304&lt;/D&gt;&lt;D xsi:type="xsd:double"&gt;6.3746095&lt;/D&gt;&lt;D xsi:type="xsd:double"&gt;-8.474135&lt;/D&gt;&lt;D xsi:type="xsd:double"&gt;-0.20190477&lt;/D&gt;&lt;D xsi:type="xsd:double"&gt;5.0289035&lt;/D&gt;&lt;D xsi:type="xsd:double"&gt;-0.35773516&lt;/D&gt;&lt;D xsi:type="xsd:double"&gt;-2.4561942&lt;/D&gt;&lt;D xsi:type="xsd:double"&gt;0.81158876&lt;/D&gt;&lt;D xsi:type="xsd:double"&gt;-1.9838929&lt;/D&gt;&lt;D xsi:type="xsd:double"&gt;0.0880003&lt;/D&gt;&lt;D xsi:type="xsd:double"&gt;-8.558023&lt;/D&gt;&lt;D xsi:type="xsd:double"&gt;2.4038434&lt;/D&gt;&lt;D xsi:type="xsd:double"&gt;-6.0335693&lt;/D&gt;&lt;D xsi:type="xsd:double"&gt;4.4247866&lt;/D&gt;&lt;D xsi:type="xsd:double"&gt;6.1603665&lt;/D&gt;&lt;D xsi:type="xsd:double"&gt;1.1360168&lt;/D&gt;&lt;D xsi:type="xsd:double"&gt;1.7607808&lt;/D&gt;&lt;D xsi:type="xsd:double"&gt;-4.2959394&lt;/D&gt;&lt;D xsi:type="xsd:double"&gt;3.3335805&lt;/D&gt;&lt;D xsi:type="xsd:double"&gt;-0.86633563&lt;/D&gt;&lt;D xsi:type="xsd:double"&gt;-6.491894&lt;/D&gt;&lt;D xsi:type="xsd:double"&gt;4.7730327&lt;/D&gt;&lt;D xsi:type="xsd:double"&gt;3.8547277&lt;/D&gt;&lt;D xsi:type="xsd:double"&gt;1.8098116&lt;/D&gt;&lt;D xsi:type="xsd:double"&gt;4.1727066&lt;/D&gt;&lt;D xsi:type="xsd:double"&gt;-2.3543239&lt;/D&gt;&lt;D xsi:type="xsd:double"&gt;-11.693793&lt;/D&gt;&lt;D xsi:type="xsd:double"&gt;-20.307165&lt;/D&gt;&lt;D xsi:type="xsd:double"&gt;7.665944&lt;/D&gt;&lt;D xsi:type="xsd:double"&gt;3.540182&lt;/D&gt;&lt;D xsi:type="xsd:double"&gt;-0.6291568&lt;/D&gt;&lt;D xsi:type="xsd:double"&gt;3.9638996&lt;/D&gt;&lt;D xsi:type="xsd:double"&gt;1.623261&lt;/D&gt;&lt;D xsi:type="xsd:double"&gt;-4.531944&lt;/D&gt;&lt;D xsi:type="xsd:double"&gt;-5.992222&lt;/D&gt;&lt;D xsi:type="xsd:double"&gt;19.784773&lt;/D&gt;&lt;D xsi:type="xsd:double"&gt;2.7185082&lt;/D&gt;&lt;D xsi:type="xsd:double"&gt;2.0074844&lt;/D&gt;&lt;D xsi:type="xsd:double"&gt;1.3008714&lt;/D&gt;&lt;D xsi:type="xsd:double"&gt;3.9183378&lt;/D&gt;&lt;D xsi:type="xsd:double"&gt;3.929019&lt;/D&gt;&lt;D xsi:type="xsd:double"&gt;3.0182958&lt;/D&gt;&lt;D xsi:type="xsd:double"&gt;-1.1392236&lt;/D&gt;&lt;D xsi:type="xsd:double"&gt;-0.51749945&lt;/D&gt;&lt;D xsi:type="xsd:double"&gt;1.5911937&lt;/D&gt;&lt;D xsi:type="xsd:double"&gt;-3.1927764&lt;/D&gt;&lt;D xsi:type="xsd:double"&gt;5.693841&lt;/D&gt;&lt;D xsi:type="xsd:double"&gt;-5.5637302&lt;/D&gt;&lt;D xsi:type="xsd:double"&gt;6.5324664&lt;/D&gt;&lt;D xsi:type="xsd:double"&gt;1.4431834&lt;/D&gt;&lt;D xsi:type="xsd:double"&gt;-0.7409632&lt;/D&gt;&lt;D xsi:type="xsd:double"&gt;0.14929771&lt;/D&gt;&lt;D xsi:type="xsd:double"&gt;-3.2200396&lt;/D&gt;&lt;D xsi:type="xsd:double"&gt;2.3105383&lt;/D&gt;&lt;D xsi:type="xsd:double"&gt;-7.2099924&lt;/D&gt;&lt;D xsi:type="xsd:double"&gt;0.79312325&lt;/D&gt;&lt;D xsi:type="xsd:double"&gt;-2.426231&lt;/D&gt;&lt;D xsi:type="xsd:double"&gt;-11.794358&lt;/D&gt;&lt;D xsi:type="xsd:double"&gt;7.9238057&lt;/D&gt;&lt;D xsi:type="xsd:double"&gt;8.54218&lt;/D&gt;&lt;D xsi:type="xsd:double"&gt;0.8361459&lt;/D&gt;&lt;D xsi:type="xsd:double"&gt;6.644857&lt;/D&gt;&lt;D xsi:type="xsd:double"&gt;-0.92082024&lt;/D&gt;&lt;D xsi:type="xsd:double"&gt;-2.385372&lt;/D&gt;&lt;D xsi:type="xsd:double"&gt;7.680106&lt;/D&gt;&lt;D xsi:type="xsd:double"&gt;-4.391396&lt;/D&gt;&lt;D xsi:type="xsd:double"&gt;0.46557188&lt;/D&gt;&lt;D xsi:type="xsd:double"&gt;4.097593&lt;/D&gt;&lt;D xsi:type="xsd:double"&gt;-4.3870153&lt;/D&gt;&lt;D xsi:type="xsd:double"&gt;-0.28284192&lt;/D&gt;&lt;D xsi:type="xsd:double"&gt;-4.7904196&lt;/D&gt;&lt;D xsi:type="xsd:double"&gt;7.3816657&lt;/D&gt;&lt;D xsi:type="xsd:double"&gt;4.225838&lt;/D&gt;&lt;D xsi:type="xsd:double"&gt;-1.2405455&lt;/D&gt;&lt;D xsi:type="xsd:double"&gt;-0.18381476&lt;/D&gt;&lt;D xsi:type="xsd:double"&gt;5.003059&lt;/D&gt;&lt;D xsi:type="xsd:double"&gt;1.8123388&lt;/D&gt;&lt;D xsi:type="xsd:double"&gt;3.674984&lt;/D&gt;&lt;D xsi:type="xsd:double"&gt;-1.5146196&lt;/D&gt;&lt;/FQL&gt;&lt;FQL&gt;&lt;Q&gt;EWA^FMA_COS_DOWN("EPS","1M",+1,0,,,"PORTAGG","MEANR")&lt;/Q&gt;&lt;R&gt;1&lt;/R&gt;&lt;C&gt;1&lt;/C&gt;&lt;D xsi:type="xsd:double"&gt;31&lt;/D&gt;&lt;/FQL&gt;&lt;FQL&gt;&lt;Q&gt;EWG^FMA_RBICS_REV_CURRENT(30, LOC, "PORTAGG")&lt;/Q&gt;&lt;R&gt;1&lt;/R&gt;&lt;C&gt;1&lt;/C&gt;&lt;D xsi:type="xsd:double"&gt;23.4356830968269&lt;/D&gt;&lt;/FQL&gt;&lt;FQL&gt;&lt;Q&gt;TRYDE10Y-FDS^PCTCHG(FG_YIELD(0,,,,"YTM"),FG_YIELD(-3AM,,,,"YTM"))&lt;/Q&gt;&lt;R&gt;1&lt;/R&gt;&lt;C&gt;1&lt;/C&gt;&lt;D xsi:type="xsd:double"&gt;7.628605&lt;/D&gt;&lt;/FQL&gt;&lt;FQL&gt;&lt;Q&gt;TRYJP10Y-FDS^FG_YIELD(0,,,,"YTM")&lt;/Q&gt;&lt;R&gt;1&lt;/R&gt;&lt;C&gt;1&lt;/C&gt;&lt;D xsi:type="xsd:double"&gt;1.0632&lt;/D&gt;&lt;/FQL&gt;&lt;FQL&gt;&lt;Q&gt;VWO^FMA_EVAL_EBIT(LTMA,NOW,NOW,M,"PORTAGG","MEANR")&lt;/Q&gt;&lt;R&gt;1&lt;/R&gt;&lt;C&gt;1&lt;/C&gt;&lt;D xsi:type="xsd:double"&gt;14.3363634026247&lt;/D&gt;&lt;/FQL&gt;&lt;FQL&gt;&lt;Q&gt;QQQ^FMA_EVAL_EBIT(LTMA,NOW,NOW,M,"PORTAGG","MEANR")&lt;/Q&gt;&lt;R&gt;1&lt;/R&gt;&lt;C&gt;1&lt;/C&gt;&lt;D xsi:type="xsd:double"&gt;24.7842035753318&lt;/D&gt;&lt;/FQL&gt;&lt;FQL&gt;&lt;Q&gt;EWA^FMA_PE(LTM,0,,,"PORTAGG","MEANR")&lt;/Q&gt;&lt;R&gt;1&lt;/R&gt;&lt;C&gt;1&lt;/C&gt;&lt;D xsi:type="xsd:double"&gt;19.2941503940575&lt;/D&gt;&lt;/FQL&gt;&lt;FQL&gt;&lt;Q&gt;EWJ^FG_TOTAL_RETURNC(-10AY,0,AM)&lt;/Q&gt;&lt;R&gt;121&lt;/R&gt;&lt;C&gt;1&lt;/C&gt;&lt;D xsi:type="xsd:double"&gt;5.5292487&lt;/D&gt;&lt;D xsi:type="xsd:double"&gt;1.8363953&lt;/D&gt;&lt;D xsi:type="xsd:double"&gt;-3.114754&lt;/D&gt;&lt;D xsi:type="xsd:double"&gt;0.7614255&lt;/D&gt;&lt;D xsi:type="xsd:double"&gt;-4.7858896&lt;/D&gt;&lt;D xsi:type="xsd:double"&gt;2.4691343&lt;/D&gt;&lt;D xsi:type="xsd:double"&gt;0.069093704&lt;/D&gt;&lt;D xsi:type="xsd:double"&gt;0.25951862&lt;/D&gt;&lt;D xsi:type="xsd:double"&gt;6.557381&lt;/D&gt;&lt;D xsi:type="xsd:double"&gt;3.076911&lt;/D&gt;&lt;D xsi:type="xsd:double"&gt;4.634726&lt;/D&gt;&lt;D xsi:type="xsd:double"&gt;-1.1261225&lt;/D&gt;&lt;D xsi:type="xsd:double"&gt;-0.18229485&lt;/D&gt;&lt;D xsi:type="xsd:double"&gt;-2.4464786&lt;/D&gt;&lt;D xsi:type="xsd:double"&gt;-3.526646&lt;/D&gt;&lt;D xsi:type="xsd:double"&gt;-7.961011&lt;/D&gt;&lt;D xsi:type="xsd:double"&gt;10.50309&lt;/D&gt;&lt;D xsi:type="xsd:double"&gt;-0.31949878&lt;/D&gt;&lt;D xsi:type="xsd:double"&gt;-2.0968974&lt;/D&gt;&lt;D xsi:type="xsd:double"&gt;-7.419628&lt;/D&gt;&lt;D xsi:type="xsd:double"&gt;-1.513797&lt;/D&gt;&lt;D xsi:type="xsd:double"&gt;4.1591287&lt;/D&gt;&lt;D xsi:type="xsd:double"&gt;0&lt;/D&gt;&lt;D xsi:type="xsd:double"&gt;1.5190959&lt;/D&gt;&lt;D xsi:type="xsd:double"&gt;-1.3180196&lt;/D&gt;&lt;D xsi:type="xsd:double"&gt;3.493452&lt;/D&gt;&lt;D xsi:type="xsd:double"&gt;3.1223655&lt;/D&gt;&lt;D xsi:type="xsd:double"&gt;3.5188198&lt;/D&gt;&lt;D xsi:type="xsd:double"&gt;-0.23715496&lt;/D&gt;&lt;D xsi:type="xsd:double"&gt;-1.1093557&lt;/D&gt;&lt;D xsi:type="xsd:double"&gt;0.07845163&lt;/D&gt;&lt;D xsi:type="xsd:double"&gt;2.936411&lt;/D&gt;&lt;D xsi:type="xsd:double"&gt;0.7869363&lt;/D&gt;&lt;D xsi:type="xsd:double"&gt;2.1667004&lt;/D&gt;&lt;D xsi:type="xsd:double"&gt;-0.91707706&lt;/D&gt;&lt;D xsi:type="xsd:double"&gt;2.545309&lt;/D&gt;&lt;D xsi:type="xsd:double"&gt;2.214992&lt;/D&gt;&lt;D xsi:type="xsd:double"&gt;1.0553718&lt;/D&gt;&lt;D xsi:type="xsd:double"&gt;-0.29315352&lt;/D&gt;&lt;D xsi:type="xsd:double"&gt;2.3520827&lt;/D&gt;&lt;D xsi:type="xsd:double"&gt;4.8833013&lt;/D&gt;&lt;D xsi:type="xsd:double"&gt;2.6532054&lt;/D&gt;&lt;D xsi:type="xsd:double"&gt;0.41823387&lt;/D&gt;&lt;D xsi:type="xsd:double"&gt;8.107651&lt;/D&gt;&lt;D xsi:type="xsd:double"&gt;-5.566722&lt;/D&gt;&lt;D xsi:type="xsd:double"&gt;-1.8830895&lt;/D&gt;&lt;D xsi:type="xsd:double"&gt;1.4352441&lt;/D&gt;&lt;D xsi:type="xsd:double"&gt;-1.0694265&lt;/D&gt;&lt;D xsi:type="xsd:double"&gt;-2.6193023&lt;/D&gt;&lt;D xsi:type="xsd:double"&gt;2.289164&lt;/D&gt;&lt;D xsi:type="xsd:double"&gt;-1.9014001&lt;/D&gt;&lt;D xsi:type="xsd:double"&gt;3.3104658&lt;/D&gt;&lt;D xsi:type="xsd:double"&gt;-10.393488&lt;/D&gt;&lt;D xsi:type="xsd:double"&gt;2.797842&lt;/D&gt;&lt;D xsi:type="xsd:double"&gt;-7.7616453&lt;/D&gt;&lt;D xsi:type="xsd:double"&gt;5.415523&lt;/D&gt;&lt;D xsi:type="xsd:double"&gt;1.5505314&lt;/D&gt;&lt;D xsi:type="xsd:double"&gt;0.71743727&lt;/D&gt;&lt;D xsi:type="xsd:double"&gt;1.1872172&lt;/D&gt;&lt;D xsi:type="xsd:double"&gt;-3.790617&lt;/D&gt;&lt;D xsi:type="xsd:double"&gt;3.331244&lt;/D&gt;&lt;D xsi:type="xsd:double"&gt;0.42140484&lt;/D&gt;&lt;D xsi:type="xsd:double"&gt;-2.6272595&lt;/D&gt;&lt;D xsi:type="xsd:double"&gt;5.827248&lt;/D&gt;&lt;D xsi:type="xsd:double"&gt;3.1515598&lt;/D&gt;&lt;D xsi:type="xsd:double"&gt;2.98661&lt;/D&gt;&lt;D xsi:type="xsd:double"&gt;0.47926903&lt;/D&gt;&lt;D xsi:type="xsd:double"&gt;-1.0070503&lt;/D&gt;&lt;D xsi:type="xsd:double"&gt;-10.206848&lt;/D&gt;&lt;D xsi:type="xsd:double"&gt;-5.2492437&lt;/D&gt;&lt;D xsi:type="xsd:double"&gt;4.3045044&lt;/D&gt;&lt;D xsi:type="xsd:double"&gt;6.76347&lt;/D&gt;&lt;D xsi:type="xsd:double"&gt;0.06213188&lt;/D&gt;&lt;D xsi:type="xsd:double"&gt;2.0191073&lt;/D&gt;&lt;D xsi:type="xsd:double"&gt;2.6683092&lt;/D&gt;&lt;D xsi:type="xsd:double"&gt;2.5473356&lt;/D&gt;&lt;D xsi:type="xsd:double"&gt;-2.4169207&lt;/D&gt;&lt;D xsi:type="xsd:double"&gt;13.914692&lt;/D&gt;&lt;D xsi:type="xsd:double"&gt;0.78594685&lt;/D&gt;&lt;D xsi:type="xsd:double"&gt;2.932775&lt;/D&gt;&lt;D xsi:type="xsd:double"&gt;-0.3214538&lt;/D&gt;&lt;D xsi:type="xsd:double"&gt;2.7704477&lt;/D&gt;&lt;D xsi:type="xsd:double"&gt;-3.0380785&lt;/D&gt;&lt;D xsi:type="xsd:double"&gt;0.88261366&lt;/D&gt;&lt;D xsi:type="xsd:double"&gt;0.087714195&lt;/D&gt;&lt;D xsi:type="xsd:double"&gt;-0.7631302&lt;/D&gt;&lt;D xsi:type="xsd:double"&gt;0.7542014&lt;/D&gt;&lt;D xsi:type="xsd:double"&gt;4.2565703&lt;/D&gt;&lt;D xsi:type="xsd:double"&gt;-3.5618722&lt;/D&gt;&lt;D xsi:type="xsd:double"&gt;-2.248174&lt;/D&gt;&lt;D xsi:type="xsd:double"&gt;2.0238519&lt;/D&gt;&lt;D xsi:type="xsd:double"&gt;-6.9267273&lt;/D&gt;&lt;D xsi:type="xsd:double"&gt;0.3027916&lt;/D&gt;&lt;D xsi:type="xsd:double"&gt;-1.8112481&lt;/D&gt;&lt;D xsi:type="xsd:double"&gt;-7.2815537&lt;/D&gt;&lt;D xsi:type="xsd:double"&gt;1.8150091&lt;/D&gt;&lt;D xsi:type="xsd:double"&gt;-8.004845&lt;/D&gt;&lt;D xsi:type="xsd:double"&gt;4.6660423&lt;/D&gt;&lt;D xsi:type="xsd:double"&gt;-2.1391392&lt;/D&gt;&lt;D xsi:type="xsd:double"&gt;-8.633351&lt;/D&gt;&lt;D xsi:type="xsd:double"&gt;1.085639&lt;/D&gt;&lt;D xsi:type="xsd:double"&gt;10.44153&lt;/D&gt;&lt;D xsi:type="xsd:double"&gt;-2.7737677&lt;/D&gt;&lt;D xsi:type="xsd:double"&gt;9.188795&lt;/D&gt;&lt;D xsi:type="xsd:double"&gt;-4.896295&lt;/D&gt;&lt;D xsi:type="xsd:double"&gt;2.7708292&lt;/D&gt;&lt;D xsi:type="xsd:double"&gt;2.3482323&lt;/D&gt;&lt;D xsi:type="xsd:double"&gt;2.3963332&lt;/D&gt;&lt;D xsi:type="xsd:double"&gt;3.330183&lt;/D&gt;&lt;D xsi:type="xsd:double"&gt;3.0410886&lt;/D&gt;&lt;D xsi:type="xsd:double"&gt;-4.7409716&lt;/D&gt;&lt;D xsi:type="xsd:double"&gt;0.77456236&lt;/D&gt;&lt;D xsi:type="xsd:double"&gt;-5.445629&lt;/D&gt;&lt;D xsi:type="xsd:double"&gt;8.180559&lt;/D&gt;&lt;D xsi:type="xsd:double"&gt;3.8251758&lt;/D&gt;&lt;D xsi:type="xsd:double"&gt;2.1080494&lt;/D&gt;&lt;D xsi:type="xsd:double"&gt;5.0160527&lt;/D&gt;&lt;D xsi:type="xsd:double"&gt;3.9027214&lt;/D&gt;&lt;D xsi:type="xsd:double"&gt;-5.9145093&lt;/D&gt;&lt;D xsi:type="xsd:double"&gt;2.562189&lt;/D&gt;&lt;D xsi:type="xsd:double"&gt;-0.1452446&lt;/D&gt;&lt;/FQL&gt;&lt;FQL&gt;&lt;Q&gt;VWO^FG_TOTAL_RETURNC(0,-3AM)&lt;/Q&gt;&lt;R&gt;1&lt;/R&gt;&lt;C&gt;1&lt;/C&gt;&lt;D xsi:type="xsd:double"&gt;5.170369&lt;/D&gt;&lt;/FQL&gt;&lt;FQL&gt;&lt;Q&gt;EWN^P_PRICE(0)/P_PRICE_HIGH_PR(0,,,,,,"PRICE","INTRA","52W")&lt;/Q&gt;&lt;R&gt;1&lt;/R&gt;&lt;C&gt;1&lt;/C&gt;&lt;D xsi:type="xsd:double"&gt;0.95331186&lt;/D&gt;&lt;/FQL&gt;&lt;FQL&gt;&lt;Q&gt;EWU^P_PRICE(0)/P_PRICE_HIGH_PR(0,,,,,,"PRICE","INTRA","52W")&lt;/Q&gt;&lt;R&gt;1&lt;/R&gt;&lt;C&gt;1&lt;/C&gt;&lt;D xsi:type="xsd:double"&gt;0.94872844&lt;/D&gt;&lt;/FQL&gt;&lt;FQL&gt;&lt;Q&gt;EWG^PERCENT_CHANGE(FMA_EPS(+1,0,,,,"PORTAGG","MEAN"),FMA_EPS(+1,-1AM,,,,"PORTAGG","MEAN"))&lt;/Q&gt;&lt;R&gt;1&lt;/R&gt;&lt;C&gt;1&lt;/C&gt;&lt;D xsi:type="xsd:double"&gt;-3.93580590817469&lt;/D&gt;&lt;/FQL&gt;&lt;FQL&gt;&lt;Q&gt;ENZL^FMA_PCT_ABOVE_MAVG(200,0,,,,"PORTAGG")&lt;/Q&gt;&lt;R&gt;1&lt;/R&gt;&lt;C&gt;1&lt;/C&gt;&lt;D xsi:type="xsd:double"&gt;35.7142857142857&lt;/D&gt;&lt;/FQL&gt;&lt;FQL&gt;&lt;Q&gt;USDCHF^STD(FG_PRICE_CHANGE(0,-3AY,M))&lt;/Q&gt;&lt;R&gt;1&lt;/R&gt;&lt;C&gt;1&lt;/C&gt;&lt;D xsi:type="xsd:double"&gt;2.42655470411863&lt;/D&gt;&lt;/FQL&gt;&lt;FQL&gt;&lt;Q&gt;NI-FDS^FG_PRICE_CHANGE(0,-3AM)&lt;/Q&gt;&lt;R&gt;1&lt;/R&gt;&lt;C&gt;1&lt;/C&gt;&lt;D xsi:type="xsd:double"&gt;2.60133091349062&lt;/D&gt;&lt;/FQL&gt;&lt;FQL&gt;&lt;Q&gt;EWU^FG_PRICE_MAVG(0,,,,200)&lt;/Q&gt;&lt;R&gt;1&lt;/R&gt;&lt;C&gt;1&lt;/C&gt;&lt;D xsi:type="xsd:double"&gt;33.2235&lt;/D&gt;&lt;/FQL&gt;&lt;FQL&gt;&lt;Q&gt;ENZL^FMA_DIV_YLD(NTMA,NOW,NOW,M,"PORTAGG","MEANR")&lt;/Q&gt;&lt;R&gt;1&lt;/R&gt;&lt;C&gt;1&lt;/C&gt;&lt;D xsi:type="xsd:double"&gt;2.72096110623001&lt;/D&gt;&lt;/FQL&gt;&lt;FQL&gt;&lt;Q&gt;USO^P_PRICE(0)/P_PRICE_HIGH_PR(0,,,USD,,,"PRICE","INTRA","52W")&lt;/Q&gt;&lt;R&gt;1&lt;/R&gt;&lt;C&gt;1&lt;/C&gt;&lt;D xsi:type="xsd:double"&gt;0.95420206&lt;/D&gt;&lt;/FQL&gt;&lt;FQL&gt;&lt;Q&gt;VWO^FG_TOTAL_RETURNC(0,-1AM)&lt;/Q&gt;&lt;R&gt;1&lt;/R&gt;&lt;C&gt;1&lt;/C&gt;&lt;D xsi:type="xsd:double"&gt;-0.34105778&lt;/D&gt;&lt;/FQL&gt;&lt;FQL&gt;&lt;Q&gt;EWN^FG_TOTAL_RETURNC(0,-3AM)&lt;/Q&gt;&lt;R&gt;1&lt;/R&gt;&lt;C&gt;1&lt;/C&gt;&lt;D xsi:type="xsd:double"&gt;2.6609778&lt;/D&gt;&lt;/FQL&gt;&lt;FQL&gt;&lt;Q&gt;EWU^FG_TOTAL_RETURNC(0,-3AM)&lt;/Q&gt;&lt;R&gt;1&lt;/R&gt;&lt;C&gt;1&lt;/C&gt;&lt;D xsi:type="xsd:double"&gt;3.9551973&lt;/D&gt;&lt;/FQL&gt;&lt;FQL&gt;&lt;Q&gt;EWC^FG_TOTAL_RETURNC(0,-12AM)&lt;/Q&gt;&lt;R&gt;1&lt;/R&gt;&lt;C&gt;1&lt;/C&gt;&lt;D xsi:type="xsd:double"&gt;10.419917&lt;/D&gt;&lt;/FQL&gt;&lt;FQL&gt;&lt;Q&gt;FXI^FMA_COS_DOWN("EPS","1M",+1,0,,,"PORTAGG","MEANR")&lt;/Q&gt;&lt;R&gt;1&lt;/R&gt;&lt;C&gt;1&lt;/C&gt;&lt;D xsi:type="xsd:double"&gt;18&lt;/D&gt;&lt;/FQL&gt;&lt;FQL&gt;&lt;Q&gt;EWQ^FMA_COS_UP("EPS","1M",+1,0,,,"PORTAGG","MEANR")&lt;/Q&gt;&lt;R&gt;1&lt;/R&gt;&lt;C&gt;1&lt;/C&gt;&lt;D xsi:type="xsd:double"&gt;27&lt;/D&gt;&lt;/FQL&gt;&lt;FQL&gt;&lt;Q&gt;ENZL^FMA_RBICS_REV_CURRENT(30, LOC, "PORTAGG")&lt;/Q&gt;&lt;R&gt;1&lt;/R&gt;&lt;C&gt;1&lt;/C&gt;&lt;D xsi:type="xsd:double"&gt;14.3512586842186&lt;/D&gt;&lt;/FQL&gt;&lt;FQL&gt;&lt;Q&gt;REFNZOCR-FDS^(SUBARRAY(NOT_NA(NO_REPEAT_F(FG_YIELD(NOW,-10AY,D))),0,1)-SUBARRAY(NOT_NA(NO_REPEAT_F(FG_YIELD(NOW,-10AY,D))),1,1))*100&lt;/Q&gt;&lt;R&gt;1&lt;/R&gt;&lt;C&gt;1&lt;/C&gt;&lt;D xsi:type="xsd:double"&gt;25&lt;/D&gt;&lt;/FQL&gt;&lt;FQL&gt;&lt;Q&gt;TRYAU10Y-FDS^PCTCHG(FG_YIELD(0,,,,"YTM"),FG_YIELD(-3AM,,,,"YTM"))&lt;/Q&gt;&lt;R&gt;1&lt;/R&gt;&lt;C&gt;1&lt;/C&gt;&lt;D xsi:type="xsd:double"&gt;8.724148&lt;/D&gt;&lt;/FQL&gt;&lt;FQL&gt;&lt;Q&gt;VWO^FG_PE_NTM(0,,,90,0)&lt;/Q&gt;&lt;R&gt;1&lt;/R&gt;&lt;C&gt;1&lt;/C&gt;&lt;D xsi:type="xsd:double"&gt;12.6404783721988&lt;/D&gt;&lt;/FQL&gt;&lt;FQL&gt;&lt;Q&gt;EWD^JULIAN(FMA_DIV_YLD(NTMA,NOW,NOW,M,"PORTAGG","MEANR").DATES)&lt;/Q&gt;&lt;R&gt;1&lt;/R&gt;&lt;C&gt;1&lt;/C&gt;&lt;D xsi:type="xsd:long"&gt;45469&lt;/D&gt;&lt;/FQL&gt;&lt;FQL&gt;&lt;Q&gt;QQQ^FMA_PE(NTMA,0,,,"PORTAGG","MEANR")&lt;/Q&gt;&lt;R&gt;1&lt;/R&gt;&lt;C&gt;1&lt;/C&gt;&lt;D xsi:type="xsd:double"&gt;26.9530959549853&lt;/D&gt;&lt;/FQL&gt;&lt;FQL&gt;&lt;Q&gt;EWJ^FMA_PE(LTM,0,,,"PORTAGG","MEANR")&lt;/Q&gt;&lt;R&gt;1&lt;/R&gt;&lt;C&gt;1&lt;/C&gt;&lt;D xsi:type="xsd:double"&gt;16.0380277814417&lt;/D&gt;&lt;/FQL&gt;&lt;FQL&gt;&lt;Q&gt;ENZL^FMA_EVAL_EBITDA(NTMA,0,,,"PORTAGG","MEANR")&lt;/Q&gt;&lt;R&gt;1&lt;/R&gt;&lt;C&gt;1&lt;/C&gt;&lt;D xsi:type="xsd:double"&gt;11.6596049737346&lt;/D&gt;&lt;/FQL&gt;&lt;FQL&gt;&lt;Q&gt;TLT^FG_TOTAL_RETURNC(0,-1AM)&lt;/Q&gt;&lt;R&gt;1&lt;/R&gt;&lt;C&gt;1&lt;/C&gt;&lt;D xsi:type="xsd:double"&gt;2.2414804&lt;/D&gt;&lt;/FQL&gt;&lt;FQL&gt;&lt;Q&gt;QQQ^JULIAN(FMA_DIV_YLD(NTMA,NOW,NOW,M,"PORTAGG","MEANR").DATES)&lt;/Q&gt;&lt;R&gt;1&lt;/R&gt;&lt;C&gt;1&lt;/C&gt;&lt;D xsi:type="xsd:long"&gt;45471&lt;/D&gt;&lt;/FQL&gt;&lt;FQL&gt;&lt;Q&gt;EWU^FMA_DIV_YLD(NTMA,-10AY,0,AM,"PORTAGG","MEANR")&lt;/Q&gt;&lt;R&gt;121&lt;/R&gt;&lt;C&gt;1&lt;/C&gt;&lt;D xsi:type="xsd:double"&gt;3.8797291578254&lt;/D&gt;&lt;D xsi:type="xsd:double"&gt;3.86548275571676&lt;/D&gt;&lt;D xsi:type="xsd:double"&gt;3.9175641460693&lt;/D&gt;&lt;D xsi:type="xsd:double"&gt;4.01722383555993&lt;/D&gt;&lt;D xsi:type="xsd:double"&gt;4.17075586179848&lt;/D&gt;&lt;D xsi:type="xsd:double"&gt;4.03438047362769&lt;/D&gt;&lt;D xsi:type="xsd:double"&gt;4.11100202539328&lt;/D&gt;&lt;D xsi:type="xsd:double"&gt;4.00554673050151&lt;/D&gt;&lt;D xsi:type="xsd:double"&gt;3.88455792026231&lt;/D&gt;&lt;D xsi:type="xsd:double"&gt;4.00296449388807&lt;/D&gt;&lt;D xsi:type="xsd:double"&gt;3.85441557550546&lt;/D&gt;&lt;D xsi:type="xsd:double"&gt;3.88362980200786&lt;/D&gt;&lt;D xsi:type="xsd:double"&gt;4.05538028785399&lt;/D&gt;&lt;D xsi:type="xsd:double"&gt;4.21103895083418&lt;/D&gt;&lt;D xsi:type="xsd:double"&gt;4.40330814254911&lt;/D&gt;&lt;D xsi:type="xsd:double"&gt;4.57635003003729&lt;/D&gt;&lt;D xsi:type="xsd:double"&gt;4.21318352893971&lt;/D&gt;&lt;D xsi:type="xsd:double"&gt;4.18969086940279&lt;/D&gt;&lt;D xsi:type="xsd:double"&gt;4.28842264420282&lt;/D&gt;&lt;D xsi:type="xsd:double"&gt;4.52113714857146&lt;/D&gt;&lt;D xsi:type="xsd:double"&gt;4.50580565864833&lt;/D&gt;&lt;D xsi:type="xsd:double"&gt;4.41260168775369&lt;/D&gt;&lt;D xsi:type="xsd:double"&gt;4.22185139278584&lt;/D&gt;&lt;D xsi:type="xsd:double"&gt;4.26389121689296&lt;/D&gt;&lt;D xsi:type="xsd:double"&gt;4.47537309726783&lt;/D&gt;&lt;D xsi:type="xsd:double"&gt;4.14024368904109&lt;/D&gt;&lt;D xsi:type="xsd:double"&gt;4.08002728106938&lt;/D&gt;&lt;D xsi:type="xsd:double"&gt;4.18731176043245&lt;/D&gt;&lt;D xsi:type="xsd:double"&gt;4.31888205947074&lt;/D&gt;&lt;D xsi:type="xsd:double"&gt;4.41830963803845&lt;/D&gt;&lt;D xsi:type="xsd:double"&gt;4.31073714037347&lt;/D&gt;&lt;D xsi:type="xsd:double"&gt;4.27728853989947&lt;/D&gt;&lt;D xsi:type="xsd:double"&gt;4.29897374225063&lt;/D&gt;&lt;D xsi:type="xsd:double"&gt;4.31153446965647&lt;/D&gt;&lt;D xsi:type="xsd:double"&gt;4.37740344097825&lt;/D&gt;&lt;D xsi:type="xsd:double"&gt;4.22907210147073&lt;/D&gt;&lt;D xsi:type="xsd:double"&gt;4.32019061324975&lt;/D&gt;&lt;D xsi:type="xsd:double"&gt;4.29049183943381&lt;/D&gt;&lt;D xsi:type="xsd:double"&gt;4.34712429298044&lt;/D&gt;&lt;D xsi:type="xsd:double"&gt;4.31891504530661&lt;/D&gt;&lt;D xsi:type="xsd:double"&gt;4.30692663097111&lt;/D&gt;&lt;D xsi:type="xsd:double"&gt;4.3476260921356&lt;/D&gt;&lt;D xsi:type="xsd:double"&gt;4.23780856123039&lt;/D&gt;&lt;D xsi:type="xsd:double"&gt;4.1654052541655&lt;/D&gt;&lt;D xsi:type="xsd:double"&gt;4.62090205560636&lt;/D&gt;&lt;D xsi:type="xsd:double"&gt;4.56160138033336&lt;/D&gt;&lt;D xsi:type="xsd:double"&gt;4.34550826976631&lt;/D&gt;&lt;D xsi:type="xsd:double"&gt;4.30767844586725&lt;/D&gt;&lt;D xsi:type="xsd:double"&gt;4.42942177672299&lt;/D&gt;&lt;D xsi:type="xsd:double"&gt;4.38740150172169&lt;/D&gt;&lt;D xsi:type="xsd:double"&gt;4.48596502955383&lt;/D&gt;&lt;D xsi:type="xsd:double"&gt;4.51545714486658&lt;/D&gt;&lt;D xsi:type="xsd:double"&gt;4.95942358424014&lt;/D&gt;&lt;D xsi:type="xsd:double"&gt;4.96232483194795&lt;/D&gt;&lt;D xsi:type="xsd:double"&gt;5.33864081854259&lt;/D&gt;&lt;D xsi:type="xsd:double"&gt;5.23792288454664&lt;/D&gt;&lt;D xsi:type="xsd:double"&gt;4.97377466886614&lt;/D&gt;&lt;D xsi:type="xsd:double"&gt;4.93243284344699&lt;/D&gt;&lt;D xsi:type="xsd:double"&gt;4.85127430489794&lt;/D&gt;&lt;D xsi:type="xsd:double"&gt;4.92821475826524&lt;/D&gt;&lt;D xsi:type="xsd:double"&gt;4.78177441982617&lt;/D&gt;&lt;D xsi:type="xsd:double"&gt;4.79550212407671&lt;/D&gt;&lt;D xsi:type="xsd:double"&gt;5.13009472578361&lt;/D&gt;&lt;D xsi:type="xsd:double"&gt;4.87187718447737&lt;/D&gt;&lt;D xsi:type="xsd:double"&gt;4.81489100567804&lt;/D&gt;&lt;D xsi:type="xsd:double"&gt;4.7138687925821&lt;/D&gt;&lt;D xsi:type="xsd:double"&gt;4.53408806627014&lt;/D&gt;&lt;D xsi:type="xsd:double"&gt;4.65683765979442&lt;/D&gt;&lt;D xsi:type="xsd:double"&gt;5.3351260764625&lt;/D&gt;&lt;D xsi:type="xsd:double"&gt;6.40116865455518&lt;/D&gt;&lt;D xsi:type="xsd:double"&gt;5.19612035592877&lt;/D&gt;&lt;D xsi:type="xsd:double"&gt;4.16022507593499&lt;/D&gt;&lt;D xsi:type="xsd:double"&gt;4.17147507823095&lt;/D&gt;&lt;D xsi:type="xsd:double"&gt;4.05317782302826&lt;/D&gt;&lt;D xsi:type="xsd:double"&gt;4.06182581141152&lt;/D&gt;&lt;D xsi:type="xsd:double"&gt;4.18037716193263&lt;/D&gt;&lt;D xsi:type="xsd:double"&gt;4.57028029636977&lt;/D&gt;&lt;D xsi:type="xsd:double"&gt;3.98409390269691&lt;/D&gt;&lt;D xsi:type="xsd:double"&gt;3.94207830060014&lt;/D&gt;&lt;D xsi:type="xsd:double"&gt;4.01685799983198&lt;/D&gt;&lt;D xsi:type="xsd:double"&gt;4.06811652089806&lt;/D&gt;&lt;D xsi:type="xsd:double"&gt;4.03287699828362&lt;/D&gt;&lt;D xsi:type="xsd:double"&gt;3.96329456569262&lt;/D&gt;&lt;D xsi:type="xsd:double"&gt;3.90571382900188&lt;/D&gt;&lt;D xsi:type="xsd:double"&gt;3.98787860789443&lt;/D&gt;&lt;D xsi:type="xsd:double"&gt;4.10474484730453&lt;/D&gt;&lt;D xsi:type="xsd:double"&gt;4.20259683344389&lt;/D&gt;&lt;D xsi:type="xsd:double"&gt;4.20943392281802&lt;/D&gt;&lt;D xsi:type="xsd:double"&gt;4.02123274080164&lt;/D&gt;&lt;D xsi:type="xsd:double"&gt;4.17994113038687&lt;/D&gt;&lt;D xsi:type="xsd:double"&gt;3.92451149509547&lt;/D&gt;&lt;D xsi:type="xsd:double"&gt;3.88945559822605&lt;/D&gt;&lt;D xsi:type="xsd:double"&gt;3.91011786108805&lt;/D&gt;&lt;D xsi:type="xsd:double"&gt;3.97535505333414&lt;/D&gt;&lt;D xsi:type="xsd:double"&gt;4.08896740758573&lt;/D&gt;&lt;D xsi:type="xsd:double"&gt;4.03526083382787&lt;/D&gt;&lt;D xsi:type="xsd:double"&gt;4.222733353822&lt;/D&gt;&lt;D xsi:type="xsd:double"&gt;4.198021767603&lt;/D&gt;&lt;D xsi:type="xsd:double"&gt;4.30291740359322&lt;/D&gt;&lt;D xsi:type="xsd:double"&gt;4.80315276250705&lt;/D&gt;&lt;D xsi:type="xsd:double"&gt;4.53486689703185&lt;/D&gt;&lt;D xsi:type="xsd:double"&gt;4.28076318169015&lt;/D&gt;&lt;D xsi:type="xsd:double"&gt;4.25259119623899&lt;/D&gt;&lt;D xsi:type="xsd:double"&gt;4.10032519007125&lt;/D&gt;&lt;D xsi:type="xsd:double"&gt;4.11927309292581&lt;/D&gt;&lt;D xsi:type="xsd:double"&gt;4.32783221138048&lt;/D&gt;&lt;D xsi:type="xsd:double"&gt;4.09994918619519&lt;/D&gt;&lt;D xsi:type="xsd:double"&gt;4.38801138192921&lt;/D&gt;&lt;D xsi:type="xsd:double"&gt;4.42275385379813&lt;/D&gt;&lt;D xsi:type="xsd:double"&gt;4.25633616782761&lt;/D&gt;&lt;D xsi:type="xsd:double"&gt;4.5778446496444&lt;/D&gt;&lt;D xsi:type="xsd:double"&gt;4.46050781650577&lt;/D&gt;&lt;D xsi:type="xsd:double"&gt;4.6676136044901&lt;/D&gt;&lt;D xsi:type="xsd:double"&gt;4.43428936773287&lt;/D&gt;&lt;D xsi:type="xsd:double"&gt;4.2700363198725&lt;/D&gt;&lt;D xsi:type="xsd:double"&gt;4.3009361524684&lt;/D&gt;&lt;D xsi:type="xsd:double"&gt;4.22066135298176&lt;/D&gt;&lt;D xsi:type="xsd:double"&gt;4.02549633462349&lt;/D&gt;&lt;D xsi:type="xsd:double"&gt;3.93949807344192&lt;/D&gt;&lt;D xsi:type="xsd:double"&gt;3.87110807782498&lt;/D&gt;&lt;D xsi:type="xsd:double"&gt;3.95197418873138&lt;/D&gt;&lt;/FQL&gt;&lt;FQL&gt;&lt;Q&gt;NI-FDS^FG_PRICE_MAVG(0,,,,30)&lt;/Q&gt;&lt;R&gt;1&lt;/R&gt;&lt;C&gt;1&lt;/C&gt;&lt;D xsi:type="xsd:double"&gt;18525.334&lt;/D&gt;&lt;/FQL&gt;&lt;FQL&gt;&lt;Q&gt;EWU^FG_PRICE_MAVG(0,,,,30)&lt;/Q&gt;&lt;R&gt;1&lt;/R&gt;&lt;C&gt;1&lt;/C&gt;&lt;D xsi:type="xsd:double"&gt;35.764668&lt;/D&gt;&lt;/FQL&gt;&lt;FQL&gt;&lt;Q&gt;EWU^PERCENT_CHANGE(FMA_EPS(+1,0,,,,"PORTAGG","MEAN"),FMA_EPS(+1,-3AM,,,,"PORTAGG","MEAN"))&lt;/Q&gt;&lt;R&gt;1&lt;/R&gt;&lt;C&gt;1&lt;/C&gt;&lt;D xsi:type="xsd:double"&gt;1.53334996889234&lt;/D&gt;&lt;/FQL&gt;&lt;FQL&gt;&lt;Q&gt;EWC^P_PRICE(0)/P_PRICE_HIGH_PR(0,,,,,,"PRICE","INTRA","52W")&lt;/Q&gt;&lt;R&gt;1&lt;/R&gt;&lt;C&gt;1&lt;/C&gt;&lt;D xsi:type="xsd:double"&gt;0.95691437&lt;/D&gt;&lt;/FQL&gt;&lt;FQL&gt;&lt;Q&gt;FXI^FMA_COS_UP("EPS","1M",+1,0,,,"PORTAGG","MEANR")&lt;/Q&gt;&lt;R&gt;1&lt;/R&gt;&lt;C&gt;1&lt;/C&gt;&lt;D xsi:type="xsd:double"&gt;16&lt;/D&gt;&lt;/FQL&gt;&lt;FQL&gt;&lt;Q&gt;REFFFUND-FDS^FG_YIELD(NOW,,,0)&lt;/Q&gt;&lt;R&gt;1&lt;/R&gt;&lt;C&gt;1&lt;/C&gt;&lt;D xsi:type="xsd:double"&gt;5.5&lt;/D&gt;&lt;/FQL&gt;&lt;FQL&gt;&lt;Q&gt;TRYAU10Y-FDS^PCTCHG(FG_YIELD(0,,,,"YTM"),FG_YIELD(-1AM,,,,"YTM"))&lt;/Q&gt;&lt;R&gt;1&lt;/R&gt;&lt;C&gt;1&lt;/C&gt;&lt;D xsi:type="xsd:double"&gt;1.1494203&lt;/D&gt;&lt;/FQL&gt;&lt;FQL&gt;&lt;Q&gt;TRYDE10Y-FDS^FG_YIELD(0,,,</t>
        </r>
      </text>
    </comment>
    <comment ref="A14" authorId="0" shapeId="0" xr:uid="{10DB37EE-847B-4392-A71D-4E1A429BA708}">
      <text>
        <r>
          <rPr>
            <b/>
            <sz val="9"/>
            <color indexed="81"/>
            <rFont val="Tahoma"/>
            <charset val="1"/>
          </rPr>
          <t>,"YTM")&lt;/Q&gt;&lt;R&gt;1&lt;/R&gt;&lt;C&gt;1&lt;/C&gt;&lt;D xsi:type="xsd:double"&gt;2.469&lt;/D&gt;&lt;/FQL&gt;&lt;FQL&gt;&lt;Q&gt;VWO^FG_PE(0)&lt;/Q&gt;&lt;R&gt;1&lt;/R&gt;&lt;C&gt;1&lt;/C&gt;&lt;D xsi:type="xsd:double"&gt;14.4418177143083&lt;/D&gt;&lt;/FQL&gt;&lt;FQL&gt;&lt;Q&gt;EWN^FMA_EVAL_EBIT(LTMA,NOW,NOW,M,"PORTAGG","MEANR")&lt;/Q&gt;&lt;R&gt;1&lt;/R&gt;&lt;C&gt;1&lt;/C&gt;&lt;D xsi:type="xsd:double"&gt;21.8707165476899&lt;/D&gt;&lt;/FQL&gt;&lt;FQL&gt;&lt;Q&gt;QQQ^FMA_PE(LTM,0,,,"PORTAGG","MEANR")&lt;/Q&gt;&lt;R&gt;1&lt;/R&gt;&lt;C&gt;1&lt;/C&gt;&lt;D xsi:type="xsd:double"&gt;35.2910946357876&lt;/D&gt;&lt;/FQL&gt;&lt;FQL&gt;&lt;Q&gt;EWJ^JULIAN(FMA_DIV_YLD(NTMA,NOW,NOW,M,"PORTAGG","MEANR").DATES)&lt;/Q&gt;&lt;R&gt;1&lt;/R&gt;&lt;C&gt;1&lt;/C&gt;&lt;D xsi:type="xsd:long"&gt;45469&lt;/D&gt;&lt;/FQL&gt;&lt;FQL&gt;&lt;Q&gt;ENZL^FG_FCF_YIELD_NTM(0)&lt;/Q&gt;&lt;R&gt;1&lt;/R&gt;&lt;C&gt;1&lt;/C&gt;&lt;D xsi:type="xsd:double"&gt;-0.140167936072733&lt;/D&gt;&lt;/FQL&gt;&lt;FQL&gt;&lt;Q&gt;VWO^PERCENT_CHANGE(FMA_EPS(+1,0,,,,"PORTAGG","MEAN"),FMA_EPS(+1,-3AM,,,,"PORTAGG","MEAN"))&lt;/Q&gt;&lt;R&gt;1&lt;/R&gt;&lt;C&gt;1&lt;/C&gt;&lt;D xsi:type="xsd:double"&gt;-0.348069273470328&lt;/D&gt;&lt;/FQL&gt;&lt;FQL&gt;&lt;Q&gt;EWN^PERCENT_CHANGE(FMA_EPS(+1,0,,,,"PORTAGG","MEAN"),FMA_EPS(+1,-1AM,,,,"PORTAGG","MEAN"))&lt;/Q&gt;&lt;R&gt;1&lt;/R&gt;&lt;C&gt;1&lt;/C&gt;&lt;D xsi:type="xsd:double"&gt;-3.63759057778118&lt;/D&gt;&lt;/FQL&gt;&lt;FQL&gt;&lt;Q&gt;EWL^FG_TOTAL_RETURNC(0,-12AM)&lt;/Q&gt;&lt;R&gt;1&lt;/R&gt;&lt;C&gt;1&lt;/C&gt;&lt;D xsi:type="xsd:double"&gt;7.7524424&lt;/D&gt;&lt;/FQL&gt;&lt;FQL&gt;&lt;Q&gt;EWC^FG_TOTAL_RETURNC(0,-3AM)&lt;/Q&gt;&lt;R&gt;1&lt;/R&gt;&lt;C&gt;1&lt;/C&gt;&lt;D xsi:type="xsd:double"&gt;-2.1912754&lt;/D&gt;&lt;/FQL&gt;&lt;FQL&gt;&lt;Q&gt;SPY^SIZE(FG_CONSTITUENTS)&lt;/Q&gt;&lt;R&gt;1&lt;/R&gt;&lt;C&gt;1&lt;/C&gt;&lt;D xsi:type="xsd:long"&gt;504&lt;/D&gt;&lt;/FQL&gt;&lt;FQL&gt;&lt;Q&gt;EWI^FG_ROE(0)&lt;/Q&gt;&lt;R&gt;1&lt;/R&gt;&lt;C&gt;1&lt;/C&gt;&lt;D xsi:type="xsd:double"&gt;13.9277356553016&lt;/D&gt;&lt;/FQL&gt;&lt;FQL&gt;&lt;Q&gt;EWJ^FMA_DIV_YLD(NTMA,-10AY,0,AM,"PORTAGG","MEANR")&lt;/Q&gt;&lt;R&gt;121&lt;/R&gt;&lt;C&gt;1&lt;/C&gt;&lt;D xsi:type="xsd:double"&gt;2.0884273549399&lt;/D&gt;&lt;D xsi:type="xsd:double"&gt;2.04871577684085&lt;/D&gt;&lt;D xsi:type="xsd:double"&gt;2.07969490483113&lt;/D&gt;&lt;D xsi:type="xsd:double"&gt;2.0087800782742&lt;/D&gt;&lt;D xsi:type="xsd:double"&gt;2.15970808788205&lt;/D&gt;&lt;D xsi:type="xsd:double"&gt;1.94863501610075&lt;/D&gt;&lt;D xsi:type="xsd:double"&gt;1.93975170007768&lt;/D&gt;&lt;D xsi:type="xsd:double"&gt;1.97927224762893&lt;/D&gt;&lt;D xsi:type="xsd:double"&gt;1.87834190262488&lt;/D&gt;&lt;D xsi:type="xsd:double"&gt;1.86334318932593&lt;/D&gt;&lt;D xsi:type="xsd:double"&gt;1.81144706609674&lt;/D&gt;&lt;D xsi:type="xsd:double"&gt;1.82408702539245&lt;/D&gt;&lt;D xsi:type="xsd:double"&gt;1.8727507545403&lt;/D&gt;&lt;D xsi:type="xsd:double"&gt;1.93849656107564&lt;/D&gt;&lt;D xsi:type="xsd:double"&gt;2.05112479339955&lt;/D&gt;&lt;D xsi:type="xsd:double"&gt;2.23509602367317&lt;/D&gt;&lt;D xsi:type="xsd:double"&gt;2.06494543853339&lt;/D&gt;&lt;D xsi:type="xsd:double"&gt;2.01981949048267&lt;/D&gt;&lt;D xsi:type="xsd:double"&gt;2.11691334810564&lt;/D&gt;&lt;D xsi:type="xsd:double"&gt;2.34496636782664&lt;/D&gt;&lt;D xsi:type="xsd:double"&gt;2.46253262238801&lt;/D&gt;&lt;D xsi:type="xsd:double"&gt;2.3418898019064&lt;/D&gt;&lt;D xsi:type="xsd:double"&gt;2.39126389509206&lt;/D&gt;&lt;D xsi:type="xsd:double"&gt;2.36844391779497&lt;/D&gt;&lt;D xsi:type="xsd:double"&gt;2.59128750251769&lt;/D&gt;&lt;D xsi:type="xsd:double"&gt;2.40873956262246&lt;/D&gt;&lt;D xsi:type="xsd:double"&gt;2.44418139191701&lt;/D&gt;&lt;D xsi:type="xsd:double"&gt;2.39796873976079&lt;/D&gt;&lt;D xsi:type="xsd:double"&gt;2.3060109133492&lt;/D&gt;&lt;D xsi:type="xsd:double"&gt;2.18880281270678&lt;/D&gt;&lt;D xsi:type="xsd:double"&gt;2.09777963072072&lt;/D&gt;&lt;D xsi:type="xsd:double"&gt;2.10091573860012&lt;/D&gt;&lt;D xsi:type="xsd:double"&gt;2.16104578716086&lt;/D&gt;&lt;D xsi:type="xsd:double"&gt;2.1750502813357&lt;/D&gt;&lt;D xsi:type="xsd:double"&gt;2.21407683036057&lt;/D&gt;&lt;D xsi:type="xsd:double"&gt;2.19172837721417&lt;/D&gt;&lt;D xsi:type="xsd:double"&gt;2.16271965420998&lt;/D&gt;&lt;D xsi:type="xsd:double"&gt;2.1717059367162&lt;/D&gt;&lt;D xsi:type="xsd:double"&gt;2.22648022654332&lt;/D&gt;&lt;D xsi:type="xsd:double"&gt;2.15215579136579&lt;/D&gt;&lt;D xsi:type="xsd:double"&gt;2.05531968888097&lt;/D&gt;&lt;D xsi:type="xsd:double"&gt;2.09752797221548&lt;/D&gt;&lt;D xsi:type="xsd:double"&gt;2.05617458915221&lt;/D&gt;&lt;D xsi:type="xsd:double"&gt;2.00458359395599&lt;/D&gt;&lt;D xsi:type="xsd:double"&gt;2.19077462782696&lt;/D&gt;&lt;D xsi:type="xsd:double"&gt;2.29097438479196&lt;/D&gt;&lt;D xsi:type="xsd:double"&gt;2.20675187675582&lt;/D&gt;&lt;D xsi:type="xsd:double"&gt;2.24272391317942&lt;/D&gt;&lt;D xsi:type="xsd:double"&gt;2.30585103912121&lt;/D&gt;&lt;D xsi:type="xsd:double"&gt;2.25156992187565&lt;/D&gt;&lt;D xsi:type="xsd:double"&gt;2.31738451836721&lt;/D&gt;&lt;D xsi:type="xsd:double"&gt;2.21792325480422&lt;/D&gt;&lt;D xsi:type="xsd:double"&gt;2.52971223094199&lt;/D&gt;&lt;D xsi:type="xsd:double"&gt;2.48110824364368&lt;/D&gt;&lt;D xsi:type="xsd:double"&gt;2.75036359596829&lt;/D&gt;&lt;D xsi:type="xsd:double"&gt;2.65024941069143&lt;/D&gt;&lt;D xsi:type="xsd:double"&gt;2.56991061921489&lt;/D&gt;&lt;D xsi:type="xsd:double"&gt;2.61337460992719&lt;/D&gt;&lt;D xsi:type="xsd:double"&gt;2.56408803888911&lt;/D&gt;&lt;D xsi:type="xsd:double"&gt;2.67765357397067&lt;/D&gt;&lt;D xsi:type="xsd:double"&gt;2.68339003087462&lt;/D&gt;&lt;D xsi:type="xsd:double"&gt;2.65698409777856&lt;/D&gt;&lt;D xsi:type="xsd:double"&gt;2.78902430861052&lt;/D&gt;&lt;D xsi:type="xsd:double"&gt;2.59727524981419&lt;/D&gt;&lt;D xsi:type="xsd:double"&gt;2.54109335696407&lt;/D&gt;&lt;D xsi:type="xsd:double"&gt;2.45586002336882&lt;/D&gt;&lt;D xsi:type="xsd:double"&gt;2.42607937153461&lt;/D&gt;&lt;D xsi:type="xsd:double"&gt;2.4862098506694&lt;/D&gt;&lt;D xsi:type="xsd:double"&gt;2.76169771843798&lt;/D&gt;&lt;D xsi:type="xsd:double"&gt;2.8719650922239&lt;/D&gt;&lt;D xsi:type="xsd:double"&gt;2.82968353101641&lt;/D&gt;&lt;D xsi:type="xsd:double"&gt;2.55907232198433&lt;/D&gt;&lt;D xsi:type="xsd:double"&gt;2.47853656086607&lt;/D&gt;&lt;D xsi:type="xsd:double"&gt;2.49118212037803&lt;/D&gt;&lt;D xsi:type="xsd:double"&gt;2.396015544742&lt;/D&gt;&lt;D xsi:type="xsd:double"&gt;2.34538474243087&lt;/D&gt;&lt;D xsi:type="xsd:double"&gt;2.41199431960301&lt;/D&gt;&lt;D xsi:type="xsd:double"&gt;2.16686415971816&lt;/D&gt;&lt;D xsi:type="xsd:double"&gt;2.16052192379275&lt;/D&gt;&lt;D xsi:type="xsd:double"&gt;2.11680308767743&lt;/D&gt;&lt;D xsi:type="xsd:double"&gt;2.12331496191739&lt;/D&gt;&lt;D xsi:type="xsd:double"&gt;2.04066605991084&lt;/D&gt;&lt;D xsi:type="xsd:double"&gt;2.13749770438222&lt;/D&gt;&lt;D xsi:type="xsd:double"&gt;2.14637176164189&lt;/D&gt;&lt;D xsi:type="xsd:double"&gt;2.17069718226563&lt;/D&gt;&lt;D xsi:type="xsd:double"&gt;2.24909624863955&lt;/D&gt;&lt;D xsi:type="xsd:double"&gt;2.28376226470925&lt;/D&gt;&lt;D xsi:type="xsd:double"&gt;2.14941500309272&lt;/D&gt;&lt;D xsi:type="xsd:double"&gt;2.24878453934919&lt;/D&gt;&lt;D xsi:type="xsd:double"&gt;2.29334349792439&lt;/D&gt;&lt;D xsi:type="xsd:double"&gt;2.29399090543035&lt;/D&gt;&lt;D xsi:type="xsd:double"&gt;2.48476483835693&lt;/D&gt;&lt;D xsi:type="xsd:double"&gt;2.53107096365927&lt;/D&gt;&lt;D xsi:type="xsd:double"&gt;2.47546176909946&lt;/D&gt;&lt;D xsi:type="xsd:double"&gt;2.58497430215808&lt;/D&gt;&lt;D xsi:type="xsd:double"&gt;2.63541944388281&lt;/D&gt;&lt;D xsi:type="xsd:double"&gt;2.65199423956175&lt;/D&gt;&lt;D xsi:type="xsd:double"&gt;2.59917874634596&lt;/D&gt;&lt;D xsi:type="xsd:double"&gt;2.57787649746942&lt;/D&gt;&lt;D xsi:type="xsd:double"&gt;2.77731251405448&lt;/D&gt;&lt;D xsi:type="xsd:double"&gt;2.71232635602198&lt;/D&gt;&lt;D xsi:type="xsd:double"&gt;2.58016596356788&lt;/D&gt;&lt;D xsi:type="xsd:double"&gt;2.73534596157603&lt;/D&gt;&lt;D xsi:type="xsd:double"&gt;2.61531946264485&lt;/D&gt;&lt;D xsi:type="xsd:double"&gt;2.62369848670049&lt;/D&gt;&lt;D xsi:type="xsd:double"&gt;2.67059629748957&lt;/D&gt;&lt;D xsi:type="xsd:double"&gt;2.56541141143794&lt;/D&gt;&lt;D xsi:type="xsd:double"&gt;2.46964500411486&lt;/D&gt;&lt;D xsi:type="xsd:double"&gt;2.32141346092445&lt;/D&gt;&lt;D xsi:type="xsd:double"&gt;2.35331353286702&lt;/D&gt;&lt;D xsi:type="xsd:double"&gt;2.38557923819531&lt;/D&gt;&lt;D xsi:type="xsd:double"&gt;2.36690087306192&lt;/D&gt;&lt;D xsi:type="xsd:double"&gt;2.47849102874797&lt;/D&gt;&lt;D xsi:type="xsd:double"&gt;2.3880691252564&lt;/D&gt;&lt;D xsi:type="xsd:double"&gt;2.432471358437&lt;/D&gt;&lt;D xsi:type="xsd:double"&gt;2.31300929153484&lt;/D&gt;&lt;D xsi:type="xsd:double"&gt;2.19818303748027&lt;/D&gt;&lt;D xsi:type="xsd:double"&gt;2.15772848316186&lt;/D&gt;&lt;D xsi:type="xsd:double"&gt;2.24789943052621&lt;/D&gt;&lt;D xsi:type="xsd:double"&gt;2.2139254406041&lt;/D&gt;&lt;D xsi:type="xsd:double"&gt;2.23979514316628&lt;/D&gt;&lt;/FQL&gt;&lt;FQL&gt;&lt;Q&gt;FXI^FG_TOTAL_RETURNC(0,-12AM)&lt;/Q&gt;&lt;R&gt;1&lt;/R&gt;&lt;C&gt;1&lt;/C&gt;&lt;D xsi:type="xsd:double"&gt;-2.2120059&lt;/D&gt;&lt;/FQL&gt;&lt;FQL&gt;&lt;Q&gt;EWN^FMA_PCT_ABOVE_MAVG(200,0,,,,"PORTAGG")&lt;/Q&gt;&lt;R&gt;1&lt;/R&gt;&lt;C&gt;1&lt;/C&gt;&lt;D xsi:type="xsd:double"&gt;58.4905660377358&lt;/D&gt;&lt;/FQL&gt;&lt;FQL&gt;&lt;Q&gt;EWL^P_PRICE(0)/P_PRICE_LOW_PR(0,,,,,,"PRICE","INTRA","52W")-1&lt;/Q&gt;&lt;R&gt;1&lt;/R&gt;&lt;C&gt;1&lt;/C&gt;&lt;D xsi:type="xsd:double"&gt;0.16028881&lt;/D&gt;&lt;/FQL&gt;&lt;FQL&gt;&lt;Q&gt;EWC^FG_TOTAL_RETURNC(0,-1AM)&lt;/Q&gt;&lt;R&gt;1&lt;/R&gt;&lt;C&gt;1&lt;/C&gt;&lt;D xsi:type="xsd:double"&gt;-1.8322468&lt;/D&gt;&lt;/FQL&gt;&lt;FQL&gt;&lt;Q&gt;EWD^FG_ROE(0)&lt;/Q&gt;&lt;R&gt;1&lt;/R&gt;&lt;C&gt;1&lt;/C&gt;&lt;D xsi:type="xsd:double"&gt;16.8022577020531&lt;/D&gt;&lt;/FQL&gt;&lt;FQL&gt;&lt;Q&gt;REFNZOCR-FDS^PROPER_NAME(0,,,"SECURITY","NAME")&lt;/Q&gt;&lt;R&gt;1&lt;/R&gt;&lt;C&gt;1&lt;/C&gt;&lt;D xsi:type="xsd:string"&gt;New Zealand Official Cash Rate&lt;/D&gt;&lt;/FQL&gt;&lt;FQL&gt;&lt;Q&gt;TRYNZ10Y-FDS^PCTCHG(FG_YIELD(0,,,,"YTM"),FG_YIELD(-1AM,,,,"YTM"))&lt;/Q&gt;&lt;R&gt;1&lt;/R&gt;&lt;C&gt;1&lt;/C&gt;&lt;D xsi:type="xsd:double"&gt;-3.0364647&lt;/D&gt;&lt;/FQL&gt;&lt;FQL&gt;&lt;Q&gt;VGK^FMA_EVAL_EBIT(LTMA,NOW,NOW,M,"PORTAGG","MEANR")&lt;/Q&gt;&lt;R&gt;1&lt;/R&gt;&lt;C&gt;1&lt;/C&gt;&lt;D xsi:type="xsd:double"&gt;13.2878151669223&lt;/D&gt;&lt;/FQL&gt;&lt;FQL&gt;&lt;Q&gt;EWN^FMA_EVAL_EBITDA(NTMA,0,,,"PORTAGG","MEANR")&lt;/Q&gt;&lt;R&gt;1&lt;/R&gt;&lt;C&gt;1&lt;/C&gt;&lt;D xsi:type="xsd:double"&gt;12.5153544399881&lt;/D&gt;&lt;/FQL&gt;&lt;FQL&gt;&lt;Q&gt;EWG^FMA_EVAL_EBIT(LTMA,NOW,NOW,M,"PORTAGG","MEANR")&lt;/Q&gt;&lt;R&gt;1&lt;/R&gt;&lt;C&gt;1&lt;/C&gt;&lt;D xsi:type="xsd:double"&gt;13.4021801660622&lt;/D&gt;&lt;/FQL&gt;&lt;FQL&gt;&lt;Q&gt;ENZL^FMA_PE(NTMA,0,,,"PORTAGG","MEANR")&lt;/Q&gt;&lt;R&gt;1&lt;/R&gt;&lt;C&gt;1&lt;/C&gt;&lt;D xsi:type="xsd:double"&gt;24.4339325810396&lt;/D&gt;&lt;/FQL&gt;&lt;FQL&gt;&lt;Q&gt;VWO^P_PRICE(0)/P_PRICE_HIGH_PR(0,,,USD,,,"PRICE","INTRA","52W")&lt;/Q&gt;&lt;R&gt;1&lt;/R&gt;&lt;C&gt;1&lt;/C&gt;&lt;D xsi:type="xsd:double"&gt;0.97318184&lt;/D&gt;&lt;/FQL&gt;&lt;FQL&gt;&lt;Q&gt;EWU^FMA_EVAL_EBIT(LTMA,NOW,NOW,M,"PORTAGG","MEANR")&lt;/Q&gt;&lt;R&gt;1&lt;/R&gt;&lt;C&gt;1&lt;/C&gt;&lt;D xsi:type="xsd:double"&gt;10.5337481374782&lt;/D&gt;&lt;/FQL&gt;&lt;FQL&gt;&lt;Q&gt;EWG^FMA_EVAL_EBITDA(NTMA,0,,,"PORTAGG","MEANR")&lt;/Q&gt;&lt;R&gt;1&lt;/R&gt;&lt;C&gt;1&lt;/C&gt;&lt;D xsi:type="xsd:double"&gt;8.39302266998427&lt;/D&gt;&lt;/FQL&gt;&lt;FQL&gt;&lt;Q&gt;ENZL^FMA_PE(LTM,0,,,"PORTAGG","MEANR")&lt;/Q&gt;&lt;R&gt;1&lt;/R&gt;&lt;C&gt;1&lt;/C&gt;&lt;D xsi:type="xsd:double"&gt;33.4822429739585&lt;/D&gt;&lt;/FQL&gt;&lt;FQL&gt;&lt;Q&gt;PLATI-FDS^MAX(FG_PRICE(0,-5AY))&lt;/Q&gt;&lt;R&gt;1&lt;/R&gt;&lt;C&gt;1&lt;/C&gt;&lt;D xsi:type="xsd:double"&gt;1272.59&lt;/D&gt;&lt;/FQL&gt;&lt;FQL&gt;&lt;Q&gt;EWL^FG_PRICE_MAVG(0,,,,200)&lt;/Q&gt;&lt;R&gt;1&lt;/R&gt;&lt;C&gt;1&lt;/C&gt;&lt;D xsi:type="xsd:double"&gt;46.37995&lt;/D&gt;&lt;/FQL&gt;&lt;FQL&gt;&lt;Q&gt;FXI^FG_TOTAL_RETURNC(0,-1AM)&lt;/Q&gt;&lt;R&gt;1&lt;/R&gt;&lt;C&gt;1&lt;/C&gt;&lt;D xsi:type="xsd:double"&gt;-5.394542&lt;/D&gt;&lt;/FQL&gt;&lt;FQL&gt;&lt;Q&gt;VWO^FMA_PCT_ABOVE_MAVG(200,0,,,,"PORTAGG")&lt;/Q&gt;&lt;R&gt;1&lt;/R&gt;&lt;C&gt;1&lt;/C&gt;&lt;D xsi:type="xsd:double"&gt;45.9104606112785&lt;/D&gt;&lt;/FQL&gt;&lt;FQL&gt;&lt;Q&gt;EWQ^FG_TOTAL_RETURNC(0,-3AM)&lt;/Q&gt;&lt;R&gt;1&lt;/R&gt;&lt;C&gt;1&lt;/C&gt;&lt;D xsi:type="xsd:double"&gt;-6.646556&lt;/D&gt;&lt;/FQL&gt;&lt;FQL&gt;&lt;Q&gt;EWL^P_PRICE(0)/P_PRICE_HIGH_PR(0,,,,,,"PRICE","INTRA","52W")&lt;/Q&gt;&lt;R&gt;1&lt;/R&gt;&lt;C&gt;1&lt;/C&gt;&lt;D xsi:type="xsd:double"&gt;0.9522022&lt;/D&gt;&lt;/FQL&gt;&lt;FQL&gt;&lt;Q&gt;EWC^PERCENT_CHANGE(FMA_EPS(+1,0,,,,"PORTAGG","MEAN"),FMA_EPS(+1,-3AM,,,,"PORTAGG","MEAN"))&lt;/Q&gt;&lt;R&gt;1&lt;/R&gt;&lt;C&gt;1&lt;/C&gt;&lt;D xsi:type="xsd:double"&gt;-0.771880984039389&lt;/D&gt;&lt;/FQL&gt;&lt;FQL&gt;&lt;Q&gt;SPY^FMA_COS_DOWN("EPS","1M",+1,0,,,"PORTAGG","MEANR")&lt;/Q&gt;&lt;R&gt;1&lt;/R&gt;&lt;C&gt;1&lt;/C&gt;&lt;D xsi:type="xsd:double"&gt;171&lt;/D&gt;&lt;/FQL&gt;&lt;FQL&gt;&lt;Q&gt;EWN^FG_ROE(0)&lt;/Q&gt;&lt;R&gt;1&lt;/R&gt;&lt;C&gt;1&lt;/C&gt;&lt;D xsi:type="xsd:double"&gt;10.3799894611246&lt;/D&gt;&lt;/FQL&gt;&lt;FQL&gt;&lt;Q&gt;TRYCA10Y-FDS^FG_YIELD(0,,,,"YTM")&lt;/Q&gt;&lt;R&gt;1&lt;/R&gt;&lt;C&gt;1&lt;/C&gt;&lt;D xsi:type="xsd:double"&gt;3.5038&lt;/D&gt;&lt;/FQL&gt;&lt;FQL&gt;&lt;Q&gt;EWN^FG_FCF_YIELD_NTM(0)&lt;/Q&gt;&lt;R&gt;1&lt;/R&gt;&lt;C&gt;1&lt;/C&gt;&lt;D xsi:type="xsd:double"&gt;3.54700046121046&lt;/D&gt;&lt;/FQL&gt;&lt;FQL&gt;&lt;Q&gt;USO^FG_TOTAL_RETURNC(0,-6AM)&lt;/Q&gt;&lt;R&gt;1&lt;/R&gt;&lt;C&gt;1&lt;/C&gt;&lt;D xsi:type="xsd:double"&gt;18.472755&lt;/D&gt;&lt;/FQL&gt;&lt;FQL&gt;&lt;Q&gt;EWC^FMA_DIV_YLD(NTMA,-10AY,0,AM,"PORTAGG","MEANR")&lt;/Q&gt;&lt;R&gt;121&lt;/R&gt;&lt;C&gt;1&lt;/C&gt;&lt;D xsi:type="xsd:double"&gt;2.81236161263735&lt;/D&gt;&lt;D xsi:type="xsd:double"&gt;2.74219292089424&lt;/D&gt;&lt;D xsi:type="xsd:double"&gt;2.76115636031147&lt;/D&gt;&lt;D xsi:type="xsd:double"&gt;2.86050590112024&lt;/D&gt;&lt;D xsi:type="xsd:double"&gt;2.96772464390925&lt;/D&gt;&lt;D xsi:type="xsd:double"&gt;2.94726098853546&lt;/D&gt;&lt;D xsi:type="xsd:double"&gt;2.94504812585397&lt;/D&gt;&lt;D xsi:type="xsd:double"&gt;2.96990505120218&lt;/D&gt;&lt;D xsi:type="xsd:double"&gt;2.84975029796081&lt;/D&gt;&lt;D xsi:type="xsd:double"&gt;2.94880403440373&lt;/D&gt;&lt;D xsi:type="xsd:double"&gt;2.81290707324441&lt;/D&gt;&lt;D xsi:type="xsd:double"&gt;2.8814388909454&lt;/D&gt;&lt;D xsi:type="xsd:double"&gt;2.94861272083552&lt;/D&gt;&lt;D xsi:type="xsd:double"&gt;3.16300280856536&lt;/D&gt;&lt;D xsi:type="xsd:double"&gt;3.15492870358546&lt;/D&gt;&lt;D xsi:type="xsd:double"&gt;3.38963318512911&lt;/D&gt;&lt;D xsi:type="xsd:double"&gt;3.17748172614997&lt;/D&gt;&lt;D xsi:type="xsd:double"&gt;3.31381762917627&lt;/D&gt;&lt;D xsi:type="xsd:double"&gt;3.32471471444028&lt;/D&gt;&lt;D xsi:type="xsd:double"&gt;3.43203465504261&lt;/D&gt;&lt;D xsi:type="xsd:double"&gt;3.36571060286697&lt;/D&gt;&lt;D xsi:type="xsd:double"&gt;3.17030055600089&lt;/D&gt;&lt;D xsi:type="xsd:double"&gt;3.06097875033431&lt;/D&gt;&lt;D xsi:type="xsd:double"&gt;3.02661244899757&lt;/D&gt;&lt;D xsi:type="xsd:double"&gt;3.12402010089116&lt;/D&gt;&lt;D xsi:type="xsd:double"&gt;2.98105359822546&lt;/D&gt;&lt;D xsi:type="xsd:double"&gt;2.95890982860004&lt;/D&gt;&lt;D xsi:type="xsd:double"&gt;2.9349520851539&lt;/D&gt;&lt;D xsi:type="xsd:double"&gt;2.92769418489753&lt;/D&gt;&lt;D xsi:type="xsd:double"&gt;2.88223536595807&lt;/D&gt;&lt;D xsi:type="xsd:double"&gt;2.82749458226463&lt;/D&gt;&lt;D xsi:type="xsd:double"&gt;2.80252020523353&lt;/D&gt;&lt;D xsi:type="xsd:double"&gt;2.88074790409572&lt;/D&gt;&lt;D xsi:type="xsd:double"&gt;2.90323661784299&lt;/D&gt;&lt;D xsi:type="xsd:double"&gt;2.93573978875242&lt;/D&gt;&lt;D xsi:type="xsd:double"&gt;2.92460093336778&lt;/D&gt;&lt;D xsi:type="xsd:double"&gt;3.01324588256295&lt;/D&gt;&lt;D xsi:type="xsd:double"&gt;3.04942668385022&lt;/D&gt;&lt;D xsi:type="xsd:double"&gt;3.08358773267041&lt;/D&gt;&lt;D xsi:type="xsd:double"&gt;2.98753021039779&lt;/D&gt;&lt;D xsi:type="xsd:double"&gt;2.92549746889418&lt;/D&gt;&lt;D xsi:type="xsd:double"&gt;2.93035559086&lt;/D&gt;&lt;D xsi:type="xsd:double"&gt;2.90397042762995&lt;/D&gt;&lt;D xsi:type="xsd:double"&gt;2.91942014895146&lt;/D&gt;&lt;D xsi:type="xsd:double"&gt;3.13272547253015&lt;/D&gt;&lt;D xsi:type="xsd:double"&gt;3.23010660821544&lt;/D&gt;&lt;D xsi:type="xsd:double"&gt;3.1393849930569&lt;/D&gt;&lt;D xsi:type="xsd:double"&gt;3.0784555797297&lt;/D&gt;&lt;D xsi:type="xsd:double"&gt;3.08827465590465&lt;/D&gt;&lt;D xsi:type="xsd:double"&gt;3.07079172608658&lt;/D&gt;&lt;D xsi:type="xsd:double"&gt;3.09913539774732&lt;/D&gt;&lt;D xsi:type="xsd:double"&gt;3.17398287086951&lt;/D&gt;&lt;D xsi:type="xsd:double"&gt;3.45289813058303&lt;/D&gt;&lt;D xsi:type="xsd:double"&gt;3.39837264735094&lt;/D&gt;&lt;D xsi:type="xsd:double"&gt;3.62960202174541&lt;/D&gt;&lt;D xsi:type="xsd:double"&gt;3.36362350026259&lt;/D&gt;&lt;D xsi:type="xsd:double"&gt;3.27702630141593&lt;/D&gt;&lt;D xsi:type="xsd:double"&gt;3.26935191188748&lt;/D&gt;&lt;D xsi:type="xsd:double"&gt;3.17756322093136&lt;/D&gt;&lt;D xsi:type="xsd:double"&gt;3.33023274951231&lt;/D&gt;&lt;D xsi:type="xsd:double"&gt;3.31897631701878&lt;/D&gt;&lt;D xsi:type="xsd:double"&gt;3.31833658638339&lt;/D&gt;&lt;D xsi:type="xsd:double"&gt;3.42058102671686&lt;/D&gt;&lt;D xsi:type="xsd:double"&gt;3.3268529993569&lt;/D&gt;&lt;D xsi:type="xsd:double"&gt;3.37366061047239&lt;/D&gt;&lt;D xsi:type="xsd:double"&gt;3.23109190759144&lt;/D&gt;&lt;D xsi:type="xsd:double"&gt;3.24160198244809&lt;/D&gt;&lt;D xsi:type="xsd:double"&gt;3.23759300743661&lt;/D&gt;&lt;D xsi:type="xsd:double"&gt;3.54561819129622&lt;/D&gt;&lt;D xsi:type="xsd:double"&gt;4.56688179580767&lt;/D&gt;&lt;D xsi:type="xsd:double"&gt;3.87702650763363&lt;/D&gt;&lt;D xsi:type="xsd:double"&gt;3.62159483132764&lt;/D&gt;&lt;D xsi:type="xsd:double"&gt;3.62799899372729&lt;/D&gt;&lt;D xsi:type="xsd:double"&gt;3.43296682158767&lt;/D&gt;&lt;D xsi:type="xsd:double"&gt;3.30930113758765&lt;/D&gt;&lt;D xsi:type="xsd:double"&gt;3.41946932877178&lt;/D&gt;&lt;D xsi:type="xsd:double"&gt;3.54111827496044&lt;/D&gt;&lt;D xsi:type="xsd:double"&gt;3.17236282210262&lt;/D&gt;&lt;D xsi:type="xsd:double"&gt;3.10221350774383&lt;/D&gt;&lt;D xsi:type="xsd:double"&gt;3.09148282803545&lt;/D&gt;&lt;D xsi:type="xsd:double"&gt;2.9804457227924&lt;/D&gt;&lt;D xsi:type="xsd:double"&gt;2.84886070745191&lt;/D&gt;&lt;D xsi:type="xsd:double"&gt;2.72863660078875&lt;/D&gt;&lt;D xsi:type="xsd:double"&gt;2.62112529194407&lt;/D&gt;&lt;D xsi:type="xsd:double"&gt;2.71163845490316&lt;/D&gt;&lt;D xsi:type="xsd:double"&gt;2.71541780676976&lt;/D&gt;&lt;D xsi:type="xsd:double"&gt;2.72646072094658&lt;/D&gt;&lt;D xsi:type="xsd:double"&gt;2.81772287459873&lt;/D&gt;&lt;D xsi:type="xsd:double"&gt;2.72060900379415&lt;/D&gt;&lt;D xsi:type="xsd:double"&gt;2.7701077037464&lt;/D&gt;&lt;D xsi:type="xsd:double"&gt;2.77620472962032&lt;/D&gt;&lt;D xsi:type="xsd:double"&gt;2.88231641838468&lt;/D&gt;&lt;D xsi:type="xsd:double"&gt;2.87507502204958&lt;/D&gt;&lt;D xsi:type="xsd:double"&gt;2.77793851468881&lt;/D&gt;&lt;D xsi:type="xsd:double"&gt;3.01588041802181&lt;/D&gt;&lt;D xsi:type="xsd:double"&gt;3.10288528098664&lt;/D&gt;&lt;D xsi:type="xsd:double"&gt;3.36201078247325&lt;/D&gt;&lt;D xsi:type="xsd:double"&gt;3.36515235464051&lt;/D&gt;&lt;D xsi:type="xsd:double"&gt;3.35268758842968&lt;/D&gt;&lt;D xsi:type="xsd:double"&gt;3.59320517734954&lt;/D&gt;&lt;D xsi:type="xsd:double"&gt;3.44180783961037&lt;/D&gt;&lt;D xsi:type="xsd:double"&gt;3.30869860944066&lt;/D&gt;&lt;D xsi:type="xsd:double"&gt;3.48514649821111&lt;/D&gt;&lt;D xsi:type="xsd:double"&gt;3.27775047501034&lt;/D&gt;&lt;D xsi:type="xsd:double"&gt;3.35357065036349&lt;/D&gt;&lt;D xsi:type="xsd:double"&gt;3.42491556623742&lt;/D&gt;&lt;D xsi:type="xsd:double"&gt;3.2269816677118&lt;/D&gt;&lt;D xsi:type="xsd:double"&gt;3.33381648803586&lt;/D&gt;&lt;D xsi:type="xsd:double"&gt;3.30746183685904&lt;/D&gt;&lt;D xsi:type="xsd:double"&gt;3.15327744787219&lt;/D&gt;&lt;D xsi:type="xsd:double"&gt;3.54930903006719&lt;/D&gt;&lt;D xsi:type="xsd:double"&gt;3.62361201515963&lt;/D&gt;&lt;D xsi:type="xsd:double"&gt;3.80823851524161&lt;/D&gt;&lt;D xsi:type="xsd:double"&gt;3.51932477978393&lt;/D&gt;&lt;D xsi:type="xsd:double"&gt;3.36270042680056&lt;/D&gt;&lt;D xsi:type="xsd:double"&gt;3.32659998849594&lt;/D&gt;&lt;D xsi:type="xsd:double"&gt;3.27144091961076&lt;/D&gt;&lt;D xsi:type="xsd:double"&gt;3.10692325273598&lt;/D&gt;&lt;D xsi:type="xsd:double"&gt;3.10612581828263&lt;/D&gt;&lt;D xsi:type="xsd:double"&gt;3.16941134324191&lt;/D&gt;&lt;D xsi:type="xsd:double"&gt;3.33728402805214&lt;/D&gt;&lt;/FQL&gt;&lt;FQL&gt;&lt;Q&gt;FXI^PERCENT_CHANGE(FMA_EPS(+1,0,,,,"PORTAGG","MEAN"),FMA_EPS(+1,-3AM,,,,"PORTAGG","MEAN"))&lt;/Q&gt;&lt;R&gt;1&lt;/R&gt;&lt;C&gt;1&lt;/C&gt;&lt;D xsi:type="xsd:double"&gt;0.178632506576746&lt;/D&gt;&lt;/FQL&gt;&lt;FQL&gt;&lt;Q&gt;EWQ^FG_TOTAL_RETURNC(0,-1AM)&lt;/Q&gt;&lt;R&gt;1&lt;/R&gt;&lt;C&gt;1&lt;/C&gt;&lt;D xsi:type="xsd:double"&gt;-7.5617847&lt;/D&gt;&lt;/FQL&gt;&lt;FQL&gt;&lt;Q&gt;EWC^PERCENT_CHANGE(FMA_EPS(+1,0,,,,"PORTAGG","MEAN"),FMA_EPS(+1,-1AM,,,,"PORTAGG","MEAN"))&lt;/Q&gt;&lt;R&gt;1&lt;/R&gt;&lt;C&gt;1&lt;/C&gt;&lt;D xsi:type="xsd:double"&gt;-0.668011163118674&lt;/D&gt;&lt;/FQL&gt;&lt;FQL&gt;&lt;Q&gt;SPY^FG_ROE(0)&lt;/Q&gt;&lt;R&gt;1&lt;/R&gt;&lt;C&gt;1&lt;/C&gt;&lt;D xsi:type="xsd:double"&gt;18.5369222678522&lt;/D&gt;&lt;/FQL&gt;&lt;FQL&gt;&lt;Q&gt;REFFFUND-FDS^PROPER_NAME(0,,,"SECURITY","NAME")&lt;/Q&gt;&lt;R&gt;1&lt;/R&gt;&lt;C&gt;1&lt;/C&gt;&lt;D xsi:type="xsd:string"&gt;US Federal Funds Target Rate&lt;/D&gt;&lt;/FQL&gt;&lt;FQL&gt;&lt;Q&gt;TRYIT10Y-FDS^PCTCHG(FG_YIELD(0,,,,"YTM"),FG_YIELD(-3AM,,,,"YTM"))&lt;/Q&gt;&lt;R&gt;1&lt;/R&gt;&lt;C&gt;1&lt;/C&gt;&lt;D xsi:type="xsd:double"&gt;11.035237&lt;/D&gt;&lt;/FQL&gt;&lt;FQL&gt;&lt;Q&gt;VGK^FMA_EVAL_EBITDA(NTMA,0,,,"PORTAGG","MEANR")&lt;/Q&gt;&lt;R&gt;1&lt;/R&gt;&lt;C&gt;1&lt;/C&gt;&lt;D xsi:type="xsd:double"&gt;8.95015499475222&lt;/D&gt;&lt;/FQL&gt;&lt;FQL&gt;&lt;Q&gt;USO^FG_TOTAL_RETURNC(0,-3AM)&lt;/Q&gt;&lt;R&gt;1&lt;/R&gt;&lt;C&gt;1&lt;/C&gt;&lt;D xsi:type="xsd:double"&gt;1.0923266&lt;/D&gt;&lt;/FQL&gt;&lt;FQL&gt;&lt;Q&gt;EWU^FG_TOTAL_RETURNC(0,-6AM)&lt;/Q&gt;&lt;R&gt;1&lt;/R&gt;&lt;C&gt;1&lt;/C&gt;&lt;D xsi:type="xsd:double"&gt;7.603848&lt;/D&gt;&lt;/FQL&gt;&lt;FQL&gt;&lt;Q&gt;TRYCA10Y-FDS^PCTCHG(FG_YIELD(0,,,,"YTM"),FG_YIELD(-3AM,,,,"YTM"))&lt;/Q&gt;&lt;R&gt;1&lt;/R&gt;&lt;C&gt;1&lt;/C&gt;&lt;D xsi:type="xsd:double"&gt;0.9333379&lt;/D&gt;&lt;/FQL&gt;&lt;FQL&gt;&lt;Q&gt;VWO^FMA_DIV_YLD(NTMA,NOW,NOW,M,"PORTAGG","MEANR")&lt;/Q&gt;&lt;R&gt;1&lt;/R&gt;&lt;C&gt;1&lt;/C&gt;&lt;D xsi:type="xsd:double"&gt;3.05913047927568&lt;/D&gt;&lt;/FQL&gt;&lt;FQL&gt;&lt;Q&gt;QQQ^FMA_DIV_YLD(NTMA,NOW,NOW,M,"PORTAGG","MEANR")&lt;/Q&gt;&lt;R&gt;1&lt;/R&gt;&lt;C&gt;1&lt;/C&gt;&lt;D xsi:type="xsd:double"&gt;0.843249398021748&lt;/D&gt;&lt;/FQL&gt;&lt;FQL&gt;&lt;Q&gt;VWO^JULIAN(FMA_DIV_YLD(NTMA,NOW,NOW,M,"PORTAGG","MEANR").DATES)&lt;/Q&gt;&lt;R&gt;1&lt;/R&gt;&lt;C&gt;1&lt;/C&gt;&lt;D xsi:type="xsd:long"&gt;45443&lt;/D&gt;&lt;/FQL&gt;&lt;FQL&gt;&lt;Q&gt;VGK^P_PRICE(0)/P_PRICE_HIGH_PR(0,,,,,,"PRICE","INTRA","52W")&lt;/Q&gt;&lt;R&gt;1&lt;/R&gt;&lt;C&gt;1&lt;/C&gt;&lt;D xsi:type="xsd:double"&gt;0.944747&lt;/D&gt;&lt;/FQL&gt;&lt;FQL&gt;&lt;Q&gt;EWQ^PERCENT_CHANGE(FMA_EPS(+1,0,,,,"PORTAGG","MEAN"),FMA_EPS(+1,-3AM,,,,"PORTAGG","MEAN"))&lt;/Q&gt;&lt;R&gt;1&lt;/R&gt;&lt;C&gt;1&lt;/C&gt;&lt;D xsi:type="xsd:double"&gt;-2.44589048571764&lt;/D&gt;&lt;/FQL&gt;&lt;FQL&gt;&lt;Q&gt;EWL^FG_TOTAL_RETURNC(0,-6AM)&lt;/Q&gt;&lt;R&gt;1&lt;/R&gt;&lt;C&gt;1&lt;/C&gt;&lt;D xsi:type="xsd:double"&gt;2.8443694&lt;/D&gt;&lt;/FQL&gt;&lt;FQL&gt;&lt;Q&gt;EWJ^FMA_COS_DOWN("EPS","1M",+1,0,,,"PORTAGG","MEANR")&lt;/Q&gt;&lt;R&gt;1&lt;/R&gt;&lt;C&gt;1&lt;/C&gt;&lt;D xsi:type="xsd:double"&gt;88&lt;/D&gt;&lt;/FQL&gt;&lt;FQL&gt;&lt;Q&gt;QQQ^SIZE(FG_CONSTITUENTS)&lt;/Q&gt;&lt;R&gt;1&lt;/R&gt;&lt;C&gt;1&lt;/C&gt;&lt;D xsi:type="xsd:long"&gt;103&lt;/D&gt;&lt;/FQL&gt;&lt;FQL&gt;&lt;Q&gt;EWU^FG_ROE(0)&lt;/Q&gt;&lt;R&gt;1&lt;/R&gt;&lt;C&gt;1&lt;/C&gt;&lt;D xsi:type="xsd:double"&gt;14.4351538625311&lt;/D&gt;&lt;/FQL&gt;&lt;FQL&gt;&lt;Q&gt;TRYIT10Y-FDS^PCTCHG(FG_YIELD(0,,,,"YTM"),FG_YIELD(-1AM,,,,"YTM"))&lt;/Q&gt;&lt;R&gt;1&lt;/R&gt;&lt;C&gt;1&lt;/C&gt;&lt;D xsi:type="xsd:double"&gt;4.364572&lt;/D&gt;&lt;/FQL&gt;&lt;FQL&gt;&lt;Q&gt;EWN^FMA_DIV_YLD(NTMA,NOW,NOW,M,"PORTAGG","MEANR")&lt;/Q&gt;&lt;R&gt;1&lt;/R&gt;&lt;C&gt;1&lt;/C&gt;&lt;D xsi:type="xsd:double"&gt;2.49639276686077&lt;/D&gt;&lt;/FQL&gt;&lt;FQL&gt;&lt;Q&gt;EWU^FMA_EVAL_EBITDA(NTMA,0,,,"PORTAGG","MEANR")&lt;/Q&gt;&lt;R&gt;1&lt;/R&gt;&lt;C&gt;1&lt;/C&gt;&lt;D xsi:type="xsd:double"&gt;7.44545365769845&lt;/D&gt;&lt;/FQL&gt;&lt;FQL&gt;&lt;Q&gt;EWG^FG_FCF_YIELD_NTM(0)&lt;/Q&gt;&lt;R&gt;1&lt;/R&gt;&lt;C&gt;1&lt;/C&gt;&lt;D xsi:type="xsd:double"&gt;5.86715787357282&lt;/D&gt;&lt;/FQL&gt;&lt;FQL&gt;&lt;Q&gt;ENZL^JULIAN(FMA_DIV_YLD(NTMA,NOW,NOW,M,"PORTAGG","MEANR").DATES)&lt;/Q&gt;&lt;R&gt;1&lt;/R&gt;&lt;C&gt;1&lt;/C&gt;&lt;D xsi:type="xsd:long"&gt;45469&lt;/D&gt;&lt;/FQL&gt;&lt;FQL&gt;&lt;Q&gt;EWQ^FMA_EVAL_EBIT(LTMA,NOW,NOW,M,"PORTAGG","MEANR")&lt;/Q&gt;&lt;R&gt;1&lt;/R&gt;&lt;C&gt;1&lt;/C&gt;&lt;D xsi:type="xsd:double"&gt;13.1053170390269&lt;/D&gt;&lt;/FQL&gt;&lt;FQL&gt;&lt;Q&gt;EWG^FMA_PE(LTM,0,,,"PORTAGG","MEANR")&lt;/Q&gt;&lt;R&gt;1&lt;/R&gt;&lt;C&gt;1&lt;/C&gt;&lt;D xsi:type="xsd:double"&gt;16.0922044617331&lt;/D&gt;&lt;/FQL&gt;&lt;FQL&gt;&lt;Q&gt;TRYFR10Y-FDS^PCTCHG(FG_YIELD(0,,,,"YTM"),FG_YIELD(-1AM,,,,"YTM"))&lt;/Q&gt;&lt;R&gt;1&lt;/R&gt;&lt;C&gt;1&lt;/C&gt;&lt;D xsi:type="xsd:double"&gt;6.5772243&lt;/D&gt;&lt;/FQL&gt;&lt;FQL&gt;&lt;Q&gt;CC_NL^IMF_IFS_RCPI_Q(0)&lt;/Q&gt;&lt;R&gt;1&lt;/R&gt;&lt;C&gt;1&lt;/C&gt;&lt;D xsi:type="xsd:double"&gt;3.0237906&lt;/D&gt;&lt;/FQL&gt;&lt;FQL&gt;&lt;Q&gt;EWC^FMA_EVAL_EBITDA(NTMA,0,,,"PORTAGG","MEANR")&lt;/Q&gt;&lt;R&gt;1&lt;/R&gt;&lt;C&gt;1&lt;/C&gt;&lt;D xsi:type="xsd:double"&gt;9.64906464958182&lt;/D&gt;&lt;/FQL&gt;&lt;FQL&gt;&lt;Q&gt;ENZL^FMA_COS_DOWN("EPS","1M",+1,0,,,"PORTAGG","MEANR")&lt;/Q&gt;&lt;R&gt;1&lt;/R&gt;&lt;C&gt;1&lt;/C&gt;&lt;D xsi:type="xsd:double"&gt;7&lt;/D&gt;&lt;/FQL&gt;&lt;FQL&gt;&lt;Q&gt;CPALM-FDS^FG_PRICE_CHANGE(0,-3AM)&lt;/Q&gt;&lt;R&gt;1&lt;/R&gt;&lt;C&gt;1&lt;/C&gt;&lt;D xsi:type="xsd:double"&gt;-6.57894736842105&lt;/D&gt;&lt;/FQL&gt;&lt;FQL&gt;&lt;Q&gt;EWJ^FG_PRICE_MAVG(0,,,,60)&lt;/Q&gt;&lt;R&gt;1&lt;/R&gt;&lt;C&gt;1&lt;/C&gt;&lt;D xsi:type="xsd:double"&gt;68.1825&lt;/D&gt;&lt;/FQL&gt;&lt;FQL&gt;&lt;Q&gt;FXI^FMA_PCT_ABOVE_MAVG(200,0,,,,"PORTAGG")&lt;/Q&gt;&lt;R&gt;1&lt;/R&gt;&lt;C&gt;1&lt;/C&gt;&lt;D xsi:type="xsd:double"&gt;70.5882352941177&lt;/D&gt;&lt;/FQL&gt;&lt;FQL&gt;&lt;Q&gt;EWC^FMA_PCT_ABOVE_MAVG(200,0,,,,"PORTAGG")&lt;/Q&gt;&lt;R&gt;1&lt;/R&gt;&lt;C&gt;1&lt;/C&gt;&lt;D xsi:type="xsd:double"&gt;62.5&lt;/D&gt;&lt;/FQL&gt;&lt;FQL&gt;&lt;Q&gt;URTH^SIZE(FG_CONSTITUENTS)&lt;/Q&gt;&lt;R&gt;1&lt;/R&gt;&lt;C&gt;1&lt;/C&gt;&lt;D xsi:type="xsd:long"&gt;1433&lt;/D&gt;&lt;/FQL&gt;&lt;FQL&gt;&lt;Q&gt;QQQ^FMA_COS_DOWN("EPS","1M",+1,0,,,"PORTAGG","MEANR")&lt;/Q&gt;&lt;R&gt;1&lt;/R&gt;&lt;C&gt;1&lt;/C&gt;&lt;D xsi:type="xsd:double"&gt;31&lt;/D&gt;&lt;/FQL&gt;&lt;FQL&gt;&lt;Q&gt;EWL^FG_ROE(0)&lt;/Q&gt;&lt;R&gt;1&lt;/R&gt;&lt;C&gt;1&lt;/C&gt;&lt;D xsi:type="xsd:double"&gt;23.9517133163178&lt;/D&gt;&lt;/FQL&gt;&lt;FQL&gt;&lt;Q&gt;REFGBBANK-FDS^(SUBARRAY(NOT_NA(NO_REPEAT_F(FG_YIELD(NOW,-10AY,D))),0,1)-SUBARRAY(NOT_NA(NO_REPEAT_F(FG_YIELD(NOW,-10AY,D))),1,1))*100&lt;/Q&gt;&lt;R&gt;1&lt;/R&gt;&lt;C&gt;1&lt;/C&gt;&lt;D xsi:type="xsd:double"&gt;25&lt;/D&gt;&lt;/FQL&gt;&lt;FQL&gt;&lt;Q&gt;TRYAU10Y-FDS^FG_YIELD(0,,,,"YTM")&lt;/Q&gt;&lt;R&gt;1&lt;/R&gt;&lt;C&gt;1&lt;/C&gt;&lt;D xsi:type="xsd:double"&gt;4.312&lt;/D&gt;&lt;/FQL&gt;&lt;FQL&gt;&lt;Q&gt;VGK^FG_FCF_YIELD_NTM(0)&lt;/Q&gt;&lt;R&gt;1&lt;/R&gt;&lt;C&gt;1&lt;/C&gt;&lt;D xsi:type="xsd:double"&gt;5.20084745745663&lt;/D&gt;&lt;/FQL&gt;&lt;FQL&gt;&lt;Q&gt;EWN^FMA_PE(NTMA,0,,,"PORTAGG","MEANR")&lt;/Q&gt;&lt;R&gt;1&lt;/R&gt;&lt;C&gt;1&lt;/C&gt;&lt;D xsi:type="xsd:double"&gt;16.2301122784385&lt;/D&gt;&lt;/FQL&gt;&lt;FQL&gt;&lt;Q&gt;EWG^FMA_DIV_YLD(NTMA,NOW,NOW,M,"PORTAGG","MEANR")&lt;/Q&gt;&lt;R&gt;1&lt;/R&gt;&lt;C&gt;1&lt;/C&gt;&lt;D xsi:type="xsd:double"&gt;3.42555657614996&lt;/D&gt;&lt;/FQL&gt;&lt;FQL&gt;&lt;Q&gt;USO^FG_TOTAL_RETURNC(0,-1AM)&lt;/Q&gt;&lt;R&gt;1&lt;/R&gt;&lt;C&gt;1&lt;/C&gt;&lt;D xsi:type="xsd:double"&gt;2.48518&lt;/D&gt;&lt;/FQL&gt;&lt;FQL&gt;&lt;Q&gt;EWA^FG_TOTAL_RETURNC(0,-12AM)&lt;/Q&gt;&lt;R&gt;1&lt;/R&gt;&lt;C&gt;1&lt;/C&gt;&lt;D xsi:type="xsd:double"&gt;14.397812&lt;/D&gt;&lt;/FQL&gt;&lt;FQL&gt;&lt;Q&gt;VGK^FMA_DIV_YLD(NTMA,NOW,NOW,M,"PORTAGG","MEANR")&lt;/Q&gt;&lt;R&gt;1&lt;/R&gt;&lt;C&gt;1&lt;/C&gt;&lt;D xsi:type="xsd:double"&gt;3.44345675643519&lt;/D&gt;&lt;/FQL&gt;&lt;FQL&gt;&lt;Q&gt;EWQ^FMA_EVAL_EBITDA(NTMA,0,,,"PORTAGG","MEANR")&lt;/Q&gt;&lt;R&gt;1&lt;/R&gt;&lt;C&gt;1&lt;/C&gt;&lt;D xsi:type="xsd:double"&gt;9.01055643072065&lt;/D&gt;&lt;/FQL&gt;&lt;FQL&gt;&lt;Q&gt;EWU^FMA_DIV_YLD(NTMA,NOW,NOW,M,"PORTAGG","MEANR")&lt;/Q&gt;&lt;R&gt;1&lt;/R&gt;&lt;C&gt;1&lt;/C&gt;&lt;D xsi:type="xsd:double"&gt;3.95197418873138&lt;/D&gt;&lt;/FQL&gt;&lt;FQL&gt;&lt;Q&gt;DBA^FG_TOTAL_RETURNC(0,-3AM)&lt;/Q&gt;&lt;R&gt;1&lt;/R&gt;&lt;C&gt;1&lt;/C&gt;&lt;D xsi:type="xsd:double"&gt;-3.8772225&lt;/D&gt;&lt;/FQL&gt;&lt;FQL&gt;&lt;Q&gt;VGK^FG_PE(0)&lt;/Q&gt;&lt;R&gt;1&lt;/R&gt;&lt;C&gt;1&lt;/C&gt;&lt;D xsi:type="xsd:double"&gt;14.3795388574243&lt;/D&gt;&lt;/FQL&gt;&lt;FQL&gt;&lt;Q&gt;EWJ^FMA_PE(NTMA,-10AY,0,AM,"PORTAGG","MEANR")&lt;/Q&gt;&lt;R&gt;121&lt;/R&gt;&lt;C&gt;1&lt;/C&gt;&lt;D xsi:type="xsd:double"&gt;13.6776423151341&lt;/D&gt;&lt;D xsi:type="xsd:double"&gt;13.9073496600542&lt;/D&gt;&lt;D xsi:type="xsd:double"&gt;13.6154348755866&lt;/D&gt;&lt;D xsi:type="xsd:double"&gt;14.1108844820929&lt;/D&gt;&lt;D xsi:type="xsd:double"&gt;13.1330307984443&lt;/D&gt;&lt;D xsi:type="xsd:double"&gt;14.4804093238916&lt;/D&gt;&lt;D xsi:type="xsd:double"&gt;14.5334721925187&lt;/D&gt;&lt;D xsi:type="xsd:double"&gt;14.1742394438476&lt;/D&gt;&lt;D xsi:type="xsd:double"&gt;15.1015622612669&lt;/D&gt;&lt;D xsi:type="xsd:double"&gt;15.3433500462714&lt;/D&gt;&lt;D xsi:type="xsd:double"&gt;15.9937775567253&lt;/D&gt;&lt;D xsi:type="xsd:double"&gt;16.4631968917465&lt;/D&gt;&lt;D xsi:type="xsd:double"&gt;15.7864572920246&lt;/D&gt;&lt;D xsi:type="xsd:double"&gt;15.2514741778889&lt;/D&gt;&lt;D xsi:type="xsd:double"&gt;14.3419856697855&lt;/D&gt;&lt;D xsi:type="xsd:double"&gt;13.1944862322788&lt;/D&gt;&lt;D xsi:type="xsd:double"&gt;14.2826418120062&lt;/D&gt;&lt;D xsi:type="xsd:double"&gt;14.7080836919782&lt;/D&gt;&lt;D xsi:type="xsd:double"&gt;13.9392862183313&lt;/D&gt;&lt;D xsi:type="xsd:double"&gt;12.6458247911252&lt;/D&gt;&lt;D xsi:type="xsd:double"&gt;12.3680591386574&lt;/D&gt;&lt;D xsi:type="xsd:double"&gt;13.1469477047607&lt;/D&gt;&lt;D xsi:type="xsd:double"&gt;12.8935440920697&lt;/D&gt;&lt;D xsi:type="xsd:double"&gt;13.3571394345416&lt;/D&gt;&lt;D xsi:type="xsd:double"&gt;12.3271055452251&lt;/D&gt;&lt;D xsi:type="xsd:double"&gt;13.2624312402161&lt;/D&gt;&lt;D xsi:type="xsd:double"&gt;13.088839342114&lt;/D&gt;&lt;D xsi:type="xsd:double"&gt;13.4169380657465&lt;/D&gt;&lt;D xsi:type="xsd:double"&gt;13.8377644062971&lt;/D&gt;&lt;D xsi:type="xsd:double"&gt;14.4921946282251&lt;/D&gt;&lt;D xsi:type="xsd:double"&gt;14.8108681317163&lt;/D&gt;&lt;D xsi:type="xsd:double"&gt;14.7509543435014&lt;/D&gt;&lt;D xsi:type="xsd:double"&gt;14.1099273732975&lt;/D&gt;&lt;D xsi:type="xsd:double"&gt;14.0232815149812&lt;/D&gt;&lt;D xsi:type="xsd:double"&gt;13.8517339091738&lt;/D&gt;&lt;D xsi:type="xsd:double"&gt;14.2661438925281&lt;/D&gt;&lt;D xsi:type="xsd:double"&gt;14.3388151853298&lt;/D&gt;&lt;D xsi:type="xsd:double"&gt;14.1975512215718&lt;/D&gt;&lt;D xsi:type="xsd:double"&gt;13.6310352489811&lt;/D&gt;&lt;D xsi:type="xsd:double"&gt;14.030810769518&lt;/D&gt;&lt;D xsi:type="xsd:double"&gt;14.6644285977656&lt;/D&gt;&lt;D xsi:type="xsd:double"&gt;14.5877619440175&lt;/D&gt;&lt;D xsi:type="xsd:double"&gt;14.7411587003882&lt;/D&gt;&lt;D xsi:type="xsd:double"&gt;15.1295323921333&lt;/D&gt;&lt;D xsi:type="xsd:double"&gt;13.2622462956589&lt;/D&gt;&lt;D xsi:type="xsd:double"&gt;12.6682711327033&lt;/D&gt;&lt;D xsi:type="xsd:double"&gt;13.2500432444426&lt;/D&gt;&lt;D xsi:type="xsd:double"&gt;13.1186199927756&lt;/D&gt;&lt;D xsi:type="xsd:double"&gt;12.7622067729067&lt;/D&gt;&lt;D xsi:type="xsd:double"&gt;13.0674705273985&lt;/D&gt;&lt;D xsi:type="xsd:double"&gt;12.7076642757624&lt;/D&gt;&lt;D xsi:type="xsd:double"&gt;13.3330644352468&lt;/D&gt;&lt;D xsi:type="xsd:double"&gt;11.653360445233&lt;/D&gt;&lt;D xsi:type="xsd:double"&gt;12.1493577388653&lt;/D&gt;&lt;D xsi:type="xsd:double"&gt;11.1053605202922&lt;/D&gt;&lt;D xsi:type="xsd:double"&gt;11.8052757548549&lt;/D&gt;&lt;D xsi:type="xsd:double"&gt;12.4615144830221&lt;/D&gt;&lt;D xsi:type="xsd:double"&gt;12.4036002396201&lt;/D&gt;&lt;D xsi:type="xsd:double"&gt;12.7370376328623&lt;/D&gt;&lt;D xsi:type="xsd:double"&gt;12.4401869056161&lt;/D&gt;&lt;D xsi:type="xsd:double"&gt;12.7197216014517&lt;/D&gt;&lt;D xsi:type="xsd:double"&gt;12.9127069866103&lt;/D&gt;&lt;D xsi:type="xsd:double"&gt;12.3786729870112&lt;/D&gt;&lt;D xsi:type="xsd:double"&gt;13.3137048382744&lt;/D&gt;&lt;D xsi:type="xsd:double"&gt;13.720185676944&lt;/D&gt;&lt;D xsi:type="xsd:double"&gt;14.3076336403355&lt;/D&gt;&lt;D xsi:type="xsd:double"&gt;14.6332849442536&lt;/D&gt;&lt;D xsi:type="xsd:double"&gt;14.2709108970683&lt;/D&gt;&lt;D xsi:type="xsd:double"&gt;12.9860799008398&lt;/D&gt;&lt;D xsi:type="xsd:double"&gt;12.6663557815463&lt;/D&gt;&lt;D xsi:type="xsd:double"&gt;13.8706116603031&lt;/D&gt;&lt;D xsi:type="xsd:double"&gt;16.2381651614551&lt;/D&gt;&lt;D xsi:type="xsd:double"&gt;17.8509335665758&lt;/D&gt;&lt;D xsi:type="xsd:double"&gt;17.8304902235978&lt;/D&gt;&lt;D xsi:type="xsd:double"&gt;17.9704358889179&lt;/D&gt;&lt;D xsi:type="xsd:double"&gt;18.4703008967967&lt;/D&gt;&lt;D xsi:type="xsd:double"&gt;17.5070849255233&lt;/D&gt;&lt;D xsi:type="xsd:double"&gt;18.8137931851782&lt;/D&gt;&lt;D xsi:type="xsd:double"&gt;18.233360947673&lt;/D&gt;&lt;D xsi:type="xsd:double"&gt;18.3835371305753&lt;/D&gt;&lt;D xsi:type="xsd:double"&gt;17.6430215356617&lt;/D&gt;&lt;D xsi:type="xsd:double"&gt;17.8144319381135&lt;/D&gt;&lt;D xsi:type="xsd:double"&gt;16.8554263034876&lt;/D&gt;&lt;D xsi:type="xsd:double"&gt;16.6482846856501&lt;/D&gt;&lt;D xsi:type="xsd:double"&gt;16.4333739540023&lt;/D&gt;&lt;D xsi:type="xsd:double"&gt;15.7162591266477&lt;/D&gt;&lt;D xsi:type="xsd:double"&gt;15.1205359923683&lt;/D&gt;&lt;D xsi:type="xsd:double"&gt;15.9068862672213&lt;/D&gt;&lt;D xsi:type="xsd:double"&gt;15.1464412101256&lt;/D&gt;&lt;D xsi:type="xsd:double"&gt;14.8304251035062&lt;/D&gt;&lt;D xsi:type="xsd:double"&gt;14.6384327838259&lt;/D&gt;&lt;D xsi:type="xsd:double"&gt;13.5152167980073&lt;/D&gt;&lt;D xsi:type="xsd:double"&gt;13.308614401752&lt;/D&gt;&lt;D xsi:type="xsd:double"&gt;13.4772079572625&lt;/D&gt;&lt;D xsi:type="xsd:double"&gt;12.8509479142519&lt;/D&gt;&lt;D xsi:type="xsd:double"&gt;12.6693309132615&lt;/D&gt;&lt;D xsi:type="xsd:double"&gt;12.575853872245&lt;/D&gt;&lt;D xsi:type="xsd:double"&gt;12.805426016449&lt;/D&gt;&lt;D xsi:type="xsd:double"&gt;12.9708008154631&lt;/D&gt;&lt;D xsi:type="xsd:double"&gt;12.0257768358713&lt;/D&gt;&lt;D xsi:type="xsd:double"&gt;12.3067896356833&lt;/D&gt;&lt;D xsi:type="xsd:double"&gt;12.9888259019295&lt;/D&gt;&lt;D xsi:type="xsd:double"&gt;12.3167904017408&lt;/D&gt;&lt;D xsi:type="xsd:double"&gt;12.9582729895009&lt;/D&gt;&lt;D xsi:type="xsd:double"&gt;13.0807608953308&lt;/D&gt;&lt;D xsi:type="xsd:double"&gt;12.9130668056156&lt;/D&gt;&lt;D xsi:type="xsd:double"&gt;13.4722163970074&lt;/D&gt;&lt;D xsi:type="xsd:double"&gt;14.0905125316794&lt;/D&gt;&lt;D xsi:type="xsd:double"&gt;14.937602955772&lt;/D&gt;&lt;D xsi:type="xsd:double"&gt;14.6849134091894&lt;/D&gt;&lt;D xsi:type="xsd:double"&gt;14.3742574632477&lt;/D&gt;&lt;D xsi:type="xsd:double"&gt;14.505716751264&lt;/D&gt;&lt;D xsi:type="xsd:double"&gt;13.8153078121029&lt;/D&gt;&lt;D xsi:type="xsd:double"&gt;14.3192396736402&lt;/D&gt;&lt;D xsi:type="xsd:double"&gt;14.0158645020216&lt;/D&gt;&lt;D xsi:type="xsd:double"&gt;14.738630496836&lt;/D&gt;&lt;D xsi:type="xsd:double"&gt;15.5167871525845&lt;/D&gt;&lt;D xsi:type="xsd:double"&gt;15.7891849752&lt;/D&gt;&lt;D xsi:type="xsd:double"&gt;15.1859614489405&lt;/D&gt;&lt;D xsi:type="xsd:double"&gt;15.6031289241472&lt;/D&gt;&lt;D xsi:type="xsd:double"&gt;15.5521401174445&lt;/D&gt;&lt;/FQL&gt;&lt;FQL&gt;&lt;Q&gt;EWC^FG_PRICE_MAVG(0,,,,200)&lt;/Q&gt;&lt;R&gt;1&lt;/R&gt;&lt;C&gt;1&lt;/C&gt;&lt;D xsi:type="xsd:double"&gt;36.0326&lt;/D&gt;&lt;/FQL&gt;&lt;FQL&gt;&lt;Q&gt;VGK^FMA_PCT_ABOVE_MAVG(200,0,,,,"PORTAGG")&lt;/Q&gt;&lt;R&gt;1&lt;/R&gt;&lt;C&gt;1&lt;/C&gt;&lt;D xsi:type="xsd:double"&gt;73.2114467408585&lt;/D&gt;&lt;/FQL&gt;&lt;FQL&gt;&lt;Q&gt;EWQ^PERCENT_CHANGE(FMA_EPS(+1,0,,,,"PORTAGG","MEAN"),FMA_EPS(+1,-1AM,,,,"PORTAGG","MEAN"))&lt;/Q&gt;&lt;R&gt;1&lt;/R&gt;&lt;C&gt;1&lt;/C&gt;&lt;D xsi:type="xsd:double"&gt;-3.91147841523402&lt;/D&gt;&lt;/FQL&gt;&lt;FQL&gt;&lt;Q&gt;EWL^FG_TOTAL_RETURNC(0,-3AM)&lt;/Q&gt;&lt;R&gt;1&lt;/R&gt;&lt;C&gt;1&lt;/C&gt;&lt;D xsi:type="xsd:double"&gt;3.4061193&lt;/D&gt;&lt;/FQL&gt;&lt;FQL&gt;&lt;Q&gt;URTH^FMA_COS_DOWN("EPS","1M",+1,0,,,"PORTAGG","MEANR")&lt;/Q&gt;&lt;R&gt;1&lt;/R&gt;&lt;C&gt;1&lt;/C&gt;&lt;D xsi:type="xsd:double"&gt;529&lt;/D&gt;&lt;/FQL&gt;&lt;FQL&gt;&lt;Q&gt;EWJ^FG_ROE(0)&lt;/Q&gt;&lt;R&gt;1&lt;/R&gt;&lt;C&gt;1&lt;/C&gt;&lt;D xsi:type="xsd:double"&gt;9.75928120936467&lt;/D&gt;&lt;/FQL&gt;&lt;FQL&gt;&lt;Q&gt;TRYSE10Y-FDS^PCTCHG(FG_YIELD(0,,,,"YTM"),FG_YIELD(-3AM,,,,"YTM"))&lt;/Q&gt;&lt;R&gt;1&lt;/R&gt;&lt;C&gt;1&lt;/C&gt;&lt;D xsi:type="xsd:double"&gt;-6.5235677&lt;/D&gt;&lt;/FQL&gt;&lt;FQL&gt;&lt;Q&gt;TRYIT10Y-FDS^FG_YIELD(0,,,,"YTM")&lt;/Q&gt;&lt;R&gt;1&lt;/R&gt;&lt;C&gt;1&lt;/C&gt;&lt;D xsi:type="xsd:double"&gt;4.065&lt;/D&gt;&lt;/FQL&gt;&lt;FQL&gt;&lt;Q&gt;EWN^FMA_PE(LTM,0,,,"PORTAGG","MEANR")&lt;/Q&gt;&lt;R&gt;1&lt;/R&gt;&lt;C&gt;1&lt;/C&gt;&lt;D xsi:type="xsd:double"&gt;23.3042088688196&lt;/D&gt;&lt;/FQL&gt;&lt;FQL&gt;&lt;Q&gt;EWU^FG_FCF_YIELD_NTM(0)&lt;/Q&gt;&lt;R&gt;1&lt;/R&gt;&lt;C&gt;1&lt;/C&gt;&lt;D xsi:type="xsd:double"&gt;6.16306473338639&lt;/D&gt;&lt;/FQL&gt;&lt;FQL&gt;&lt;Q&gt;EWG^FMA_PE(NTMA,0,,,"PORTAGG","MEANR")&lt;/Q&gt;&lt;R&gt;1&lt;/R&gt;&lt;C&gt;1&lt;/C&gt;&lt;D xsi:type="xsd:double"&gt;11.6851602652037&lt;/D&gt;&lt;/FQL&gt;&lt;FQL&gt;&lt;Q&gt;CC_US^IMF_IFS_RCPI_Q(0)&lt;/Q&gt;&lt;R&gt;1&lt;/R&gt;&lt;C&gt;1&lt;/C&gt;&lt;D xsi:type="xsd:double"&gt;3.241016&lt;/D&gt;&lt;/FQL&gt;&lt;FQL&gt;&lt;Q&gt;DBA^P_PRICE(0)/P_PRICE_HIGH_PR(0,,,USD,,,"PRICE","INTRA","52W")&lt;/Q&gt;&lt;R&gt;1&lt;/R&gt;&lt;C&gt;1&lt;/C&gt;&lt;D xsi:type="xsd:double"&gt;0.8945687&lt;/D&gt;&lt;/FQL&gt;&lt;FQL&gt;&lt;Q&gt;CPALM-FDS^FG_PRICE_MAVG(0,,,,30)&lt;/Q&gt;&lt;R&gt;1&lt;/R&gt;&lt;C&gt;1&lt;/C&gt;&lt;D xsi:type="xsd:double"&gt;3933.7666&lt;/D&gt;&lt;/FQL&gt;&lt;FQL&gt;&lt;Q&gt;EWI^FG_TOTAL_RETURNC(0,-12AM)&lt;/Q&gt;&lt;R&gt;1&lt;/R&gt;&lt;C&gt;1&lt;/C&gt;&lt;D xsi:type="xsd:double"&gt;19.349766&lt;/D&gt;&lt;/FQL&gt;&lt;FQL&gt;&lt;Q&gt;URTH^FMA_COS_UP("EPS","1M",+1,0,,,"PORTAGG","MEANR")&lt;/Q&gt;&lt;R&gt;1&lt;/R&gt;&lt;C&gt;1&lt;/C&gt;&lt;D xsi:type="xsd:double"&gt;541&lt;/D&gt;&lt;/FQL&gt;&lt;FQL&gt;&lt;Q&gt;QQQ^FMA_COS_UP("EPS","1M",+1,0,,,"PORTAGG","MEANR")&lt;/Q&gt;&lt;R&gt;1&lt;/R&gt;&lt;C&gt;1&lt;/C&gt;&lt;D xsi:type="xsd:double"&gt;36&lt;/D&gt;&lt;/FQL&gt;&lt;FQL&gt;&lt;Q&gt;REFGBBANK-FDS^FG_YIELD(NOW,,,0)&lt;/Q&gt;&lt;R&gt;1&lt;/R&gt;&lt;C&gt;1&lt;/C&gt;&lt;D xsi:type="xsd:double"&gt;5.25&lt;/D&gt;&lt;/FQL&gt;&lt;FQL&gt;&lt;Q&gt;TRYSE10Y-FDS^PCTCHG(FG_YIELD(0,,,,"YTM"),FG_YIELD(-1AM,,,,"YTM"))&lt;/Q&gt;&lt;R&gt;1&lt;/R&gt;&lt;C&gt;1&lt;/C&gt;&lt;D xsi:type="xsd:double"&gt;-6.954342&lt;/D&gt;&lt;/FQL&gt;&lt;FQL&gt;&lt;Q&gt;TRYNZ10Y-FDS^FG_YIELD(0,,,,"YTM")&lt;/Q&gt;&lt;R&gt;1&lt;/R&gt;&lt;C&gt;1&lt;/C&gt;&lt;D xsi:type="xsd:double"&gt;4.6686&lt;/D&gt;&lt;/FQL&gt;&lt;FQL&gt;&lt;Q&gt;CC_IT^IMF_IFS_RCPI_Q(0)&lt;/Q&gt;&lt;R&gt;1&lt;/R&gt;&lt;C&gt;1&lt;/C&gt;&lt;D xsi:type="xsd:double"&gt;0.92385906&lt;/D&gt;&lt;/FQL&gt;&lt;FQL&gt;&lt;Q&gt;EWG^JULIAN(FMA_DIV_YLD(NTMA,NOW,NOW,M,"PORTAGG","MEANR").DATES)&lt;/Q&gt;&lt;R&gt;1&lt;/R&gt;&lt;C&gt;1&lt;/C&gt;&lt;D xsi:type="xsd:long"&gt;45469&lt;/D&gt;&lt;/FQL&gt;&lt;FQL&gt;&lt;Q&gt;DBA^FG_TOTAL_RETURNC(0,-6AM)&lt;/Q&gt;&lt;R&gt;1&lt;/R&gt;&lt;C&gt;1&lt;/C&gt;&lt;D xsi:type="xsd:double"&gt;13.064135&lt;/D&gt;&lt;/FQL&gt;&lt;FQL&gt;&lt;Q&gt;TRYNZ10Y-FDS^PCTCHG(FG_YIELD(0,,,,"YTM"),FG_YIELD(-3AM,,,,"YTM"))&lt;/Q&gt;&lt;R&gt;1&lt;/R&gt;&lt;C&gt;1&lt;/C&gt;&lt;D xsi:type="xsd:double"&gt;1.1943202&lt;/D&gt;&lt;/FQL&gt;&lt;FQL&gt;&lt;Q&gt;EWC^FMA_PE(NTMA,-10AY,0,AM,"PORTAGG","MEANR")&lt;/Q&gt;&lt;R&gt;121&lt;/R&gt;&lt;C&gt;1&lt;/C&gt;&lt;D xsi:type="xsd:double"&gt;14.9890406598692&lt;/D&gt;&lt;D xsi:type="xsd:double"&gt;15.18108187164&lt;/D&gt;&lt;D xsi:type="xsd:double"&gt;15.1722925010485&lt;/D&gt;&lt;D xsi:type="xsd:double"&gt;14.5606650456939&lt;/D&gt;&lt;D xsi:type="xsd:double"&gt;14.2771474405114&lt;/D&gt;&lt;D xsi:type="xsd:double"&gt;14.6833875282305&lt;/D&gt;&lt;D xsi:type="xsd:double"&gt;15.4116897729477&lt;/D&gt;&lt;D xsi:type="xsd:double"&gt;16.2483436583968&lt;/D&gt;&lt;D xsi:type="xsd:double"&gt;17.5003578800495&lt;/D&gt;&lt;D xsi:type="xsd:double"&gt;16.9096580819672&lt;/D&gt;&lt;D xsi:type="xsd:double"&gt;17.4299055472391&lt;/D&gt;&lt;D xsi:type="xsd:double"&gt;16.64990289912&lt;/D&gt;&lt;D xsi:type="xsd:double"&gt;16.1806781809928&lt;/D&gt;&lt;D xsi:type="xsd:double"&gt;15.1931056979987&lt;/D&gt;&lt;D xsi:type="xsd:double"&gt;14.9472886737369&lt;/D&gt;&lt;D xsi:type="xsd:double"&gt;14.0787209579354&lt;/D&gt;&lt;D xsi:type="xsd:double"&gt;15.1028343499492&lt;/D&gt;&lt;D xsi:type="xsd:double"&gt;14.5163637920177&lt;/D&gt;&lt;D xsi:type="xsd:double"&gt;14.5377506287718&lt;/D&gt;&lt;D xsi:type="xsd:double"&gt;14.117667015283&lt;/D&gt;&lt;D xsi:type="xsd:double"&gt;14.839457177931&lt;/D&gt;&lt;D xsi:type="xsd:double"&gt;15.9197175949172&lt;/D&gt;&lt;D xsi:type="xsd:double"&gt;16.6182854696386&lt;/D&gt;&lt;D xsi:type="xsd:double"&gt;16.6590359121926&lt;/D&gt;&lt;D xsi:type="xsd:double"&gt;16.0823355255036&lt;/D&gt;&lt;D xsi:type="xsd:double"&gt;16.4208110413877&lt;/D&gt;&lt;D xsi:type="xsd:double"&gt;16.3162743176698&lt;/D&gt;&lt;D xsi:type="xsd:double"&gt;16.0930465070427&lt;/D&gt;&lt;D xsi:type="xsd:double"&gt;15.8475075306213&lt;/D&gt;&lt;D xsi:type="xsd:double"&gt;15.9135565436249&lt;/D&gt;&lt;D xsi:type="xsd:double"&gt;15.8621050172347&lt;/D&gt;&lt;D xsi:type="xsd:double"&gt;16.167178844355&lt;/D&gt;&lt;D xsi:type="xsd:double"&gt;15.817264823507&lt;/D&gt;&lt;D xsi:type="xsd:double"&gt;15.961779604618&lt;/D&gt;&lt;D xsi:type="xsd:double"&gt;15.6903318404951&lt;/D&gt;&lt;D xsi:type="xsd:double"&gt;15.7326574806776&lt;/D&gt;&lt;D xsi:type="xsd:double"&gt;15.3776126317079&lt;/D&gt;&lt;D xsi:type="xsd:double"&gt;15.5739303878692&lt;/D&gt;&lt;D xsi:type="xsd:double"&gt;15.4243364216047&lt;/D&gt;&lt;D xsi:type="xsd:double"&gt;15.7400209859771&lt;/D&gt;&lt;D xsi:type="xsd:double"&gt;15.8883441224396&lt;/D&gt;&lt;D xsi:type="xsd:double"&gt;15.835882097656&lt;/D&gt;&lt;D xsi:type="xsd:double"&gt;15.9374633873949&lt;/D&gt;&lt;D xsi:type="xsd:double"&gt;15.4945469758738&lt;/D&gt;&lt;D xsi:type="xsd:double"&gt;14.4316732396112&lt;/D&gt;&lt;D xsi:type="xsd:double"&gt;13.9688954604551&lt;/D&gt;&lt;D xsi:type="xsd:double"&gt;14.2224557326043&lt;/D&gt;&lt;D xsi:type="xsd:double"&gt;14.1538899581057&lt;/D&gt;&lt;D xsi:type="xsd:double"&gt;14.1418150162215&lt;/D&gt;&lt;D xsi:type="xsd:double"&gt;14.1865297614449&lt;/D&gt;&lt;D xsi:type="xsd:double"&gt;13.925019263652&lt;/D&gt;&lt;D xsi:type="xsd:double"&gt;13.5635404959644&lt;/D&gt;&lt;D xsi:type="xsd:double"&gt;12.428995998694&lt;/D&gt;&lt;D xsi:type="xsd:double"&gt;12.6485977138657&lt;/D&gt;&lt;D xsi:type="xsd:double"&gt;12.0305953023311&lt;/D&gt;&lt;D xsi:type="xsd:double"&gt;13.5164792347965&lt;/D&gt;&lt;D xsi:type="xsd:double"&gt;14.1221263560808&lt;/D&gt;&lt;D xsi:type="xsd:double"&gt;14.1568543223035&lt;/D&gt;&lt;D xsi:type="xsd:double"&gt;13.9518569273026&lt;/D&gt;&lt;D xsi:type="xsd:double"&gt;13.5483717126199&lt;/D&gt;&lt;D xsi:type="xsd:double"&gt;13.6844987120702&lt;/D&gt;&lt;D xsi:type="xsd:double"&gt;13.741239514338&lt;/D&gt;&lt;D xsi:type="xsd:double"&gt;13.5155740132768&lt;/D&gt;&lt;D xsi:type="xsd:double"&gt;13.9521812334812&lt;/D&gt;&lt;D xsi:type="xsd:double"&gt;13.8557688641043&lt;/D&gt;&lt;D xsi:type="xsd:double"&gt;14.4573252736743&lt;/D&gt;&lt;D xsi:type="xsd:double"&gt;14.5184963575003&lt;/D</t>
        </r>
      </text>
    </comment>
    <comment ref="A15" authorId="0" shapeId="0" xr:uid="{308C02B4-4F05-4D1B-82DF-078994254E6B}">
      <text>
        <r>
          <rPr>
            <b/>
            <sz val="9"/>
            <color indexed="81"/>
            <rFont val="Tahoma"/>
            <charset val="1"/>
          </rPr>
          <t>&gt;&lt;D xsi:type="xsd:double"&gt;14.63511850438&lt;/D&gt;&lt;D xsi:type="xsd:double"&gt;13.7130085427237&lt;/D&gt;&lt;D xsi:type="xsd:double"&gt;12.3404216005918&lt;/D&gt;&lt;D xsi:type="xsd:double"&gt;16.3502393203502&lt;/D&gt;&lt;D xsi:type="xsd:double"&gt;18.6554397162016&lt;/D&gt;&lt;D xsi:type="xsd:double"&gt;17.3640115573926&lt;/D&gt;&lt;D xsi:type="xsd:double"&gt;17.4960806167896&lt;/D&gt;&lt;D xsi:type="xsd:double"&gt;17.4066338447151&lt;/D&gt;&lt;D xsi:type="xsd:double"&gt;16.3684343679533&lt;/D&gt;&lt;D xsi:type="xsd:double"&gt;15.2120973644556&lt;/D&gt;&lt;D xsi:type="xsd:double"&gt;16.3081555104496&lt;/D&gt;&lt;D xsi:type="xsd:double"&gt;15.9690187778503&lt;/D&gt;&lt;D xsi:type="xsd:double"&gt;15.7219865116355&lt;/D&gt;&lt;D xsi:type="xsd:double"&gt;15.1177284599745&lt;/D&gt;&lt;D xsi:type="xsd:double"&gt;15.3703180252238&lt;/D&gt;&lt;D xsi:type="xsd:double"&gt;15.6714139201055&lt;/D&gt;&lt;D xsi:type="xsd:double"&gt;15.5262544810534&lt;/D&gt;&lt;D xsi:type="xsd:double"&gt;15.606838296978&lt;/D&gt;&lt;D xsi:type="xsd:double"&gt;15.0920623429216&lt;/D&gt;&lt;D xsi:type="xsd:double"&gt;14.9317314841787&lt;/D&gt;&lt;D xsi:type="xsd:double"&gt;14.4185531358441&lt;/D&gt;&lt;D xsi:type="xsd:double"&gt;15.0075027582902&lt;/D&gt;&lt;D xsi:type="xsd:double"&gt;14.5341285799261&lt;/D&gt;&lt;D xsi:type="xsd:double"&gt;14.4495202806133&lt;/D&gt;&lt;D xsi:type="xsd:double"&gt;13.8529167267254&lt;/D&gt;&lt;D xsi:type="xsd:double"&gt;13.9405302851221&lt;/D&gt;&lt;D xsi:type="xsd:double"&gt;13.7014402817181&lt;/D&gt;&lt;D xsi:type="xsd:double"&gt;12.8160714490791&lt;/D&gt;&lt;D xsi:type="xsd:double"&gt;12.4983161589908&lt;/D&gt;&lt;D xsi:type="xsd:double"&gt;11.4044039467471&lt;/D&gt;&lt;D xsi:type="xsd:double"&gt;11.4487692258854&lt;/D&gt;&lt;D xsi:type="xsd:double"&gt;11.6703099684881&lt;/D&gt;&lt;D xsi:type="xsd:double"&gt;10.879771358694&lt;/D&gt;&lt;D xsi:type="xsd:double"&gt;11.536900278832&lt;/D&gt;&lt;D xsi:type="xsd:double"&gt;12.0753259848488&lt;/D&gt;&lt;D xsi:type="xsd:double"&gt;11.8548752194559&lt;/D&gt;&lt;D xsi:type="xsd:double"&gt;13.0053244613147&lt;/D&gt;&lt;D xsi:type="xsd:double"&gt;12.6891334632927&lt;/D&gt;&lt;D xsi:type="xsd:double"&gt;12.4583440675505&lt;/D&gt;&lt;D xsi:type="xsd:double"&gt;13.0871267590016&lt;/D&gt;&lt;D xsi:type="xsd:double"&gt;12.8434026862054&lt;/D&gt;&lt;D xsi:type="xsd:double"&gt;12.8081288507558&lt;/D&gt;&lt;D xsi:type="xsd:double"&gt;13.493257329192&lt;/D&gt;&lt;D xsi:type="xsd:double"&gt;12.9386629338486&lt;/D&gt;&lt;D xsi:type="xsd:double"&gt;12.6444633261158&lt;/D&gt;&lt;D xsi:type="xsd:double"&gt;12.0004294186304&lt;/D&gt;&lt;D xsi:type="xsd:double"&gt;12.7765222835066&lt;/D&gt;&lt;D xsi:type="xsd:double"&gt;13.6554280692146&lt;/D&gt;&lt;D xsi:type="xsd:double"&gt;13.8804052743977&lt;/D&gt;&lt;D xsi:type="xsd:double"&gt;14.108003386573&lt;/D&gt;&lt;D xsi:type="xsd:double"&gt;14.6370440944886&lt;/D&gt;&lt;D xsi:type="xsd:double"&gt;14.2871422569102&lt;/D&gt;&lt;D xsi:type="xsd:double"&gt;14.3413184305275&lt;/D&gt;&lt;D xsi:type="xsd:double"&gt;13.9837490515467&lt;/D&gt;&lt;/FQL&gt;&lt;FQL&gt;&lt;Q&gt;EWC^FG_PRICE_MAVG(0,,,,30)&lt;/Q&gt;&lt;R&gt;1&lt;/R&gt;&lt;C&gt;1&lt;/C&gt;&lt;D xsi:type="xsd:double"&gt;37.485332&lt;/D&gt;&lt;/FQL&gt;&lt;FQL&gt;&lt;Q&gt;EWI^P_PRICE(0)/P_PRICE_LOW_PR(0,,,,,,"PRICE","INTRA","52W")-1&lt;/Q&gt;&lt;R&gt;1&lt;/R&gt;&lt;C&gt;1&lt;/C&gt;&lt;D xsi:type="xsd:double"&gt;0.23556781&lt;/D&gt;&lt;/FQL&gt;&lt;FQL&gt;&lt;Q&gt;EWQ^FMA_PCT_ABOVE_MAVG(200,0,,,,"PORTAGG")&lt;/Q&gt;&lt;R&gt;1&lt;/R&gt;&lt;C&gt;1&lt;/C&gt;&lt;D xsi:type="xsd:double"&gt;40.3225806451613&lt;/D&gt;&lt;/FQL&gt;&lt;FQL&gt;&lt;Q&gt;EWL^FG_TOTAL_RETURNC(0,-1AM)&lt;/Q&gt;&lt;R&gt;1&lt;/R&gt;&lt;C&gt;1&lt;/C&gt;&lt;D xsi:type="xsd:double"&gt;2.5016904&lt;/D&gt;&lt;/FQL&gt;&lt;FQL&gt;&lt;Q&gt;EWU^SIZE(FG_CONSTITUENTS)&lt;/Q&gt;&lt;R&gt;1&lt;/R&gt;&lt;C&gt;1&lt;/C&gt;&lt;D xsi:type="xsd:long"&gt;81&lt;/D&gt;&lt;/FQL&gt;&lt;FQL&gt;&lt;Q&gt;EWG^FG_ROE(0)&lt;/Q&gt;&lt;R&gt;1&lt;/R&gt;&lt;C&gt;1&lt;/C&gt;&lt;D xsi:type="xsd:double"&gt;9.4829420324201&lt;/D&gt;&lt;/FQL&gt;&lt;FQL&gt;&lt;Q&gt;TRYNL10Y-FDS^PCTCHG(FG_YIELD(0,,,,"YTM"),FG_YIELD(-3AM,,,,"YTM"))&lt;/Q&gt;&lt;R&gt;1&lt;/R&gt;&lt;C&gt;1&lt;/C&gt;&lt;D xsi:type="xsd:double"&gt;8.394308&lt;/D&gt;&lt;/FQL&gt;&lt;FQL&gt;&lt;Q&gt;EWC^FG_ROE(0)&lt;/Q&gt;&lt;R&gt;1&lt;/R&gt;&lt;C&gt;1&lt;/C&gt;&lt;D xsi:type="xsd:double"&gt;11.043096241711&lt;/D&gt;&lt;/FQL&gt;&lt;FQL&gt;&lt;Q&gt;TRYSE10Y-FDS^FG_YIELD(0,,,,"YTM")&lt;/Q&gt;&lt;R&gt;1&lt;/R&gt;&lt;C&gt;1&lt;/C&gt;&lt;D xsi:type="xsd:double"&gt;2.221&lt;/D&gt;&lt;/FQL&gt;&lt;FQL&gt;&lt;Q&gt;EWQ^FMA_DIV_YLD(NTMA,NOW,NOW,M,"PORTAGG","MEANR")&lt;/Q&gt;&lt;R&gt;1&lt;/R&gt;&lt;C&gt;1&lt;/C&gt;&lt;D xsi:type="xsd:double"&gt;3.33988948464241&lt;/D&gt;&lt;/FQL&gt;&lt;FQL&gt;&lt;Q&gt;QQQ^FG_FCF_YIELD_NTM(0)&lt;/Q&gt;&lt;R&gt;1&lt;/R&gt;&lt;C&gt;1&lt;/C&gt;&lt;D xsi:type="xsd:double"&gt;3.50755064391966&lt;/D&gt;&lt;/FQL&gt;&lt;FQL&gt;&lt;Q&gt;EWA^JULIAN(FMA_DIV_YLD(NTMA,NOW,NOW,M,"PORTAGG","MEANR").DATES)&lt;/Q&gt;&lt;R&gt;1&lt;/R&gt;&lt;C&gt;1&lt;/C&gt;&lt;D xsi:type="xsd:long"&gt;45470&lt;/D&gt;&lt;/FQL&gt;&lt;FQL&gt;&lt;Q&gt;TLT^FG_TOTAL_RETURNC(0,-3AM)&lt;/Q&gt;&lt;R&gt;1&lt;/R&gt;&lt;C&gt;1&lt;/C&gt;&lt;D xsi:type="xsd:double"&gt;-2.0071268&lt;/D&gt;&lt;/FQL&gt;&lt;FQL&gt;&lt;Q&gt;USDEUR^STD(FG_PRICE_CHANGE(0,-3AY,M))&lt;/Q&gt;&lt;R&gt;1&lt;/R&gt;&lt;C&gt;1&lt;/C&gt;&lt;D xsi:type="xsd:double"&gt;2.15371240183617&lt;/D&gt;&lt;/FQL&gt;&lt;FQL&gt;&lt;Q&gt;EWA^P_PRICE(0)/P_PRICE_LOW_PR(0,,,,,,"PRICE","INTRA","52W")-1&lt;/Q&gt;&lt;R&gt;1&lt;/R&gt;&lt;C&gt;1&lt;/C&gt;&lt;D xsi:type="xsd:double"&gt;0.1940372&lt;/D&gt;&lt;/FQL&gt;&lt;FQL&gt;&lt;Q&gt;VWO^SIZE(FG_CONSTITUENTS)&lt;/Q&gt;&lt;R&gt;1&lt;/R&gt;&lt;C&gt;1&lt;/C&gt;&lt;D xsi:type="xsd:long"&gt;4759&lt;/D&gt;&lt;/FQL&gt;&lt;FQL&gt;&lt;Q&gt;EWU^FMA_COS_DOWN("EPS","1M",+1,0,,,"PORTAGG","MEANR")&lt;/Q&gt;&lt;R&gt;1&lt;/R&gt;&lt;C&gt;1&lt;/C&gt;&lt;D xsi:type="xsd:double"&gt;27&lt;/D&gt;&lt;/FQL&gt;&lt;FQL&gt;&lt;Q&gt;REFGBBANK-FDS^PROPER_NAME(0,,,"SECURITY","NAME")&lt;/Q&gt;&lt;R&gt;1&lt;/R&gt;&lt;C&gt;1&lt;/C&gt;&lt;D xsi:type="xsd:string"&gt;UK Bank Rate&lt;/D&gt;&lt;/FQL&gt;&lt;FQL&gt;&lt;Q&gt;TRYFR10Y-FDS^PCTCHG(FG_YIELD(0,,,,"YTM"),FG_YIELD(-3AM,,,,"YTM"))&lt;/Q&gt;&lt;R&gt;1&lt;/R&gt;&lt;C&gt;1&lt;/C&gt;&lt;D xsi:type="xsd:double"&gt;16.279894&lt;/D&gt;&lt;/FQL&gt;&lt;FQL&gt;&lt;Q&gt;CC_SE^IMF_IFS_RCPI_Q(0)&lt;/Q&gt;&lt;R&gt;1&lt;/R&gt;&lt;C&gt;1&lt;/C&gt;&lt;D xsi:type="xsd:double"&gt;4.6701536&lt;/D&gt;&lt;/FQL&gt;&lt;FQL&gt;&lt;Q&gt;VGK^FG_PE_NTM(0,,,90,0)&lt;/Q&gt;&lt;R&gt;1&lt;/R&gt;&lt;C&gt;1&lt;/C&gt;&lt;D xsi:type="xsd:double"&gt;13.4929377703647&lt;/D&gt;&lt;/FQL&gt;&lt;FQL&gt;&lt;Q&gt;EWQ^FG_FCF_YIELD_NTM(0)&lt;/Q&gt;&lt;R&gt;1&lt;/R&gt;&lt;C&gt;1&lt;/C&gt;&lt;D xsi:type="xsd:double"&gt;6.01260368404573&lt;/D&gt;&lt;/FQL&gt;&lt;FQL&gt;&lt;Q&gt;EWU^FMA_PE(NTMA,0,,,"PORTAGG","MEANR")&lt;/Q&gt;&lt;R&gt;1&lt;/R&gt;&lt;C&gt;1&lt;/C&gt;&lt;D xsi:type="xsd:double"&gt;11.4267743223151&lt;/D&gt;&lt;/FQL&gt;&lt;FQL&gt;&lt;Q&gt;EWC^FMA_EVAL_EBIT(LTMA,NOW,NOW,M,"PORTAGG","MEANR")&lt;/Q&gt;&lt;R&gt;1&lt;/R&gt;&lt;C&gt;1&lt;/C&gt;&lt;D xsi:type="xsd:double"&gt;15.9654707235691&lt;/D&gt;&lt;/FQL&gt;&lt;FQL&gt;&lt;Q&gt;ENZL^FMA_PE(NTMA,-10AY,0,AM,"PORTAGG","MEANR")&lt;/Q&gt;&lt;R&gt;121&lt;/R&gt;&lt;C&gt;1&lt;/C&gt;&lt;D xsi:type="xsd:double"&gt;17.1967139382451&lt;/D&gt;&lt;D xsi:type="xsd:double"&gt;17.4478917211638&lt;/D&gt;&lt;D xsi:type="xsd:double"&gt;17.5159073510898&lt;/D&gt;&lt;D xsi:type="xsd:double"&gt;17.1408424546592&lt;/D&gt;&lt;D xsi:type="xsd:double"&gt;17.4644869280994&lt;/D&gt;&lt;D xsi:type="xsd:double"&gt;17.7251641549364&lt;/D&gt;&lt;D xsi:type="xsd:double"&gt;18.1954516012937&lt;/D&gt;&lt;D xsi:type="xsd:double"&gt;19.169748387611&lt;/D&gt;&lt;D xsi:type="xsd:double"&gt;19.3006254187479&lt;/D&gt;&lt;D xsi:type="xsd:double"&gt;18.1043931296327&lt;/D&gt;&lt;D xsi:type="xsd:double"&gt;18.1520437850092&lt;/D&gt;&lt;D xsi:type="xsd:double"&gt;18.2235604387523&lt;/D&gt;&lt;D xsi:type="xsd:double"&gt;17.7680574031836&lt;/D&gt;&lt;D xsi:type="xsd:double"&gt;18.1234525467546&lt;/D&gt;&lt;D xsi:type="xsd:double"&gt;17.5972212316474&lt;/D&gt;&lt;D xsi:type="xsd:double"&gt;17.224031245946&lt;/D&gt;&lt;D xsi:type="xsd:double"&gt;18.0983018589381&lt;/D&gt;&lt;D xsi:type="xsd:double"&gt;18.1379607697507&lt;/D&gt;&lt;D xsi:type="xsd:double"&gt;18.1702731389046&lt;/D&gt;&lt;D xsi:type="xsd:double"&gt;17.3874921307626&lt;/D&gt;&lt;D xsi:type="xsd:double"&gt;17.5566851825032&lt;/D&gt;&lt;D xsi:type="xsd:double"&gt;18.0055570378137&lt;/D&gt;&lt;D xsi:type="xsd:double"&gt;18.7547014912848&lt;/D&gt;&lt;D xsi:type="xsd:double"&gt;19.331173304405&lt;/D&gt;&lt;D xsi:type="xsd:double"&gt;18.5114940263197&lt;/D&gt;&lt;D xsi:type="xsd:double"&gt;20.189841365765&lt;/D&gt;&lt;D xsi:type="xsd:double"&gt;20.4256231036991&lt;/D&gt;&lt;D xsi:type="xsd:double"&gt;20.0960505503912&lt;/D&gt;&lt;D xsi:type="xsd:double"&gt;18.9897903016628&lt;/D&gt;&lt;D xsi:type="xsd:double"&gt;18.8015838888995&lt;/D&gt;&lt;D xsi:type="xsd:double"&gt;18.5161096416633&lt;/D&gt;&lt;D xsi:type="xsd:double"&gt;19.1948752259908&lt;/D&gt;&lt;D xsi:type="xsd:double"&gt;18.3456235290234&lt;/D&gt;&lt;D xsi:type="xsd:double"&gt;18.6715028192662&lt;/D&gt;&lt;D xsi:type="xsd:double"&gt;19.5356711103918&lt;/D&gt;&lt;D xsi:type="xsd:double"&gt;19.5714607692372&lt;/D&gt;&lt;D xsi:type="xsd:double"&gt;19.7278975311616&lt;/D&gt;&lt;D xsi:type="xsd:double"&gt;19.5261826732486&lt;/D&gt;&lt;D xsi:type="xsd:double"&gt;20.0251230096051&lt;/D&gt;&lt;D xsi:type="xsd:double"&gt;19.8009329413137&lt;/D&gt;&lt;D xsi:type="xsd:double"&gt;20.3723595613449&lt;/D&gt;&lt;D xsi:type="xsd:double"&gt;20.1149823699634&lt;/D&gt;&lt;D xsi:type="xsd:double"&gt;20.9264843391952&lt;/D&gt;&lt;D xsi:type="xsd:double"&gt;20.5716325762325&lt;/D&gt;&lt;D xsi:type="xsd:double"&gt;20.8462380710614&lt;/D&gt;&lt;D xsi:type="xsd:double"&gt;20.1474965291397&lt;/D&gt;&lt;D xsi:type="xsd:double"&gt;19.9113535617366&lt;/D&gt;&lt;D xsi:type="xsd:double"&gt;20.4308952815634&lt;/D&gt;&lt;D xsi:type="xsd:double"&gt;21.3251614010901&lt;/D&gt;&lt;D xsi:type="xsd:double"&gt;21.1629539138984&lt;/D&gt;&lt;D xsi:type="xsd:double"&gt;21.8098190412374&lt;/D&gt;&lt;D xsi:type="xsd:double"&gt;21.4693190006079&lt;/D&gt;&lt;D xsi:type="xsd:double"&gt;19.6196262571414&lt;/D&gt;&lt;D xsi:type="xsd:double"&gt;19.7240318340309&lt;/D&gt;&lt;D xsi:type="xsd:double"&gt;20.0278637880904&lt;/D&gt;&lt;D xsi:type="xsd:double"&gt;20.6381433670307&lt;/D&gt;&lt;D xsi:type="xsd:double"&gt;21.5707196690684&lt;/D&gt;&lt;D xsi:type="xsd:double"&gt;22.1614968257315&lt;/D&gt;&lt;D xsi:type="xsd:double"&gt;22.6562418835128&lt;/D&gt;&lt;D xsi:type="xsd:double"&gt;23.1219465712838&lt;/D&gt;&lt;D xsi:type="xsd:double"&gt;23.7202873176142&lt;/D&gt;&lt;D xsi:type="xsd:double"&gt;24.4550517156695&lt;/D&gt;&lt;D xsi:type="xsd:double"&gt;25.385065961414&lt;/D&gt;&lt;D xsi:type="xsd:double"&gt;25.2725234863641&lt;/D&gt;&lt;D xsi:type="xsd:double"&gt;24.6994036467398&lt;/D&gt;&lt;D xsi:type="xsd:double"&gt;25.5694693550293&lt;/D&gt;&lt;D xsi:type="xsd:double"&gt;26.0858022951486&lt;/D&gt;&lt;D xsi:type="xsd:double"&gt;26.1240273700519&lt;/D&gt;&lt;D xsi:type="xsd:double"&gt;25.9075376731227&lt;/D&gt;&lt;D xsi:type="xsd:double"&gt;24.0640069291665&lt;/D&gt;&lt;D xsi:type="xsd:double"&gt;29.7599188622892&lt;/D&gt;&lt;D xsi:type="xsd:double"&gt;31.4978954616492&lt;/D&gt;&lt;D xsi:type="xsd:double"&gt;30.42766345727&lt;/D&gt;&lt;D xsi:type="xsd:double"&gt;31.7085703758651&lt;/D&gt;&lt;D xsi:type="xsd:double"&gt;33.4400458431509&lt;/D&gt;&lt;D xsi:type="xsd:double"&gt;32.1273038816376&lt;/D&gt;&lt;D xsi:type="xsd:double"&gt;33.1059694968069&lt;/D&gt;&lt;D xsi:type="xsd:double"&gt;32.1588818109295&lt;/D&gt;&lt;D xsi:type="xsd:double"&gt;34.3039267965618&lt;/D&gt;&lt;D xsi:type="xsd:double"&gt;33.5675210288088&lt;/D&gt;&lt;D xsi:type="xsd:double"&gt;31.507983403909&lt;/D&gt;&lt;D xsi:type="xsd:double"&gt;31.9761781309518&lt;/D&gt;&lt;D xsi:type="xsd:double"&gt;32.3218103537664&lt;/D&gt;&lt;D xsi:type="xsd:double"&gt;32.3381342517209&lt;/D&gt;&lt;D xsi:type="xsd:double"&gt;33.8337903526059&lt;/D&gt;&lt;D xsi:type="xsd:double"&gt;33.6277393248443&lt;/D&gt;&lt;D xsi:type="xsd:double"&gt;34.7672165856944&lt;/D&gt;&lt;D xsi:type="xsd:double"&gt;34.3803542199253&lt;/D&gt;&lt;D xsi:type="xsd:double"&gt;33.3426790273416&lt;/D&gt;&lt;D xsi:type="xsd:double"&gt;31.6186486578242&lt;/D&gt;&lt;D xsi:type="xsd:double"&gt;32.1508519569276&lt;/D&gt;&lt;D xsi:type="xsd:double"&gt;29.227064470653&lt;/D&gt;&lt;D xsi:type="xsd:double"&gt;28.9278478499414&lt;/D&gt;&lt;D xsi:type="xsd:double"&gt;28.8420972772183&lt;/D&gt;&lt;D xsi:type="xsd:double"&gt;28.5393335942732&lt;/D&gt;&lt;D xsi:type="xsd:double"&gt;26.780744768853&lt;/D&gt;&lt;D xsi:type="xsd:double"&gt;25.9059576371081&lt;/D&gt;&lt;D xsi:type="xsd:double"&gt;25.88666736073&lt;/D&gt;&lt;D xsi:type="xsd:double"&gt;27.5940406505861&lt;/D&gt;&lt;D xsi:type="xsd:double"&gt;24.2690625691914&lt;/D&gt;&lt;D xsi:type="xsd:double"&gt;23.4680164474744&lt;/D&gt;&lt;D xsi:type="xsd:double"&gt;23.064106043942&lt;/D&gt;&lt;D xsi:type="xsd:double"&gt;23.2583135368704&lt;/D&gt;&lt;D xsi:type="xsd:double"&gt;24.0290819403296&lt;/D&gt;&lt;D xsi:type="xsd:double"&gt;24.011013925857&lt;/D&gt;&lt;D xsi:type="xsd:double"&gt;23.1899256984705&lt;/D&gt;&lt;D xsi:type="xsd:double"&gt;23.6750083418395&lt;/D&gt;&lt;D xsi:type="xsd:double"&gt;23.4845394606897&lt;/D&gt;&lt;D xsi:type="xsd:double"&gt;20.6879365100992&lt;/D&gt;&lt;D xsi:type="xsd:double"&gt;20.964921379109&lt;/D&gt;&lt;D xsi:type="xsd:double"&gt;20.0953862252567&lt;/D&gt;&lt;D xsi:type="xsd:double"&gt;19.9490540181442&lt;/D&gt;&lt;D xsi:type="xsd:double"&gt;19.1494814094559&lt;/D&gt;&lt;D xsi:type="xsd:double"&gt;20.2914323408307&lt;/D&gt;&lt;D xsi:type="xsd:double"&gt;22.9668789553551&lt;/D&gt;&lt;D xsi:type="xsd:double"&gt;22.4560944144431&lt;/D&gt;&lt;D xsi:type="xsd:double"&gt;22.5086190290408&lt;/D&gt;&lt;D xsi:type="xsd:double"&gt;25.2815236006387&lt;/D&gt;&lt;D xsi:type="xsd:double"&gt;24.8929601166383&lt;/D&gt;&lt;D xsi:type="xsd:double"&gt;24.8675767892012&lt;/D&gt;&lt;D xsi:type="xsd:double"&gt;24.4339325810396&lt;/D&gt;&lt;/FQL&gt;&lt;FQL&gt;&lt;Q&gt;W-FDS^MAX(FG_PRICE(0,-5AY))&lt;/Q&gt;&lt;R&gt;1&lt;/R&gt;&lt;C&gt;1&lt;/C&gt;&lt;D xsi:type="xsd:double"&gt;14.2525&lt;/D&gt;&lt;/FQL&gt;&lt;FQL&gt;&lt;Q&gt;EWI^P_PRICE(0)/P_PRICE_HIGH_PR(0,,,,,,"PRICE","INTRA","52W")&lt;/Q&gt;&lt;R&gt;1&lt;/R&gt;&lt;C&gt;1&lt;/C&gt;&lt;D xsi:type="xsd:double"&gt;0.9105918&lt;/D&gt;&lt;/FQL&gt;&lt;FQL&gt;&lt;Q&gt;EWL^PERCENT_CHANGE(FMA_EPS(+1,0,,,,"PORTAGG","MEAN"),FMA_EPS(+1,-1AM,,,,"PORTAGG","MEAN"))&lt;/Q&gt;&lt;R&gt;1&lt;/R&gt;&lt;C&gt;1&lt;/C&gt;&lt;D xsi:type="xsd:double"&gt;-0.753292375361543&lt;/D&gt;&lt;/FQL&gt;&lt;FQL&gt;&lt;Q&gt;EWL^SIZE(FG_CONSTITUENTS)&lt;/Q&gt;&lt;R&gt;1&lt;/R&gt;&lt;C&gt;1&lt;/C&gt;&lt;D xsi:type="xsd:long"&gt;46&lt;/D&gt;&lt;/FQL&gt;&lt;FQL&gt;&lt;Q&gt;DBA^FG_TOTAL_RETURNC(0,-1AM)&lt;/Q&gt;&lt;R&gt;1&lt;/R&gt;&lt;C&gt;1&lt;/C&gt;&lt;D xsi:type="xsd:double"&gt;-5.5930195&lt;/D&gt;&lt;/FQL&gt;&lt;FQL&gt;&lt;Q&gt;EWA^FG_PRICE_MAVG(0,,,,200)&lt;/Q&gt;&lt;R&gt;1&lt;/R&gt;&lt;C&gt;1&lt;/C&gt;&lt;D xsi:type="xsd:double"&gt;23.3409&lt;/D&gt;&lt;/FQL&gt;&lt;FQL&gt;&lt;Q&gt;EWA^FG_TOTAL_RETURNC(0,-6AM)&lt;/Q&gt;&lt;R&gt;1&lt;/R&gt;&lt;C&gt;1&lt;/C&gt;&lt;D xsi:type="xsd:double"&gt;1.6988277&lt;/D&gt;&lt;/FQL&gt;&lt;FQL&gt;&lt;Q&gt;VWO^FMA_COS_DOWN("EPS","1M",+1,0,,,"PORTAGG","MEANR")&lt;/Q&gt;&lt;R&gt;1&lt;/R&gt;&lt;C&gt;1&lt;/C&gt;&lt;D xsi:type="xsd:double"&gt;1326&lt;/D&gt;&lt;/FQL&gt;&lt;FQL&gt;&lt;Q&gt;EWL^FMA_COS_UP("EPS","1M",+1,0,,,"PORTAGG","MEANR")&lt;/Q&gt;&lt;R&gt;1&lt;/R&gt;&lt;C&gt;1&lt;/C&gt;&lt;D xsi:type="xsd:double"&gt;18&lt;/D&gt;&lt;/FQL&gt;&lt;FQL&gt;&lt;Q&gt;REFCHMPR-FDS^(SUBARRAY(NOT_NA(NO_REPEAT_F(FG_YIELD(NOW,-10AY,D))),0,1)-SUBARRAY(NOT_NA(NO_REPEAT_F(FG_YIELD(NOW,-10AY,D))),1,1))*100&lt;/Q&gt;&lt;R&gt;1&lt;/R&gt;&lt;C&gt;1&lt;/C&gt;&lt;D xsi:type="xsd:double"&gt;-25&lt;/D&gt;&lt;/FQL&gt;&lt;FQL&gt;&lt;Q&gt;TRYUS10Y-FDS^PCTCHG(FG_YIELD(0,,,,"YTM"),FG_YIELD(-3AM,,,,"YTM"))&lt;/Q&gt;&lt;R&gt;1&lt;/R&gt;&lt;C&gt;1&lt;/C&gt;&lt;D xsi:type="xsd:double"&gt;4.0397105&lt;/D&gt;&lt;/FQL&gt;&lt;FQL&gt;&lt;Q&gt;CC_FR^IMF_IFS_RCPI_Q(0)&lt;/Q&gt;&lt;R&gt;1&lt;/R&gt;&lt;C&gt;1&lt;/C&gt;&lt;D xsi:type="xsd:double"&gt;2.79402&lt;/D&gt;&lt;/FQL&gt;&lt;FQL&gt;&lt;Q&gt;EWQ^FMA_PE(NTMA,0,,,"PORTAGG","MEANR")&lt;/Q&gt;&lt;R&gt;1&lt;/R&gt;&lt;C&gt;1&lt;/C&gt;&lt;D xsi:type="xsd:double"&gt;13.6060361326933&lt;/D&gt;&lt;/FQL&gt;&lt;FQL&gt;&lt;Q&gt;EWU^FMA_PE(LTM,0,,,"PORTAGG","MEANR")&lt;/Q&gt;&lt;R&gt;1&lt;/R&gt;&lt;C&gt;1&lt;/C&gt;&lt;D xsi:type="xsd:double"&gt;12.8688036232959&lt;/D&gt;&lt;/FQL&gt;&lt;FQL&gt;&lt;Q&gt;EWC^FG_FCF_YIELD_NTM(0)&lt;/Q&gt;&lt;R&gt;1&lt;/R&gt;&lt;C&gt;1&lt;/C&gt;&lt;D xsi:type="xsd:double"&gt;5.99756758467273&lt;/D&gt;&lt;/FQL&gt;&lt;FQL&gt;&lt;Q&gt;QQQ^P_PRICE(0)/P_PRICE_HIGH_PR(0,,,USD,,,"PRICE","INTRA","52W")&lt;/Q&gt;&lt;R&gt;1&lt;/R&gt;&lt;C&gt;1&lt;/C&gt;&lt;D xsi:type="xsd:double"&gt;0.98339486&lt;/D&gt;&lt;/FQL&gt;&lt;FQL&gt;&lt;Q&gt;EWA^FG_TOTAL_RETURNC(0,-1AM)&lt;/Q&gt;&lt;R&gt;1&lt;/R&gt;&lt;C&gt;1&lt;/C&gt;&lt;D xsi:type="xsd:double"&gt;1.1618257&lt;/D&gt;&lt;/FQL&gt;&lt;FQL&gt;&lt;Q&gt;REFCHMPR-FDS^PROPER_NAME(0,,,"SECURITY","NAME")&lt;/Q&gt;&lt;R&gt;1&lt;/R&gt;&lt;C&gt;1&lt;/C&gt;&lt;D xsi:type="xsd:string"&gt;Swiss Policy Rate - Sight Deposit Rate&lt;/D&gt;&lt;/FQL&gt;&lt;FQL&gt;&lt;Q&gt;EWC^FMA_PE(NTMA,0,,,"PORTAGG","MEANR")&lt;/Q&gt;&lt;R&gt;1&lt;/R&gt;&lt;C&gt;1&lt;/C&gt;&lt;D xsi:type="xsd:double"&gt;13.9837490515467&lt;/D&gt;&lt;/FQL&gt;&lt;FQL&gt;&lt;Q&gt;EWD^FMA_PE(LTM,0,,,"PORTAGG","MEANR")&lt;/Q&gt;&lt;R&gt;1&lt;/R&gt;&lt;C&gt;1&lt;/C&gt;&lt;D xsi:type="xsd:double"&gt;14.5035517601655&lt;/D&gt;&lt;/FQL&gt;&lt;FQL&gt;&lt;Q&gt;EWJ^FMA_PE(NTMA,0,,,"PORTAGG","MEANR")&lt;/Q&gt;&lt;R&gt;1&lt;/R&gt;&lt;C&gt;1&lt;/C&gt;&lt;D xsi:type="xsd:double"&gt;15.5521401174445&lt;/D&gt;&lt;/FQL&gt;&lt;FQL&gt;&lt;Q&gt;EWG^FMA_PCT_ABOVE_MAVG(200,0,,,,"PORTAGG")&lt;/Q&gt;&lt;R&gt;1&lt;/R&gt;&lt;C&gt;1&lt;/C&gt;&lt;D xsi:type="xsd:double"&gt;60.3448275862069&lt;/D&gt;&lt;/FQL&gt;&lt;FQL&gt;&lt;Q&gt;REFNZOCR-FDS^FG_YIELD(NOW,,,0)&lt;/Q&gt;&lt;R&gt;1&lt;/R&gt;&lt;C&gt;1&lt;/C&gt;&lt;D xsi:type="xsd:double"&gt;5.5&lt;/D&gt;&lt;/FQL&gt;&lt;FQL&gt;&lt;Q&gt;EWI^FG_TOTAL_RETURNC(0,-6AM)&lt;/Q&gt;&lt;R&gt;1&lt;/R&gt;&lt;C&gt;1&lt;/C&gt;&lt;D xsi:type="xsd:double"&gt;8.307302&lt;/D&gt;&lt;/FQL&gt;&lt;FQL&gt;&lt;Q&gt;EWA^FG_TOTAL_RETURNC(0,-3AM)&lt;/Q&gt;&lt;R&gt;1&lt;/R&gt;&lt;C&gt;1&lt;/C&gt;&lt;D xsi:type="xsd:double"&gt;0.997746&lt;/D&gt;&lt;/FQL&gt;&lt;FQL&gt;&lt;Q&gt;EWA^FG_ROE(0)&lt;/Q&gt;&lt;R&gt;1&lt;/R&gt;&lt;C&gt;1&lt;/C&gt;&lt;D xsi:type="xsd:double"&gt;12.5591922716914&lt;/D&gt;&lt;/FQL&gt;&lt;FQL&gt;&lt;Q&gt;REFCHMPR-FDS^FG_YIELD(NOW,,,0)&lt;/Q&gt;&lt;R&gt;1&lt;/R&gt;&lt;C&gt;1&lt;/C&gt;&lt;D xsi:type="xsd:double"&gt;1.25&lt;/D&gt;&lt;/FQL&gt;&lt;FQL&gt;&lt;Q&gt;VGK^JULIAN(FMA_DIV_YLD(NTMA,NOW,NOW,M,"PORTAGG","MEANR").DATES)&lt;/Q&gt;&lt;R&gt;1&lt;/R&gt;&lt;C&gt;1&lt;/C&gt;&lt;D xsi:type="xsd:long"&gt;45443&lt;/D&gt;&lt;/FQL&gt;&lt;FQL&gt;&lt;Q&gt;EWU^JULIAN(FMA_DIV_YLD(NTMA,NOW,NOW,M,"PORTAGG","MEANR").DATES)&lt;/Q&gt;&lt;R&gt;1&lt;/R&gt;&lt;C&gt;1&lt;/C&gt;&lt;D xsi:type="xsd:long"&gt;45469&lt;/D&gt;&lt;/FQL&gt;&lt;FQL&gt;&lt;Q&gt;EWC^FMA_DIV_YLD(NTMA,NOW,NOW,M,"PORTAGG","MEANR")&lt;/Q&gt;&lt;R&gt;1&lt;/R&gt;&lt;C&gt;1&lt;/C&gt;&lt;D xsi:type="xsd:double"&gt;3.33728402805214&lt;/D&gt;&lt;/FQL&gt;&lt;FQL&gt;&lt;Q&gt;VWO^FMA_COS_UP("EPS","1M",+1,0,,,"PORTAGG","MEANR")&lt;/Q&gt;&lt;R&gt;1&lt;/R&gt;&lt;C&gt;1&lt;/C&gt;&lt;D xsi:type="xsd:double"&gt;1000&lt;/D&gt;&lt;/FQL&gt;&lt;FQL&gt;&lt;Q&gt;TRYNL10Y-FDS^FG_YIELD(0,,,,"YTM")&lt;/Q&gt;&lt;R&gt;1&lt;/R&gt;&lt;C&gt;1&lt;/C&gt;&lt;D xsi:type="xsd:double"&gt;2.815&lt;/D&gt;&lt;/FQL&gt;&lt;FQL&gt;&lt;Q&gt;ENZL^FG_ROE(0)&lt;/Q&gt;&lt;R&gt;1&lt;/R&gt;&lt;C&gt;1&lt;/C&gt;&lt;D xsi:type="xsd:double"&gt;4.9539161257895&lt;/D&gt;&lt;/FQL&gt;&lt;FQL&gt;&lt;Q&gt;EWL^FMA_EVAL_EBIT(LTMA,NOW,NOW,M,"PORTAGG","MEANR")&lt;/Q&gt;&lt;R&gt;1&lt;/R&gt;&lt;C&gt;1&lt;/C&gt;&lt;D xsi:type="xsd:double"&gt;16.5301905159045&lt;/D&gt;&lt;/FQL&gt;&lt;FQL&gt;&lt;Q&gt;USDAUD^STD(FG_PRICE_CHANGE(0,-3AY,M))&lt;/Q&gt;&lt;R&gt;1&lt;/R&gt;&lt;C&gt;1&lt;/C&gt;&lt;D xsi:type="xsd:double"&gt;3.05172762961697&lt;/D&gt;&lt;/FQL&gt;&lt;FQL&gt;&lt;Q&gt;EWC^FMA_PE(LTMA,-10AY,0,AM,"PORTAGG","MEANR")&lt;/Q&gt;&lt;R&gt;121&lt;/R&gt;&lt;C&gt;1&lt;/C&gt;&lt;D xsi:type="xsd:double"&gt;16.2650253834498&lt;/D&gt;&lt;D xsi:type="xsd:double"&gt;16.3904611012419&lt;/D&gt;&lt;D xsi:type="xsd:double"&gt;16.4447408386952&lt;/D&gt;&lt;D xsi:type="xsd:double"&gt;15.9895560942524&lt;/D&gt;&lt;D xsi:type="xsd:double"&gt;15.7102362398416&lt;/D&gt;&lt;D xsi:type="xsd:double"&gt;15.7189486163917&lt;/D&gt;&lt;D xsi:type="xsd:double"&gt;15.6023388365469&lt;/D&gt;&lt;D xsi:type="xsd:double"&gt;15.7065133417614&lt;/D&gt;&lt;D xsi:type="xsd:double"&gt;17.0329169622469&lt;/D&gt;&lt;D xsi:type="xsd:double"&gt;17.0235714352198&lt;/D&gt;&lt;D xsi:type="xsd:double"&gt;17.3431172727929&lt;/D&gt;&lt;D xsi:type="xsd:double"&gt;17.2439342759877&lt;/D&gt;&lt;D xsi:type="xsd:double"&gt;17.1829838457663&lt;/D&gt;&lt;D xsi:type="xsd:double"&gt;16.7150138743823&lt;/D&gt;&lt;D xsi:type="xsd:double"&gt;16.6395060560288&lt;/D&gt;&lt;D xsi:type="xsd:double"&gt;16.024514866659&lt;/D&gt;&lt;D xsi:type="xsd:double"&gt;16.9609519302381&lt;/D&gt;&lt;D xsi:type="xsd:double"&gt;16.6279639159919&lt;/D&gt;&lt;D xsi:type="xsd:double"&gt;16.4942930659979&lt;/D&gt;&lt;D xsi:type="xsd:double"&gt;15.2440709977839&lt;/D&gt;&lt;D xsi:type="xsd:double"&gt;15.6168821012362&lt;/D&gt;&lt;D xsi:type="xsd:double"&gt;15.9949402377187&lt;/D&gt;&lt;D xsi:type="xsd:double"&gt;16.3795504844003&lt;/D&gt;&lt;D xsi:type="xsd:double"&gt;16.6508315628322&lt;/D&gt;&lt;D xsi:type="xsd:double"&gt;16.6497259458348&lt;/D&gt;&lt;D xsi:type="xsd:double"&gt;17.1769604331157&lt;/D&gt;&lt;D xsi:type="xsd:double"&gt;17.4864785670122&lt;/D&gt;&lt;D xsi:type="xsd:double"&gt;17.8542039531243&lt;/D&gt;&lt;D xsi:type="xsd:double"&gt;18.1845228225861&lt;/D&gt;&lt;D xsi:type="xsd:double"&gt;18.772521198506&lt;/D&gt;&lt;D xsi:type="xsd:double"&gt;19.4063713879938&lt;/D&gt;&lt;D xsi:type="xsd:double"&gt;19.8875178302108&lt;/D&gt;&lt;D xsi:type="xsd:double"&gt;19.3935176217041&lt;/D&gt;&lt;D xsi:type="xsd:double"&gt;19.1608185201804&lt;/D&gt;&lt;D xsi:type="xsd:double"&gt;18.8062020102816&lt;/D&gt;&lt;D xsi:type="xsd:double"&gt;18.5828981091768&lt;/D&gt;&lt;D xsi:type="xsd:double"&gt;18.144559540461&lt;/D&gt;&lt;D xsi:type="xsd:double"&gt;17.9837102668751&lt;/D&gt;&lt;D xsi:type="xsd:double"&gt;17.5982838873802&lt;/D&gt;&lt;D xsi:type="xsd:double"&gt;17.6288641337079&lt;/D&gt;&lt;D xsi:type="xsd:double"&gt;17.5730762582819&lt;/D&gt;&lt;D xsi:type="xsd:double"&gt;17.2497797096867&lt;/D&gt;&lt;D xsi:type="xsd:double"&gt;17.2291432051986&lt;/D&gt;&lt;D xsi:type="xsd:double"&gt;17.1053973104326&lt;/D&gt;&lt;D xsi:type="xsd:double"&gt;15.8440303406712&lt;/D&gt;&lt;D xsi:type="xsd:double"&gt;15.6459032576254&lt;/D&gt;&lt;D xsi:type="xsd:double"&gt;15.6307439403457&lt;/D&gt;&lt;D xsi:type="xsd:double"&gt;15.5149666412153&lt;/D&gt;&lt;D xsi:type="xsd:double"&gt;15.4453524580268&lt;/D&gt;&lt;D xsi:type="xsd:double"&gt;15.5014086612429&lt;/D&gt;&lt;D xsi:type="xsd:double"&gt;15.3270298174499&lt;/D&gt;&lt;D xsi:type="xsd:double"&gt;15.03811676012&lt;/D&gt;&lt;D xsi:type="xsd:double"&gt;14.0399811538607&lt;/D&gt;&lt;D xsi:type="xsd:double"&gt;14.0432778425172&lt;/D&gt;&lt;D xsi:type="xsd:double"&gt;13.1506051245164&lt;/D&gt;&lt;D xsi:type="xsd:double"&gt;14.3633202007008&lt;/D&gt;&lt;D xsi:type="xsd:double"&gt;14.7252061834248&lt;/D&gt;&lt;D xsi:type="xsd:double"&gt;14.7250124971449&lt;/D&gt;&lt;D xsi:type="xsd:double"&gt;14.652872928545&lt;/D&gt;&lt;D xsi:type="xsd:double"&gt;14.4685849301509&lt;/D&gt;&lt;D xsi:type="xsd:double"&gt;14.4933225115679&lt;/D&gt;&lt;D xsi:type="xsd:double"&gt;14.5303190889753&lt;/D&gt;&lt;D xsi:type="xsd:double"&gt;14.3425122848513&lt;/D&gt;&lt;D xsi:type="xsd:double"&gt;14.6756535592106&lt;/D&gt;&lt;D xsi:type="xsd:double"&gt;14.6747050294496&lt;/D&gt;&lt;D xsi:type="xsd:double"&gt;15.1585124651921&lt;/D&gt;&lt;D xsi:type="xsd:double"&gt;15.3465759618884&lt;/D&gt;&lt;D xsi:type="xsd:double"&gt;15.5922033416158&lt;/D&gt;&lt;D xsi:type="xsd:double"&gt;14.3479619341519&lt;/D&gt;&lt;D xsi:type="xsd:double"&gt;14.0306383280526&lt;/D&gt;&lt;D xsi:type="xsd:double"&gt;15.498548013447&lt;/D&gt;&lt;D xsi:type="xsd:double"&gt;17.2192083339613&lt;/D&gt;&lt;D xsi:type="xsd:double"&gt;17.1083070382471&lt;/D&gt;&lt;D xsi:type="xsd:double"&gt;17.8138389396069&lt;/D&gt;&lt;D xsi:type="xsd:double"&gt;18.3957894377478&lt;/D&gt;&lt;D xsi:type="xsd:double"&gt;18.4047871200168&lt;/D&gt;&lt;D xsi:type="xsd:double"&gt;18.0097558602458&lt;/D&gt;&lt;D xsi:type="xsd:double"&gt;19.9683346390638&lt;/D&gt;&lt;D xsi:type="xsd:double"&gt;20.5534515520369&lt;/D&gt;&lt;D xsi:type="xsd:double"&gt;20.5185184567958&lt;/D&gt;&lt;D xsi:type="xsd:double"&gt;19.9904739717302&lt;/D&gt;&lt;D xsi:type="xsd:double"&gt;19.6500034088367&lt;/D&gt;&lt;D xsi:type="xsd:double"&gt;19.3272123206374&lt;/D&gt;&lt;D xsi:type="xsd:double"&gt;18.835578146848&lt;/D&gt;&lt;D xsi:type="xsd:double"&gt;18.4963982972001&lt;/D&gt;&lt;D xsi:type="xsd:double"&gt;17.8118591689558&lt;/D&gt;&lt;D xsi:type="xsd:double"&gt;17.2698509779197&lt;/D&gt;&lt;D xsi:type="xsd:double"&gt;16.4606415279008&lt;/D&gt;&lt;D xsi:type="xsd:double"&gt;16.7591900130924&lt;/D&gt;&lt;D xsi:type="xsd:double"&gt;15.9383858565328&lt;/D&gt;&lt;D xsi:type="xsd:double"&gt;15.4684541383698&lt;/D&gt;&lt;D xsi:type="xsd:double"&gt;15.016336140133&lt;/D&gt;&lt;D xsi:type="xsd:double"&gt;15.2489708409917&lt;/D&gt;&lt;D xsi:type="xsd:double"&gt;15.0858266768516&lt;/D&gt;&lt;D xsi:type="xsd:double"&gt;14.6727818678111&lt;/D&gt;&lt;D xsi:type="xsd:double"&gt;14.3362577197463&lt;/D&gt;&lt;D xsi:type="xsd:double"&gt;13.5581803295494&lt;/D&gt;&lt;D xsi:type="xsd:double"&gt;13.2855186357715&lt;/D&gt;&lt;D xsi:type="xsd:double"&gt;13.0914954032713&lt;/D&gt;&lt;D xsi:type="xsd:double"&gt;12.2748241951872&lt;/D&gt;&lt;D xsi:type="xsd:double"&gt;12.5532228767837&lt;/D&gt;&lt;D xsi:type="xsd:double"&gt;12.667933368747&lt;/D&gt;&lt;D xsi:type="xsd:double"&gt;12.0124258569382&lt;/D&gt;&lt;D xsi:type="xsd:double"&gt;12.8868905579343&lt;/D&gt;&lt;D xsi:type="xsd:double"&gt;12.5722768144174&lt;/D&gt;&lt;D xsi:type="xsd:double"&gt;12.5632039059571&lt;/D&gt;&lt;D xsi:type="xsd:double"&gt;12.8217551200811&lt;/D&gt;&lt;D xsi:type="xsd:double"&gt;12.8251301945017&lt;/D&gt;&lt;D xsi:type="xsd:double"&gt;12.9252591339195&lt;/D&gt;&lt;D xsi:type="xsd:double"&gt;13.519238728193&lt;/D&gt;&lt;D xsi:type="xsd:double"&gt;13.3437331877876&lt;/D&gt;&lt;D xsi:type="xsd:double"&gt;13.3286476025322&lt;/D&gt;&lt;D xsi:type="xsd:double"&gt;12.9051369837269&lt;/D&gt;&lt;D xsi:type="xsd:double"&gt;13.7379377077722&lt;/D&gt;&lt;D xsi:type="xsd:double"&gt;14.581425997069&lt;/D&gt;&lt;D xsi:type="xsd:double"&gt;14.711992799304&lt;/D&gt;&lt;D xsi:type="xsd:double"&gt;14.7913155620974&lt;/D&gt;&lt;D xsi:type="xsd:double"&gt;14.9673308316518&lt;/D&gt;&lt;D xsi:type="xsd:double"&gt;14.8975220316506&lt;/D&gt;&lt;D xsi:type="xsd:double"&gt;14.9638368579452&lt;/D&gt;&lt;D xsi:type="xsd:double"&gt;14.8380790477111&lt;/D&gt;&lt;/FQL&gt;&lt;FQL&gt;&lt;Q&gt;BRENT-FDS^FG_PRICE_CHANGE(0,-3AM)&lt;/Q&gt;&lt;R&gt;1&lt;/R&gt;&lt;C&gt;1&lt;/C&gt;&lt;D xsi:type="xsd:double"&gt;0&lt;/D&gt;&lt;/FQL&gt;&lt;FQL&gt;&lt;Q&gt;EWI^FMA_EVAL_EBIT(LTMA,NOW,NOW,M,"PORTAGG","MEANR")&lt;/Q&gt;&lt;R&gt;1&lt;/R&gt;&lt;C&gt;1&lt;/C&gt;&lt;D xsi:type="xsd:double"&gt;10.7973513979778&lt;/D&gt;&lt;/FQL&gt;&lt;FQL&gt;&lt;Q&gt;EWQ^FMA_PE(LTM,0,,,"PORTAGG","MEANR")&lt;/Q&gt;&lt;R&gt;1&lt;/R&gt;&lt;C&gt;1&lt;/C&gt;&lt;D xsi:type="xsd:double"&gt;15.7027987176523&lt;/D&gt;&lt;/FQL&gt;&lt;FQL&gt;&lt;Q&gt;ENZL^FG_PRICE_MAVG(0,,,,60)&lt;/Q&gt;&lt;R&gt;1&lt;/R&gt;&lt;C&gt;1&lt;/C&gt;&lt;D xsi:type="xsd:double"&gt;45.283592&lt;/D&gt;&lt;/FQL&gt;&lt;FQL&gt;&lt;Q&gt;EWI^FG_TOTAL_RETURNC(0,-3AM)&lt;/Q&gt;&lt;R&gt;1&lt;/R&gt;&lt;C&gt;1&lt;/C&gt;&lt;D xsi:type="xsd:double"&gt;-2.603829&lt;/D&gt;&lt;/FQL&gt;&lt;FQL&gt;&lt;Q&gt;DUMMY^ECON_DATE(45444,,, 'MM/YYYY')&lt;/Q&gt;&lt;R&gt;1&lt;/R&gt;&lt;C&gt;1&lt;/C&gt;&lt;D xsi:type="xsd:string"&gt;05/2024&lt;/D&gt;&lt;/FQL&gt;&lt;FQL&gt;&lt;Q&gt;DUMMY^ECON_DATE(45352,,, 'MM/YYYY')&lt;/Q&gt;&lt;R&gt;1&lt;/R&gt;&lt;C&gt;1&lt;/C&gt;&lt;D xsi:type="xsd:string"&gt;03/2024&lt;/D&gt;&lt;/FQL&gt;&lt;FQL&gt;&lt;Q&gt;DUMMY^ECON_EXPR_DATA('FDS_ECON[PMIDMMANHE]',05/2024,,Q)&lt;/Q&gt;&lt;R&gt;1&lt;/R&gt;&lt;C&gt;1&lt;/C&gt;&lt;D xsi:type="xsd:double"&gt;49.135437&lt;/D&gt;&lt;/FQL&gt;&lt;FQL&gt;&lt;Q&gt;DUMMY^ECON_EXPR_DATA('FDS_ECON[PMIDMMANHE]',03/2024,,Q)&lt;/Q&gt;&lt;R&gt;1&lt;/R&gt;&lt;C&gt;1&lt;/C&gt;&lt;D xsi:type="xsd:double"&gt;49.135437&lt;/D&gt;&lt;/FQL&gt;&lt;FQL&gt;&lt;Q&gt;DUMMY^ECON_EXPR_DATA('FDS_ECON[NTCPMIMFGSA@EME]',05/2024,,Q)&lt;/Q&gt;&lt;R&gt;1&lt;/R&gt;&lt;C&gt;1&lt;/C&gt;&lt;D xsi:type="xsd:double"&gt;51.512165&lt;/D&gt;&lt;/FQL&gt;&lt;FQL&gt;&lt;Q&gt;DUMMY^ECON_EXPR_DATA('FDS_ECON[NTCPMIMFGSA@EME]',03/2024,,Q)&lt;/Q&gt;&lt;R&gt;1&lt;/R&gt;&lt;C&gt;1&lt;/C&gt;&lt;D xsi:type="xsd:double"&gt;51.512165&lt;/D&gt;&lt;/FQL&gt;&lt;FQL&gt;&lt;Q&gt;DUMMY^ECON_EXPR_DATA('FDS_ECON[NTCPMIMFGSA@NZ]',05/2024,,Q)&lt;/Q&gt;&lt;R&gt;1&lt;/R&gt;&lt;C&gt;1&lt;/C&gt;&lt;D xsi:type="xsd:double"&gt;47.779373&lt;/D&gt;&lt;/FQL&gt;&lt;FQL&gt;&lt;Q&gt;DUMMY^ECON_EXPR_DATA('FDS_ECON[NTCPMIMFGSA@NZ]',03/2024,,Q)&lt;/Q&gt;&lt;R&gt;1&lt;/R&gt;&lt;C&gt;1&lt;/C&gt;&lt;D xsi:type="xsd:double"&gt;47.779373&lt;/D&gt;&lt;/FQL&gt;&lt;FQL&gt;&lt;Q&gt;DUMMY^ECON_EXPR_DATA('FDS_ECON[NTCPMIMFGSA@AU]',05/2024,,Q)&lt;/Q&gt;&lt;R&gt;1&lt;/R&gt;&lt;C&gt;1&lt;/C&gt;&lt;D xsi:type="xsd:double"&gt;48.39547&lt;/D&gt;&lt;/FQL&gt;&lt;FQL&gt;&lt;Q&gt;DUMMY^ECON_EXPR_DATA('FDS_ECON[NTCPMIMFGSA@AU]',03/2024,,Q)&lt;/Q&gt;&lt;R&gt;1&lt;/R&gt;&lt;C&gt;1&lt;/C&gt;&lt;D xsi:type="xsd:double"&gt;48.39547&lt;/D&gt;&lt;/FQL&gt;&lt;FQL&gt;&lt;Q&gt;DUMMY^ECON_EXPR_DATA('FDS_ECON[NTCPMIMFGSA@CA]',05/2024,,Q)&lt;/Q&gt;&lt;R&gt;1&lt;/R&gt;&lt;C&gt;1&lt;/C&gt;&lt;D xsi:type="xsd:double"&gt;49.30091&lt;/D&gt;&lt;/FQL&gt;&lt;FQL&gt;&lt;Q&gt;DUMMY^ECON_EXPR_DATA('FDS_ECON[NTCPMIMFGSA@CA]',03/2024,,Q)&lt;/Q&gt;&lt;R&gt;1&lt;/R&gt;&lt;C&gt;1&lt;/C&gt;&lt;D xsi:type="xsd:double"&gt;49.30091&lt;/D&gt;&lt;/FQL&gt;&lt;FQL&gt;&lt;Q&gt;DUMMY^ECON_EXPR_DATA('FDS_ECON[NTCPMIMFGSA@DE]',05/2024,,Q)&lt;/Q&gt;&lt;R&gt;1&lt;/R&gt;&lt;C&gt;1&lt;/C&gt;&lt;D xsi:type="xsd:double"&gt;43.319096&lt;/D&gt;&lt;/FQL&gt;&lt;FQL&gt;&lt;Q&gt;DUMMY^ECON_EXPR_DATA('FDS_ECON[NTCPMIMFGSA@DE]',03/2024,,Q)&lt;/Q&gt;&lt;R&gt;1&lt;/R&gt;&lt;C&gt;1&lt;/C&gt;&lt;D xsi:type="xsd:double"&gt;43.319096&lt;/D&gt;&lt;/FQL&gt;&lt;FQL&gt;&lt;Q&gt;DUMMY^ECON_EXPR_DATA('FDS_ECON[NTCPMIMFGSA@JP]',05/2024,,Q)&lt;/Q&gt;&lt;R&gt;1&lt;/R&gt;&lt;C&gt;1&lt;/C&gt;&lt;D xsi:type="xsd:double"&gt;47.808857&lt;/D&gt;&lt;/FQL&gt;&lt;FQL&gt;&lt;Q&gt;DUMMY^ECON_EXPR_DATA('FDS_ECON[NTCPMIMFGSA@JP]',03/2024,,Q)&lt;/Q&gt;&lt;R&gt;1&lt;/R&gt;&lt;C&gt;1&lt;/C&gt;&lt;D xsi:type="xsd:double"&gt;47.808857&lt;/D&gt;&lt;/FQL&gt;&lt;FQL&gt;&lt;Q&gt;DUMMY^ECON_EXPR_DATA('FDS_ECON[NTCPMIMFGSA@CH]',05/2024,,Q)&lt;/Q&gt;&lt;R&gt;1&lt;/R&gt;&lt;C&gt;1&lt;/C&gt;&lt;D xsi:type="xsd:double"&gt;44.08605&lt;/D&gt;&lt;/FQL&gt;&lt;FQL&gt;&lt;Q&gt;DUMMY^ECON_EXPR_DATA('FDS_ECON[NTCPMIMFGSA@CH]',03/2024,,Q)&lt;/Q&gt;&lt;R&gt;1&lt;/R&gt;&lt;C&gt;1&lt;/C&gt;&lt;D xsi:type="xsd:double"&gt;44.08605&lt;/D&gt;&lt;/FQL&gt;&lt;FQL&gt;&lt;Q&gt;DUMMY^ECON_EXPR_DATA('FDS_ECON[NTCPMIMFGSA@GB]',05/2024,,Q)&lt;/Q&gt;&lt;R&gt;1&lt;/R&gt;&lt;C&gt;1&lt;/C&gt;&lt;D xsi:type="xsd:double"&gt;48.24796&lt;/D&gt;&lt;/FQL&gt;&lt;FQL&gt;&lt;Q&gt;DUMMY^ECON_EXPR_DATA('FDS_ECON[NTCPMIMFGSA@GB]',03/2024,,Q)&lt;/Q&gt;&lt;R&gt;1&lt;/R&gt;&lt;C&gt;1&lt;/C&gt;&lt;D xsi:type="xsd:double"&gt;48.24796&lt;/D&gt;&lt;/FQL&gt;&lt;FQL&gt;&lt;Q&gt;DUMMY^ECON_EXPR_DATA('FDS_ECON[NTCPMIMFGMESA@US]',05/2024,,Q)&lt;/Q&gt;&lt;R&gt;1&lt;/R&gt;&lt;C&gt;1&lt;/C&gt;&lt;D xsi:type="xsd:double"&gt;51.582687&lt;/D&gt;&lt;/FQL&gt;&lt;FQL&gt;&lt;Q&gt;DUMMY^ECON_EXPR_DATA('FDS_ECON[NTCPMIMFGMESA@US]',03/2024,,Q)&lt;/Q&gt;&lt;R&gt;1&lt;/R&gt;&lt;C&gt;1&lt;/C&gt;&lt;D xsi:type="xsd:double"&gt;51.582687&lt;/D&gt;&lt;/FQL&gt;&lt;FQL&gt;&lt;Q&gt;DUMMY^ECON_EXPR_DATA('FDS_ECON[NTCPMIMFGSA@FR]',05/2024,,Q)&lt;/Q&gt;&lt;R&gt;1&lt;/R&gt;&lt;C&gt;1&lt;/C&gt;&lt;D xsi:type="xsd:double"&gt;45.498753&lt;/D&gt;&lt;/FQL&gt;&lt;FQL&gt;&lt;Q&gt;DUMMY^ECON_EXPR_DATA('FDS_ECON[NTCPMIMFGSA@FR]',03/2024,,Q)&lt;/Q&gt;&lt;R&gt;1&lt;/R&gt;&lt;C&gt;1&lt;/C&gt;&lt;D xsi:type="xsd:double"&gt;45.498753&lt;/D&gt;&lt;/FQL&gt;&lt;FQL&gt;&lt;Q&gt;DUMMY^ECON_EXPR_DATA('FDS_ECON[NTCPMIMFGSA@NL]',05/2024,,Q)&lt;/Q&gt;&lt;R&gt;1&lt;/R&gt;&lt;C&gt;1&lt;/C&gt;&lt;D xsi:type="xsd:double"&gt;49.325874&lt;/D&gt;&lt;/FQL&gt;&lt;FQL&gt;&lt;Q&gt;DUMMY^ECON_EXPR_DATA('FDS_ECON[NTCPMIMFGSA@NL]',03/2024,,Q)&lt;/Q&gt;&lt;R&gt;1&lt;/R&gt;&lt;C&gt;1&lt;/C&gt;&lt;D xsi:type="xsd:double"&gt;49.325874&lt;/D&gt;&lt;/FQL&gt;&lt;FQL&gt;&lt;Q&gt;DUMMY^ECON_EXPR_DATA('FDS_ECON[]',05/2024,,Q)&lt;/Q&gt;&lt;R&gt;0&lt;/R&gt;&lt;C&gt;0&lt;/C&gt;&lt;/FQL&gt;&lt;FQL&gt;&lt;Q&gt;DUMMY^ECON_EXPR_DATA('FDS_ECON[]',03/2024,,Q)&lt;/Q&gt;&lt;R&gt;0&lt;/R&gt;&lt;C&gt;0&lt;/C&gt;&lt;/FQL&gt;&lt;FQL&gt;&lt;Q&gt;DUMMY^ECON_EXPR_DATA('FDS_ECON[NTCPMIMFGSA@IT]',05/2024,,Q)&lt;/Q&gt;&lt;R&gt;1&lt;/R&gt;&lt;C&gt;1&lt;/C&gt;&lt;D xsi:type="xsd:double"&gt;49.208153&lt;/D&gt;&lt;/FQL&gt;&lt;FQL&gt;&lt;Q&gt;DUMMY^ECON_EXPR_DATA('FDS_ECON[NTCPMIMFGSA@IT]',03/2024,,Q)&lt;/Q&gt;&lt;R&gt;1&lt;/R&gt;&lt;C&gt;1&lt;/C&gt;&lt;D xsi:type="xsd:double"&gt;49.208153&lt;/D&gt;&lt;/FQL&gt;&lt;/Schema&gt;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<sst xmlns="http://schemas.openxmlformats.org/spreadsheetml/2006/main" count="2053" uniqueCount="915">
  <si>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</si>
  <si>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</si>
  <si>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</si>
  <si>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</si>
  <si>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</si>
  <si>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</si>
  <si>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</si>
  <si>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</si>
  <si>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</si>
  <si>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</si>
  <si>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</si>
  <si>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</si>
  <si>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</si>
  <si>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</si>
  <si>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</si>
  <si>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</si>
  <si>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</si>
  <si>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</si>
  <si>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</si>
  <si>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</si>
  <si>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</si>
  <si>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</si>
  <si>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</si>
  <si>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</si>
  <si>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</si>
  <si>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</si>
  <si>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</si>
  <si>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</si>
  <si>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</si>
  <si>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</si>
  <si>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</si>
  <si>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</si>
  <si>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</si>
  <si>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</si>
  <si>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</si>
  <si>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</si>
  <si>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</si>
  <si>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</si>
  <si>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</si>
  <si>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</si>
  <si>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</si>
  <si>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</si>
  <si>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</si>
  <si>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</si>
  <si>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</si>
  <si>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</si>
  <si>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</si>
  <si>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</si>
  <si>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</si>
  <si>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</si>
  <si>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</si>
  <si>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</si>
  <si>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</si>
  <si>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</si>
  <si>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</si>
  <si>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</si>
  <si>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</si>
  <si>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</si>
  <si>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</si>
  <si>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</si>
  <si>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</si>
  <si>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</si>
  <si>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</si>
  <si>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</si>
  <si>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</si>
  <si>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</si>
  <si>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</si>
  <si>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</si>
  <si>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</si>
  <si>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</si>
  <si>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</si>
  <si>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</si>
  <si>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</si>
  <si>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</si>
  <si>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</si>
  <si>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</si>
  <si>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</si>
  <si>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</si>
  <si>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</si>
  <si>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</si>
  <si>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</si>
  <si>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</si>
  <si>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</si>
  <si>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</si>
  <si>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</si>
  <si>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</si>
  <si>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</si>
  <si>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</si>
  <si>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</si>
  <si>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</si>
  <si>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</si>
  <si>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</si>
  <si>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</si>
  <si>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</si>
  <si>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</si>
  <si>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</si>
  <si>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</si>
  <si>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</si>
  <si>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</si>
  <si>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</si>
  <si>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</si>
  <si>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</si>
  <si>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</si>
  <si>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</si>
  <si>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</si>
  <si>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</si>
  <si>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</si>
  <si>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</si>
  <si>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</si>
  <si>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</si>
  <si>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</si>
  <si>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</si>
  <si>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</si>
  <si>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</si>
  <si>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</si>
  <si>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</si>
  <si>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</si>
  <si>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</si>
  <si>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</si>
  <si>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</si>
  <si>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</si>
  <si>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</si>
  <si>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</si>
  <si>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</si>
  <si>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</si>
  <si>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</si>
  <si>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</si>
  <si>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</si>
  <si>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</si>
  <si>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</si>
  <si>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</si>
  <si>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</si>
  <si>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</si>
  <si>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</si>
  <si>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</si>
  <si>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</si>
  <si>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</si>
  <si>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</si>
  <si>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</si>
  <si>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</si>
  <si>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</si>
  <si>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</si>
  <si>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</si>
  <si>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</si>
  <si>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</si>
  <si>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</si>
  <si>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</si>
  <si>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</si>
  <si>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</si>
  <si>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</si>
  <si>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</si>
  <si>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</si>
  <si>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</si>
  <si>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</si>
  <si>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</si>
  <si>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</si>
  <si>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</si>
  <si>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</si>
  <si>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</si>
  <si>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</si>
  <si>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</si>
  <si>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</si>
  <si>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</si>
  <si>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</si>
  <si>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</si>
  <si>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</si>
  <si>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</si>
  <si>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</si>
  <si>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</si>
  <si>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</si>
  <si>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</si>
  <si>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</si>
  <si>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</si>
  <si>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</si>
  <si>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</si>
  <si>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</si>
  <si>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</si>
  <si>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</si>
  <si>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</si>
  <si>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</si>
  <si>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</si>
  <si>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</si>
  <si>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</si>
  <si>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</si>
  <si>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</si>
  <si>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</si>
  <si>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</si>
  <si>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</si>
  <si>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</si>
  <si>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</si>
  <si>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</si>
  <si>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</si>
  <si>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</si>
  <si>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</si>
  <si>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</si>
  <si>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</si>
  <si>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</si>
  <si>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</si>
  <si>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</si>
  <si>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</si>
  <si>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</si>
  <si>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</si>
  <si>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</si>
  <si>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</si>
  <si>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</si>
  <si>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</si>
  <si>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</si>
  <si>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</si>
  <si>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</si>
  <si>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</si>
  <si>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</si>
  <si>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</si>
  <si>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</si>
  <si>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</si>
  <si>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</si>
  <si>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</si>
  <si>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</si>
  <si>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</si>
  <si>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</si>
  <si>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</si>
  <si>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</si>
  <si>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</si>
  <si>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</si>
  <si>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</si>
  <si>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</si>
  <si>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</si>
  <si>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</si>
  <si>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</si>
  <si>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</si>
  <si>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</si>
  <si>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</si>
  <si>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</si>
  <si>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</si>
  <si>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</si>
  <si>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</si>
  <si>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</si>
  <si>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</si>
  <si>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</si>
  <si>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</si>
  <si>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</si>
  <si>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</si>
  <si>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</si>
  <si>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</si>
  <si>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</si>
  <si>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</si>
  <si>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</si>
  <si>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</si>
  <si>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</si>
  <si>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</si>
  <si>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</si>
  <si>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</si>
  <si>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</si>
  <si>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</si>
  <si>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</si>
  <si>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</si>
  <si>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</si>
  <si>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</si>
  <si>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</si>
  <si>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</si>
  <si>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</si>
  <si>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</si>
  <si>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</si>
  <si>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</si>
  <si>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</si>
  <si>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</si>
  <si>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</si>
  <si>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</si>
  <si>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</si>
  <si>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</si>
  <si>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</si>
  <si>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</si>
  <si>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</si>
  <si>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</si>
  <si>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</si>
  <si>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</si>
  <si>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</si>
  <si>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</si>
  <si>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</si>
  <si>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</si>
  <si>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</si>
  <si>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</si>
  <si>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</si>
  <si>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</si>
  <si>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</si>
  <si>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</si>
  <si>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</si>
  <si>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</si>
  <si>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</si>
  <si>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</si>
  <si>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</si>
  <si>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</si>
  <si>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</si>
  <si>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</si>
  <si>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</si>
  <si>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</si>
  <si>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</si>
  <si>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</si>
  <si>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</si>
  <si>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</si>
  <si>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</si>
  <si>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</si>
  <si>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</si>
  <si>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</si>
  <si>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</si>
  <si>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</si>
  <si>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</si>
  <si>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</si>
  <si>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</si>
  <si>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</si>
  <si>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</si>
  <si>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</si>
  <si>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</si>
  <si>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</si>
  <si>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</si>
  <si>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</si>
  <si>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</si>
  <si>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</si>
  <si>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</si>
  <si>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</si>
  <si>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</si>
  <si>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</si>
  <si>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</si>
  <si>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</si>
  <si>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</si>
  <si>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</si>
  <si>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</si>
  <si>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</si>
  <si>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</si>
  <si>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</si>
  <si>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</si>
  <si>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</si>
  <si>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</si>
  <si>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</si>
  <si>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</si>
  <si>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</si>
  <si>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</si>
  <si>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</si>
  <si>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</si>
  <si>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</si>
  <si>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</si>
  <si>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</si>
  <si>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</si>
  <si>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</si>
  <si>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</si>
  <si>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</si>
  <si>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</si>
  <si>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</si>
  <si>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</si>
  <si>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</si>
  <si>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</si>
  <si>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</si>
  <si>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</si>
  <si>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</si>
  <si>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</si>
  <si>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</si>
  <si>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</si>
  <si>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</si>
  <si>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</si>
  <si>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</si>
  <si>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</si>
  <si>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</si>
  <si>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</si>
  <si>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</si>
  <si>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</si>
  <si>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</si>
  <si>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</si>
  <si>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</si>
  <si>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</si>
  <si>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</si>
  <si>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</si>
  <si>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</si>
  <si>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</si>
  <si>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</si>
  <si>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</si>
  <si>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</si>
  <si>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</si>
  <si>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</si>
  <si>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</si>
  <si>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</si>
  <si>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</si>
  <si>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</si>
  <si>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</si>
  <si>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</si>
  <si>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</si>
  <si>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</si>
  <si>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</si>
  <si>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Currency change last 3  month</t>
  </si>
  <si>
    <t>Currency change last 1 month</t>
  </si>
  <si>
    <t>Rolling 12 month returns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</si>
  <si>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</si>
  <si>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</si>
  <si>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</si>
  <si>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</si>
  <si>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</si>
  <si>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</si>
  <si>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</si>
  <si>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</si>
  <si>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</si>
  <si>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</si>
  <si>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</si>
  <si>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</si>
  <si>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 xml:space="preserve">Cuurent 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</si>
  <si>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</si>
  <si>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</si>
  <si>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</si>
  <si>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</si>
  <si>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</si>
  <si>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</si>
  <si>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</si>
  <si>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</si>
  <si>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</si>
  <si>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</si>
  <si>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</si>
  <si>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</si>
  <si>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</si>
  <si>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</si>
  <si>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</si>
  <si>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</si>
  <si>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</si>
  <si>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</si>
  <si>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</si>
  <si>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</si>
  <si>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</si>
  <si>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</si>
  <si>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</si>
  <si>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</si>
  <si>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</si>
  <si>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</si>
  <si>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</si>
  <si>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</si>
  <si>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</si>
  <si>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</si>
  <si>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</si>
  <si>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</si>
  <si>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</si>
  <si>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</si>
  <si>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</si>
  <si>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</si>
  <si>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</si>
  <si>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</si>
  <si>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</si>
  <si>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</si>
  <si>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</si>
  <si>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</si>
  <si>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</si>
  <si>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</si>
  <si>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</si>
  <si>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</si>
  <si>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</si>
  <si>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TRYNZ10Y-FDS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</si>
  <si>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</si>
  <si>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</si>
  <si>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</si>
  <si>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</si>
  <si>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</si>
  <si>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</si>
  <si>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</si>
  <si>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</si>
  <si>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</si>
  <si>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</si>
  <si>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</si>
  <si>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</si>
  <si>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</si>
  <si>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</si>
  <si>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</si>
  <si>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USDJPY</t>
  </si>
  <si>
    <t>USDAUD</t>
  </si>
  <si>
    <t>USDCAD</t>
  </si>
  <si>
    <t>USDGBP</t>
  </si>
  <si>
    <t>USDNZD</t>
  </si>
  <si>
    <t>USDCHF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</si>
  <si>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</si>
  <si>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</si>
  <si>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</si>
  <si>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</si>
  <si>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</si>
  <si>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</si>
  <si>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</si>
  <si>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</si>
  <si>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</si>
  <si>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</si>
  <si>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</si>
  <si>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</si>
  <si>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</si>
  <si>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</si>
  <si>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</si>
  <si>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</si>
  <si>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</si>
  <si>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</si>
  <si>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</si>
  <si>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</si>
  <si>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</si>
  <si>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</si>
  <si>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</si>
  <si>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</si>
  <si>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</si>
  <si>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</si>
  <si>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</si>
  <si>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</si>
  <si>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</si>
  <si>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</si>
  <si>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</si>
  <si>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</si>
  <si>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</si>
  <si>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</si>
  <si>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</si>
  <si>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</si>
  <si>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</si>
  <si>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</si>
  <si>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</si>
  <si>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</si>
  <si>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</si>
  <si>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</si>
  <si>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</si>
  <si>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</si>
  <si>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</si>
  <si>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</si>
  <si>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</si>
  <si>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</si>
  <si>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</si>
  <si>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</si>
  <si>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</si>
  <si>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</si>
  <si>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</si>
  <si>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</si>
  <si>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</si>
  <si>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</si>
  <si>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</si>
  <si>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</si>
  <si>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</si>
  <si>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</si>
  <si>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</si>
  <si>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</si>
  <si>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</si>
  <si>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</si>
  <si>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</si>
  <si>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</si>
  <si>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</si>
  <si>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</si>
  <si>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</si>
  <si>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</si>
  <si>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</si>
  <si>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</si>
  <si>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</si>
  <si>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</si>
  <si>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</si>
  <si>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</si>
  <si>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</si>
  <si>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</si>
  <si>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</si>
  <si>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</si>
  <si>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</si>
  <si>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</si>
  <si>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</si>
  <si>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USDUSD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</si>
  <si>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</si>
  <si>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</si>
  <si>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</si>
  <si>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</si>
  <si>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</si>
  <si>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</si>
  <si>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</si>
  <si>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</si>
  <si>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</si>
  <si>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</si>
  <si>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</si>
  <si>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</si>
  <si>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</si>
  <si>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</si>
  <si>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</si>
  <si>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</si>
  <si>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</si>
  <si>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</si>
  <si>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</si>
  <si>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</si>
  <si>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</si>
  <si>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</si>
  <si>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</si>
  <si>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</si>
  <si>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</si>
  <si>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</si>
  <si>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</si>
  <si>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</si>
  <si>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</si>
  <si>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</si>
  <si>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</si>
  <si>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</si>
  <si>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</si>
  <si>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</si>
  <si>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</si>
  <si>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</si>
  <si>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</si>
  <si>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</si>
  <si>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</si>
  <si>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</si>
  <si>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</si>
  <si>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</si>
  <si>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</si>
  <si>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</si>
  <si>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</si>
  <si>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</si>
  <si>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</si>
  <si>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</si>
  <si>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</si>
  <si>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</si>
  <si>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</si>
  <si>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</si>
  <si>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</si>
  <si>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</si>
  <si>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</si>
  <si>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</si>
  <si>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</si>
  <si>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</si>
  <si>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</si>
  <si>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</si>
  <si>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</si>
  <si>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</si>
  <si>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</si>
  <si>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</si>
  <si>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</si>
  <si>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</si>
  <si>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</si>
  <si>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</si>
  <si>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</si>
  <si>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</si>
  <si>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</si>
  <si>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</si>
  <si>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</si>
  <si>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</si>
  <si>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</si>
  <si>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</si>
  <si>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</si>
  <si>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</si>
  <si>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</si>
  <si>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</si>
  <si>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</si>
  <si>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</si>
  <si>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</si>
  <si>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</si>
  <si>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</si>
  <si>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</si>
  <si>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</si>
  <si>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</si>
  <si>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</si>
  <si>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</si>
  <si>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</si>
  <si>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</si>
  <si>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</si>
  <si>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</si>
  <si>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</si>
  <si>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</si>
  <si>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</si>
  <si>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</si>
  <si>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</si>
  <si>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</si>
  <si>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</si>
  <si>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</si>
  <si>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</si>
  <si>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</si>
  <si>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</si>
  <si>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</si>
  <si>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</si>
  <si>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</si>
  <si>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</si>
  <si>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</si>
  <si>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</si>
  <si>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</si>
  <si>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</si>
  <si>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</si>
  <si>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</si>
  <si>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</si>
  <si>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</si>
  <si>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</si>
  <si>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</si>
  <si>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</si>
  <si>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</si>
  <si>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</si>
  <si>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</si>
  <si>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</si>
  <si>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</si>
  <si>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</si>
  <si>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</si>
  <si>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</si>
  <si>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</si>
  <si>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</si>
  <si>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</si>
  <si>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</si>
  <si>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</si>
  <si>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</si>
  <si>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</si>
  <si>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</si>
  <si>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</si>
  <si>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</si>
  <si>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</si>
  <si>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</si>
  <si>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</si>
  <si>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</si>
  <si>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</si>
  <si>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</si>
  <si>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</si>
  <si>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</si>
  <si>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</si>
  <si>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</si>
  <si>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</si>
  <si>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</si>
  <si>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</si>
  <si>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</si>
  <si>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</si>
  <si>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</si>
  <si>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</si>
  <si>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</si>
  <si>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</si>
  <si>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</si>
  <si>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</si>
  <si>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</si>
  <si>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</si>
  <si>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</si>
  <si>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</si>
  <si>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</si>
  <si>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</si>
  <si>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</si>
  <si>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</si>
  <si>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</si>
  <si>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</si>
  <si>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</si>
  <si>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</si>
  <si>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</si>
  <si>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</si>
  <si>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</si>
  <si>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</si>
  <si>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</si>
  <si>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</si>
  <si>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</si>
  <si>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</si>
  <si>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</si>
  <si>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</si>
  <si>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</si>
  <si>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</si>
  <si>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</si>
  <si>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</si>
  <si>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</si>
  <si>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</si>
  <si>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</si>
  <si>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</si>
  <si>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</si>
  <si>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</si>
  <si>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</si>
  <si>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</si>
  <si>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</si>
  <si>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</si>
  <si>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DM</t>
  </si>
  <si>
    <t>NTCPMIMFGMESA@US</t>
  </si>
  <si>
    <t>NTCPMIMFGSA@CA</t>
  </si>
  <si>
    <t>NTCPMIMFGSA@AU</t>
  </si>
  <si>
    <t>NTCPMIMFGSA@JP</t>
  </si>
  <si>
    <t>NTCPMIMFGSA@NZ</t>
  </si>
  <si>
    <t>NTCPMIMFGSA@DE</t>
  </si>
  <si>
    <t>NTCPMIMFGSA@GB</t>
  </si>
  <si>
    <t>NTCPMIMFGSA@CH</t>
  </si>
  <si>
    <t>PMIDMMANHE</t>
  </si>
  <si>
    <t>Developed Markets</t>
  </si>
  <si>
    <t>NTCPMIMFGSA@EME</t>
  </si>
  <si>
    <t>Emerging Markets</t>
  </si>
  <si>
    <t>USA</t>
  </si>
  <si>
    <t>Country_Code</t>
  </si>
  <si>
    <t>PMI</t>
  </si>
  <si>
    <t>A-5</t>
  </si>
  <si>
    <t>Economic Momentm</t>
  </si>
  <si>
    <t>Q-Q Change</t>
  </si>
  <si>
    <t>GDP AVG 5 &amp; 10 YR CAGR</t>
  </si>
  <si>
    <t>GDP Percentile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</si>
  <si>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</si>
  <si>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</si>
  <si>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</si>
  <si>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</si>
  <si>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</si>
  <si>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</si>
  <si>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</si>
  <si>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</si>
  <si>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</si>
  <si>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</si>
  <si>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</si>
  <si>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</si>
  <si>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</si>
  <si>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</si>
  <si>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</si>
  <si>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</si>
  <si>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</si>
  <si>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</si>
  <si>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</si>
  <si>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</si>
  <si>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</si>
  <si>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</si>
  <si>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</si>
  <si>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</si>
  <si>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</si>
  <si>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</si>
  <si>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</si>
  <si>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</si>
  <si>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</si>
  <si>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</si>
  <si>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</si>
  <si>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</si>
  <si>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</si>
  <si>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</si>
  <si>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</si>
  <si>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</si>
  <si>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</si>
  <si>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</si>
  <si>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</si>
  <si>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</si>
  <si>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</si>
  <si>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</si>
  <si>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</si>
  <si>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</si>
  <si>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</si>
  <si>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</si>
  <si>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</si>
  <si>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</si>
  <si>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</si>
  <si>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</si>
  <si>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</si>
  <si>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</si>
  <si>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</si>
  <si>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</si>
  <si>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</si>
  <si>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</si>
  <si>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</si>
  <si>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</si>
  <si>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</si>
  <si>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</si>
  <si>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</si>
  <si>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</si>
  <si>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</si>
  <si>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</si>
  <si>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</si>
  <si>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</si>
  <si>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</si>
  <si>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FC0000GR</t>
  </si>
  <si>
    <t>FC0000NZ</t>
  </si>
  <si>
    <t>FC0000AU</t>
  </si>
  <si>
    <t>FC0000CA</t>
  </si>
  <si>
    <t>FC0000JP</t>
  </si>
  <si>
    <t>FC0000CH</t>
  </si>
  <si>
    <t>FC0000GB</t>
  </si>
  <si>
    <t>FC0000US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</si>
  <si>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</si>
  <si>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</si>
  <si>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</si>
  <si>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</si>
  <si>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</si>
  <si>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</si>
  <si>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</si>
  <si>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</si>
  <si>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</si>
  <si>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</si>
  <si>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</si>
  <si>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</si>
  <si>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</si>
  <si>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A- 6</t>
  </si>
  <si>
    <t>Size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</si>
  <si>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</si>
  <si>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</si>
  <si>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</si>
  <si>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</si>
  <si>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</si>
  <si>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</si>
  <si>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</si>
  <si>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CC_IT</t>
  </si>
  <si>
    <t>CC_FR</t>
  </si>
  <si>
    <t>CC_NL</t>
  </si>
  <si>
    <t>iShares MSCI Italy ETF</t>
  </si>
  <si>
    <t>iShares MSCI Netherlands ETF</t>
  </si>
  <si>
    <t>iShares MSCI Sweden ETF</t>
  </si>
  <si>
    <t>iShares MSCI France ETF</t>
  </si>
  <si>
    <t>NL</t>
  </si>
  <si>
    <t>IT</t>
  </si>
  <si>
    <t>TRYNL10Y-FDS</t>
  </si>
  <si>
    <t>TRYSE10Y-FDS</t>
  </si>
  <si>
    <t>TRYIT10Y-FDS</t>
  </si>
  <si>
    <t>USDANG</t>
  </si>
  <si>
    <t>USDSEK</t>
  </si>
  <si>
    <t>USDITL</t>
  </si>
  <si>
    <t>NTCPMIMFGSA@FR</t>
  </si>
  <si>
    <t>NTCPMIMFGSA@NL</t>
  </si>
  <si>
    <t>NTCPMIMFGSA@IT</t>
  </si>
  <si>
    <t>Asset class momnetum</t>
  </si>
  <si>
    <t>Asset Class - Momnetum</t>
  </si>
  <si>
    <t>GLD</t>
  </si>
  <si>
    <t>UUP</t>
  </si>
  <si>
    <t>DBA</t>
  </si>
  <si>
    <t>TLT</t>
  </si>
  <si>
    <t>Earnings Revsion</t>
  </si>
  <si>
    <t>Upgrades 1 month</t>
  </si>
  <si>
    <t>Downgrades 1 month</t>
  </si>
  <si>
    <t>FXI</t>
  </si>
  <si>
    <t>Equity Global Attractiveness</t>
  </si>
  <si>
    <t>Clsoeness to 52 week</t>
  </si>
  <si>
    <t>1 month</t>
  </si>
  <si>
    <t>Closeness to 52 week</t>
  </si>
  <si>
    <t>rank</t>
  </si>
  <si>
    <t>USO</t>
  </si>
  <si>
    <t>techincal strength</t>
  </si>
  <si>
    <t>% of Countries above 30 day</t>
  </si>
  <si>
    <t>% of Countries above 60 day</t>
  </si>
  <si>
    <t>% of Countries above 200 day</t>
  </si>
  <si>
    <t>Sum</t>
  </si>
  <si>
    <t>1 month change</t>
  </si>
  <si>
    <t>1 month return</t>
  </si>
  <si>
    <t>PMI Q-Q Change</t>
  </si>
  <si>
    <t>Overall Safety Score</t>
  </si>
  <si>
    <t>SAFETY PERCENTILE</t>
  </si>
  <si>
    <t>Safety</t>
  </si>
  <si>
    <t>Monthly freq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</si>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</sst>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b/>
      <sz val="11"/>
      <color rgb="FFFF0000"/>
      <name val="Calibri"/>
      <family val="2"/>
      <scheme val="minor"/>
    </font>
    <font>
      <sz val="7"/>
      <name val="Courier New"/>
      <family val="3"/>
    </font>
    <font>
      <b/>
      <sz val="9"/>
      <color indexed="81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1" fillId="2" borderId="0" xfId="0" applyNumberFormat="1" applyFont="1" applyFill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7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/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0" borderId="2" xfId="0" applyFont="1" applyBorder="1"/>
    <xf numFmtId="9" fontId="0" fillId="0" borderId="7" xfId="0" applyNumberFormat="1" applyBorder="1"/>
    <xf numFmtId="0" fontId="13" fillId="0" borderId="1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37" borderId="4" xfId="0" applyFont="1" applyFill="1" applyBorder="1"/>
    <xf numFmtId="10" fontId="0" fillId="0" borderId="12" xfId="3" applyNumberFormat="1" applyFont="1" applyBorder="1"/>
    <xf numFmtId="10" fontId="0" fillId="0" borderId="7" xfId="3" applyNumberFormat="1" applyFont="1" applyBorder="1"/>
    <xf numFmtId="2" fontId="0" fillId="0" borderId="0" xfId="1" applyNumberFormat="1" applyFont="1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0" borderId="0" xfId="3" applyFont="1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9" fontId="0" fillId="0" borderId="23" xfId="3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3" applyFont="1" applyBorder="1" applyAlignment="1">
      <alignment horizontal="center" vertical="center"/>
    </xf>
    <xf numFmtId="0" fontId="0" fillId="0" borderId="14" xfId="0" applyBorder="1"/>
    <xf numFmtId="0" fontId="0" fillId="0" borderId="16" xfId="0" applyBorder="1"/>
    <xf numFmtId="0" fontId="0" fillId="0" borderId="15" xfId="0" applyBorder="1"/>
    <xf numFmtId="10" fontId="0" fillId="0" borderId="0" xfId="3" applyNumberFormat="1" applyFont="1" applyFill="1" applyBorder="1"/>
    <xf numFmtId="167" fontId="0" fillId="0" borderId="3" xfId="0" applyNumberFormat="1" applyBorder="1"/>
    <xf numFmtId="167" fontId="0" fillId="0" borderId="4" xfId="0" applyNumberFormat="1" applyBorder="1"/>
    <xf numFmtId="167" fontId="0" fillId="0" borderId="6" xfId="0" applyNumberFormat="1" applyBorder="1"/>
    <xf numFmtId="0" fontId="42" fillId="0" borderId="2" xfId="0" applyFont="1" applyBorder="1"/>
    <xf numFmtId="0" fontId="1" fillId="0" borderId="12" xfId="0" applyFont="1" applyBorder="1"/>
    <xf numFmtId="165" fontId="0" fillId="0" borderId="6" xfId="0" applyNumberForma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33" xfId="0" applyBorder="1"/>
    <xf numFmtId="165" fontId="0" fillId="0" borderId="17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167" fontId="1" fillId="0" borderId="0" xfId="0" applyNumberFormat="1" applyFont="1"/>
    <xf numFmtId="0" fontId="0" fillId="38" borderId="0" xfId="0" applyFill="1"/>
    <xf numFmtId="0" fontId="1" fillId="38" borderId="0" xfId="0" applyFont="1" applyFill="1"/>
    <xf numFmtId="2" fontId="0" fillId="38" borderId="0" xfId="0" applyNumberFormat="1" applyFill="1"/>
    <xf numFmtId="14" fontId="43" fillId="0" borderId="4" xfId="0" applyNumberFormat="1" applyFont="1" applyBorder="1"/>
    <xf numFmtId="14" fontId="43" fillId="0" borderId="7" xfId="0" applyNumberFormat="1" applyFont="1" applyBorder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9" fontId="0" fillId="2" borderId="12" xfId="0" applyNumberFormat="1" applyFill="1" applyBorder="1"/>
    <xf numFmtId="167" fontId="4" fillId="0" borderId="7" xfId="0" applyNumberFormat="1" applyFont="1" applyBorder="1"/>
    <xf numFmtId="9" fontId="0" fillId="2" borderId="4" xfId="0" applyNumberFormat="1" applyFill="1" applyBorder="1"/>
    <xf numFmtId="0" fontId="0" fillId="36" borderId="0" xfId="0" applyFill="1"/>
    <xf numFmtId="9" fontId="0" fillId="36" borderId="9" xfId="0" applyNumberFormat="1" applyFill="1" applyBorder="1"/>
    <xf numFmtId="1" fontId="0" fillId="36" borderId="0" xfId="0" applyNumberFormat="1" applyFill="1"/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7" zoomScale="70" zoomScaleNormal="70" workbookViewId="0">
      <selection activeCell="H20" sqref="H20"/>
    </sheetView>
  </sheetViews>
  <sheetFormatPr defaultRowHeight="14.5" x14ac:dyDescent="0.35"/>
  <cols>
    <col min="3" max="3" width="18.54296875" customWidth="1"/>
    <col min="4" max="4" width="26.81640625" customWidth="1"/>
    <col min="5" max="5" width="24.81640625" bestFit="1" customWidth="1"/>
    <col min="6" max="6" width="18.81640625" customWidth="1"/>
    <col min="7" max="7" width="27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1" t="s">
        <v>415</v>
      </c>
      <c r="D8" s="51" t="s">
        <v>55</v>
      </c>
    </row>
    <row r="9" spans="3:19" ht="15" thickBot="1" x14ac:dyDescent="0.4">
      <c r="M9" t="s">
        <v>473</v>
      </c>
      <c r="N9" s="66">
        <v>0.06</v>
      </c>
      <c r="S9" s="65"/>
    </row>
    <row r="10" spans="3:19" x14ac:dyDescent="0.35">
      <c r="C10" s="1" t="s">
        <v>416</v>
      </c>
      <c r="D10" s="62" t="s">
        <v>61</v>
      </c>
      <c r="E10" s="16" t="s">
        <v>9</v>
      </c>
      <c r="F10" s="16" t="s">
        <v>56</v>
      </c>
      <c r="G10" s="188" t="s">
        <v>57</v>
      </c>
    </row>
    <row r="11" spans="3:19" ht="15" thickBot="1" x14ac:dyDescent="0.4">
      <c r="D11" s="189" t="s">
        <v>82</v>
      </c>
      <c r="E11" s="68">
        <v>0.4</v>
      </c>
      <c r="F11" s="68">
        <v>0.3</v>
      </c>
      <c r="G11" s="190">
        <v>0.3</v>
      </c>
    </row>
    <row r="12" spans="3:19" s="19" customFormat="1" ht="15" thickBot="1" x14ac:dyDescent="0.4">
      <c r="D12" s="191" t="s">
        <v>81</v>
      </c>
      <c r="E12" s="192">
        <f>E11*$E$34</f>
        <v>0.4</v>
      </c>
      <c r="F12" s="192">
        <f t="shared" ref="F12:G12" si="0">F11*$E$34</f>
        <v>0.3</v>
      </c>
      <c r="G12" s="193">
        <f t="shared" si="0"/>
        <v>0.3</v>
      </c>
      <c r="H12" s="18"/>
      <c r="M12" s="60" t="s">
        <v>450</v>
      </c>
      <c r="N12" s="61"/>
      <c r="O12" s="63" t="s">
        <v>472</v>
      </c>
    </row>
    <row r="13" spans="3:19" s="19" customFormat="1" ht="15" thickBot="1" x14ac:dyDescent="0.4">
      <c r="D13" s="20"/>
      <c r="E13" s="18"/>
      <c r="F13" s="18"/>
      <c r="G13" s="18"/>
      <c r="M13" s="54" t="s">
        <v>451</v>
      </c>
      <c r="N13" s="55">
        <f>(1/'Value -2 '!H11)</f>
        <v>4.7406653470111845E-2</v>
      </c>
      <c r="O13" s="55">
        <f>N13*(1+N9)</f>
        <v>5.0251052678318558E-2</v>
      </c>
    </row>
    <row r="14" spans="3:19" x14ac:dyDescent="0.35">
      <c r="C14" s="1" t="s">
        <v>417</v>
      </c>
      <c r="D14" s="15" t="s">
        <v>78</v>
      </c>
      <c r="E14" s="194" t="s">
        <v>63</v>
      </c>
      <c r="F14" s="195" t="s">
        <v>64</v>
      </c>
      <c r="G14" s="195" t="s">
        <v>79</v>
      </c>
      <c r="H14" s="11" t="s">
        <v>77</v>
      </c>
      <c r="M14" s="56" t="s">
        <v>452</v>
      </c>
      <c r="N14" s="57">
        <f>(1/'Value -2 '!G11)</f>
        <v>3.8057445612970288E-2</v>
      </c>
      <c r="O14" s="58"/>
    </row>
    <row r="15" spans="3:19" x14ac:dyDescent="0.35">
      <c r="D15" s="189" t="s">
        <v>82</v>
      </c>
      <c r="E15" s="66">
        <v>0.2</v>
      </c>
      <c r="F15" s="66">
        <v>0.2</v>
      </c>
      <c r="G15" s="66">
        <v>0.3</v>
      </c>
      <c r="H15" s="196">
        <v>0.3</v>
      </c>
      <c r="M15" s="56"/>
      <c r="N15" s="58"/>
      <c r="O15" s="58"/>
    </row>
    <row r="16" spans="3:19" ht="15" thickBot="1" x14ac:dyDescent="0.4">
      <c r="D16" s="191" t="s">
        <v>81</v>
      </c>
      <c r="E16" s="192">
        <f t="shared" ref="E16:F16" si="1">E15*$F$34</f>
        <v>0</v>
      </c>
      <c r="F16" s="192">
        <f t="shared" si="1"/>
        <v>0</v>
      </c>
      <c r="G16" s="192">
        <f>G15*$F$34</f>
        <v>0</v>
      </c>
      <c r="H16" s="193">
        <f>H15*$F$34</f>
        <v>0</v>
      </c>
      <c r="M16" s="56" t="s">
        <v>453</v>
      </c>
      <c r="N16" s="57">
        <f>'LIQIDITY 2'!L11/100</f>
        <v>5.5E-2</v>
      </c>
      <c r="O16" s="64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6" t="s">
        <v>454</v>
      </c>
      <c r="N17" s="57">
        <f>'LIQIDITY 2'!E10/100</f>
        <v>4.3705000000000001E-2</v>
      </c>
      <c r="O17" s="58"/>
    </row>
    <row r="18" spans="3:22" x14ac:dyDescent="0.35">
      <c r="C18" s="1" t="s">
        <v>418</v>
      </c>
      <c r="D18" s="62" t="s">
        <v>70</v>
      </c>
      <c r="E18" s="127" t="s">
        <v>73</v>
      </c>
      <c r="F18" s="5"/>
      <c r="M18" s="56"/>
      <c r="N18" s="58"/>
      <c r="O18" s="58"/>
    </row>
    <row r="19" spans="3:22" x14ac:dyDescent="0.35">
      <c r="D19" s="189" t="s">
        <v>82</v>
      </c>
      <c r="E19" s="196">
        <v>1</v>
      </c>
      <c r="F19" s="5"/>
      <c r="G19" s="5"/>
      <c r="M19" s="56"/>
      <c r="N19" s="58"/>
      <c r="O19" s="58"/>
    </row>
    <row r="20" spans="3:22" ht="15" thickBot="1" x14ac:dyDescent="0.4">
      <c r="D20" s="191" t="s">
        <v>81</v>
      </c>
      <c r="E20" s="197">
        <f>E19*$G$34</f>
        <v>0</v>
      </c>
      <c r="F20" s="5"/>
      <c r="G20" s="5"/>
      <c r="M20" s="56"/>
      <c r="N20" s="58"/>
      <c r="O20" s="58"/>
    </row>
    <row r="21" spans="3:22" ht="15" thickBot="1" x14ac:dyDescent="0.4">
      <c r="G21" s="5"/>
      <c r="M21" s="56" t="s">
        <v>455</v>
      </c>
      <c r="N21" s="57">
        <f>N13-N16</f>
        <v>-7.593346529888155E-3</v>
      </c>
      <c r="O21" s="57">
        <f>O13-O16</f>
        <v>5.2510526783185602E-3</v>
      </c>
    </row>
    <row r="22" spans="3:22" ht="15" thickBot="1" x14ac:dyDescent="0.4">
      <c r="C22" s="1" t="s">
        <v>505</v>
      </c>
      <c r="D22" s="15" t="s">
        <v>58</v>
      </c>
      <c r="E22" s="16" t="s">
        <v>503</v>
      </c>
      <c r="F22" s="11" t="s">
        <v>59</v>
      </c>
      <c r="M22" s="12" t="s">
        <v>456</v>
      </c>
      <c r="N22" s="59">
        <f>N13-N17</f>
        <v>3.7016534701118445E-3</v>
      </c>
      <c r="O22" s="57"/>
    </row>
    <row r="23" spans="3:22" x14ac:dyDescent="0.35">
      <c r="D23" s="189" t="s">
        <v>82</v>
      </c>
      <c r="E23" s="66">
        <v>0</v>
      </c>
      <c r="F23" s="196">
        <v>0</v>
      </c>
      <c r="G23" s="5"/>
      <c r="M23" s="9"/>
      <c r="N23" s="5"/>
      <c r="T23" s="9"/>
    </row>
    <row r="24" spans="3:22" ht="15" thickBot="1" x14ac:dyDescent="0.4">
      <c r="D24" s="191" t="s">
        <v>81</v>
      </c>
      <c r="E24" s="17">
        <f>E23*$H$34</f>
        <v>0</v>
      </c>
      <c r="F24" s="151">
        <f t="shared" ref="F24" si="2">F23*$H$34</f>
        <v>0</v>
      </c>
      <c r="G24" s="5"/>
      <c r="Q24" s="5"/>
      <c r="R24" s="53"/>
      <c r="T24" s="9"/>
      <c r="V24" s="9"/>
    </row>
    <row r="25" spans="3:22" ht="15" thickBot="1" x14ac:dyDescent="0.4"/>
    <row r="26" spans="3:22" x14ac:dyDescent="0.35">
      <c r="C26" s="114" t="s">
        <v>766</v>
      </c>
      <c r="D26" s="150" t="s">
        <v>767</v>
      </c>
      <c r="E26" s="10" t="s">
        <v>765</v>
      </c>
      <c r="F26" s="11" t="s">
        <v>768</v>
      </c>
    </row>
    <row r="27" spans="3:22" x14ac:dyDescent="0.35">
      <c r="D27" s="189" t="s">
        <v>82</v>
      </c>
      <c r="E27" s="66">
        <v>0.6</v>
      </c>
      <c r="F27" s="196">
        <v>0.4</v>
      </c>
    </row>
    <row r="28" spans="3:22" ht="15" thickBot="1" x14ac:dyDescent="0.4">
      <c r="D28" s="191" t="s">
        <v>81</v>
      </c>
      <c r="E28" s="17">
        <f>E27*$I$34</f>
        <v>0</v>
      </c>
      <c r="F28" s="151">
        <f>F27*$I$34</f>
        <v>0</v>
      </c>
    </row>
    <row r="29" spans="3:22" ht="15" thickBot="1" x14ac:dyDescent="0.4"/>
    <row r="30" spans="3:22" x14ac:dyDescent="0.35">
      <c r="C30" t="s">
        <v>859</v>
      </c>
      <c r="D30" s="15" t="s">
        <v>860</v>
      </c>
      <c r="E30" s="198">
        <v>0.2</v>
      </c>
    </row>
    <row r="31" spans="3:22" ht="15" thickBot="1" x14ac:dyDescent="0.4">
      <c r="D31" s="12"/>
      <c r="E31" s="151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504</v>
      </c>
      <c r="I33" s="119" t="s">
        <v>767</v>
      </c>
      <c r="J33" s="119" t="s">
        <v>860</v>
      </c>
    </row>
    <row r="34" spans="3:12" ht="15" thickBot="1" x14ac:dyDescent="0.4">
      <c r="D34" s="12"/>
      <c r="E34" s="69">
        <v>1</v>
      </c>
      <c r="F34" s="70">
        <v>0</v>
      </c>
      <c r="G34" s="70">
        <v>0</v>
      </c>
      <c r="H34" s="70">
        <v>0</v>
      </c>
      <c r="I34" s="71">
        <v>0</v>
      </c>
      <c r="J34" s="71">
        <v>0</v>
      </c>
    </row>
    <row r="38" spans="3:12" x14ac:dyDescent="0.35">
      <c r="C38" s="51" t="s">
        <v>419</v>
      </c>
      <c r="D38" s="51" t="s">
        <v>60</v>
      </c>
    </row>
    <row r="39" spans="3:12" x14ac:dyDescent="0.35">
      <c r="E39" s="1" t="s">
        <v>410</v>
      </c>
      <c r="F39" t="s">
        <v>411</v>
      </c>
      <c r="G39" s="1" t="s">
        <v>412</v>
      </c>
      <c r="H39" t="s">
        <v>413</v>
      </c>
      <c r="I39" s="1" t="s">
        <v>429</v>
      </c>
      <c r="J39" s="1" t="s">
        <v>524</v>
      </c>
      <c r="K39" s="1" t="s">
        <v>746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1" t="s">
        <v>398</v>
      </c>
      <c r="D42" s="51" t="s">
        <v>10</v>
      </c>
    </row>
    <row r="43" spans="3:12" x14ac:dyDescent="0.35">
      <c r="C43" t="s">
        <v>420</v>
      </c>
      <c r="D43" t="s">
        <v>414</v>
      </c>
      <c r="E43" s="5">
        <v>0.5</v>
      </c>
    </row>
    <row r="44" spans="3:12" x14ac:dyDescent="0.35">
      <c r="C44" t="s">
        <v>421</v>
      </c>
      <c r="D44" t="s">
        <v>460</v>
      </c>
      <c r="E44" s="5">
        <v>0.25</v>
      </c>
      <c r="F44" s="5"/>
    </row>
    <row r="45" spans="3:12" x14ac:dyDescent="0.35">
      <c r="C45" t="s">
        <v>461</v>
      </c>
      <c r="D45" t="s">
        <v>462</v>
      </c>
      <c r="E45" s="5">
        <v>0.25</v>
      </c>
    </row>
    <row r="47" spans="3:12" x14ac:dyDescent="0.35">
      <c r="D47" s="1"/>
    </row>
    <row r="48" spans="3:12" x14ac:dyDescent="0.35">
      <c r="C48" s="51" t="s">
        <v>422</v>
      </c>
      <c r="D48" s="51" t="s">
        <v>912</v>
      </c>
    </row>
    <row r="49" spans="3:8" x14ac:dyDescent="0.35">
      <c r="E49" t="s">
        <v>395</v>
      </c>
      <c r="F49" t="s">
        <v>396</v>
      </c>
    </row>
    <row r="50" spans="3:8" x14ac:dyDescent="0.35">
      <c r="D50" t="s">
        <v>65</v>
      </c>
      <c r="E50" s="73">
        <v>-0.05</v>
      </c>
      <c r="F50">
        <v>-10</v>
      </c>
    </row>
    <row r="52" spans="3:8" x14ac:dyDescent="0.35">
      <c r="E52" s="1" t="s">
        <v>913</v>
      </c>
      <c r="F52" t="s">
        <v>520</v>
      </c>
      <c r="G52" t="s">
        <v>405</v>
      </c>
    </row>
    <row r="53" spans="3:8" x14ac:dyDescent="0.35">
      <c r="D53" s="1" t="s">
        <v>521</v>
      </c>
      <c r="E53" s="5">
        <v>0.25</v>
      </c>
      <c r="F53" s="5">
        <v>0.25</v>
      </c>
      <c r="G53" s="5">
        <v>0.5</v>
      </c>
    </row>
    <row r="55" spans="3:8" x14ac:dyDescent="0.35">
      <c r="C55" s="51" t="s">
        <v>424</v>
      </c>
      <c r="D55" s="51" t="s">
        <v>493</v>
      </c>
      <c r="F55" s="1">
        <v>1</v>
      </c>
      <c r="G55" s="1">
        <v>3</v>
      </c>
      <c r="H55" s="1">
        <v>6</v>
      </c>
    </row>
    <row r="56" spans="3:8" x14ac:dyDescent="0.35">
      <c r="C56" s="51" t="s">
        <v>425</v>
      </c>
      <c r="D56" t="s">
        <v>478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425</v>
      </c>
      <c r="D57" t="s">
        <v>426</v>
      </c>
      <c r="E57" s="5">
        <v>0.3</v>
      </c>
    </row>
    <row r="58" spans="3:8" x14ac:dyDescent="0.35">
      <c r="C58" t="s">
        <v>427</v>
      </c>
      <c r="D58" t="s">
        <v>428</v>
      </c>
      <c r="E58" s="5">
        <v>0.2</v>
      </c>
    </row>
    <row r="60" spans="3:8" x14ac:dyDescent="0.35">
      <c r="C60" s="51" t="s">
        <v>500</v>
      </c>
      <c r="D60" s="51" t="s">
        <v>495</v>
      </c>
    </row>
    <row r="61" spans="3:8" x14ac:dyDescent="0.35">
      <c r="D61" t="s">
        <v>497</v>
      </c>
      <c r="F61" s="5">
        <v>0.25</v>
      </c>
      <c r="G61" t="s">
        <v>527</v>
      </c>
    </row>
    <row r="62" spans="3:8" x14ac:dyDescent="0.35">
      <c r="D62" t="s">
        <v>498</v>
      </c>
      <c r="F62" s="5">
        <v>0.25</v>
      </c>
    </row>
    <row r="63" spans="3:8" x14ac:dyDescent="0.35">
      <c r="D63" t="s">
        <v>499</v>
      </c>
      <c r="F63" s="5">
        <v>0.25</v>
      </c>
    </row>
    <row r="64" spans="3:8" x14ac:dyDescent="0.35">
      <c r="D64" t="s">
        <v>539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1" t="s">
        <v>494</v>
      </c>
      <c r="D69" s="51" t="s">
        <v>423</v>
      </c>
    </row>
    <row r="71" spans="3:9" x14ac:dyDescent="0.35">
      <c r="C71" s="114" t="s">
        <v>778</v>
      </c>
      <c r="D71" s="6">
        <v>0.3</v>
      </c>
    </row>
    <row r="72" spans="3:9" x14ac:dyDescent="0.35">
      <c r="C72" s="19" t="s">
        <v>545</v>
      </c>
      <c r="D72" s="18">
        <v>0.33329999999999999</v>
      </c>
    </row>
    <row r="73" spans="3:9" x14ac:dyDescent="0.35">
      <c r="C73" s="19" t="s">
        <v>547</v>
      </c>
      <c r="D73" s="18">
        <v>0.33329999999999999</v>
      </c>
    </row>
    <row r="74" spans="3:9" x14ac:dyDescent="0.35">
      <c r="C74" s="19" t="s">
        <v>548</v>
      </c>
      <c r="D74" s="18">
        <v>0.33329999999999999</v>
      </c>
    </row>
    <row r="76" spans="3:9" x14ac:dyDescent="0.35">
      <c r="C76" s="114" t="s">
        <v>546</v>
      </c>
      <c r="D76" s="5">
        <v>0.2</v>
      </c>
    </row>
    <row r="77" spans="3:9" x14ac:dyDescent="0.35">
      <c r="G77" s="1"/>
      <c r="H77" s="1"/>
    </row>
    <row r="78" spans="3:9" x14ac:dyDescent="0.35">
      <c r="C78" s="114" t="s">
        <v>543</v>
      </c>
      <c r="D78" s="5">
        <v>0.4</v>
      </c>
    </row>
    <row r="80" spans="3:9" x14ac:dyDescent="0.35">
      <c r="C80" s="114" t="s">
        <v>549</v>
      </c>
      <c r="D80" s="5">
        <v>0.1</v>
      </c>
    </row>
    <row r="82" spans="3:8" x14ac:dyDescent="0.35">
      <c r="C82" t="s">
        <v>815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B6:O39"/>
  <sheetViews>
    <sheetView topLeftCell="A19" zoomScale="55" zoomScaleNormal="55" workbookViewId="0">
      <selection activeCell="F48" sqref="F48"/>
    </sheetView>
  </sheetViews>
  <sheetFormatPr defaultRowHeight="14.5" x14ac:dyDescent="0.35"/>
  <cols>
    <col min="2" max="2" width="14.54296875" customWidth="1"/>
    <col min="3" max="3" width="20.54296875" customWidth="1"/>
    <col min="4" max="4" width="12.54296875" customWidth="1"/>
    <col min="5" max="5" width="14.54296875" customWidth="1"/>
    <col min="6" max="6" width="10.54296875" customWidth="1"/>
    <col min="7" max="7" width="12" customWidth="1"/>
    <col min="8" max="8" width="26.81640625" bestFit="1" customWidth="1"/>
    <col min="9" max="9" width="20.1796875" customWidth="1"/>
    <col min="12" max="12" width="13.81640625" customWidth="1"/>
    <col min="13" max="13" width="14.453125" customWidth="1"/>
    <col min="14" max="14" width="14.54296875" customWidth="1"/>
    <col min="15" max="15" width="14.453125" customWidth="1"/>
    <col min="16" max="16" width="12" customWidth="1"/>
    <col min="17" max="17" width="15.1796875" customWidth="1"/>
  </cols>
  <sheetData>
    <row r="6" spans="3:9" x14ac:dyDescent="0.35">
      <c r="C6" s="1" t="s">
        <v>886</v>
      </c>
    </row>
    <row r="7" spans="3:9" ht="15" thickBot="1" x14ac:dyDescent="0.4">
      <c r="D7" t="s">
        <v>887</v>
      </c>
      <c r="H7" s="1" t="s">
        <v>902</v>
      </c>
    </row>
    <row r="8" spans="3:9" ht="15" thickBot="1" x14ac:dyDescent="0.4">
      <c r="C8" s="62" t="s">
        <v>6</v>
      </c>
      <c r="D8" s="10">
        <f>'Asset class'!S3</f>
        <v>4</v>
      </c>
      <c r="E8" s="11">
        <f t="shared" ref="E8:E17" si="0">D8</f>
        <v>4</v>
      </c>
    </row>
    <row r="9" spans="3:9" x14ac:dyDescent="0.35">
      <c r="C9" s="56" t="s">
        <v>1</v>
      </c>
      <c r="D9">
        <f>'Asset class'!S4</f>
        <v>2</v>
      </c>
      <c r="E9" s="58">
        <f t="shared" si="0"/>
        <v>2</v>
      </c>
      <c r="H9" s="62" t="s">
        <v>903</v>
      </c>
      <c r="I9" s="171">
        <f>Timing!L22</f>
        <v>0.23076923076923078</v>
      </c>
    </row>
    <row r="10" spans="3:9" x14ac:dyDescent="0.35">
      <c r="C10" s="56" t="s">
        <v>888</v>
      </c>
      <c r="D10">
        <f>'Asset class'!S5</f>
        <v>5</v>
      </c>
      <c r="E10" s="58">
        <f t="shared" si="0"/>
        <v>5</v>
      </c>
      <c r="H10" s="56" t="s">
        <v>904</v>
      </c>
      <c r="I10" s="57">
        <f>Timing!M22</f>
        <v>0.53846153846153844</v>
      </c>
    </row>
    <row r="11" spans="3:9" ht="15" thickBot="1" x14ac:dyDescent="0.4">
      <c r="C11" s="56" t="s">
        <v>889</v>
      </c>
      <c r="D11">
        <f>'Asset class'!S6</f>
        <v>6</v>
      </c>
      <c r="E11" s="58">
        <f t="shared" si="0"/>
        <v>6</v>
      </c>
      <c r="H11" s="12" t="s">
        <v>905</v>
      </c>
      <c r="I11" s="59">
        <f>Timing!N22</f>
        <v>0.92307692307692313</v>
      </c>
    </row>
    <row r="12" spans="3:9" x14ac:dyDescent="0.35">
      <c r="C12" s="56" t="s">
        <v>51</v>
      </c>
      <c r="D12">
        <f>'Asset class'!S7</f>
        <v>1</v>
      </c>
      <c r="E12" s="58">
        <f t="shared" si="0"/>
        <v>1</v>
      </c>
    </row>
    <row r="13" spans="3:9" x14ac:dyDescent="0.35">
      <c r="C13" s="56" t="s">
        <v>890</v>
      </c>
      <c r="D13">
        <f>'Asset class'!S8</f>
        <v>8</v>
      </c>
      <c r="E13" s="58">
        <f t="shared" si="0"/>
        <v>8</v>
      </c>
    </row>
    <row r="14" spans="3:9" ht="15" thickBot="1" x14ac:dyDescent="0.4">
      <c r="C14" s="12" t="s">
        <v>457</v>
      </c>
      <c r="D14">
        <f>'Asset class'!S9</f>
        <v>3</v>
      </c>
      <c r="E14" s="14">
        <f t="shared" si="0"/>
        <v>3</v>
      </c>
    </row>
    <row r="15" spans="3:9" ht="15" thickBot="1" x14ac:dyDescent="0.4">
      <c r="C15" s="144" t="s">
        <v>891</v>
      </c>
      <c r="D15">
        <f>'Asset class'!S10</f>
        <v>10</v>
      </c>
      <c r="E15" s="14">
        <f t="shared" si="0"/>
        <v>10</v>
      </c>
    </row>
    <row r="16" spans="3:9" ht="15" thickBot="1" x14ac:dyDescent="0.4">
      <c r="C16" s="178" t="s">
        <v>536</v>
      </c>
      <c r="D16">
        <f>'Asset class'!S11</f>
        <v>9</v>
      </c>
      <c r="E16" s="14">
        <f t="shared" si="0"/>
        <v>9</v>
      </c>
    </row>
    <row r="17" spans="2:15" ht="15" thickBot="1" x14ac:dyDescent="0.4">
      <c r="C17" s="148" t="s">
        <v>46</v>
      </c>
      <c r="D17">
        <f>'Asset class'!S12</f>
        <v>7</v>
      </c>
      <c r="E17" s="14">
        <f t="shared" si="0"/>
        <v>7</v>
      </c>
    </row>
    <row r="20" spans="2:15" x14ac:dyDescent="0.35">
      <c r="C20" s="1" t="s">
        <v>892</v>
      </c>
    </row>
    <row r="22" spans="2:15" ht="15" thickBot="1" x14ac:dyDescent="0.4">
      <c r="C22" s="1" t="s">
        <v>893</v>
      </c>
      <c r="D22" s="1"/>
      <c r="E22" s="1" t="s">
        <v>894</v>
      </c>
    </row>
    <row r="23" spans="2:15" x14ac:dyDescent="0.35">
      <c r="B23" s="62" t="s">
        <v>1</v>
      </c>
      <c r="C23" s="170">
        <f>'Momnetum ranking'!H22</f>
        <v>0.30753968253968256</v>
      </c>
      <c r="D23" s="170"/>
      <c r="E23" s="171">
        <f>'Momnetum ranking'!I22</f>
        <v>0.3392857142857143</v>
      </c>
    </row>
    <row r="24" spans="2:15" x14ac:dyDescent="0.35">
      <c r="B24" s="56" t="s">
        <v>51</v>
      </c>
      <c r="C24" s="9">
        <f>'Momnetum ranking'!H10</f>
        <v>0.34951456310679613</v>
      </c>
      <c r="D24" s="9"/>
      <c r="E24" s="57">
        <f>'Momnetum ranking'!I10</f>
        <v>0.30097087378640774</v>
      </c>
    </row>
    <row r="25" spans="2:15" x14ac:dyDescent="0.35">
      <c r="B25" s="56" t="s">
        <v>895</v>
      </c>
      <c r="C25" s="9">
        <f>'Momnetum ranking'!H23</f>
        <v>0.30188679245283018</v>
      </c>
      <c r="D25" s="9"/>
      <c r="E25" s="57">
        <f>'Momnetum ranking'!I23</f>
        <v>0.33962264150943394</v>
      </c>
    </row>
    <row r="26" spans="2:15" x14ac:dyDescent="0.35">
      <c r="B26" s="56" t="s">
        <v>46</v>
      </c>
      <c r="C26" s="9">
        <f>'Momnetum ranking'!H21</f>
        <v>0.51219512195121952</v>
      </c>
      <c r="D26" s="9"/>
      <c r="E26" s="57">
        <f>'Momnetum ranking'!I21</f>
        <v>0.42926829268292682</v>
      </c>
    </row>
    <row r="27" spans="2:15" ht="15" thickBot="1" x14ac:dyDescent="0.4">
      <c r="B27" s="12" t="s">
        <v>536</v>
      </c>
      <c r="C27" s="172">
        <f>'Momnetum ranking'!H18</f>
        <v>0.40344018764659889</v>
      </c>
      <c r="D27" s="172"/>
      <c r="E27" s="59">
        <f>'Momnetum ranking'!I18</f>
        <v>0.34167318217357312</v>
      </c>
    </row>
    <row r="28" spans="2:15" x14ac:dyDescent="0.35">
      <c r="B28" s="62" t="s">
        <v>6</v>
      </c>
      <c r="C28" s="170">
        <f>'Momnetum ranking'!H19</f>
        <v>0.21012817818869511</v>
      </c>
      <c r="D28" s="170"/>
      <c r="E28" s="171">
        <f>'Momnetum ranking'!I19</f>
        <v>0.27862996427820969</v>
      </c>
    </row>
    <row r="29" spans="2:15" ht="15" thickBot="1" x14ac:dyDescent="0.4">
      <c r="B29" s="12"/>
      <c r="C29" s="13"/>
      <c r="D29" s="13"/>
      <c r="E29" s="14"/>
    </row>
    <row r="31" spans="2:15" ht="15" thickBot="1" x14ac:dyDescent="0.4"/>
    <row r="32" spans="2:15" x14ac:dyDescent="0.35">
      <c r="C32" s="173" t="s">
        <v>896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</row>
    <row r="33" spans="3:15" ht="29" x14ac:dyDescent="0.35">
      <c r="C33" s="56"/>
      <c r="E33" t="s">
        <v>77</v>
      </c>
      <c r="F33" t="s">
        <v>70</v>
      </c>
      <c r="G33" s="72" t="s">
        <v>899</v>
      </c>
      <c r="H33" t="s">
        <v>4</v>
      </c>
      <c r="K33" t="s">
        <v>77</v>
      </c>
      <c r="L33" t="s">
        <v>70</v>
      </c>
      <c r="M33" s="72" t="s">
        <v>897</v>
      </c>
      <c r="N33" t="s">
        <v>4</v>
      </c>
      <c r="O33" s="174" t="s">
        <v>394</v>
      </c>
    </row>
    <row r="34" spans="3:15" x14ac:dyDescent="0.35">
      <c r="C34" s="56"/>
      <c r="O34" s="58"/>
    </row>
    <row r="35" spans="3:15" x14ac:dyDescent="0.35">
      <c r="C35" s="56" t="s">
        <v>227</v>
      </c>
      <c r="E35" s="9">
        <f>'Momnetum ranking'!J18</f>
        <v>6.1767005473025771E-2</v>
      </c>
      <c r="F35" s="5">
        <f>'Momnetum ranking'!K18</f>
        <v>0.7321144674085851</v>
      </c>
      <c r="G35" s="9">
        <f>'Momnetum ranking'!Q18</f>
        <v>0.944747</v>
      </c>
      <c r="H35" s="3">
        <f>'Momnetum ranking'!O18</f>
        <v>0.67900419999999995</v>
      </c>
      <c r="K35">
        <f>_xlfn.RANK.EQ(E35,$E$35:$E$39)</f>
        <v>2</v>
      </c>
      <c r="L35">
        <f>_xlfn.RANK.EQ(F35,$F$35:$F$39)</f>
        <v>1</v>
      </c>
      <c r="M35">
        <f>_xlfn.RANK.EQ(G35,$G$35:$G$39)</f>
        <v>5</v>
      </c>
      <c r="N35">
        <f>_xlfn.RANK.EQ(H35,$H$35:$H$39)</f>
        <v>4</v>
      </c>
      <c r="O35" s="58">
        <f>MEDIAN(K35:N35)</f>
        <v>3</v>
      </c>
    </row>
    <row r="36" spans="3:15" x14ac:dyDescent="0.35">
      <c r="C36" s="56" t="s">
        <v>749</v>
      </c>
      <c r="E36" s="9">
        <f>'Momnetum ranking'!J19</f>
        <v>-6.8501786089514571E-2</v>
      </c>
      <c r="F36" s="5">
        <f>'Momnetum ranking'!K19</f>
        <v>0.45910460611278503</v>
      </c>
      <c r="G36" s="9">
        <f>'Momnetum ranking'!Q19</f>
        <v>0.97318183999999996</v>
      </c>
      <c r="H36" s="3">
        <f>'Momnetum ranking'!O19</f>
        <v>5.170369</v>
      </c>
      <c r="K36">
        <f t="shared" ref="K36:K39" si="1">_xlfn.RANK.EQ(E36,$E$35:$E$39)</f>
        <v>5</v>
      </c>
      <c r="L36">
        <f t="shared" ref="L36:L39" si="2">_xlfn.RANK.EQ(F36,$F$35:$F$39)</f>
        <v>5</v>
      </c>
      <c r="M36">
        <f t="shared" ref="M36:M39" si="3">_xlfn.RANK.EQ(G36,$G$35:$G$39)</f>
        <v>3</v>
      </c>
      <c r="N36">
        <f t="shared" ref="N36:N39" si="4">_xlfn.RANK.EQ(H36,$H$35:$H$39)</f>
        <v>1</v>
      </c>
      <c r="O36" s="58">
        <f t="shared" ref="O36:O39" si="5">MEDIAN(K36:N36)</f>
        <v>4</v>
      </c>
    </row>
    <row r="37" spans="3:15" x14ac:dyDescent="0.35">
      <c r="C37" s="56" t="s">
        <v>781</v>
      </c>
      <c r="E37" s="9">
        <f>'Momnetum ranking'!J20</f>
        <v>8.3740404745289987E-3</v>
      </c>
      <c r="F37" s="5">
        <f>'Momnetum ranking'!K20</f>
        <v>0.63183730715287501</v>
      </c>
      <c r="G37" s="9">
        <f>'Momnetum ranking'!Q20</f>
        <v>0.99079673999999995</v>
      </c>
      <c r="H37" s="3">
        <f>'Momnetum ranking'!O20</f>
        <v>2.6097060000000001</v>
      </c>
      <c r="K37">
        <f t="shared" si="1"/>
        <v>3</v>
      </c>
      <c r="L37">
        <f t="shared" si="2"/>
        <v>4</v>
      </c>
      <c r="M37">
        <f t="shared" si="3"/>
        <v>1</v>
      </c>
      <c r="N37">
        <f t="shared" si="4"/>
        <v>3</v>
      </c>
      <c r="O37" s="58">
        <f t="shared" si="5"/>
        <v>3</v>
      </c>
    </row>
    <row r="38" spans="3:15" x14ac:dyDescent="0.35">
      <c r="C38" s="56" t="s">
        <v>816</v>
      </c>
      <c r="E38" s="9">
        <f>'Momnetum ranking'!J21</f>
        <v>8.2926829268292701E-2</v>
      </c>
      <c r="F38" s="5">
        <f>'Momnetum ranking'!K21</f>
        <v>0.68137254901960798</v>
      </c>
      <c r="G38" s="9">
        <f>'Momnetum ranking'!Q21</f>
        <v>0.94692284000000004</v>
      </c>
      <c r="H38" s="3">
        <f>'Momnetum ranking'!O21</f>
        <v>-3.6440134</v>
      </c>
      <c r="K38">
        <f t="shared" si="1"/>
        <v>1</v>
      </c>
      <c r="L38">
        <f t="shared" si="2"/>
        <v>2</v>
      </c>
      <c r="M38">
        <f t="shared" si="3"/>
        <v>4</v>
      </c>
      <c r="N38">
        <f t="shared" si="4"/>
        <v>5</v>
      </c>
      <c r="O38" s="58">
        <f t="shared" si="5"/>
        <v>3</v>
      </c>
    </row>
    <row r="39" spans="3:15" ht="15" thickBot="1" x14ac:dyDescent="0.4">
      <c r="C39" s="12" t="s">
        <v>119</v>
      </c>
      <c r="D39" s="13"/>
      <c r="E39" s="172">
        <f>'Momnetum ranking'!J22</f>
        <v>-3.1746031746031744E-2</v>
      </c>
      <c r="F39" s="17">
        <f>'Momnetum ranking'!K22</f>
        <v>0.66467065868263508</v>
      </c>
      <c r="G39" s="172">
        <f>'Momnetum ranking'!Q22</f>
        <v>0.98898730000000001</v>
      </c>
      <c r="H39" s="175">
        <f>'Momnetum ranking'!O22</f>
        <v>4.3795346999999998</v>
      </c>
      <c r="I39" s="13"/>
      <c r="J39" s="13"/>
      <c r="K39" s="13">
        <f t="shared" si="1"/>
        <v>4</v>
      </c>
      <c r="L39" s="13">
        <f t="shared" si="2"/>
        <v>3</v>
      </c>
      <c r="M39" s="13">
        <f t="shared" si="3"/>
        <v>2</v>
      </c>
      <c r="N39" s="13">
        <f t="shared" si="4"/>
        <v>2</v>
      </c>
      <c r="O39" s="14">
        <f t="shared" si="5"/>
        <v>2.5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E8:E17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9"/>
  <sheetViews>
    <sheetView zoomScale="70" zoomScaleNormal="70" workbookViewId="0">
      <selection activeCell="A9" sqref="A9"/>
    </sheetView>
  </sheetViews>
  <sheetFormatPr defaultRowHeight="14.5" x14ac:dyDescent="0.35"/>
  <cols>
    <col min="1" max="1" width="12" customWidth="1"/>
    <col min="2" max="2" width="25.453125" customWidth="1"/>
    <col min="3" max="3" width="20.81640625" customWidth="1"/>
    <col min="4" max="4" width="0.453125" customWidth="1"/>
    <col min="5" max="5" width="18" customWidth="1"/>
    <col min="6" max="6" width="13.453125" customWidth="1"/>
    <col min="7" max="7" width="15.453125" customWidth="1"/>
    <col min="8" max="8" width="16.453125" customWidth="1"/>
    <col min="9" max="9" width="7.453125" customWidth="1"/>
    <col min="10" max="10" width="6.54296875" customWidth="1"/>
    <col min="11" max="11" width="18.81640625" customWidth="1"/>
    <col min="12" max="12" width="13.453125" customWidth="1"/>
    <col min="13" max="13" width="13" customWidth="1"/>
    <col min="14" max="14" width="13.453125" customWidth="1"/>
    <col min="15" max="15" width="5" customWidth="1"/>
    <col min="16" max="16" width="9.54296875" customWidth="1"/>
  </cols>
  <sheetData>
    <row r="1" spans="1:19" ht="15" thickBot="1" x14ac:dyDescent="0.4">
      <c r="C1" t="s">
        <v>0</v>
      </c>
      <c r="E1" t="s">
        <v>898</v>
      </c>
      <c r="F1" t="s">
        <v>4</v>
      </c>
      <c r="G1" t="s">
        <v>5</v>
      </c>
      <c r="H1" t="s">
        <v>9</v>
      </c>
      <c r="K1" t="s">
        <v>899</v>
      </c>
      <c r="L1" t="s">
        <v>4</v>
      </c>
      <c r="M1" t="s">
        <v>71</v>
      </c>
      <c r="N1" t="s">
        <v>72</v>
      </c>
      <c r="P1" s="1" t="s">
        <v>83</v>
      </c>
      <c r="Q1" t="s">
        <v>84</v>
      </c>
      <c r="S1" t="s">
        <v>900</v>
      </c>
    </row>
    <row r="2" spans="1:19" s="22" customFormat="1" ht="15" thickBot="1" x14ac:dyDescent="0.4">
      <c r="A2" s="21"/>
      <c r="K2" s="176">
        <v>0.33</v>
      </c>
      <c r="L2" s="176">
        <v>0.33</v>
      </c>
      <c r="M2" s="176">
        <v>0.33</v>
      </c>
    </row>
    <row r="3" spans="1:19" x14ac:dyDescent="0.35">
      <c r="A3" t="s">
        <v>6</v>
      </c>
      <c r="C3" t="str">
        <f>A3</f>
        <v>VWO</v>
      </c>
      <c r="E3" s="3" cm="1">
        <f t="array" ref="E3">_xll.FDS(C3,"FG_TOTAL_RETURNC(0,-1AM)")</f>
        <v>-0.34105777999999998</v>
      </c>
      <c r="F3" s="3" cm="1">
        <f t="array" ref="F3">_xll.FDS(C3,"FG_TOTAL_RETURNC(0,-3AM)")</f>
        <v>5.170369</v>
      </c>
      <c r="G3" s="3" cm="1">
        <f t="array" ref="G3">_xll.FDS(C3,"FG_TOTAL_RETURNC(0,-6AM)")</f>
        <v>7.2708370000000002</v>
      </c>
      <c r="H3" s="9" cm="1">
        <f t="array" ref="H3">_xll.FDS(C3,"P_PRICE(0)/P_PRICE_HIGH_PR(0,,,USD,,,""PRICE"",""INTRA"",""52W"")")</f>
        <v>0.97318183999999996</v>
      </c>
      <c r="K3" s="4">
        <f>_xlfn.RANK.EQ(H3,H$3:H$12)</f>
        <v>3</v>
      </c>
      <c r="L3" s="4">
        <f>_xlfn.RANK.EQ(F3,F$3:F$12)</f>
        <v>2</v>
      </c>
      <c r="M3" s="4">
        <f>_xlfn.RANK.EQ(G3,G$3:G$12)</f>
        <v>8</v>
      </c>
      <c r="N3" s="4"/>
      <c r="P3" s="3">
        <f t="shared" ref="P3:P12" si="0">SUMPRODUCT($K$2:$M$2,K3:M3)</f>
        <v>4.29</v>
      </c>
      <c r="Q3">
        <f t="shared" ref="Q3:Q12" si="1">COUNTIF(K3:N3,"&gt;70")</f>
        <v>0</v>
      </c>
      <c r="S3" s="3">
        <f>11-_xlfn.RANK.EQ(P3,$P$3:$P$12)</f>
        <v>4</v>
      </c>
    </row>
    <row r="4" spans="1:19" x14ac:dyDescent="0.35">
      <c r="A4" t="s">
        <v>1</v>
      </c>
      <c r="C4" t="str">
        <f t="shared" ref="C4:C12" si="2">A4</f>
        <v>SPY</v>
      </c>
      <c r="E4" s="3" cm="1">
        <f t="array" ref="E4">_xll.FDS(C4,"FG_TOTAL_RETURNC(0,-1AM)")</f>
        <v>3.0516744</v>
      </c>
      <c r="F4" s="3" cm="1">
        <f t="array" ref="F4">_xll.FDS(C4,"FG_TOTAL_RETURNC(0,-3AM)")</f>
        <v>4.3795346999999998</v>
      </c>
      <c r="G4" s="3" cm="1">
        <f t="array" ref="G4">_xll.FDS(C4,"FG_TOTAL_RETURNC(0,-6AM)")</f>
        <v>14.893556</v>
      </c>
      <c r="H4" s="9" cm="1">
        <f t="array" ref="H4">_xll.FDS(C4,"P_PRICE(0)/P_PRICE_HIGH_PR(0,,,USD,,,""PRICE"",""INTRA"",""52W"")")</f>
        <v>0.98898730000000001</v>
      </c>
      <c r="I4" s="177"/>
      <c r="K4" s="4">
        <f t="shared" ref="K4:K12" si="3">_xlfn.RANK.EQ(H4,H$3:H$12)</f>
        <v>1</v>
      </c>
      <c r="L4" s="4">
        <f t="shared" ref="L4:M12" si="4">_xlfn.RANK.EQ(F4,F$3:F$12)</f>
        <v>4</v>
      </c>
      <c r="M4" s="4">
        <f t="shared" si="4"/>
        <v>3</v>
      </c>
      <c r="N4" s="4"/>
      <c r="P4" s="3">
        <f t="shared" si="0"/>
        <v>2.64</v>
      </c>
      <c r="Q4">
        <f t="shared" si="1"/>
        <v>0</v>
      </c>
      <c r="S4" s="3">
        <f t="shared" ref="S4:S12" si="5">11-_xlfn.RANK.EQ(P4,$P$3:$P$12)</f>
        <v>2</v>
      </c>
    </row>
    <row r="5" spans="1:19" x14ac:dyDescent="0.35">
      <c r="A5" t="s">
        <v>888</v>
      </c>
      <c r="C5" t="str">
        <f t="shared" si="2"/>
        <v>GLD</v>
      </c>
      <c r="E5" s="3" cm="1">
        <f t="array" ref="E5">_xll.FDS(C5,"FG_TOTAL_RETURNC(0,-1AM)")</f>
        <v>-1.4574468</v>
      </c>
      <c r="F5" s="3" cm="1">
        <f t="array" ref="F5">_xll.FDS(C5,"FG_TOTAL_RETURNC(0,-3AM)")</f>
        <v>4.5158386000000004</v>
      </c>
      <c r="G5" s="3" cm="1">
        <f t="array" ref="G5">_xll.FDS(C5,"FG_TOTAL_RETURNC(0,-6AM)")</f>
        <v>12.294352</v>
      </c>
      <c r="H5" s="9" cm="1">
        <f t="array" ref="H5">_xll.FDS(C5,"P_PRICE(0)/P_PRICE_HIGH_PR(0,,,USD,,,""PRICE"",""INTRA"",""52W"")")</f>
        <v>0.95280503999999999</v>
      </c>
      <c r="I5" s="177"/>
      <c r="K5" s="4">
        <f t="shared" si="3"/>
        <v>6</v>
      </c>
      <c r="L5" s="4">
        <f t="shared" si="4"/>
        <v>3</v>
      </c>
      <c r="M5" s="4">
        <f t="shared" si="4"/>
        <v>5</v>
      </c>
      <c r="N5" s="4"/>
      <c r="P5" s="3">
        <f t="shared" si="0"/>
        <v>4.62</v>
      </c>
      <c r="Q5">
        <f t="shared" si="1"/>
        <v>0</v>
      </c>
      <c r="S5" s="3">
        <f t="shared" si="5"/>
        <v>5</v>
      </c>
    </row>
    <row r="6" spans="1:19" x14ac:dyDescent="0.35">
      <c r="A6" t="s">
        <v>889</v>
      </c>
      <c r="C6" t="str">
        <f t="shared" si="2"/>
        <v>UUP</v>
      </c>
      <c r="E6" s="3" cm="1">
        <f t="array" ref="E6">_xll.FDS(C6,"FG_TOTAL_RETURNC(0,-1AM)")</f>
        <v>1.7819643000000001</v>
      </c>
      <c r="F6" s="3" cm="1">
        <f t="array" ref="F6">_xll.FDS(C6,"FG_TOTAL_RETURNC(0,-3AM)")</f>
        <v>2.6788829999999999</v>
      </c>
      <c r="G6" s="3" cm="1">
        <f t="array" ref="G6">_xll.FDS(C6,"FG_TOTAL_RETURNC(0,-6AM)")</f>
        <v>7.7292800000000002</v>
      </c>
      <c r="H6" s="9" cm="1">
        <f t="array" ref="H6">_xll.FDS(C6,"P_PRICE(0)/P_PRICE_HIGH_PR(0,,,USD,,,""PRICE"",""INTRA"",""52W"")")</f>
        <v>0.96568865000000004</v>
      </c>
      <c r="I6" s="177"/>
      <c r="K6" s="4">
        <f t="shared" si="3"/>
        <v>4</v>
      </c>
      <c r="L6" s="4">
        <f t="shared" si="4"/>
        <v>5</v>
      </c>
      <c r="M6" s="4">
        <f t="shared" si="4"/>
        <v>6</v>
      </c>
      <c r="N6" s="4"/>
      <c r="P6" s="3">
        <f t="shared" si="0"/>
        <v>4.95</v>
      </c>
      <c r="Q6">
        <f t="shared" si="1"/>
        <v>0</v>
      </c>
      <c r="S6" s="3">
        <f t="shared" si="5"/>
        <v>6</v>
      </c>
    </row>
    <row r="7" spans="1:19" x14ac:dyDescent="0.35">
      <c r="A7" t="s">
        <v>51</v>
      </c>
      <c r="C7" t="str">
        <f t="shared" si="2"/>
        <v>QQQ</v>
      </c>
      <c r="E7" s="3" cm="1">
        <f t="array" ref="E7">_xll.FDS(C7,"FG_TOTAL_RETURNC(0,-1AM)")</f>
        <v>4.3943167000000001</v>
      </c>
      <c r="F7" s="3" cm="1">
        <f t="array" ref="F7">_xll.FDS(C7,"FG_TOTAL_RETURNC(0,-3AM)")</f>
        <v>8.0785990000000005</v>
      </c>
      <c r="G7" s="3" cm="1">
        <f t="array" ref="G7">_xll.FDS(C7,"FG_TOTAL_RETURNC(0,-6AM)")</f>
        <v>16.826857</v>
      </c>
      <c r="H7" s="9" cm="1">
        <f t="array" ref="H7">_xll.FDS(C7,"P_PRICE(0)/P_PRICE_HIGH_PR(0,,,USD,,,""PRICE"",""INTRA"",""52W"")")</f>
        <v>0.98339485999999998</v>
      </c>
      <c r="I7" s="1"/>
      <c r="K7" s="4">
        <f t="shared" si="3"/>
        <v>2</v>
      </c>
      <c r="L7" s="4">
        <f t="shared" si="4"/>
        <v>1</v>
      </c>
      <c r="M7" s="4">
        <f t="shared" si="4"/>
        <v>2</v>
      </c>
      <c r="N7" s="4"/>
      <c r="P7" s="3">
        <f t="shared" si="0"/>
        <v>1.65</v>
      </c>
      <c r="Q7">
        <f t="shared" si="1"/>
        <v>0</v>
      </c>
      <c r="S7" s="3">
        <f t="shared" si="5"/>
        <v>1</v>
      </c>
    </row>
    <row r="8" spans="1:19" x14ac:dyDescent="0.35">
      <c r="A8" t="s">
        <v>890</v>
      </c>
      <c r="C8" t="str">
        <f t="shared" si="2"/>
        <v>DBA</v>
      </c>
      <c r="E8" s="3" cm="1">
        <f t="array" ref="E8">_xll.FDS(C8,"FG_TOTAL_RETURNC(0,-1AM)")</f>
        <v>-5.5930194999999996</v>
      </c>
      <c r="F8" s="3" cm="1">
        <f t="array" ref="F8">_xll.FDS(C8,"FG_TOTAL_RETURNC(0,-3AM)")</f>
        <v>-3.8772224999999998</v>
      </c>
      <c r="G8" s="3" cm="1">
        <f t="array" ref="G8">_xll.FDS(C8,"FG_TOTAL_RETURNC(0,-6AM)")</f>
        <v>13.064135</v>
      </c>
      <c r="H8" s="9" cm="1">
        <f t="array" ref="H8">_xll.FDS(C8,"P_PRICE(0)/P_PRICE_HIGH_PR(0,,,USD,,,""PRICE"",""INTRA"",""52W"")")</f>
        <v>0.89456869999999999</v>
      </c>
      <c r="I8" s="1"/>
      <c r="K8" s="4">
        <f t="shared" si="3"/>
        <v>9</v>
      </c>
      <c r="L8" s="4">
        <f t="shared" si="4"/>
        <v>10</v>
      </c>
      <c r="M8" s="4">
        <f t="shared" si="4"/>
        <v>4</v>
      </c>
      <c r="N8" s="4"/>
      <c r="P8" s="3">
        <f t="shared" si="0"/>
        <v>7.5900000000000007</v>
      </c>
      <c r="Q8">
        <f t="shared" si="1"/>
        <v>0</v>
      </c>
      <c r="S8" s="3">
        <f t="shared" si="5"/>
        <v>8</v>
      </c>
    </row>
    <row r="9" spans="1:19" x14ac:dyDescent="0.35">
      <c r="A9" t="s">
        <v>901</v>
      </c>
      <c r="C9" t="str">
        <f t="shared" si="2"/>
        <v>USO</v>
      </c>
      <c r="E9" s="3" cm="1">
        <f t="array" ref="E9">_xll.FDS(C9,"FG_TOTAL_RETURNC(0,-1AM)")</f>
        <v>2.4851800000000002</v>
      </c>
      <c r="F9" s="3" cm="1">
        <f t="array" ref="F9">_xll.FDS(C9,"FG_TOTAL_RETURNC(0,-3AM)")</f>
        <v>1.0923266</v>
      </c>
      <c r="G9" s="3" cm="1">
        <f t="array" ref="G9">_xll.FDS(C9,"FG_TOTAL_RETURNC(0,-6AM)")</f>
        <v>18.472754999999999</v>
      </c>
      <c r="H9" s="9" cm="1">
        <f t="array" ref="H9">_xll.FDS(C9,"P_PRICE(0)/P_PRICE_HIGH_PR(0,,,USD,,,""PRICE"",""INTRA"",""52W"")")</f>
        <v>0.95420205999999996</v>
      </c>
      <c r="I9" s="1"/>
      <c r="K9" s="4">
        <f t="shared" si="3"/>
        <v>5</v>
      </c>
      <c r="L9" s="4">
        <f t="shared" si="4"/>
        <v>6</v>
      </c>
      <c r="M9" s="4">
        <f t="shared" si="4"/>
        <v>1</v>
      </c>
      <c r="N9" s="4"/>
      <c r="P9" s="3">
        <f t="shared" si="0"/>
        <v>3.96</v>
      </c>
      <c r="Q9">
        <f t="shared" si="1"/>
        <v>0</v>
      </c>
      <c r="S9" s="3">
        <f t="shared" si="5"/>
        <v>3</v>
      </c>
    </row>
    <row r="10" spans="1:19" x14ac:dyDescent="0.35">
      <c r="A10" t="s">
        <v>891</v>
      </c>
      <c r="C10" t="str">
        <f t="shared" si="2"/>
        <v>TLT</v>
      </c>
      <c r="E10" s="3" cm="1">
        <f t="array" ref="E10">_xll.FDS(C10,"FG_TOTAL_RETURNC(0,-1AM)")</f>
        <v>2.2414803999999999</v>
      </c>
      <c r="F10" s="3" cm="1">
        <f t="array" ref="F10">_xll.FDS(C10,"FG_TOTAL_RETURNC(0,-3AM)")</f>
        <v>-2.0071268</v>
      </c>
      <c r="G10" s="3" cm="1">
        <f t="array" ref="G10">_xll.FDS(C10,"FG_TOTAL_RETURNC(0,-6AM)")</f>
        <v>-6.4900339999999996</v>
      </c>
      <c r="H10" s="9" cm="1">
        <f t="array" ref="H10">_xll.FDS(C10,"P_PRICE(0)/P_PRICE_HIGH_PR(0,,,USD,,,""PRICE"",""INTRA"",""52W"")")</f>
        <v>0.88886739999999997</v>
      </c>
      <c r="K10" s="4">
        <f t="shared" si="3"/>
        <v>10</v>
      </c>
      <c r="L10" s="4">
        <f t="shared" si="4"/>
        <v>8</v>
      </c>
      <c r="M10" s="4">
        <f t="shared" si="4"/>
        <v>10</v>
      </c>
      <c r="N10" s="4"/>
      <c r="P10" s="3">
        <f t="shared" si="0"/>
        <v>9.24</v>
      </c>
      <c r="Q10">
        <f t="shared" si="1"/>
        <v>0</v>
      </c>
      <c r="S10" s="3">
        <f t="shared" si="5"/>
        <v>10</v>
      </c>
    </row>
    <row r="11" spans="1:19" x14ac:dyDescent="0.35">
      <c r="A11" t="s">
        <v>536</v>
      </c>
      <c r="C11" t="str">
        <f t="shared" si="2"/>
        <v>VGK</v>
      </c>
      <c r="E11" s="3" cm="1">
        <f t="array" ref="E11">_xll.FDS(C11,"FG_TOTAL_RETURNC(0,-1AM)")</f>
        <v>-2.5761783</v>
      </c>
      <c r="F11" s="3" cm="1">
        <f t="array" ref="F11">_xll.FDS(C11,"FG_TOTAL_RETURNC(0,-3AM)")</f>
        <v>0.67900419999999995</v>
      </c>
      <c r="G11" s="3" cm="1">
        <f t="array" ref="G11">_xll.FDS(C11,"FG_TOTAL_RETURNC(0,-6AM)")</f>
        <v>5.8270574000000002</v>
      </c>
      <c r="H11" s="9" cm="1">
        <f t="array" ref="H11">_xll.FDS(C11,"P_PRICE(0)/P_PRICE_HIGH_PR(0,,,USD,,,""PRICE"",""INTRA"",""52W"")")</f>
        <v>0.944747</v>
      </c>
      <c r="K11" s="4">
        <f t="shared" si="3"/>
        <v>8</v>
      </c>
      <c r="L11" s="4">
        <f t="shared" si="4"/>
        <v>7</v>
      </c>
      <c r="M11" s="4">
        <f t="shared" si="4"/>
        <v>9</v>
      </c>
      <c r="P11" s="3">
        <f t="shared" si="0"/>
        <v>7.92</v>
      </c>
      <c r="Q11">
        <f t="shared" si="1"/>
        <v>0</v>
      </c>
      <c r="S11" s="3">
        <f t="shared" si="5"/>
        <v>9</v>
      </c>
    </row>
    <row r="12" spans="1:19" x14ac:dyDescent="0.35">
      <c r="A12" t="s">
        <v>46</v>
      </c>
      <c r="C12" t="str">
        <f t="shared" si="2"/>
        <v>EWJ</v>
      </c>
      <c r="E12" s="3" cm="1">
        <f t="array" ref="E12">_xll.FDS(C12,"FG_TOTAL_RETURNC(0,-1AM)")</f>
        <v>-0.1452446</v>
      </c>
      <c r="F12" s="3" cm="1">
        <f t="array" ref="F12">_xll.FDS(C12,"FG_TOTAL_RETURNC(0,-3AM)")</f>
        <v>-3.6440134</v>
      </c>
      <c r="G12" s="3" cm="1">
        <f t="array" ref="G12">_xll.FDS(C12,"FG_TOTAL_RETURNC(0,-6AM)")</f>
        <v>7.3547719999999996</v>
      </c>
      <c r="H12" s="9" cm="1">
        <f t="array" ref="H12">_xll.FDS(C12,"P_PRICE(0)/P_PRICE_HIGH_PR(0,,,USD,,,""PRICE"",""INTRA"",""52W"")")</f>
        <v>0.94692284000000004</v>
      </c>
      <c r="K12" s="4">
        <f t="shared" si="3"/>
        <v>7</v>
      </c>
      <c r="L12" s="4">
        <f t="shared" si="4"/>
        <v>9</v>
      </c>
      <c r="M12" s="4">
        <f t="shared" si="4"/>
        <v>7</v>
      </c>
      <c r="P12" s="3">
        <f t="shared" si="0"/>
        <v>7.59</v>
      </c>
      <c r="Q12">
        <f t="shared" si="1"/>
        <v>0</v>
      </c>
      <c r="S12" s="3">
        <f t="shared" si="5"/>
        <v>7</v>
      </c>
    </row>
    <row r="13" spans="1:19" x14ac:dyDescent="0.35">
      <c r="F13" s="3"/>
      <c r="G13" s="3"/>
      <c r="H13" s="9"/>
      <c r="K13" s="4"/>
      <c r="L13" s="4"/>
      <c r="M13" s="4"/>
      <c r="P13" s="4"/>
    </row>
    <row r="21" spans="3:3" ht="15" customHeight="1" x14ac:dyDescent="0.35"/>
    <row r="22" spans="3:3" ht="15" customHeight="1" x14ac:dyDescent="0.35"/>
    <row r="23" spans="3:3" ht="15" customHeight="1" x14ac:dyDescent="0.35"/>
    <row r="24" spans="3:3" ht="15" customHeight="1" x14ac:dyDescent="0.35">
      <c r="C24" s="1"/>
    </row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/>
    <row r="30" spans="3:3" ht="15" customHeight="1" x14ac:dyDescent="0.35"/>
    <row r="31" spans="3:3" ht="15" customHeight="1" x14ac:dyDescent="0.35">
      <c r="C31" s="1"/>
    </row>
    <row r="32" spans="3:3" ht="15" customHeight="1" x14ac:dyDescent="0.35"/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>
      <c r="C36" s="1"/>
    </row>
    <row r="37" spans="3:3" ht="15" customHeight="1" x14ac:dyDescent="0.35"/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>
      <c r="C41" s="1"/>
    </row>
    <row r="42" spans="3:3" ht="15" customHeight="1" x14ac:dyDescent="0.35">
      <c r="C42" s="1"/>
    </row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18"/>
  <sheetViews>
    <sheetView tabSelected="1" topLeftCell="C1" zoomScale="85" zoomScaleNormal="85" workbookViewId="0">
      <selection activeCell="K29" sqref="K29"/>
    </sheetView>
  </sheetViews>
  <sheetFormatPr defaultRowHeight="14.5" x14ac:dyDescent="0.35"/>
  <cols>
    <col min="2" max="2" width="13.453125" customWidth="1"/>
    <col min="3" max="3" width="34.453125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4.1796875" customWidth="1"/>
    <col min="13" max="13" width="18.1796875" customWidth="1"/>
    <col min="14" max="14" width="17.1796875" customWidth="1"/>
  </cols>
  <sheetData>
    <row r="2" spans="2:16" ht="18.75" customHeight="1" x14ac:dyDescent="0.35">
      <c r="D2" s="123">
        <f>Assumption!D72*Assumption!$D$71</f>
        <v>9.9989999999999996E-2</v>
      </c>
      <c r="E2" s="123">
        <f>Assumption!D73*Assumption!$D$71</f>
        <v>9.9989999999999996E-2</v>
      </c>
      <c r="F2" s="123">
        <f>Assumption!D74*Assumption!$D$71</f>
        <v>9.9989999999999996E-2</v>
      </c>
      <c r="G2" s="123"/>
      <c r="H2" s="123"/>
      <c r="I2" s="123">
        <f>Assumption!D76</f>
        <v>0.2</v>
      </c>
      <c r="J2" s="123">
        <f>Assumption!D78</f>
        <v>0.4</v>
      </c>
      <c r="K2" s="114"/>
      <c r="L2" s="123">
        <f>Assumption!D80</f>
        <v>0.1</v>
      </c>
      <c r="P2" s="50">
        <f>SUM(D2:N2)</f>
        <v>0.99996999999999991</v>
      </c>
    </row>
    <row r="4" spans="2:16" ht="60.75" customHeight="1" x14ac:dyDescent="0.35">
      <c r="B4" s="205" t="s">
        <v>544</v>
      </c>
      <c r="C4" s="206"/>
      <c r="D4" s="210" t="s">
        <v>778</v>
      </c>
      <c r="E4" s="211"/>
      <c r="F4" s="212"/>
      <c r="G4" s="213" t="s">
        <v>812</v>
      </c>
      <c r="H4" s="213" t="s">
        <v>812</v>
      </c>
      <c r="I4" s="203" t="s">
        <v>546</v>
      </c>
      <c r="J4" s="209" t="s">
        <v>543</v>
      </c>
      <c r="K4" s="209"/>
      <c r="L4" s="203" t="s">
        <v>549</v>
      </c>
      <c r="M4" s="203" t="s">
        <v>550</v>
      </c>
      <c r="N4" s="203" t="s">
        <v>737</v>
      </c>
    </row>
    <row r="5" spans="2:16" x14ac:dyDescent="0.35">
      <c r="B5" s="207"/>
      <c r="C5" s="208"/>
      <c r="D5" s="118" t="s">
        <v>545</v>
      </c>
      <c r="E5" s="118" t="s">
        <v>547</v>
      </c>
      <c r="F5" s="118" t="s">
        <v>914</v>
      </c>
      <c r="G5" s="214"/>
      <c r="H5" s="214"/>
      <c r="I5" s="204"/>
      <c r="J5" s="202" t="s">
        <v>553</v>
      </c>
      <c r="K5" s="152" t="s">
        <v>551</v>
      </c>
      <c r="L5" s="204"/>
      <c r="M5" s="204"/>
      <c r="N5" s="204"/>
    </row>
    <row r="6" spans="2:16" x14ac:dyDescent="0.35">
      <c r="B6" s="77" t="s">
        <v>42</v>
      </c>
      <c r="C6" s="166" t="str" cm="1">
        <f t="array" ref="C6">_xll.FDS(B6,"FG_COMPANY_NAME")</f>
        <v>iShares MSCI Switzerland ETF</v>
      </c>
      <c r="D6" s="153">
        <f>VLOOKUP(B6,'Value -2 '!$D$3:$AC$15,26,FALSE)</f>
        <v>64.2</v>
      </c>
      <c r="E6" s="120">
        <f>VLOOKUP(B6,'Quality - 2'!$B$2:$S$14,18,FALSE)</f>
        <v>85.7</v>
      </c>
      <c r="F6" s="153">
        <f>VLOOKUP(B6,Safety!$B$4:$R$16,17,FALSE)</f>
        <v>92.800000000000011</v>
      </c>
      <c r="G6" s="179">
        <f t="shared" ref="G6:G18" si="0">(D6*$D$2 +E6*$E$2 +F6*$F$2)/($D$2+$E$2+$F$2)</f>
        <v>80.900000000000006</v>
      </c>
      <c r="H6" s="124" cm="1">
        <f t="array" ref="H6">_xlfn.PERCENTRANK.EXC(_xlfn._xlws.FILTER($G$6:G$18, ISNUMBER($G$6:G$18)),G6)*100</f>
        <v>92.800000000000011</v>
      </c>
      <c r="I6" s="153">
        <f>VLOOKUP(B6,'LIQIDITY 2'!$A$3:$X$15,24,FALSE)</f>
        <v>85.7</v>
      </c>
      <c r="J6" s="120">
        <f ca="1">VLOOKUP(B6,'Momnetum ranking'!$A$3:$AJ$15,36,FALSE)</f>
        <v>64.2</v>
      </c>
      <c r="K6" s="163">
        <f>VLOOKUP(B6,'Momnetum ranking'!$A$3:$H$15,8,FALSE)</f>
        <v>0.39130434782608697</v>
      </c>
      <c r="L6" s="120">
        <f>VLOOKUP(B6,'Currency- 2'!$A$3:$U$15,21,FALSE)</f>
        <v>71.399999999999991</v>
      </c>
      <c r="M6" s="162">
        <f t="shared" ref="M6:M18" ca="1" si="1">D6*$D$2 + E6*$E$2 + F6*$F$2 + I6*$I$2 + J6*$J$2 + L6*$L$2</f>
        <v>74.227573000000007</v>
      </c>
      <c r="N6" s="120" cm="1">
        <f t="array" aca="1" ref="N6" ca="1">_xlfn.PERCENTRANK.EXC(_xlfn._xlws.FILTER($M$6:M$18, ISNUMBER($M$6:M$18)),M6)*100</f>
        <v>92.800000000000011</v>
      </c>
    </row>
    <row r="7" spans="2:16" x14ac:dyDescent="0.35">
      <c r="B7" s="78" t="s">
        <v>46</v>
      </c>
      <c r="C7" s="167" t="str" cm="1">
        <f t="array" ref="C7">_xll.FDS(B7,"FG_COMPANY_NAME")</f>
        <v>iShares MSCI Japan ETF</v>
      </c>
      <c r="D7" s="159">
        <f>VLOOKUP(B7,'Value -2 '!$D$3:$AC$15,26,FALSE)</f>
        <v>50</v>
      </c>
      <c r="E7" s="121">
        <f>VLOOKUP(B7,'Quality - 2'!$B$2:$S$14,18,FALSE)</f>
        <v>50</v>
      </c>
      <c r="F7" s="159">
        <f>VLOOKUP(B7,Safety!$B$4:$R$16,17,FALSE)</f>
        <v>78.5</v>
      </c>
      <c r="G7" s="180">
        <f t="shared" si="0"/>
        <v>59.500000000000007</v>
      </c>
      <c r="H7" s="125" cm="1">
        <f t="array" ref="H7">_xlfn.PERCENTRANK.EXC(_xlfn._xlws.FILTER($G$6:G$18, ISNUMBER($G$6:G$18)),G7)*100</f>
        <v>78.5</v>
      </c>
      <c r="I7" s="159">
        <f>VLOOKUP(B7,'LIQIDITY 2'!$A$3:$X$15,24,FALSE)</f>
        <v>7.1</v>
      </c>
      <c r="J7" s="121">
        <f ca="1">VLOOKUP(B7,'Momnetum ranking'!$A$3:$AJ$15,36,FALSE)</f>
        <v>35.699999999999996</v>
      </c>
      <c r="K7" s="161">
        <f>VLOOKUP(B7,'Momnetum ranking'!$A$3:$H$15,8,FALSE)</f>
        <v>0.51219512195121952</v>
      </c>
      <c r="L7" s="121">
        <f>VLOOKUP(B7,'Currency- 2'!$A$3:$U$15,21,FALSE)</f>
        <v>7.1</v>
      </c>
      <c r="M7" s="160">
        <f t="shared" ca="1" si="1"/>
        <v>34.258215</v>
      </c>
      <c r="N7" s="121" cm="1">
        <f t="array" aca="1" ref="N7" ca="1">_xlfn.PERCENTRANK.EXC(_xlfn._xlws.FILTER($M$6:M$18, ISNUMBER($M$6:M$18)),M7)*100</f>
        <v>21.4</v>
      </c>
    </row>
    <row r="8" spans="2:16" x14ac:dyDescent="0.35">
      <c r="B8" s="78" t="s">
        <v>51</v>
      </c>
      <c r="C8" s="167" t="str" cm="1">
        <f t="array" ref="C8">_xll.FDS(B8,"FG_COMPANY_NAME")</f>
        <v>Invesco QQQ Trust Series I</v>
      </c>
      <c r="D8" s="159">
        <f>VLOOKUP(B8,'Value -2 '!$D$3:$AC$15,26,FALSE)</f>
        <v>14.2</v>
      </c>
      <c r="E8" s="121">
        <f>VLOOKUP(B8,'Quality - 2'!$B$2:$S$14,18,FALSE)</f>
        <v>78.5</v>
      </c>
      <c r="F8" s="159">
        <f>VLOOKUP(B8,Safety!$B$4:$R$16,17,FALSE)</f>
        <v>57.099999999999994</v>
      </c>
      <c r="G8" s="180">
        <f t="shared" si="0"/>
        <v>49.933333333333337</v>
      </c>
      <c r="H8" s="125" cm="1">
        <f t="array" ref="H8">_xlfn.PERCENTRANK.EXC(_xlfn._xlws.FILTER($G$6:G$18, ISNUMBER($G$6:G$18)),G8)*100</f>
        <v>50</v>
      </c>
      <c r="I8" s="159">
        <f>VLOOKUP(B8,'LIQIDITY 2'!$A$3:$X$15,24,FALSE)</f>
        <v>21.4</v>
      </c>
      <c r="J8" s="121">
        <f ca="1">VLOOKUP(B8,'Momnetum ranking'!$A$3:$AJ$15,36,FALSE)</f>
        <v>92.800000000000011</v>
      </c>
      <c r="K8" s="161">
        <f>VLOOKUP(B8,'Momnetum ranking'!$A$3:$H$15,8,FALSE)</f>
        <v>0.34951456310679613</v>
      </c>
      <c r="L8" s="121">
        <f>VLOOKUP(B8,'Currency- 2'!$A$3:$U$15,21,FALSE)</f>
        <v>78.5</v>
      </c>
      <c r="M8" s="160">
        <f t="shared" ca="1" si="1"/>
        <v>64.228502000000006</v>
      </c>
      <c r="N8" s="121" cm="1">
        <f t="array" aca="1" ref="N8" ca="1">_xlfn.PERCENTRANK.EXC(_xlfn._xlws.FILTER($M$6:M$18, ISNUMBER($M$6:M$18)),M8)*100</f>
        <v>78.5</v>
      </c>
    </row>
    <row r="9" spans="2:16" x14ac:dyDescent="0.35">
      <c r="B9" s="78" t="s">
        <v>1</v>
      </c>
      <c r="C9" s="167" t="str" cm="1">
        <f t="array" ref="C9">_xll.FDS(B9,"FG_COMPANY_NAME")</f>
        <v>SPDR S&amp;P 500 ETF Trust</v>
      </c>
      <c r="D9" s="159">
        <f>VLOOKUP(B9,'Value -2 '!$D$3:$AC$15,26,FALSE)</f>
        <v>21.4</v>
      </c>
      <c r="E9" s="121">
        <f>VLOOKUP(B9,'Quality - 2'!$B$2:$S$14,18,FALSE)</f>
        <v>92.800000000000011</v>
      </c>
      <c r="F9" s="159">
        <f>VLOOKUP(B9,Safety!$B$4:$R$16,17,FALSE)</f>
        <v>42.8</v>
      </c>
      <c r="G9" s="180">
        <f t="shared" si="0"/>
        <v>52.333333333333343</v>
      </c>
      <c r="H9" s="125" cm="1">
        <f t="array" ref="H9">_xlfn.PERCENTRANK.EXC(_xlfn._xlws.FILTER($G$6:G$18, ISNUMBER($G$6:G$18)),G9)*100</f>
        <v>57.099999999999994</v>
      </c>
      <c r="I9" s="159">
        <f>VLOOKUP(B9,'LIQIDITY 2'!$A$3:$X$15,24,FALSE)</f>
        <v>21.4</v>
      </c>
      <c r="J9" s="121">
        <f ca="1">VLOOKUP(B9,'Momnetum ranking'!$A$3:$AJ$15,36,FALSE)</f>
        <v>85.7</v>
      </c>
      <c r="K9" s="161">
        <f>VLOOKUP(B9,'Momnetum ranking'!$A$3:$H$15,8,FALSE)</f>
        <v>0.30753968253968256</v>
      </c>
      <c r="L9" s="121">
        <f>VLOOKUP(B9,'Currency- 2'!$A$3:$U$15,21,FALSE)</f>
        <v>78.5</v>
      </c>
      <c r="M9" s="160">
        <f t="shared" ca="1" si="1"/>
        <v>62.108430000000006</v>
      </c>
      <c r="N9" s="121" cm="1">
        <f t="array" aca="1" ref="N9" ca="1">_xlfn.PERCENTRANK.EXC(_xlfn._xlws.FILTER($M$6:M$18, ISNUMBER($M$6:M$18)),M9)*100</f>
        <v>71.399999999999991</v>
      </c>
    </row>
    <row r="10" spans="2:16" x14ac:dyDescent="0.35">
      <c r="B10" s="78" t="s">
        <v>11</v>
      </c>
      <c r="C10" s="167" t="str" cm="1">
        <f t="array" ref="C10">_xll.FDS(B10,"FG_COMPANY_NAME")</f>
        <v>iShares MSCI Germany ETF</v>
      </c>
      <c r="D10" s="159">
        <f>VLOOKUP(B10,'Value -2 '!$D$3:$AC$15,26,FALSE)</f>
        <v>57.099999999999994</v>
      </c>
      <c r="E10" s="121">
        <f>VLOOKUP(B10,'Quality - 2'!$B$2:$S$14,18,FALSE)</f>
        <v>28.499999999999996</v>
      </c>
      <c r="F10" s="159">
        <f>VLOOKUP(B10,Safety!$B$4:$R$16,17,FALSE)</f>
        <v>35.699999999999996</v>
      </c>
      <c r="G10" s="180">
        <f t="shared" si="0"/>
        <v>40.43333333333333</v>
      </c>
      <c r="H10" s="125" cm="1">
        <f t="array" ref="H10">_xlfn.PERCENTRANK.EXC(_xlfn._xlws.FILTER($G$6:G$18, ISNUMBER($G$6:G$18)),G10)*100</f>
        <v>28.499999999999996</v>
      </c>
      <c r="I10" s="159">
        <f>VLOOKUP(B10,'LIQIDITY 2'!$A$3:$X$15,24,FALSE)</f>
        <v>64.2</v>
      </c>
      <c r="J10" s="121">
        <f ca="1">VLOOKUP(B10,'Momnetum ranking'!$A$3:$AJ$15,36,FALSE)</f>
        <v>28.499999999999996</v>
      </c>
      <c r="K10" s="161">
        <f>VLOOKUP(B10,'Momnetum ranking'!$A$3:$H$15,8,FALSE)</f>
        <v>0.42372881355932202</v>
      </c>
      <c r="L10" s="121">
        <f>VLOOKUP(B10,'Currency- 2'!$A$3:$U$15,21,FALSE)</f>
        <v>57.099999999999994</v>
      </c>
      <c r="M10" s="160">
        <f t="shared" ca="1" si="1"/>
        <v>42.078786999999998</v>
      </c>
      <c r="N10" s="121" cm="1">
        <f t="array" aca="1" ref="N10" ca="1">_xlfn.PERCENTRANK.EXC(_xlfn._xlws.FILTER($M$6:M$18, ISNUMBER($M$6:M$18)),M10)*100</f>
        <v>42.8</v>
      </c>
    </row>
    <row r="11" spans="2:16" x14ac:dyDescent="0.35">
      <c r="B11" s="78" t="s">
        <v>48</v>
      </c>
      <c r="C11" s="167" t="str" cm="1">
        <f t="array" ref="C11">_xll.FDS(B11,"FG_COMPANY_NAME")</f>
        <v>iShares MSCI United Kingdom ETF</v>
      </c>
      <c r="D11" s="159">
        <f>VLOOKUP(B11,'Value -2 '!$D$3:$AC$15,26,FALSE)</f>
        <v>85.7</v>
      </c>
      <c r="E11" s="121">
        <f>VLOOKUP(B11,'Quality - 2'!$B$2:$S$14,18,FALSE)</f>
        <v>57.099999999999994</v>
      </c>
      <c r="F11" s="159">
        <f>VLOOKUP(B11,Safety!$B$4:$R$16,17,FALSE)</f>
        <v>28.499999999999996</v>
      </c>
      <c r="G11" s="180">
        <f t="shared" si="0"/>
        <v>57.100000000000009</v>
      </c>
      <c r="H11" s="125" cm="1">
        <f t="array" ref="H11">_xlfn.PERCENTRANK.EXC(_xlfn._xlws.FILTER($G$6:G$18, ISNUMBER($G$6:G$18)),G11)*100</f>
        <v>71.399999999999991</v>
      </c>
      <c r="I11" s="159">
        <f>VLOOKUP(B11,'LIQIDITY 2'!$A$3:$X$15,24,FALSE)</f>
        <v>21.4</v>
      </c>
      <c r="J11" s="121">
        <f ca="1">VLOOKUP(B11,'Momnetum ranking'!$A$3:$AJ$15,36,FALSE)</f>
        <v>71.399999999999991</v>
      </c>
      <c r="K11" s="161">
        <f>VLOOKUP(B11,'Momnetum ranking'!$A$3:$H$15,8,FALSE)</f>
        <v>0.48148148148148145</v>
      </c>
      <c r="L11" s="121">
        <f>VLOOKUP(B11,'Currency- 2'!$A$3:$U$15,21,FALSE)</f>
        <v>42.8</v>
      </c>
      <c r="M11" s="160">
        <f t="shared" ca="1" si="1"/>
        <v>54.248287000000005</v>
      </c>
      <c r="N11" s="121" cm="1">
        <f t="array" aca="1" ref="N11" ca="1">_xlfn.PERCENTRANK.EXC(_xlfn._xlws.FILTER($M$6:M$18, ISNUMBER($M$6:M$18)),M11)*100</f>
        <v>64.2</v>
      </c>
    </row>
    <row r="12" spans="2:16" x14ac:dyDescent="0.35">
      <c r="B12" s="78" t="s">
        <v>49</v>
      </c>
      <c r="C12" s="167" t="str" cm="1">
        <f t="array" ref="C12">_xll.FDS(B12,"FG_COMPANY_NAME")</f>
        <v>iShares MSCI Canada ETF</v>
      </c>
      <c r="D12" s="159">
        <f>VLOOKUP(B12,'Value -2 '!$D$3:$AC$15,26,FALSE)</f>
        <v>42.8</v>
      </c>
      <c r="E12" s="121">
        <f>VLOOKUP(B12,'Quality - 2'!$B$2:$S$14,18,FALSE)</f>
        <v>64.2</v>
      </c>
      <c r="F12" s="159">
        <f>VLOOKUP(B12,Safety!$B$4:$R$16,17,FALSE)</f>
        <v>50</v>
      </c>
      <c r="G12" s="180">
        <f t="shared" si="0"/>
        <v>52.333333333333343</v>
      </c>
      <c r="H12" s="125" cm="1">
        <f t="array" ref="H12">_xlfn.PERCENTRANK.EXC(_xlfn._xlws.FILTER($G$6:G$18, ISNUMBER($G$6:G$18)),G12)*100</f>
        <v>57.099999999999994</v>
      </c>
      <c r="I12" s="159">
        <f>VLOOKUP(B12,'LIQIDITY 2'!$A$3:$X$15,24,FALSE)</f>
        <v>64.2</v>
      </c>
      <c r="J12" s="121">
        <f ca="1">VLOOKUP(B12,'Momnetum ranking'!$A$3:$AJ$15,36,FALSE)</f>
        <v>50</v>
      </c>
      <c r="K12" s="161">
        <f>VLOOKUP(B12,'Momnetum ranking'!$A$3:$H$15,8,FALSE)</f>
        <v>0.30681818181818182</v>
      </c>
      <c r="L12" s="121">
        <f>VLOOKUP(B12,'Currency- 2'!$A$3:$U$15,21,FALSE)</f>
        <v>21.4</v>
      </c>
      <c r="M12" s="160">
        <f t="shared" ca="1" si="1"/>
        <v>50.678430000000006</v>
      </c>
      <c r="N12" s="121" cm="1">
        <f t="array" aca="1" ref="N12" ca="1">_xlfn.PERCENTRANK.EXC(_xlfn._xlws.FILTER($M$6:M$18, ISNUMBER($M$6:M$18)),M12)*100</f>
        <v>57.099999999999994</v>
      </c>
    </row>
    <row r="13" spans="2:16" x14ac:dyDescent="0.35">
      <c r="B13" s="78" t="s">
        <v>44</v>
      </c>
      <c r="C13" s="167" t="str" cm="1">
        <f t="array" ref="C13">_xll.FDS(B13,"FG_COMPANY_NAME")</f>
        <v>iShares MSCI Australia ETF</v>
      </c>
      <c r="D13" s="159">
        <f>VLOOKUP(B13,'Value -2 '!$D$3:$AC$15,26,FALSE)</f>
        <v>28.499999999999996</v>
      </c>
      <c r="E13" s="121">
        <f>VLOOKUP(B13,'Quality - 2'!$B$2:$S$14,18,FALSE)</f>
        <v>14.2</v>
      </c>
      <c r="F13" s="159">
        <f>VLOOKUP(B13,Safety!$B$4:$R$16,17,FALSE)</f>
        <v>21.4</v>
      </c>
      <c r="G13" s="180">
        <f t="shared" si="0"/>
        <v>21.366666666666667</v>
      </c>
      <c r="H13" s="125" cm="1">
        <f t="array" ref="H13">_xlfn.PERCENTRANK.EXC(_xlfn._xlws.FILTER($G$6:G$18, ISNUMBER($G$6:G$18)),G13)*100</f>
        <v>7.1</v>
      </c>
      <c r="I13" s="159">
        <f>VLOOKUP(B13,'LIQIDITY 2'!$A$3:$X$15,24,FALSE)</f>
        <v>7.1</v>
      </c>
      <c r="J13" s="121">
        <f ca="1">VLOOKUP(B13,'Momnetum ranking'!$A$3:$AJ$15,36,FALSE)</f>
        <v>57.099999999999994</v>
      </c>
      <c r="K13" s="161">
        <f>VLOOKUP(B13,'Momnetum ranking'!$A$3:$H$15,8,FALSE)</f>
        <v>0.31666666666666665</v>
      </c>
      <c r="L13" s="121">
        <f>VLOOKUP(B13,'Currency- 2'!$A$3:$U$15,21,FALSE)</f>
        <v>64.2</v>
      </c>
      <c r="M13" s="160">
        <f t="shared" ca="1" si="1"/>
        <v>37.089359000000002</v>
      </c>
      <c r="N13" s="121" cm="1">
        <f t="array" aca="1" ref="N13" ca="1">_xlfn.PERCENTRANK.EXC(_xlfn._xlws.FILTER($M$6:M$18, ISNUMBER($M$6:M$18)),M13)*100</f>
        <v>28.499999999999996</v>
      </c>
    </row>
    <row r="14" spans="2:16" x14ac:dyDescent="0.35">
      <c r="B14" s="78" t="s">
        <v>431</v>
      </c>
      <c r="C14" s="167" t="str" cm="1">
        <f t="array" ref="C14">_xll.FDS(B14,"FG_COMPANY_NAME")</f>
        <v>iShares MSCI New Zealand ETF</v>
      </c>
      <c r="D14" s="159">
        <f>VLOOKUP(B14,'Value -2 '!$D$3:$AC$15,26,FALSE)</f>
        <v>7.1</v>
      </c>
      <c r="E14" s="121">
        <f>VLOOKUP(B14,'Quality - 2'!$B$2:$S$14,18,FALSE)</f>
        <v>21.4</v>
      </c>
      <c r="F14" s="159">
        <f>VLOOKUP(B14,Safety!$B$4:$R$16,17,FALSE)</f>
        <v>71.399999999999991</v>
      </c>
      <c r="G14" s="180">
        <f t="shared" si="0"/>
        <v>33.299999999999997</v>
      </c>
      <c r="H14" s="125" cm="1">
        <f t="array" ref="H14">_xlfn.PERCENTRANK.EXC(_xlfn._xlws.FILTER($G$6:G$18, ISNUMBER($G$6:G$18)),G14)*100</f>
        <v>14.2</v>
      </c>
      <c r="I14" s="159">
        <f>VLOOKUP(B14,'LIQIDITY 2'!$A$3:$X$15,24,FALSE)</f>
        <v>21.4</v>
      </c>
      <c r="J14" s="121">
        <f ca="1">VLOOKUP(B14,'Momnetum ranking'!$A$3:$AJ$15,36,FALSE)</f>
        <v>14.2</v>
      </c>
      <c r="K14" s="161">
        <f>VLOOKUP(B14,'Momnetum ranking'!$A$3:$H$15,8,FALSE)</f>
        <v>0.42857142857142855</v>
      </c>
      <c r="L14" s="121">
        <f>VLOOKUP(B14,'Currency- 2'!$A$3:$U$15,21,FALSE)</f>
        <v>14.2</v>
      </c>
      <c r="M14" s="160">
        <f t="shared" ca="1" si="1"/>
        <v>21.369000999999997</v>
      </c>
      <c r="N14" s="121" cm="1">
        <f t="array" aca="1" ref="N14" ca="1">_xlfn.PERCENTRANK.EXC(_xlfn._xlws.FILTER($M$6:M$18, ISNUMBER($M$6:M$18)),M14)*100</f>
        <v>7.1</v>
      </c>
    </row>
    <row r="15" spans="2:16" x14ac:dyDescent="0.35">
      <c r="B15" s="78" t="s">
        <v>865</v>
      </c>
      <c r="C15" s="167" t="str" cm="1">
        <f t="array" ref="C15">_xll.FDS(B15,"FG_COMPANY_NAME")</f>
        <v>iShares MSCI France ETF</v>
      </c>
      <c r="D15" s="159">
        <f>VLOOKUP(B15,'Value -2 '!$D$3:$AC$15,26,FALSE)</f>
        <v>71.399999999999991</v>
      </c>
      <c r="E15" s="121">
        <f>VLOOKUP(B15,'Quality - 2'!$B$2:$S$14,18,FALSE)</f>
        <v>71.399999999999991</v>
      </c>
      <c r="F15" s="159">
        <f>VLOOKUP(B15,Safety!$B$4:$R$16,17,FALSE)</f>
        <v>85.7</v>
      </c>
      <c r="G15" s="180">
        <f t="shared" si="0"/>
        <v>76.166666666666671</v>
      </c>
      <c r="H15" s="125" cm="1">
        <f t="array" ref="H15">_xlfn.PERCENTRANK.EXC(_xlfn._xlws.FILTER($G$6:G$18, ISNUMBER($G$6:G$18)),G15)*100</f>
        <v>85.7</v>
      </c>
      <c r="I15" s="159">
        <f>VLOOKUP(B15,'LIQIDITY 2'!$A$3:$X$15,24,FALSE)</f>
        <v>50</v>
      </c>
      <c r="J15" s="121">
        <f ca="1">VLOOKUP(B15,'Momnetum ranking'!$A$3:$AJ$15,36,FALSE)</f>
        <v>7.1</v>
      </c>
      <c r="K15" s="161">
        <f>VLOOKUP(B15,'Momnetum ranking'!$A$3:$H$15,8,FALSE)</f>
        <v>0.43548387096774194</v>
      </c>
      <c r="L15" s="121">
        <f>VLOOKUP(B15,'Currency- 2'!$A$3:$U$15,21,FALSE)</f>
        <v>50</v>
      </c>
      <c r="M15" s="160">
        <f t="shared" ca="1" si="1"/>
        <v>40.687714999999997</v>
      </c>
      <c r="N15" s="121" cm="1">
        <f t="array" aca="1" ref="N15" ca="1">_xlfn.PERCENTRANK.EXC(_xlfn._xlws.FILTER($M$6:M$18, ISNUMBER($M$6:M$18)),M15)*100</f>
        <v>35.699999999999996</v>
      </c>
    </row>
    <row r="16" spans="2:16" x14ac:dyDescent="0.35">
      <c r="B16" s="78" t="s">
        <v>867</v>
      </c>
      <c r="C16" s="167" t="str" cm="1">
        <f t="array" ref="C16">_xll.FDS(B16,"FG_COMPANY_NAME")</f>
        <v>iShares MSCI Netherlands ETF</v>
      </c>
      <c r="D16" s="159">
        <f>VLOOKUP(B16,'Value -2 '!$D$3:$AC$15,26,FALSE)</f>
        <v>35.699999999999996</v>
      </c>
      <c r="E16" s="121">
        <f>VLOOKUP(B16,'Quality - 2'!$B$2:$S$14,18,FALSE)</f>
        <v>35.699999999999996</v>
      </c>
      <c r="F16" s="159">
        <f>VLOOKUP(B16,Safety!$B$4:$R$16,17,FALSE)</f>
        <v>64.2</v>
      </c>
      <c r="G16" s="180">
        <f t="shared" si="0"/>
        <v>45.199999999999996</v>
      </c>
      <c r="H16" s="125" cm="1">
        <f t="array" ref="H16">_xlfn.PERCENTRANK.EXC(_xlfn._xlws.FILTER($G$6:G$18, ISNUMBER($G$6:G$18)),G16)*100</f>
        <v>42.8</v>
      </c>
      <c r="I16" s="159">
        <f>VLOOKUP(B16,'LIQIDITY 2'!$A$3:$X$15,24,FALSE)</f>
        <v>64.2</v>
      </c>
      <c r="J16" s="121">
        <f ca="1">VLOOKUP(B16,'Momnetum ranking'!$A$3:$AJ$15,36,FALSE)</f>
        <v>78.5</v>
      </c>
      <c r="K16" s="161">
        <f>VLOOKUP(B16,'Momnetum ranking'!$A$3:$H$15,8,FALSE)</f>
        <v>0.47169811320754718</v>
      </c>
      <c r="L16" s="121">
        <f>VLOOKUP(B16,'Currency- 2'!$A$3:$U$15,21,FALSE)</f>
        <v>92.800000000000011</v>
      </c>
      <c r="M16" s="160">
        <f t="shared" ca="1" si="1"/>
        <v>67.078643999999997</v>
      </c>
      <c r="N16" s="121" cm="1">
        <f t="array" aca="1" ref="N16" ca="1">_xlfn.PERCENTRANK.EXC(_xlfn._xlws.FILTER($M$6:M$18, ISNUMBER($M$6:M$18)),M16)*100</f>
        <v>85.7</v>
      </c>
    </row>
    <row r="17" spans="2:14" x14ac:dyDescent="0.35">
      <c r="B17" s="78" t="s">
        <v>864</v>
      </c>
      <c r="C17" s="167" t="str" cm="1">
        <f t="array" ref="C17">_xll.FDS(B17,"FG_COMPANY_NAME")</f>
        <v>iShares MSCI Sweden ETF</v>
      </c>
      <c r="D17" s="159">
        <f>VLOOKUP(B17,'Value -2 '!$D$3:$AC$15,26,FALSE)</f>
        <v>78.5</v>
      </c>
      <c r="E17" s="121">
        <f>VLOOKUP(B17,'Quality - 2'!$B$2:$S$14,18,FALSE)</f>
        <v>42.8</v>
      </c>
      <c r="F17" s="159">
        <f>VLOOKUP(B17,Safety!$B$4:$R$16,17,FALSE)</f>
        <v>7.1</v>
      </c>
      <c r="G17" s="180">
        <f t="shared" si="0"/>
        <v>42.800000000000004</v>
      </c>
      <c r="H17" s="125" cm="1">
        <f t="array" ref="H17">_xlfn.PERCENTRANK.EXC(_xlfn._xlws.FILTER($G$6:G$18, ISNUMBER($G$6:G$18)),G17)*100</f>
        <v>35.699999999999996</v>
      </c>
      <c r="I17" s="159">
        <f>VLOOKUP(B17,'LIQIDITY 2'!$A$3:$X$15,24,FALSE)</f>
        <v>85.7</v>
      </c>
      <c r="J17" s="121">
        <f ca="1">VLOOKUP(B17,'Momnetum ranking'!$A$3:$AJ$15,36,FALSE)</f>
        <v>42.8</v>
      </c>
      <c r="K17" s="161">
        <f>VLOOKUP(B17,'Momnetum ranking'!$A$3:$H$15,8,FALSE)</f>
        <v>0.19565217391304349</v>
      </c>
      <c r="L17" s="121">
        <f>VLOOKUP(B17,'Currency- 2'!$A$3:$U$15,21,FALSE)</f>
        <v>28.499999999999996</v>
      </c>
      <c r="M17" s="160">
        <f t="shared" ca="1" si="1"/>
        <v>49.948715999999997</v>
      </c>
      <c r="N17" s="121" cm="1">
        <f t="array" aca="1" ref="N17" ca="1">_xlfn.PERCENTRANK.EXC(_xlfn._xlws.FILTER($M$6:M$18, ISNUMBER($M$6:M$18)),M17)*100</f>
        <v>50</v>
      </c>
    </row>
    <row r="18" spans="2:14" x14ac:dyDescent="0.35">
      <c r="B18" s="79" t="s">
        <v>866</v>
      </c>
      <c r="C18" s="168" t="str" cm="1">
        <f t="array" ref="C18">_xll.FDS(B18,"FG_COMPANY_NAME")</f>
        <v>iShares MSCI Italy ETF</v>
      </c>
      <c r="D18" s="154">
        <f>VLOOKUP(B18,'Value -2 '!$D$3:$AC$15,26,FALSE)</f>
        <v>92.800000000000011</v>
      </c>
      <c r="E18" s="122">
        <f>VLOOKUP(B18,'Quality - 2'!$B$2:$S$14,18,FALSE)</f>
        <v>7.1</v>
      </c>
      <c r="F18" s="154">
        <f>VLOOKUP(B18,Safety!$B$4:$R$16,17,FALSE)</f>
        <v>14.2</v>
      </c>
      <c r="G18" s="181">
        <f t="shared" si="0"/>
        <v>38.033333333333346</v>
      </c>
      <c r="H18" s="126" cm="1">
        <f t="array" ref="H18">_xlfn.PERCENTRANK.EXC(_xlfn._xlws.FILTER($G$6:G$18, ISNUMBER($G$6:G$18)),G18)*100</f>
        <v>21.4</v>
      </c>
      <c r="I18" s="154">
        <f>VLOOKUP(B18,'LIQIDITY 2'!$A$3:$X$15,24,FALSE)</f>
        <v>50</v>
      </c>
      <c r="J18" s="122">
        <f ca="1">VLOOKUP(B18,'Momnetum ranking'!$A$3:$AJ$15,36,FALSE)</f>
        <v>21.4</v>
      </c>
      <c r="K18" s="165">
        <f>VLOOKUP(B18,'Momnetum ranking'!$A$3:$H$15,8,FALSE)</f>
        <v>0.33333333333333331</v>
      </c>
      <c r="L18" s="122">
        <f>VLOOKUP(B18,'Currency- 2'!$A$3:$U$15,21,FALSE)</f>
        <v>35.699999999999996</v>
      </c>
      <c r="M18" s="164">
        <f t="shared" ca="1" si="1"/>
        <v>33.538859000000002</v>
      </c>
      <c r="N18" s="122" cm="1">
        <f t="array" aca="1" ref="N18" ca="1">_xlfn.PERCENTRANK.EXC(_xlfn._xlws.FILTER($M$6:M$18, ISNUMBER($M$6:M$18)),M18)*100</f>
        <v>14.2</v>
      </c>
    </row>
  </sheetData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22"/>
  <sheetViews>
    <sheetView topLeftCell="C1" zoomScale="82" zoomScaleNormal="82" workbookViewId="0">
      <selection activeCell="R28" sqref="R28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29" t="s">
        <v>822</v>
      </c>
      <c r="D2" s="130">
        <v>0.5</v>
      </c>
      <c r="E2" s="62" t="s">
        <v>836</v>
      </c>
      <c r="F2" s="127">
        <v>0.1</v>
      </c>
      <c r="R2" s="144" t="s">
        <v>851</v>
      </c>
      <c r="S2" s="144" t="s">
        <v>851</v>
      </c>
    </row>
    <row r="3" spans="2:21" ht="15" thickBot="1" x14ac:dyDescent="0.4">
      <c r="C3" s="131" t="s">
        <v>823</v>
      </c>
      <c r="D3" s="132">
        <v>70</v>
      </c>
      <c r="E3" s="56" t="s">
        <v>824</v>
      </c>
      <c r="F3" s="58">
        <v>50</v>
      </c>
      <c r="R3" s="148">
        <f ca="1">COUNTIF(R9:R17,"&gt;0")</f>
        <v>8</v>
      </c>
      <c r="S3" s="148">
        <f ca="1">COUNTIF(S9:S17,"&gt;0")</f>
        <v>8</v>
      </c>
    </row>
    <row r="4" spans="2:21" ht="15" thickBot="1" x14ac:dyDescent="0.4">
      <c r="C4" s="131" t="s">
        <v>825</v>
      </c>
      <c r="D4" s="133">
        <v>0.3</v>
      </c>
      <c r="E4" s="56" t="s">
        <v>831</v>
      </c>
      <c r="F4" s="128">
        <v>0.1</v>
      </c>
    </row>
    <row r="5" spans="2:21" ht="15" thickBot="1" x14ac:dyDescent="0.4">
      <c r="C5" s="134" t="s">
        <v>826</v>
      </c>
      <c r="D5" s="135">
        <v>70</v>
      </c>
      <c r="E5" s="12" t="s">
        <v>823</v>
      </c>
      <c r="F5" s="14">
        <v>60</v>
      </c>
      <c r="Q5" s="62" t="s">
        <v>849</v>
      </c>
      <c r="R5" s="11"/>
    </row>
    <row r="6" spans="2:21" ht="15" thickBot="1" x14ac:dyDescent="0.4">
      <c r="Q6" s="12" t="s">
        <v>850</v>
      </c>
      <c r="R6" s="147">
        <v>0.01</v>
      </c>
    </row>
    <row r="7" spans="2:21" ht="15" thickBot="1" x14ac:dyDescent="0.4"/>
    <row r="8" spans="2:21" x14ac:dyDescent="0.35">
      <c r="B8" s="139" t="s">
        <v>827</v>
      </c>
      <c r="C8" s="139" t="s">
        <v>518</v>
      </c>
      <c r="D8" s="140" t="s">
        <v>544</v>
      </c>
      <c r="E8" s="140" t="s">
        <v>828</v>
      </c>
      <c r="F8" s="140" t="s">
        <v>543</v>
      </c>
      <c r="G8" s="140" t="s">
        <v>545</v>
      </c>
      <c r="H8" s="140" t="s">
        <v>546</v>
      </c>
      <c r="I8" s="140" t="s">
        <v>549</v>
      </c>
      <c r="J8" s="140" t="s">
        <v>832</v>
      </c>
      <c r="K8" s="140" t="s">
        <v>853</v>
      </c>
      <c r="L8" s="140" t="s">
        <v>833</v>
      </c>
      <c r="M8" s="140" t="s">
        <v>858</v>
      </c>
      <c r="N8" s="140" t="s">
        <v>834</v>
      </c>
      <c r="O8" s="140" t="s">
        <v>854</v>
      </c>
      <c r="P8" s="140" t="s">
        <v>835</v>
      </c>
      <c r="Q8" s="140" t="s">
        <v>855</v>
      </c>
      <c r="R8" s="155" t="s">
        <v>856</v>
      </c>
      <c r="S8" s="155" t="s">
        <v>857</v>
      </c>
    </row>
    <row r="9" spans="2:21" x14ac:dyDescent="0.35">
      <c r="B9" s="56" t="s">
        <v>431</v>
      </c>
      <c r="C9" s="56" t="str" cm="1">
        <f t="array" ref="C9">_xll.FDS(B9,"FG_COMPANY_NAME")</f>
        <v>iShares MSCI New Zealand ETF</v>
      </c>
      <c r="D9" t="s">
        <v>674</v>
      </c>
      <c r="E9" s="136">
        <f>HLOOKUP(B9,'Monthly Returns'!$A$1:$N$139,139,FALSE)</f>
        <v>0.19394930493645082</v>
      </c>
      <c r="F9">
        <f ca="1">VLOOKUP(B9,OUTPUT_COUNTRY!$B$6:$N$18, 9, FALSE)</f>
        <v>14.2</v>
      </c>
      <c r="G9" s="47">
        <f>IFERROR(VLOOKUP(B9,OUTPUT_COUNTRY!$B$6:$N$18, 7, FALSE),0)</f>
        <v>14.2</v>
      </c>
      <c r="H9">
        <f>VLOOKUP(B9,OUTPUT_COUNTRY!$B$6:$N$18, 8, FALSE)</f>
        <v>21.4</v>
      </c>
      <c r="I9">
        <f>VLOOKUP(B9,OUTPUT_COUNTRY!$B$6:$N$18, 11, FALSE)</f>
        <v>14.2</v>
      </c>
      <c r="J9" s="47">
        <f t="shared" ref="J9:J21" ca="1" si="0">IF(F9&gt;=$D$3,1/E9,0)</f>
        <v>0</v>
      </c>
      <c r="K9" s="136">
        <f ca="1">J9/$J$22</f>
        <v>0</v>
      </c>
      <c r="L9">
        <f t="shared" ref="L9:L21" si="1">IF(G9&gt;=$D$5,1/E9,0)</f>
        <v>0</v>
      </c>
      <c r="M9" s="136">
        <f>L9/$L$22</f>
        <v>0</v>
      </c>
      <c r="N9">
        <f t="shared" ref="N9:N21" si="2">IF(H9&gt;=$F$3,1/E9,0)</f>
        <v>0</v>
      </c>
      <c r="O9" s="136">
        <f>N9/$N$22</f>
        <v>0</v>
      </c>
      <c r="P9">
        <f t="shared" ref="P9:P21" si="3">IF(I9&gt;=$F$5,1/E9,0)</f>
        <v>0</v>
      </c>
      <c r="Q9" s="136">
        <f>P9/$P$22</f>
        <v>0</v>
      </c>
      <c r="R9" s="156" t="str">
        <f t="shared" ref="R9:R21" ca="1" si="4">IF($D$2*K9+$D$4*M9+$F$2*O9+$F$4*Q9 = 0,"",$D$2*K9+$D$4*M9+$F$2*O9+$F$4*Q9)</f>
        <v/>
      </c>
      <c r="S9" s="156" t="str">
        <f t="shared" ref="S9:S21" ca="1" si="5">IFERROR(IF(R9&gt;=$R$6, R9/SUMIF($R$9:$R$17,"&gt;="&amp;$R$6), ""),"")</f>
        <v/>
      </c>
      <c r="U9" s="50"/>
    </row>
    <row r="10" spans="2:21" x14ac:dyDescent="0.35">
      <c r="B10" s="56" t="s">
        <v>44</v>
      </c>
      <c r="C10" s="56" t="str" cm="1">
        <f t="array" ref="C10">_xll.FDS(B10,"FG_COMPANY_NAME")</f>
        <v>iShares MSCI Australia ETF</v>
      </c>
      <c r="D10" t="s">
        <v>576</v>
      </c>
      <c r="E10" s="136">
        <f>HLOOKUP(B10,'Monthly Returns'!$A$1:$N$139,139,FALSE)</f>
        <v>0.2271153076059568</v>
      </c>
      <c r="F10">
        <f ca="1">VLOOKUP(B10,OUTPUT_COUNTRY!$B$6:$N$18, 9, FALSE)</f>
        <v>57.099999999999994</v>
      </c>
      <c r="G10" s="47">
        <f>IFERROR(VLOOKUP(B10,OUTPUT_COUNTRY!$B$6:$N$18, 7, FALSE),0)</f>
        <v>7.1</v>
      </c>
      <c r="H10">
        <f>VLOOKUP(B10,OUTPUT_COUNTRY!$B$6:$N$18, 8, FALSE)</f>
        <v>7.1</v>
      </c>
      <c r="I10">
        <f>VLOOKUP(B10,OUTPUT_COUNTRY!$B$6:$N$18, 11, FALSE)</f>
        <v>64.2</v>
      </c>
      <c r="J10" s="47">
        <f t="shared" ca="1" si="0"/>
        <v>0</v>
      </c>
      <c r="K10" s="136">
        <f t="shared" ref="K10:K21" ca="1" si="6">J10/$J$22</f>
        <v>0</v>
      </c>
      <c r="L10">
        <f t="shared" si="1"/>
        <v>0</v>
      </c>
      <c r="M10" s="136">
        <f t="shared" ref="M10:M21" si="7">L10/$L$22</f>
        <v>0</v>
      </c>
      <c r="N10">
        <f t="shared" si="2"/>
        <v>0</v>
      </c>
      <c r="O10" s="136">
        <f t="shared" ref="O10:O21" si="8">N10/$N$22</f>
        <v>0</v>
      </c>
      <c r="P10">
        <f t="shared" si="3"/>
        <v>4.403049757152397</v>
      </c>
      <c r="Q10" s="136">
        <f t="shared" ref="Q10:Q21" si="9">P10/$P$22</f>
        <v>0.16932129721593087</v>
      </c>
      <c r="R10" s="156">
        <f t="shared" ca="1" si="4"/>
        <v>1.6932129721593088E-2</v>
      </c>
      <c r="S10" s="156">
        <f t="shared" ca="1" si="5"/>
        <v>2.252328906613351E-2</v>
      </c>
      <c r="U10" s="50"/>
    </row>
    <row r="11" spans="2:21" x14ac:dyDescent="0.35">
      <c r="B11" s="56" t="s">
        <v>49</v>
      </c>
      <c r="C11" s="56" t="str" cm="1">
        <f t="array" ref="C11">_xll.FDS(B11,"FG_COMPANY_NAME")</f>
        <v>iShares MSCI Canada ETF</v>
      </c>
      <c r="D11" t="s">
        <v>598</v>
      </c>
      <c r="E11" s="136">
        <f>HLOOKUP(B11,'Monthly Returns'!$A$1:$N$139,139,FALSE)</f>
        <v>0.20503901654460222</v>
      </c>
      <c r="F11">
        <f ca="1">VLOOKUP(B11,OUTPUT_COUNTRY!$B$6:$N$18, 9, FALSE)</f>
        <v>50</v>
      </c>
      <c r="G11" s="47">
        <f>IFERROR(VLOOKUP(B11,OUTPUT_COUNTRY!$B$6:$N$18, 7, FALSE),0)</f>
        <v>57.099999999999994</v>
      </c>
      <c r="H11">
        <f>VLOOKUP(B11,OUTPUT_COUNTRY!$B$6:$N$18, 8, FALSE)</f>
        <v>64.2</v>
      </c>
      <c r="I11">
        <f>VLOOKUP(B11,OUTPUT_COUNTRY!$B$6:$N$18, 11, FALSE)</f>
        <v>21.4</v>
      </c>
      <c r="J11" s="47">
        <f t="shared" ca="1" si="0"/>
        <v>0</v>
      </c>
      <c r="K11" s="136">
        <f t="shared" ca="1" si="6"/>
        <v>0</v>
      </c>
      <c r="L11">
        <f t="shared" si="1"/>
        <v>0</v>
      </c>
      <c r="M11" s="136">
        <f t="shared" si="7"/>
        <v>0</v>
      </c>
      <c r="N11">
        <f t="shared" si="2"/>
        <v>4.8771205444329162</v>
      </c>
      <c r="O11" s="136">
        <f t="shared" si="8"/>
        <v>0.14518675326876301</v>
      </c>
      <c r="P11">
        <f t="shared" si="3"/>
        <v>0</v>
      </c>
      <c r="Q11" s="136">
        <f t="shared" si="9"/>
        <v>0</v>
      </c>
      <c r="R11" s="156">
        <f t="shared" ca="1" si="4"/>
        <v>1.4518675326876302E-2</v>
      </c>
      <c r="S11" s="156">
        <f t="shared" ca="1" si="5"/>
        <v>1.9312887783250944E-2</v>
      </c>
      <c r="U11" s="50"/>
    </row>
    <row r="12" spans="2:21" x14ac:dyDescent="0.35">
      <c r="B12" s="56" t="s">
        <v>11</v>
      </c>
      <c r="C12" s="56" t="str" cm="1">
        <f t="array" ref="C12">_xll.FDS(B12,"FG_COMPANY_NAME")</f>
        <v>iShares MSCI Germany ETF</v>
      </c>
      <c r="D12" t="s">
        <v>625</v>
      </c>
      <c r="E12" s="136">
        <f>HLOOKUP(B12,'Monthly Returns'!$A$1:$N$139,139,FALSE)</f>
        <v>0.21931059093626754</v>
      </c>
      <c r="F12">
        <f ca="1">VLOOKUP(B12,OUTPUT_COUNTRY!$B$6:$N$18, 9, FALSE)</f>
        <v>28.499999999999996</v>
      </c>
      <c r="G12" s="47">
        <f>IFERROR(VLOOKUP(B12,OUTPUT_COUNTRY!$B$6:$N$18, 7, FALSE),0)</f>
        <v>28.499999999999996</v>
      </c>
      <c r="H12">
        <f>VLOOKUP(B12,OUTPUT_COUNTRY!$B$6:$N$18, 8, FALSE)</f>
        <v>64.2</v>
      </c>
      <c r="I12">
        <f>VLOOKUP(B12,OUTPUT_COUNTRY!$B$6:$N$18, 11, FALSE)</f>
        <v>57.099999999999994</v>
      </c>
      <c r="J12" s="47">
        <f t="shared" ca="1" si="0"/>
        <v>0</v>
      </c>
      <c r="K12" s="136">
        <f t="shared" ca="1" si="6"/>
        <v>0</v>
      </c>
      <c r="L12">
        <f t="shared" si="1"/>
        <v>0</v>
      </c>
      <c r="M12" s="136">
        <f t="shared" si="7"/>
        <v>0</v>
      </c>
      <c r="N12">
        <f t="shared" si="2"/>
        <v>4.5597433107578631</v>
      </c>
      <c r="O12" s="136">
        <f t="shared" si="8"/>
        <v>0.13573876655223616</v>
      </c>
      <c r="P12">
        <f t="shared" si="3"/>
        <v>0</v>
      </c>
      <c r="Q12" s="136">
        <f t="shared" si="9"/>
        <v>0</v>
      </c>
      <c r="R12" s="156">
        <f t="shared" ca="1" si="4"/>
        <v>1.3573876655223617E-2</v>
      </c>
      <c r="S12" s="156">
        <f t="shared" ca="1" si="5"/>
        <v>1.8056107098196626E-2</v>
      </c>
      <c r="U12" s="50"/>
    </row>
    <row r="13" spans="2:21" x14ac:dyDescent="0.35">
      <c r="B13" s="56" t="s">
        <v>46</v>
      </c>
      <c r="C13" s="56" t="str" cm="1">
        <f t="array" ref="C13">_xll.FDS(B13,"FG_COMPANY_NAME")</f>
        <v>iShares MSCI Japan ETF</v>
      </c>
      <c r="D13" t="s">
        <v>643</v>
      </c>
      <c r="E13" s="136">
        <f>HLOOKUP(B13,'Monthly Returns'!$A$1:$N$139,139,FALSE)</f>
        <v>0.15687544816088919</v>
      </c>
      <c r="F13">
        <f ca="1">VLOOKUP(B13,OUTPUT_COUNTRY!$B$6:$N$18, 9, FALSE)</f>
        <v>35.699999999999996</v>
      </c>
      <c r="G13" s="47">
        <f>IFERROR(VLOOKUP(B13,OUTPUT_COUNTRY!$B$6:$N$18, 7, FALSE),0)</f>
        <v>78.5</v>
      </c>
      <c r="H13">
        <f>VLOOKUP(B13,OUTPUT_COUNTRY!$B$6:$N$18, 8, FALSE)</f>
        <v>7.1</v>
      </c>
      <c r="I13">
        <f>VLOOKUP(B13,OUTPUT_COUNTRY!$B$6:$N$18, 11, FALSE)</f>
        <v>7.1</v>
      </c>
      <c r="J13" s="47">
        <f t="shared" ca="1" si="0"/>
        <v>0</v>
      </c>
      <c r="K13" s="136">
        <f t="shared" ca="1" si="6"/>
        <v>0</v>
      </c>
      <c r="L13">
        <f t="shared" si="1"/>
        <v>6.3744837813907917</v>
      </c>
      <c r="M13" s="136">
        <f t="shared" si="7"/>
        <v>0.28015346882376352</v>
      </c>
      <c r="N13">
        <f t="shared" si="2"/>
        <v>0</v>
      </c>
      <c r="O13" s="136">
        <f t="shared" si="8"/>
        <v>0</v>
      </c>
      <c r="P13">
        <f t="shared" si="3"/>
        <v>0</v>
      </c>
      <c r="Q13" s="136">
        <f t="shared" si="9"/>
        <v>0</v>
      </c>
      <c r="R13" s="156">
        <f t="shared" ca="1" si="4"/>
        <v>8.4046040647129047E-2</v>
      </c>
      <c r="S13" s="156">
        <f t="shared" ca="1" si="5"/>
        <v>0.11179888764643771</v>
      </c>
      <c r="U13" s="50"/>
    </row>
    <row r="14" spans="2:21" x14ac:dyDescent="0.35">
      <c r="B14" s="56" t="s">
        <v>42</v>
      </c>
      <c r="C14" s="56" t="str" cm="1">
        <f t="array" ref="C14">_xll.FDS(B14,"FG_COMPANY_NAME")</f>
        <v>iShares MSCI Switzerland ETF</v>
      </c>
      <c r="D14" t="s">
        <v>706</v>
      </c>
      <c r="E14" s="136">
        <f>HLOOKUP(B14,'Monthly Returns'!$A$1:$N$139,139,FALSE)</f>
        <v>0.16062283934197608</v>
      </c>
      <c r="F14">
        <f ca="1">VLOOKUP(B14,OUTPUT_COUNTRY!$B$6:$N$18, 9, FALSE)</f>
        <v>64.2</v>
      </c>
      <c r="G14" s="47">
        <f>IFERROR(VLOOKUP(B14,OUTPUT_COUNTRY!$B$6:$N$18, 7, FALSE),0)</f>
        <v>92.800000000000011</v>
      </c>
      <c r="H14">
        <f>VLOOKUP(B14,OUTPUT_COUNTRY!$B$6:$N$18, 8, FALSE)</f>
        <v>85.7</v>
      </c>
      <c r="I14">
        <f>VLOOKUP(B14,OUTPUT_COUNTRY!$B$6:$N$18, 11, FALSE)</f>
        <v>71.399999999999991</v>
      </c>
      <c r="J14" s="47">
        <f t="shared" ca="1" si="0"/>
        <v>0</v>
      </c>
      <c r="K14" s="136">
        <f t="shared" ca="1" si="6"/>
        <v>0</v>
      </c>
      <c r="L14">
        <f t="shared" si="1"/>
        <v>6.2257646801457511</v>
      </c>
      <c r="M14" s="136">
        <f t="shared" si="7"/>
        <v>0.27361738315424122</v>
      </c>
      <c r="N14">
        <f t="shared" si="2"/>
        <v>6.2257646801457511</v>
      </c>
      <c r="O14" s="136">
        <f t="shared" si="8"/>
        <v>0.18533447190627123</v>
      </c>
      <c r="P14">
        <f t="shared" si="3"/>
        <v>6.2257646801457511</v>
      </c>
      <c r="Q14" s="136">
        <f t="shared" si="9"/>
        <v>0.23941463529704951</v>
      </c>
      <c r="R14" s="156">
        <f t="shared" ca="1" si="4"/>
        <v>0.12456012566660445</v>
      </c>
      <c r="S14" s="156">
        <f t="shared" ca="1" si="5"/>
        <v>0.16569113056847568</v>
      </c>
      <c r="U14" s="50"/>
    </row>
    <row r="15" spans="2:21" x14ac:dyDescent="0.35">
      <c r="B15" s="56" t="s">
        <v>48</v>
      </c>
      <c r="C15" s="56" t="str" cm="1">
        <f t="array" ref="C15">_xll.FDS(B15,"FG_COMPANY_NAME")</f>
        <v>iShares MSCI United Kingdom ETF</v>
      </c>
      <c r="D15" t="s">
        <v>719</v>
      </c>
      <c r="E15" s="136">
        <f>HLOOKUP(B15,'Monthly Returns'!$A$1:$N$139,139,FALSE)</f>
        <v>0.18675395605904499</v>
      </c>
      <c r="F15">
        <f ca="1">VLOOKUP(B15,OUTPUT_COUNTRY!$B$6:$N$18, 9, FALSE)</f>
        <v>71.399999999999991</v>
      </c>
      <c r="G15" s="47">
        <f>IFERROR(VLOOKUP(B15,OUTPUT_COUNTRY!$B$6:$N$18, 7, FALSE),0)</f>
        <v>71.399999999999991</v>
      </c>
      <c r="H15">
        <f>VLOOKUP(B15,OUTPUT_COUNTRY!$B$6:$N$18, 8, FALSE)</f>
        <v>21.4</v>
      </c>
      <c r="I15">
        <f>VLOOKUP(B15,OUTPUT_COUNTRY!$B$6:$N$18, 11, FALSE)</f>
        <v>42.8</v>
      </c>
      <c r="J15" s="47">
        <f t="shared" ca="1" si="0"/>
        <v>5.354638911551814</v>
      </c>
      <c r="K15" s="136">
        <f t="shared" ca="1" si="6"/>
        <v>0.25830466259572871</v>
      </c>
      <c r="L15">
        <f t="shared" si="1"/>
        <v>5.354638911551814</v>
      </c>
      <c r="M15" s="136">
        <f t="shared" si="7"/>
        <v>0.23533210167532095</v>
      </c>
      <c r="N15">
        <f t="shared" si="2"/>
        <v>0</v>
      </c>
      <c r="O15" s="136">
        <f t="shared" si="8"/>
        <v>0</v>
      </c>
      <c r="P15">
        <f t="shared" si="3"/>
        <v>0</v>
      </c>
      <c r="Q15" s="136">
        <f t="shared" si="9"/>
        <v>0</v>
      </c>
      <c r="R15" s="156">
        <f t="shared" ca="1" si="4"/>
        <v>0.19975196180046062</v>
      </c>
      <c r="S15" s="156">
        <f t="shared" ca="1" si="5"/>
        <v>0.26571206641663564</v>
      </c>
      <c r="U15" s="50"/>
    </row>
    <row r="16" spans="2:21" x14ac:dyDescent="0.35">
      <c r="B16" s="56" t="s">
        <v>51</v>
      </c>
      <c r="C16" s="56" t="str" cm="1">
        <f t="array" ref="C16">_xll.FDS(B16,"FG_COMPANY_NAME")</f>
        <v>Invesco QQQ Trust Series I</v>
      </c>
      <c r="D16" t="s">
        <v>720</v>
      </c>
      <c r="E16" s="136">
        <f>HLOOKUP(B16,'Monthly Returns'!$A$1:$N$139,139,FALSE)</f>
        <v>0.20438120851438035</v>
      </c>
      <c r="F16">
        <f ca="1">VLOOKUP(B16,OUTPUT_COUNTRY!$B$6:$N$18, 9, FALSE)</f>
        <v>92.800000000000011</v>
      </c>
      <c r="G16" s="47">
        <f>IFERROR(VLOOKUP(B16,OUTPUT_COUNTRY!$B$6:$N$18, 7, FALSE),0)</f>
        <v>50</v>
      </c>
      <c r="H16">
        <f>VLOOKUP(B16,OUTPUT_COUNTRY!$B$6:$N$18, 8, FALSE)</f>
        <v>21.4</v>
      </c>
      <c r="I16">
        <f>VLOOKUP(B16,OUTPUT_COUNTRY!$B$6:$N$18, 11, FALSE)</f>
        <v>78.5</v>
      </c>
      <c r="J16" s="47">
        <f t="shared" ca="1" si="0"/>
        <v>4.8928177265848758</v>
      </c>
      <c r="K16" s="136">
        <f t="shared" ca="1" si="6"/>
        <v>0.23602667759377208</v>
      </c>
      <c r="L16">
        <f t="shared" si="1"/>
        <v>0</v>
      </c>
      <c r="M16" s="136">
        <f t="shared" si="7"/>
        <v>0</v>
      </c>
      <c r="N16">
        <f t="shared" si="2"/>
        <v>0</v>
      </c>
      <c r="O16" s="136">
        <f t="shared" si="8"/>
        <v>0</v>
      </c>
      <c r="P16">
        <f t="shared" si="3"/>
        <v>4.8928177265848758</v>
      </c>
      <c r="Q16" s="136">
        <f t="shared" si="9"/>
        <v>0.18815554903977402</v>
      </c>
      <c r="R16" s="156">
        <f t="shared" ca="1" si="4"/>
        <v>0.13682889370086343</v>
      </c>
      <c r="S16" s="156">
        <f t="shared" ca="1" si="5"/>
        <v>0.1820111690671504</v>
      </c>
      <c r="U16" s="50"/>
    </row>
    <row r="17" spans="2:21" x14ac:dyDescent="0.35">
      <c r="B17" s="56" t="s">
        <v>1</v>
      </c>
      <c r="C17" s="56" t="str" cm="1">
        <f t="array" ref="C17">_xll.FDS(B17,"FG_COMPANY_NAME")</f>
        <v>SPDR S&amp;P 500 ETF Trust</v>
      </c>
      <c r="D17" t="s">
        <v>720</v>
      </c>
      <c r="E17" s="136">
        <f>HLOOKUP(B17,'Monthly Returns'!$A$1:$N$139,139,FALSE)</f>
        <v>0.1731066603095068</v>
      </c>
      <c r="F17">
        <f ca="1">VLOOKUP(B17,OUTPUT_COUNTRY!$B$6:$N$18, 9, FALSE)</f>
        <v>85.7</v>
      </c>
      <c r="G17" s="47">
        <f>IFERROR(VLOOKUP(B17,OUTPUT_COUNTRY!$B$6:$N$18, 7, FALSE),0)</f>
        <v>57.099999999999994</v>
      </c>
      <c r="H17">
        <f>VLOOKUP(B17,OUTPUT_COUNTRY!$B$6:$N$18, 8, FALSE)</f>
        <v>21.4</v>
      </c>
      <c r="I17">
        <f>VLOOKUP(B17,OUTPUT_COUNTRY!$B$6:$N$18, 11, FALSE)</f>
        <v>78.5</v>
      </c>
      <c r="J17" s="47">
        <f t="shared" ca="1" si="0"/>
        <v>5.77678523871956</v>
      </c>
      <c r="K17" s="136">
        <f t="shared" ca="1" si="6"/>
        <v>0.27866875556376214</v>
      </c>
      <c r="L17">
        <f t="shared" si="1"/>
        <v>0</v>
      </c>
      <c r="M17" s="136">
        <f t="shared" si="7"/>
        <v>0</v>
      </c>
      <c r="N17">
        <f t="shared" si="2"/>
        <v>0</v>
      </c>
      <c r="O17" s="136">
        <f t="shared" si="8"/>
        <v>0</v>
      </c>
      <c r="P17">
        <f t="shared" si="3"/>
        <v>5.77678523871956</v>
      </c>
      <c r="Q17" s="136">
        <f t="shared" si="9"/>
        <v>0.22214892501928679</v>
      </c>
      <c r="R17" s="156">
        <f t="shared" ca="1" si="4"/>
        <v>0.16154927028380975</v>
      </c>
      <c r="S17" s="156">
        <f t="shared" ca="1" si="5"/>
        <v>0.2148944623537194</v>
      </c>
      <c r="U17" s="50"/>
    </row>
    <row r="18" spans="2:21" x14ac:dyDescent="0.35">
      <c r="B18" s="56" t="s">
        <v>865</v>
      </c>
      <c r="C18" s="56" t="str" cm="1">
        <f t="array" ref="C18">_xll.FDS(B18,"FG_COMPANY_NAME")</f>
        <v>iShares MSCI France ETF</v>
      </c>
      <c r="D18" t="s">
        <v>621</v>
      </c>
      <c r="E18" s="136">
        <f>HLOOKUP(B18,'Monthly Returns'!$A$1:$N$139,139,FALSE)</f>
        <v>0.20839173301323316</v>
      </c>
      <c r="F18">
        <f ca="1">VLOOKUP(B18,OUTPUT_COUNTRY!$B$6:$N$18, 9, FALSE)</f>
        <v>7.1</v>
      </c>
      <c r="G18" s="47">
        <f>IFERROR(VLOOKUP(B18,OUTPUT_COUNTRY!$B$6:$N$18, 7, FALSE),0)</f>
        <v>85.7</v>
      </c>
      <c r="H18">
        <f>VLOOKUP(B18,OUTPUT_COUNTRY!$B$6:$N$18, 8, FALSE)</f>
        <v>50</v>
      </c>
      <c r="I18">
        <f>VLOOKUP(B18,OUTPUT_COUNTRY!$B$6:$N$18, 11, FALSE)</f>
        <v>50</v>
      </c>
      <c r="J18" s="47">
        <f t="shared" ca="1" si="0"/>
        <v>0</v>
      </c>
      <c r="K18" s="136">
        <f t="shared" ca="1" si="6"/>
        <v>0</v>
      </c>
      <c r="L18">
        <f t="shared" si="1"/>
        <v>4.798654848445925</v>
      </c>
      <c r="M18" s="136">
        <f t="shared" si="7"/>
        <v>0.21089704634667425</v>
      </c>
      <c r="N18">
        <f t="shared" si="2"/>
        <v>4.798654848445925</v>
      </c>
      <c r="O18" s="136">
        <f t="shared" si="8"/>
        <v>0.14285091195839622</v>
      </c>
      <c r="P18">
        <f t="shared" si="3"/>
        <v>0</v>
      </c>
      <c r="Q18" s="136">
        <f t="shared" si="9"/>
        <v>0</v>
      </c>
      <c r="R18" s="156">
        <f t="shared" ca="1" si="4"/>
        <v>7.75542050998419E-2</v>
      </c>
      <c r="S18" s="156">
        <f t="shared" ca="1" si="5"/>
        <v>0.10316338278050922</v>
      </c>
    </row>
    <row r="19" spans="2:21" x14ac:dyDescent="0.35">
      <c r="B19" s="56" t="s">
        <v>867</v>
      </c>
      <c r="C19" s="56" t="str" cm="1">
        <f t="array" ref="C19">_xll.FDS(B19,"FG_COMPANY_NAME")</f>
        <v>iShares MSCI Netherlands ETF</v>
      </c>
      <c r="D19" t="s">
        <v>673</v>
      </c>
      <c r="E19" s="136">
        <f>HLOOKUP(B19,'Monthly Returns'!$A$1:$N$139,139,FALSE)</f>
        <v>0.21250853725389879</v>
      </c>
      <c r="F19">
        <f ca="1">VLOOKUP(B19,OUTPUT_COUNTRY!$B$6:$N$18, 9, FALSE)</f>
        <v>78.5</v>
      </c>
      <c r="G19" s="47">
        <f>IFERROR(VLOOKUP(B19,OUTPUT_COUNTRY!$B$6:$N$18, 7, FALSE),0)</f>
        <v>42.8</v>
      </c>
      <c r="H19">
        <f>VLOOKUP(B19,OUTPUT_COUNTRY!$B$6:$N$18, 8, FALSE)</f>
        <v>64.2</v>
      </c>
      <c r="I19">
        <f>VLOOKUP(B19,OUTPUT_COUNTRY!$B$6:$N$18, 11, FALSE)</f>
        <v>92.800000000000011</v>
      </c>
      <c r="J19" s="47">
        <f t="shared" ca="1" si="0"/>
        <v>4.7056933002424755</v>
      </c>
      <c r="K19" s="136">
        <f t="shared" ca="1" si="6"/>
        <v>0.22699990424673697</v>
      </c>
      <c r="L19">
        <f t="shared" si="1"/>
        <v>0</v>
      </c>
      <c r="M19" s="136">
        <f t="shared" si="7"/>
        <v>0</v>
      </c>
      <c r="N19">
        <f t="shared" si="2"/>
        <v>4.7056933002424755</v>
      </c>
      <c r="O19" s="136">
        <f t="shared" si="8"/>
        <v>0.14008354436115636</v>
      </c>
      <c r="P19">
        <f t="shared" si="3"/>
        <v>4.7056933002424755</v>
      </c>
      <c r="Q19" s="136">
        <f t="shared" si="9"/>
        <v>0.18095959342795886</v>
      </c>
      <c r="R19" s="156">
        <f t="shared" ca="1" si="4"/>
        <v>0.14560426590228001</v>
      </c>
      <c r="S19" s="156">
        <f t="shared" ca="1" si="5"/>
        <v>0.19368425733219954</v>
      </c>
    </row>
    <row r="20" spans="2:21" x14ac:dyDescent="0.35">
      <c r="B20" s="56" t="s">
        <v>864</v>
      </c>
      <c r="C20" s="56" t="str" cm="1">
        <f t="array" ref="C20">_xll.FDS(B20,"FG_COMPANY_NAME")</f>
        <v>iShares MSCI Sweden ETF</v>
      </c>
      <c r="D20" t="s">
        <v>705</v>
      </c>
      <c r="E20" s="136">
        <f>HLOOKUP(B20,'Monthly Returns'!$A$1:$N$139,139,FALSE)</f>
        <v>0.24179174386855801</v>
      </c>
      <c r="F20">
        <f ca="1">VLOOKUP(B20,OUTPUT_COUNTRY!$B$6:$N$18, 9, FALSE)</f>
        <v>42.8</v>
      </c>
      <c r="G20" s="47">
        <f>IFERROR(VLOOKUP(B20,OUTPUT_COUNTRY!$B$6:$N$18, 7, FALSE),0)</f>
        <v>35.699999999999996</v>
      </c>
      <c r="H20">
        <f>VLOOKUP(B20,OUTPUT_COUNTRY!$B$6:$N$18, 8, FALSE)</f>
        <v>85.7</v>
      </c>
      <c r="I20">
        <f>VLOOKUP(B20,OUTPUT_COUNTRY!$B$6:$N$18, 11, FALSE)</f>
        <v>28.499999999999996</v>
      </c>
      <c r="J20" s="47">
        <f t="shared" ca="1" si="0"/>
        <v>0</v>
      </c>
      <c r="K20" s="136">
        <f t="shared" ca="1" si="6"/>
        <v>0</v>
      </c>
      <c r="L20">
        <f t="shared" si="1"/>
        <v>0</v>
      </c>
      <c r="M20" s="136">
        <f t="shared" si="7"/>
        <v>0</v>
      </c>
      <c r="N20">
        <f t="shared" si="2"/>
        <v>4.1357905112906446</v>
      </c>
      <c r="O20" s="136">
        <f t="shared" si="8"/>
        <v>0.12311813724174914</v>
      </c>
      <c r="P20">
        <f t="shared" si="3"/>
        <v>0</v>
      </c>
      <c r="Q20" s="136">
        <f t="shared" si="9"/>
        <v>0</v>
      </c>
      <c r="R20" s="156">
        <f t="shared" ca="1" si="4"/>
        <v>1.2311813724174914E-2</v>
      </c>
      <c r="S20" s="156">
        <f t="shared" ca="1" si="5"/>
        <v>1.6377298307864066E-2</v>
      </c>
    </row>
    <row r="21" spans="2:21" ht="15" thickBot="1" x14ac:dyDescent="0.4">
      <c r="B21" s="12" t="s">
        <v>866</v>
      </c>
      <c r="C21" s="12" t="str" cm="1">
        <f t="array" ref="C21">_xll.FDS(B21,"FG_COMPANY_NAME")</f>
        <v>iShares MSCI Italy ETF</v>
      </c>
      <c r="D21" s="13" t="s">
        <v>641</v>
      </c>
      <c r="E21" s="137">
        <f>HLOOKUP(B21,'Monthly Returns'!$A$1:$N$139,139,FALSE)</f>
        <v>0.23313925787289574</v>
      </c>
      <c r="F21" s="13">
        <f ca="1">VLOOKUP(B21,OUTPUT_COUNTRY!$B$6:$N$18, 9, FALSE)</f>
        <v>21.4</v>
      </c>
      <c r="G21" s="138">
        <f>IFERROR(VLOOKUP(B21,OUTPUT_COUNTRY!$B$6:$N$18, 7, FALSE),0)</f>
        <v>21.4</v>
      </c>
      <c r="H21" s="13">
        <f>VLOOKUP(B21,OUTPUT_COUNTRY!$B$6:$N$18, 8, FALSE)</f>
        <v>50</v>
      </c>
      <c r="I21" s="13">
        <f>VLOOKUP(B21,OUTPUT_COUNTRY!$B$6:$N$18, 11, FALSE)</f>
        <v>35.699999999999996</v>
      </c>
      <c r="J21" s="138">
        <f t="shared" ca="1" si="0"/>
        <v>0</v>
      </c>
      <c r="K21" s="137">
        <f t="shared" ca="1" si="6"/>
        <v>0</v>
      </c>
      <c r="L21" s="13">
        <f t="shared" si="1"/>
        <v>0</v>
      </c>
      <c r="M21" s="137">
        <f t="shared" si="7"/>
        <v>0</v>
      </c>
      <c r="N21" s="13">
        <f t="shared" si="2"/>
        <v>4.2892819044023289</v>
      </c>
      <c r="O21" s="137">
        <f t="shared" si="8"/>
        <v>0.12768741471142792</v>
      </c>
      <c r="P21" s="13">
        <f t="shared" si="3"/>
        <v>0</v>
      </c>
      <c r="Q21" s="137">
        <f t="shared" si="9"/>
        <v>0</v>
      </c>
      <c r="R21" s="157">
        <f t="shared" ca="1" si="4"/>
        <v>1.2768741471142792E-2</v>
      </c>
      <c r="S21" s="157">
        <f t="shared" ca="1" si="5"/>
        <v>1.6985108187454707E-2</v>
      </c>
    </row>
    <row r="22" spans="2:21" x14ac:dyDescent="0.35">
      <c r="J22" s="47">
        <f ca="1">SUM(J9:J21)</f>
        <v>20.729935177098728</v>
      </c>
      <c r="K22" s="169"/>
      <c r="L22">
        <f>SUM(L9:L21)</f>
        <v>22.753542221534282</v>
      </c>
      <c r="N22">
        <f>SUM(N9:N21)</f>
        <v>33.592049099717904</v>
      </c>
      <c r="P22">
        <f>SUM(P9:P21)</f>
        <v>26.004110702845058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16"/>
  <sheetViews>
    <sheetView topLeftCell="B1" zoomScale="95" zoomScaleNormal="95" workbookViewId="0">
      <selection activeCell="D21" sqref="D21"/>
    </sheetView>
  </sheetViews>
  <sheetFormatPr defaultRowHeight="14.5" x14ac:dyDescent="0.35"/>
  <cols>
    <col min="3" max="3" width="8.453125" bestFit="1" customWidth="1"/>
    <col min="4" max="4" width="34.453125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9" t="s">
        <v>544</v>
      </c>
      <c r="D2" s="209"/>
      <c r="E2" s="209" t="s">
        <v>778</v>
      </c>
      <c r="F2" s="209"/>
      <c r="G2" s="209"/>
      <c r="H2" s="215" t="s">
        <v>778</v>
      </c>
      <c r="I2" s="209" t="s">
        <v>546</v>
      </c>
      <c r="J2" s="209" t="s">
        <v>543</v>
      </c>
      <c r="K2" s="209" t="s">
        <v>549</v>
      </c>
      <c r="L2" s="209" t="s">
        <v>737</v>
      </c>
    </row>
    <row r="3" spans="3:12" x14ac:dyDescent="0.35">
      <c r="C3" s="203"/>
      <c r="D3" s="203"/>
      <c r="E3" s="152" t="s">
        <v>545</v>
      </c>
      <c r="F3" s="152" t="s">
        <v>547</v>
      </c>
      <c r="G3" s="152" t="s">
        <v>914</v>
      </c>
      <c r="H3" s="213"/>
      <c r="I3" s="203"/>
      <c r="J3" s="203"/>
      <c r="K3" s="203"/>
      <c r="L3" s="203"/>
    </row>
    <row r="4" spans="3:12" x14ac:dyDescent="0.35">
      <c r="C4" s="77" t="s">
        <v>42</v>
      </c>
      <c r="D4" s="166" t="str" cm="1">
        <f t="array" ref="D4">_xll.FDS(C4,"FG_COMPANY_NAME")</f>
        <v>iShares MSCI Switzerland ETF</v>
      </c>
      <c r="E4" s="153" t="str">
        <f>IF(VLOOKUP(C4,OUTPUT_COUNTRY!$B$6:$N$18,3,FALSE)&gt;75,"++",(IF(VLOOKUP(C4,OUTPUT_COUNTRY!$B$6:$N$18,3,FALSE)&gt;50,"+",(IF(VLOOKUP(C4,OUTPUT_COUNTRY!$B$6:$N$18,3,FALSE)&gt;25,"-","--")))))</f>
        <v>+</v>
      </c>
      <c r="F4" s="120" t="str">
        <f>IF(VLOOKUP(C4,OUTPUT_COUNTRY!$B$6:$N$18,4,FALSE)&gt;75,"++",(IF(VLOOKUP(C4,OUTPUT_COUNTRY!$B$6:$N$18,4,FALSE)&gt;50,"+",(IF(VLOOKUP(C4,OUTPUT_COUNTRY!$B$6:$N$18,4,FALSE)&gt;25,"-","--")))))</f>
        <v>++</v>
      </c>
      <c r="G4" s="153" t="str">
        <f>IF(VLOOKUP(C4,OUTPUT_COUNTRY!$B$6:$N$18,5,FALSE)&gt;75,"++",(IF(VLOOKUP(C4,OUTPUT_COUNTRY!$B$6:$N$18,5,FALSE)&gt;50,"+",(IF(VLOOKUP(C4,OUTPUT_COUNTRY!$B$6:$N$18,5,FALSE)&gt;25,"-","--")))))</f>
        <v>++</v>
      </c>
      <c r="H4" s="120" t="str">
        <f>IF(VLOOKUP(C4,OUTPUT_COUNTRY!$B$6:$N$18,7,FALSE)&gt;75,"++",(IF(VLOOKUP(C4,OUTPUT_COUNTRY!$B$6:$N$18,7,FALSE)&gt;50,"+",(IF(VLOOKUP(C4,OUTPUT_COUNTRY!$B$6:$N$18,7,FALSE)&gt;25,"-","--")))))</f>
        <v>++</v>
      </c>
      <c r="I4" s="153" t="str">
        <f>IF(VLOOKUP(C4,OUTPUT_COUNTRY!$B$6:$N$18,8,FALSE)&gt;75,"++",(IF(VLOOKUP(C4,OUTPUT_COUNTRY!$B$6:$N$18,8,FALSE)&gt;50,"+",(IF(VLOOKUP(C4,OUTPUT_COUNTRY!$B$6:$N$18,8,FALSE)&gt;25,"-","--")))))</f>
        <v>++</v>
      </c>
      <c r="J4" s="120" t="str">
        <f ca="1">IF(VLOOKUP(C4,OUTPUT_COUNTRY!$B$6:$N$18,9,FALSE)&gt;75,"++",(IF(VLOOKUP(C4,OUTPUT_COUNTRY!$B$6:$N$18,9,FALSE)&gt;50,"+",(IF(VLOOKUP(C4,OUTPUT_COUNTRY!$B$6:$N$18,9,FALSE)&gt;25,"-","--")))))</f>
        <v>+</v>
      </c>
      <c r="K4" s="153" t="str">
        <f>IF(VLOOKUP(C4,OUTPUT_COUNTRY!$B$6:$N$18,11,FALSE)&gt;75,"++",(IF(VLOOKUP(C4,OUTPUT_COUNTRY!$B$6:$N$18,11,FALSE)&gt;50,"+",(IF(VLOOKUP(C4,OUTPUT_COUNTRY!$B$6:$N$18,11,FALSE)&gt;25,"-","--")))))</f>
        <v>+</v>
      </c>
      <c r="L4" s="120" t="str">
        <f ca="1">IF(VLOOKUP(C4,OUTPUT_COUNTRY!$B$6:$N$18,13,FALSE)&gt;75,"++",(IF(VLOOKUP(C4,OUTPUT_COUNTRY!$B$6:$N$18,13,FALSE)&gt;50,"+",(IF(VLOOKUP(C4,OUTPUT_COUNTRY!$B$6:$N$18,13,FALSE)&gt;25,"-","--")))))</f>
        <v>++</v>
      </c>
    </row>
    <row r="5" spans="3:12" x14ac:dyDescent="0.35">
      <c r="C5" s="78" t="s">
        <v>46</v>
      </c>
      <c r="D5" s="167" t="str" cm="1">
        <f t="array" ref="D5">_xll.FDS(C5,"FG_COMPANY_NAME")</f>
        <v>iShares MSCI Japan ETF</v>
      </c>
      <c r="E5" s="159" t="str">
        <f>IF(VLOOKUP(C5,OUTPUT_COUNTRY!$B$6:$N$18,3,FALSE)&gt;75,"++",(IF(VLOOKUP(C5,OUTPUT_COUNTRY!$B$6:$N$18,3,FALSE)&gt;50,"+",(IF(VLOOKUP(C5,OUTPUT_COUNTRY!$B$6:$N$18,3,FALSE)&gt;25,"-","--")))))</f>
        <v>-</v>
      </c>
      <c r="F5" s="121" t="str">
        <f>IF(VLOOKUP(C5,OUTPUT_COUNTRY!$B$6:$N$18,4,FALSE)&gt;75,"++",(IF(VLOOKUP(C5,OUTPUT_COUNTRY!$B$6:$N$18,4,FALSE)&gt;50,"+",(IF(VLOOKUP(C5,OUTPUT_COUNTRY!$B$6:$N$18,4,FALSE)&gt;25,"-","--")))))</f>
        <v>-</v>
      </c>
      <c r="G5" s="159" t="str">
        <f>IF(VLOOKUP(C5,OUTPUT_COUNTRY!$B$6:$N$18,5,FALSE)&gt;75,"++",(IF(VLOOKUP(C5,OUTPUT_COUNTRY!$B$6:$N$18,5,FALSE)&gt;50,"+",(IF(VLOOKUP(C5,OUTPUT_COUNTRY!$B$6:$N$18,5,FALSE)&gt;25,"-","--")))))</f>
        <v>++</v>
      </c>
      <c r="H5" s="121" t="str">
        <f>IF(VLOOKUP(C5,OUTPUT_COUNTRY!$B$6:$N$18,7,FALSE)&gt;75,"++",(IF(VLOOKUP(C5,OUTPUT_COUNTRY!$B$6:$N$18,7,FALSE)&gt;50,"+",(IF(VLOOKUP(C5,OUTPUT_COUNTRY!$B$6:$N$18,7,FALSE)&gt;25,"-","--")))))</f>
        <v>++</v>
      </c>
      <c r="I5" s="159" t="str">
        <f>IF(VLOOKUP(C5,OUTPUT_COUNTRY!$B$6:$N$18,8,FALSE)&gt;75,"++",(IF(VLOOKUP(C5,OUTPUT_COUNTRY!$B$6:$N$18,8,FALSE)&gt;50,"+",(IF(VLOOKUP(C5,OUTPUT_COUNTRY!$B$6:$N$18,8,FALSE)&gt;25,"-","--")))))</f>
        <v>--</v>
      </c>
      <c r="J5" s="121" t="str">
        <f ca="1">IF(VLOOKUP(C5,OUTPUT_COUNTRY!$B$6:$N$18,9,FALSE)&gt;75,"++",(IF(VLOOKUP(C5,OUTPUT_COUNTRY!$B$6:$N$18,9,FALSE)&gt;50,"+",(IF(VLOOKUP(C5,OUTPUT_COUNTRY!$B$6:$N$18,9,FALSE)&gt;25,"-","--")))))</f>
        <v>-</v>
      </c>
      <c r="K5" s="159" t="str">
        <f>IF(VLOOKUP(C5,OUTPUT_COUNTRY!$B$6:$N$18,11,FALSE)&gt;75,"++",(IF(VLOOKUP(C5,OUTPUT_COUNTRY!$B$6:$N$18,11,FALSE)&gt;50,"+",(IF(VLOOKUP(C5,OUTPUT_COUNTRY!$B$6:$N$18,11,FALSE)&gt;25,"-","--")))))</f>
        <v>--</v>
      </c>
      <c r="L5" s="121" t="str">
        <f ca="1">IF(VLOOKUP(C5,OUTPUT_COUNTRY!$B$6:$N$18,13,FALSE)&gt;75,"++",(IF(VLOOKUP(C5,OUTPUT_COUNTRY!$B$6:$N$18,13,FALSE)&gt;50,"+",(IF(VLOOKUP(C5,OUTPUT_COUNTRY!$B$6:$N$18,13,FALSE)&gt;25,"-","--")))))</f>
        <v>--</v>
      </c>
    </row>
    <row r="6" spans="3:12" x14ac:dyDescent="0.35">
      <c r="C6" s="78" t="s">
        <v>51</v>
      </c>
      <c r="D6" s="167" t="str" cm="1">
        <f t="array" ref="D6">_xll.FDS(C6,"FG_COMPANY_NAME")</f>
        <v>Invesco QQQ Trust Series I</v>
      </c>
      <c r="E6" s="159" t="str">
        <f>IF(VLOOKUP(C6,OUTPUT_COUNTRY!$B$6:$N$18,3,FALSE)&gt;75,"++",(IF(VLOOKUP(C6,OUTPUT_COUNTRY!$B$6:$N$18,3,FALSE)&gt;50,"+",(IF(VLOOKUP(C6,OUTPUT_COUNTRY!$B$6:$N$18,3,FALSE)&gt;25,"-","--")))))</f>
        <v>--</v>
      </c>
      <c r="F6" s="121" t="str">
        <f>IF(VLOOKUP(C6,OUTPUT_COUNTRY!$B$6:$N$18,4,FALSE)&gt;75,"++",(IF(VLOOKUP(C6,OUTPUT_COUNTRY!$B$6:$N$18,4,FALSE)&gt;50,"+",(IF(VLOOKUP(C6,OUTPUT_COUNTRY!$B$6:$N$18,4,FALSE)&gt;25,"-","--")))))</f>
        <v>++</v>
      </c>
      <c r="G6" s="159" t="str">
        <f>IF(VLOOKUP(C6,OUTPUT_COUNTRY!$B$6:$N$18,5,FALSE)&gt;75,"++",(IF(VLOOKUP(C6,OUTPUT_COUNTRY!$B$6:$N$18,5,FALSE)&gt;50,"+",(IF(VLOOKUP(C6,OUTPUT_COUNTRY!$B$6:$N$18,5,FALSE)&gt;25,"-","--")))))</f>
        <v>+</v>
      </c>
      <c r="H6" s="121" t="str">
        <f>IF(VLOOKUP(C6,OUTPUT_COUNTRY!$B$6:$N$18,7,FALSE)&gt;75,"++",(IF(VLOOKUP(C6,OUTPUT_COUNTRY!$B$6:$N$18,7,FALSE)&gt;50,"+",(IF(VLOOKUP(C6,OUTPUT_COUNTRY!$B$6:$N$18,7,FALSE)&gt;25,"-","--")))))</f>
        <v>-</v>
      </c>
      <c r="I6" s="159" t="str">
        <f>IF(VLOOKUP(C6,OUTPUT_COUNTRY!$B$6:$N$18,8,FALSE)&gt;75,"++",(IF(VLOOKUP(C6,OUTPUT_COUNTRY!$B$6:$N$18,8,FALSE)&gt;50,"+",(IF(VLOOKUP(C6,OUTPUT_COUNTRY!$B$6:$N$18,8,FALSE)&gt;25,"-","--")))))</f>
        <v>--</v>
      </c>
      <c r="J6" s="121" t="str">
        <f ca="1">IF(VLOOKUP(C6,OUTPUT_COUNTRY!$B$6:$N$18,9,FALSE)&gt;75,"++",(IF(VLOOKUP(C6,OUTPUT_COUNTRY!$B$6:$N$18,9,FALSE)&gt;50,"+",(IF(VLOOKUP(C6,OUTPUT_COUNTRY!$B$6:$N$18,9,FALSE)&gt;25,"-","--")))))</f>
        <v>++</v>
      </c>
      <c r="K6" s="159" t="str">
        <f>IF(VLOOKUP(C6,OUTPUT_COUNTRY!$B$6:$N$18,11,FALSE)&gt;75,"++",(IF(VLOOKUP(C6,OUTPUT_COUNTRY!$B$6:$N$18,11,FALSE)&gt;50,"+",(IF(VLOOKUP(C6,OUTPUT_COUNTRY!$B$6:$N$18,11,FALSE)&gt;25,"-","--")))))</f>
        <v>++</v>
      </c>
      <c r="L6" s="121" t="str">
        <f ca="1">IF(VLOOKUP(C6,OUTPUT_COUNTRY!$B$6:$N$18,13,FALSE)&gt;75,"++",(IF(VLOOKUP(C6,OUTPUT_COUNTRY!$B$6:$N$18,13,FALSE)&gt;50,"+",(IF(VLOOKUP(C6,OUTPUT_COUNTRY!$B$6:$N$18,13,FALSE)&gt;25,"-","--")))))</f>
        <v>++</v>
      </c>
    </row>
    <row r="7" spans="3:12" x14ac:dyDescent="0.35">
      <c r="C7" s="78" t="s">
        <v>1</v>
      </c>
      <c r="D7" s="167" t="str" cm="1">
        <f t="array" ref="D7">_xll.FDS(C7,"FG_COMPANY_NAME")</f>
        <v>SPDR S&amp;P 500 ETF Trust</v>
      </c>
      <c r="E7" s="159" t="str">
        <f>IF(VLOOKUP(C7,OUTPUT_COUNTRY!$B$6:$N$18,3,FALSE)&gt;75,"++",(IF(VLOOKUP(C7,OUTPUT_COUNTRY!$B$6:$N$18,3,FALSE)&gt;50,"+",(IF(VLOOKUP(C7,OUTPUT_COUNTRY!$B$6:$N$18,3,FALSE)&gt;25,"-","--")))))</f>
        <v>--</v>
      </c>
      <c r="F7" s="121" t="str">
        <f>IF(VLOOKUP(C7,OUTPUT_COUNTRY!$B$6:$N$18,4,FALSE)&gt;75,"++",(IF(VLOOKUP(C7,OUTPUT_COUNTRY!$B$6:$N$18,4,FALSE)&gt;50,"+",(IF(VLOOKUP(C7,OUTPUT_COUNTRY!$B$6:$N$18,4,FALSE)&gt;25,"-","--")))))</f>
        <v>++</v>
      </c>
      <c r="G7" s="159" t="str">
        <f>IF(VLOOKUP(C7,OUTPUT_COUNTRY!$B$6:$N$18,5,FALSE)&gt;75,"++",(IF(VLOOKUP(C7,OUTPUT_COUNTRY!$B$6:$N$18,5,FALSE)&gt;50,"+",(IF(VLOOKUP(C7,OUTPUT_COUNTRY!$B$6:$N$18,5,FALSE)&gt;25,"-","--")))))</f>
        <v>-</v>
      </c>
      <c r="H7" s="121" t="str">
        <f>IF(VLOOKUP(C7,OUTPUT_COUNTRY!$B$6:$N$18,7,FALSE)&gt;75,"++",(IF(VLOOKUP(C7,OUTPUT_COUNTRY!$B$6:$N$18,7,FALSE)&gt;50,"+",(IF(VLOOKUP(C7,OUTPUT_COUNTRY!$B$6:$N$18,7,FALSE)&gt;25,"-","--")))))</f>
        <v>+</v>
      </c>
      <c r="I7" s="159" t="str">
        <f>IF(VLOOKUP(C7,OUTPUT_COUNTRY!$B$6:$N$18,8,FALSE)&gt;75,"++",(IF(VLOOKUP(C7,OUTPUT_COUNTRY!$B$6:$N$18,8,FALSE)&gt;50,"+",(IF(VLOOKUP(C7,OUTPUT_COUNTRY!$B$6:$N$18,8,FALSE)&gt;25,"-","--")))))</f>
        <v>--</v>
      </c>
      <c r="J7" s="121" t="str">
        <f ca="1">IF(VLOOKUP(C7,OUTPUT_COUNTRY!$B$6:$N$18,9,FALSE)&gt;75,"++",(IF(VLOOKUP(C7,OUTPUT_COUNTRY!$B$6:$N$18,9,FALSE)&gt;50,"+",(IF(VLOOKUP(C7,OUTPUT_COUNTRY!$B$6:$N$18,9,FALSE)&gt;25,"-","--")))))</f>
        <v>++</v>
      </c>
      <c r="K7" s="159" t="str">
        <f>IF(VLOOKUP(C7,OUTPUT_COUNTRY!$B$6:$N$18,11,FALSE)&gt;75,"++",(IF(VLOOKUP(C7,OUTPUT_COUNTRY!$B$6:$N$18,11,FALSE)&gt;50,"+",(IF(VLOOKUP(C7,OUTPUT_COUNTRY!$B$6:$N$18,11,FALSE)&gt;25,"-","--")))))</f>
        <v>++</v>
      </c>
      <c r="L7" s="121" t="str">
        <f ca="1">IF(VLOOKUP(C7,OUTPUT_COUNTRY!$B$6:$N$18,13,FALSE)&gt;75,"++",(IF(VLOOKUP(C7,OUTPUT_COUNTRY!$B$6:$N$18,13,FALSE)&gt;50,"+",(IF(VLOOKUP(C7,OUTPUT_COUNTRY!$B$6:$N$18,13,FALSE)&gt;25,"-","--")))))</f>
        <v>+</v>
      </c>
    </row>
    <row r="8" spans="3:12" x14ac:dyDescent="0.35">
      <c r="C8" s="78" t="s">
        <v>11</v>
      </c>
      <c r="D8" s="167" t="str" cm="1">
        <f t="array" ref="D8">_xll.FDS(C8,"FG_COMPANY_NAME")</f>
        <v>iShares MSCI Germany ETF</v>
      </c>
      <c r="E8" s="159" t="str">
        <f>IF(VLOOKUP(C8,OUTPUT_COUNTRY!$B$6:$N$18,3,FALSE)&gt;75,"++",(IF(VLOOKUP(C8,OUTPUT_COUNTRY!$B$6:$N$18,3,FALSE)&gt;50,"+",(IF(VLOOKUP(C8,OUTPUT_COUNTRY!$B$6:$N$18,3,FALSE)&gt;25,"-","--")))))</f>
        <v>+</v>
      </c>
      <c r="F8" s="121" t="str">
        <f>IF(VLOOKUP(C8,OUTPUT_COUNTRY!$B$6:$N$18,4,FALSE)&gt;75,"++",(IF(VLOOKUP(C8,OUTPUT_COUNTRY!$B$6:$N$18,4,FALSE)&gt;50,"+",(IF(VLOOKUP(C8,OUTPUT_COUNTRY!$B$6:$N$18,4,FALSE)&gt;25,"-","--")))))</f>
        <v>-</v>
      </c>
      <c r="G8" s="159" t="str">
        <f>IF(VLOOKUP(C8,OUTPUT_COUNTRY!$B$6:$N$18,5,FALSE)&gt;75,"++",(IF(VLOOKUP(C8,OUTPUT_COUNTRY!$B$6:$N$18,5,FALSE)&gt;50,"+",(IF(VLOOKUP(C8,OUTPUT_COUNTRY!$B$6:$N$18,5,FALSE)&gt;25,"-","--")))))</f>
        <v>-</v>
      </c>
      <c r="H8" s="121" t="str">
        <f>IF(VLOOKUP(C8,OUTPUT_COUNTRY!$B$6:$N$18,7,FALSE)&gt;75,"++",(IF(VLOOKUP(C8,OUTPUT_COUNTRY!$B$6:$N$18,7,FALSE)&gt;50,"+",(IF(VLOOKUP(C8,OUTPUT_COUNTRY!$B$6:$N$18,7,FALSE)&gt;25,"-","--")))))</f>
        <v>-</v>
      </c>
      <c r="I8" s="159" t="str">
        <f>IF(VLOOKUP(C8,OUTPUT_COUNTRY!$B$6:$N$18,8,FALSE)&gt;75,"++",(IF(VLOOKUP(C8,OUTPUT_COUNTRY!$B$6:$N$18,8,FALSE)&gt;50,"+",(IF(VLOOKUP(C8,OUTPUT_COUNTRY!$B$6:$N$18,8,FALSE)&gt;25,"-","--")))))</f>
        <v>+</v>
      </c>
      <c r="J8" s="121" t="str">
        <f ca="1">IF(VLOOKUP(C8,OUTPUT_COUNTRY!$B$6:$N$18,9,FALSE)&gt;75,"++",(IF(VLOOKUP(C8,OUTPUT_COUNTRY!$B$6:$N$18,9,FALSE)&gt;50,"+",(IF(VLOOKUP(C8,OUTPUT_COUNTRY!$B$6:$N$18,9,FALSE)&gt;25,"-","--")))))</f>
        <v>-</v>
      </c>
      <c r="K8" s="159" t="str">
        <f>IF(VLOOKUP(C8,OUTPUT_COUNTRY!$B$6:$N$18,11,FALSE)&gt;75,"++",(IF(VLOOKUP(C8,OUTPUT_COUNTRY!$B$6:$N$18,11,FALSE)&gt;50,"+",(IF(VLOOKUP(C8,OUTPUT_COUNTRY!$B$6:$N$18,11,FALSE)&gt;25,"-","--")))))</f>
        <v>+</v>
      </c>
      <c r="L8" s="121" t="str">
        <f ca="1">IF(VLOOKUP(C8,OUTPUT_COUNTRY!$B$6:$N$18,13,FALSE)&gt;75,"++",(IF(VLOOKUP(C8,OUTPUT_COUNTRY!$B$6:$N$18,13,FALSE)&gt;50,"+",(IF(VLOOKUP(C8,OUTPUT_COUNTRY!$B$6:$N$18,13,FALSE)&gt;25,"-","--")))))</f>
        <v>-</v>
      </c>
    </row>
    <row r="9" spans="3:12" x14ac:dyDescent="0.35">
      <c r="C9" s="78" t="s">
        <v>48</v>
      </c>
      <c r="D9" s="167" t="str" cm="1">
        <f t="array" ref="D9">_xll.FDS(C9,"FG_COMPANY_NAME")</f>
        <v>iShares MSCI United Kingdom ETF</v>
      </c>
      <c r="E9" s="159" t="str">
        <f>IF(VLOOKUP(C9,OUTPUT_COUNTRY!$B$6:$N$18,3,FALSE)&gt;75,"++",(IF(VLOOKUP(C9,OUTPUT_COUNTRY!$B$6:$N$18,3,FALSE)&gt;50,"+",(IF(VLOOKUP(C9,OUTPUT_COUNTRY!$B$6:$N$18,3,FALSE)&gt;25,"-","--")))))</f>
        <v>++</v>
      </c>
      <c r="F9" s="121" t="str">
        <f>IF(VLOOKUP(C9,OUTPUT_COUNTRY!$B$6:$N$18,4,FALSE)&gt;75,"++",(IF(VLOOKUP(C9,OUTPUT_COUNTRY!$B$6:$N$18,4,FALSE)&gt;50,"+",(IF(VLOOKUP(C9,OUTPUT_COUNTRY!$B$6:$N$18,4,FALSE)&gt;25,"-","--")))))</f>
        <v>+</v>
      </c>
      <c r="G9" s="159" t="str">
        <f>IF(VLOOKUP(C9,OUTPUT_COUNTRY!$B$6:$N$18,5,FALSE)&gt;75,"++",(IF(VLOOKUP(C9,OUTPUT_COUNTRY!$B$6:$N$18,5,FALSE)&gt;50,"+",(IF(VLOOKUP(C9,OUTPUT_COUNTRY!$B$6:$N$18,5,FALSE)&gt;25,"-","--")))))</f>
        <v>-</v>
      </c>
      <c r="H9" s="121" t="str">
        <f>IF(VLOOKUP(C9,OUTPUT_COUNTRY!$B$6:$N$18,7,FALSE)&gt;75,"++",(IF(VLOOKUP(C9,OUTPUT_COUNTRY!$B$6:$N$18,7,FALSE)&gt;50,"+",(IF(VLOOKUP(C9,OUTPUT_COUNTRY!$B$6:$N$18,7,FALSE)&gt;25,"-","--")))))</f>
        <v>+</v>
      </c>
      <c r="I9" s="159" t="str">
        <f>IF(VLOOKUP(C9,OUTPUT_COUNTRY!$B$6:$N$18,8,FALSE)&gt;75,"++",(IF(VLOOKUP(C9,OUTPUT_COUNTRY!$B$6:$N$18,8,FALSE)&gt;50,"+",(IF(VLOOKUP(C9,OUTPUT_COUNTRY!$B$6:$N$18,8,FALSE)&gt;25,"-","--")))))</f>
        <v>--</v>
      </c>
      <c r="J9" s="121" t="str">
        <f ca="1">IF(VLOOKUP(C9,OUTPUT_COUNTRY!$B$6:$N$18,9,FALSE)&gt;75,"++",(IF(VLOOKUP(C9,OUTPUT_COUNTRY!$B$6:$N$18,9,FALSE)&gt;50,"+",(IF(VLOOKUP(C9,OUTPUT_COUNTRY!$B$6:$N$18,9,FALSE)&gt;25,"-","--")))))</f>
        <v>+</v>
      </c>
      <c r="K9" s="159" t="str">
        <f>IF(VLOOKUP(C9,OUTPUT_COUNTRY!$B$6:$N$18,11,FALSE)&gt;75,"++",(IF(VLOOKUP(C9,OUTPUT_COUNTRY!$B$6:$N$18,11,FALSE)&gt;50,"+",(IF(VLOOKUP(C9,OUTPUT_COUNTRY!$B$6:$N$18,11,FALSE)&gt;25,"-","--")))))</f>
        <v>-</v>
      </c>
      <c r="L9" s="121" t="str">
        <f ca="1">IF(VLOOKUP(C9,OUTPUT_COUNTRY!$B$6:$N$18,13,FALSE)&gt;75,"++",(IF(VLOOKUP(C9,OUTPUT_COUNTRY!$B$6:$N$18,13,FALSE)&gt;50,"+",(IF(VLOOKUP(C9,OUTPUT_COUNTRY!$B$6:$N$18,13,FALSE)&gt;25,"-","--")))))</f>
        <v>+</v>
      </c>
    </row>
    <row r="10" spans="3:12" x14ac:dyDescent="0.35">
      <c r="C10" s="78" t="s">
        <v>49</v>
      </c>
      <c r="D10" s="167" t="str" cm="1">
        <f t="array" ref="D10">_xll.FDS(C10,"FG_COMPANY_NAME")</f>
        <v>iShares MSCI Canada ETF</v>
      </c>
      <c r="E10" s="159" t="str">
        <f>IF(VLOOKUP(C10,OUTPUT_COUNTRY!$B$6:$N$18,3,FALSE)&gt;75,"++",(IF(VLOOKUP(C10,OUTPUT_COUNTRY!$B$6:$N$18,3,FALSE)&gt;50,"+",(IF(VLOOKUP(C10,OUTPUT_COUNTRY!$B$6:$N$18,3,FALSE)&gt;25,"-","--")))))</f>
        <v>-</v>
      </c>
      <c r="F10" s="121" t="str">
        <f>IF(VLOOKUP(C10,OUTPUT_COUNTRY!$B$6:$N$18,4,FALSE)&gt;75,"++",(IF(VLOOKUP(C10,OUTPUT_COUNTRY!$B$6:$N$18,4,FALSE)&gt;50,"+",(IF(VLOOKUP(C10,OUTPUT_COUNTRY!$B$6:$N$18,4,FALSE)&gt;25,"-","--")))))</f>
        <v>+</v>
      </c>
      <c r="G10" s="159" t="str">
        <f>IF(VLOOKUP(C10,OUTPUT_COUNTRY!$B$6:$N$18,5,FALSE)&gt;75,"++",(IF(VLOOKUP(C10,OUTPUT_COUNTRY!$B$6:$N$18,5,FALSE)&gt;50,"+",(IF(VLOOKUP(C10,OUTPUT_COUNTRY!$B$6:$N$18,5,FALSE)&gt;25,"-","--")))))</f>
        <v>-</v>
      </c>
      <c r="H10" s="121" t="str">
        <f>IF(VLOOKUP(C10,OUTPUT_COUNTRY!$B$6:$N$18,7,FALSE)&gt;75,"++",(IF(VLOOKUP(C10,OUTPUT_COUNTRY!$B$6:$N$18,7,FALSE)&gt;50,"+",(IF(VLOOKUP(C10,OUTPUT_COUNTRY!$B$6:$N$18,7,FALSE)&gt;25,"-","--")))))</f>
        <v>+</v>
      </c>
      <c r="I10" s="159" t="str">
        <f>IF(VLOOKUP(C10,OUTPUT_COUNTRY!$B$6:$N$18,8,FALSE)&gt;75,"++",(IF(VLOOKUP(C10,OUTPUT_COUNTRY!$B$6:$N$18,8,FALSE)&gt;50,"+",(IF(VLOOKUP(C10,OUTPUT_COUNTRY!$B$6:$N$18,8,FALSE)&gt;25,"-","--")))))</f>
        <v>+</v>
      </c>
      <c r="J10" s="121" t="str">
        <f ca="1">IF(VLOOKUP(C10,OUTPUT_COUNTRY!$B$6:$N$18,9,FALSE)&gt;75,"++",(IF(VLOOKUP(C10,OUTPUT_COUNTRY!$B$6:$N$18,9,FALSE)&gt;50,"+",(IF(VLOOKUP(C10,OUTPUT_COUNTRY!$B$6:$N$18,9,FALSE)&gt;25,"-","--")))))</f>
        <v>-</v>
      </c>
      <c r="K10" s="159" t="str">
        <f>IF(VLOOKUP(C10,OUTPUT_COUNTRY!$B$6:$N$18,11,FALSE)&gt;75,"++",(IF(VLOOKUP(C10,OUTPUT_COUNTRY!$B$6:$N$18,11,FALSE)&gt;50,"+",(IF(VLOOKUP(C10,OUTPUT_COUNTRY!$B$6:$N$18,11,FALSE)&gt;25,"-","--")))))</f>
        <v>--</v>
      </c>
      <c r="L10" s="121" t="str">
        <f ca="1">IF(VLOOKUP(C10,OUTPUT_COUNTRY!$B$6:$N$18,13,FALSE)&gt;75,"++",(IF(VLOOKUP(C10,OUTPUT_COUNTRY!$B$6:$N$18,13,FALSE)&gt;50,"+",(IF(VLOOKUP(C10,OUTPUT_COUNTRY!$B$6:$N$18,13,FALSE)&gt;25,"-","--")))))</f>
        <v>+</v>
      </c>
    </row>
    <row r="11" spans="3:12" x14ac:dyDescent="0.35">
      <c r="C11" s="78" t="s">
        <v>44</v>
      </c>
      <c r="D11" s="167" t="str" cm="1">
        <f t="array" ref="D11">_xll.FDS(C11,"FG_COMPANY_NAME")</f>
        <v>iShares MSCI Australia ETF</v>
      </c>
      <c r="E11" s="159" t="str">
        <f>IF(VLOOKUP(C11,OUTPUT_COUNTRY!$B$6:$N$18,3,FALSE)&gt;75,"++",(IF(VLOOKUP(C11,OUTPUT_COUNTRY!$B$6:$N$18,3,FALSE)&gt;50,"+",(IF(VLOOKUP(C11,OUTPUT_COUNTRY!$B$6:$N$18,3,FALSE)&gt;25,"-","--")))))</f>
        <v>-</v>
      </c>
      <c r="F11" s="121" t="str">
        <f>IF(VLOOKUP(C11,OUTPUT_COUNTRY!$B$6:$N$18,4,FALSE)&gt;75,"++",(IF(VLOOKUP(C11,OUTPUT_COUNTRY!$B$6:$N$18,4,FALSE)&gt;50,"+",(IF(VLOOKUP(C11,OUTPUT_COUNTRY!$B$6:$N$18,4,FALSE)&gt;25,"-","--")))))</f>
        <v>--</v>
      </c>
      <c r="G11" s="159" t="str">
        <f>IF(VLOOKUP(C11,OUTPUT_COUNTRY!$B$6:$N$18,5,FALSE)&gt;75,"++",(IF(VLOOKUP(C11,OUTPUT_COUNTRY!$B$6:$N$18,5,FALSE)&gt;50,"+",(IF(VLOOKUP(C11,OUTPUT_COUNTRY!$B$6:$N$18,5,FALSE)&gt;25,"-","--")))))</f>
        <v>--</v>
      </c>
      <c r="H11" s="121" t="str">
        <f>IF(VLOOKUP(C11,OUTPUT_COUNTRY!$B$6:$N$18,7,FALSE)&gt;75,"++",(IF(VLOOKUP(C11,OUTPUT_COUNTRY!$B$6:$N$18,7,FALSE)&gt;50,"+",(IF(VLOOKUP(C11,OUTPUT_COUNTRY!$B$6:$N$18,7,FALSE)&gt;25,"-","--")))))</f>
        <v>--</v>
      </c>
      <c r="I11" s="159" t="str">
        <f>IF(VLOOKUP(C11,OUTPUT_COUNTRY!$B$6:$N$18,8,FALSE)&gt;75,"++",(IF(VLOOKUP(C11,OUTPUT_COUNTRY!$B$6:$N$18,8,FALSE)&gt;50,"+",(IF(VLOOKUP(C11,OUTPUT_COUNTRY!$B$6:$N$18,8,FALSE)&gt;25,"-","--")))))</f>
        <v>--</v>
      </c>
      <c r="J11" s="121" t="str">
        <f ca="1">IF(VLOOKUP(C11,OUTPUT_COUNTRY!$B$6:$N$18,9,FALSE)&gt;75,"++",(IF(VLOOKUP(C11,OUTPUT_COUNTRY!$B$6:$N$18,9,FALSE)&gt;50,"+",(IF(VLOOKUP(C11,OUTPUT_COUNTRY!$B$6:$N$18,9,FALSE)&gt;25,"-","--")))))</f>
        <v>+</v>
      </c>
      <c r="K11" s="159" t="str">
        <f>IF(VLOOKUP(C11,OUTPUT_COUNTRY!$B$6:$N$18,11,FALSE)&gt;75,"++",(IF(VLOOKUP(C11,OUTPUT_COUNTRY!$B$6:$N$18,11,FALSE)&gt;50,"+",(IF(VLOOKUP(C11,OUTPUT_COUNTRY!$B$6:$N$18,11,FALSE)&gt;25,"-","--")))))</f>
        <v>+</v>
      </c>
      <c r="L11" s="121" t="str">
        <f ca="1">IF(VLOOKUP(C11,OUTPUT_COUNTRY!$B$6:$N$18,13,FALSE)&gt;75,"++",(IF(VLOOKUP(C11,OUTPUT_COUNTRY!$B$6:$N$18,13,FALSE)&gt;50,"+",(IF(VLOOKUP(C11,OUTPUT_COUNTRY!$B$6:$N$18,13,FALSE)&gt;25,"-","--")))))</f>
        <v>-</v>
      </c>
    </row>
    <row r="12" spans="3:12" x14ac:dyDescent="0.35">
      <c r="C12" s="78" t="s">
        <v>431</v>
      </c>
      <c r="D12" s="167" t="str" cm="1">
        <f t="array" ref="D12">_xll.FDS(C12,"FG_COMPANY_NAME")</f>
        <v>iShares MSCI New Zealand ETF</v>
      </c>
      <c r="E12" s="159" t="str">
        <f>IF(VLOOKUP(C12,OUTPUT_COUNTRY!$B$6:$N$18,3,FALSE)&gt;75,"++",(IF(VLOOKUP(C12,OUTPUT_COUNTRY!$B$6:$N$18,3,FALSE)&gt;50,"+",(IF(VLOOKUP(C12,OUTPUT_COUNTRY!$B$6:$N$18,3,FALSE)&gt;25,"-","--")))))</f>
        <v>--</v>
      </c>
      <c r="F12" s="121" t="str">
        <f>IF(VLOOKUP(C12,OUTPUT_COUNTRY!$B$6:$N$18,4,FALSE)&gt;75,"++",(IF(VLOOKUP(C12,OUTPUT_COUNTRY!$B$6:$N$18,4,FALSE)&gt;50,"+",(IF(VLOOKUP(C12,OUTPUT_COUNTRY!$B$6:$N$18,4,FALSE)&gt;25,"-","--")))))</f>
        <v>--</v>
      </c>
      <c r="G12" s="159" t="str">
        <f>IF(VLOOKUP(C12,OUTPUT_COUNTRY!$B$6:$N$18,5,FALSE)&gt;75,"++",(IF(VLOOKUP(C12,OUTPUT_COUNTRY!$B$6:$N$18,5,FALSE)&gt;50,"+",(IF(VLOOKUP(C12,OUTPUT_COUNTRY!$B$6:$N$18,5,FALSE)&gt;25,"-","--")))))</f>
        <v>+</v>
      </c>
      <c r="H12" s="121" t="str">
        <f>IF(VLOOKUP(C12,OUTPUT_COUNTRY!$B$6:$N$18,7,FALSE)&gt;75,"++",(IF(VLOOKUP(C12,OUTPUT_COUNTRY!$B$6:$N$18,7,FALSE)&gt;50,"+",(IF(VLOOKUP(C12,OUTPUT_COUNTRY!$B$6:$N$18,7,FALSE)&gt;25,"-","--")))))</f>
        <v>--</v>
      </c>
      <c r="I12" s="159" t="str">
        <f>IF(VLOOKUP(C12,OUTPUT_COUNTRY!$B$6:$N$18,8,FALSE)&gt;75,"++",(IF(VLOOKUP(C12,OUTPUT_COUNTRY!$B$6:$N$18,8,FALSE)&gt;50,"+",(IF(VLOOKUP(C12,OUTPUT_COUNTRY!$B$6:$N$18,8,FALSE)&gt;25,"-","--")))))</f>
        <v>--</v>
      </c>
      <c r="J12" s="121" t="str">
        <f ca="1">IF(VLOOKUP(C12,OUTPUT_COUNTRY!$B$6:$N$18,9,FALSE)&gt;75,"++",(IF(VLOOKUP(C12,OUTPUT_COUNTRY!$B$6:$N$18,9,FALSE)&gt;50,"+",(IF(VLOOKUP(C12,OUTPUT_COUNTRY!$B$6:$N$18,9,FALSE)&gt;25,"-","--")))))</f>
        <v>--</v>
      </c>
      <c r="K12" s="159" t="str">
        <f>IF(VLOOKUP(C12,OUTPUT_COUNTRY!$B$6:$N$18,11,FALSE)&gt;75,"++",(IF(VLOOKUP(C12,OUTPUT_COUNTRY!$B$6:$N$18,11,FALSE)&gt;50,"+",(IF(VLOOKUP(C12,OUTPUT_COUNTRY!$B$6:$N$18,11,FALSE)&gt;25,"-","--")))))</f>
        <v>--</v>
      </c>
      <c r="L12" s="121" t="str">
        <f ca="1">IF(VLOOKUP(C12,OUTPUT_COUNTRY!$B$6:$N$18,13,FALSE)&gt;75,"++",(IF(VLOOKUP(C12,OUTPUT_COUNTRY!$B$6:$N$18,13,FALSE)&gt;50,"+",(IF(VLOOKUP(C12,OUTPUT_COUNTRY!$B$6:$N$18,13,FALSE)&gt;25,"-","--")))))</f>
        <v>--</v>
      </c>
    </row>
    <row r="13" spans="3:12" x14ac:dyDescent="0.35">
      <c r="C13" s="78" t="s">
        <v>865</v>
      </c>
      <c r="D13" s="167" t="str" cm="1">
        <f t="array" ref="D13">_xll.FDS(C13,"FG_COMPANY_NAME")</f>
        <v>iShares MSCI France ETF</v>
      </c>
      <c r="E13" s="159" t="str">
        <f>IF(VLOOKUP(C13,OUTPUT_COUNTRY!$B$6:$N$18,3,FALSE)&gt;75,"++",(IF(VLOOKUP(C13,OUTPUT_COUNTRY!$B$6:$N$18,3,FALSE)&gt;50,"+",(IF(VLOOKUP(C13,OUTPUT_COUNTRY!$B$6:$N$18,3,FALSE)&gt;25,"-","--")))))</f>
        <v>+</v>
      </c>
      <c r="F13" s="121" t="str">
        <f>IF(VLOOKUP(C13,OUTPUT_COUNTRY!$B$6:$N$18,4,FALSE)&gt;75,"++",(IF(VLOOKUP(C13,OUTPUT_COUNTRY!$B$6:$N$18,4,FALSE)&gt;50,"+",(IF(VLOOKUP(C13,OUTPUT_COUNTRY!$B$6:$N$18,4,FALSE)&gt;25,"-","--")))))</f>
        <v>+</v>
      </c>
      <c r="G13" s="159" t="str">
        <f>IF(VLOOKUP(C13,OUTPUT_COUNTRY!$B$6:$N$18,5,FALSE)&gt;75,"++",(IF(VLOOKUP(C13,OUTPUT_COUNTRY!$B$6:$N$18,5,FALSE)&gt;50,"+",(IF(VLOOKUP(C13,OUTPUT_COUNTRY!$B$6:$N$18,5,FALSE)&gt;25,"-","--")))))</f>
        <v>++</v>
      </c>
      <c r="H13" s="121" t="str">
        <f>IF(VLOOKUP(C13,OUTPUT_COUNTRY!$B$6:$N$18,7,FALSE)&gt;75,"++",(IF(VLOOKUP(C13,OUTPUT_COUNTRY!$B$6:$N$18,7,FALSE)&gt;50,"+",(IF(VLOOKUP(C13,OUTPUT_COUNTRY!$B$6:$N$18,7,FALSE)&gt;25,"-","--")))))</f>
        <v>++</v>
      </c>
      <c r="I13" s="159" t="str">
        <f>IF(VLOOKUP(C13,OUTPUT_COUNTRY!$B$6:$N$18,8,FALSE)&gt;75,"++",(IF(VLOOKUP(C13,OUTPUT_COUNTRY!$B$6:$N$18,8,FALSE)&gt;50,"+",(IF(VLOOKUP(C13,OUTPUT_COUNTRY!$B$6:$N$18,8,FALSE)&gt;25,"-","--")))))</f>
        <v>-</v>
      </c>
      <c r="J13" s="121" t="str">
        <f ca="1">IF(VLOOKUP(C13,OUTPUT_COUNTRY!$B$6:$N$18,9,FALSE)&gt;75,"++",(IF(VLOOKUP(C13,OUTPUT_COUNTRY!$B$6:$N$18,9,FALSE)&gt;50,"+",(IF(VLOOKUP(C13,OUTPUT_COUNTRY!$B$6:$N$18,9,FALSE)&gt;25,"-","--")))))</f>
        <v>--</v>
      </c>
      <c r="K13" s="159" t="str">
        <f>IF(VLOOKUP(C13,OUTPUT_COUNTRY!$B$6:$N$18,11,FALSE)&gt;75,"++",(IF(VLOOKUP(C13,OUTPUT_COUNTRY!$B$6:$N$18,11,FALSE)&gt;50,"+",(IF(VLOOKUP(C13,OUTPUT_COUNTRY!$B$6:$N$18,11,FALSE)&gt;25,"-","--")))))</f>
        <v>-</v>
      </c>
      <c r="L13" s="121" t="str">
        <f ca="1">IF(VLOOKUP(C13,OUTPUT_COUNTRY!$B$6:$N$18,13,FALSE)&gt;75,"++",(IF(VLOOKUP(C13,OUTPUT_COUNTRY!$B$6:$N$18,13,FALSE)&gt;50,"+",(IF(VLOOKUP(C13,OUTPUT_COUNTRY!$B$6:$N$18,13,FALSE)&gt;25,"-","--")))))</f>
        <v>-</v>
      </c>
    </row>
    <row r="14" spans="3:12" x14ac:dyDescent="0.35">
      <c r="C14" s="78" t="s">
        <v>867</v>
      </c>
      <c r="D14" s="167" t="str" cm="1">
        <f t="array" ref="D14">_xll.FDS(C14,"FG_COMPANY_NAME")</f>
        <v>iShares MSCI Netherlands ETF</v>
      </c>
      <c r="E14" s="159" t="str">
        <f>IF(VLOOKUP(C14,OUTPUT_COUNTRY!$B$6:$N$18,3,FALSE)&gt;75,"++",(IF(VLOOKUP(C14,OUTPUT_COUNTRY!$B$6:$N$18,3,FALSE)&gt;50,"+",(IF(VLOOKUP(C14,OUTPUT_COUNTRY!$B$6:$N$18,3,FALSE)&gt;25,"-","--")))))</f>
        <v>-</v>
      </c>
      <c r="F14" s="121" t="str">
        <f>IF(VLOOKUP(C14,OUTPUT_COUNTRY!$B$6:$N$18,4,FALSE)&gt;75,"++",(IF(VLOOKUP(C14,OUTPUT_COUNTRY!$B$6:$N$18,4,FALSE)&gt;50,"+",(IF(VLOOKUP(C14,OUTPUT_COUNTRY!$B$6:$N$18,4,FALSE)&gt;25,"-","--")))))</f>
        <v>-</v>
      </c>
      <c r="G14" s="159" t="str">
        <f>IF(VLOOKUP(C14,OUTPUT_COUNTRY!$B$6:$N$18,5,FALSE)&gt;75,"++",(IF(VLOOKUP(C14,OUTPUT_COUNTRY!$B$6:$N$18,5,FALSE)&gt;50,"+",(IF(VLOOKUP(C14,OUTPUT_COUNTRY!$B$6:$N$18,5,FALSE)&gt;25,"-","--")))))</f>
        <v>+</v>
      </c>
      <c r="H14" s="121" t="str">
        <f>IF(VLOOKUP(C14,OUTPUT_COUNTRY!$B$6:$N$18,7,FALSE)&gt;75,"++",(IF(VLOOKUP(C14,OUTPUT_COUNTRY!$B$6:$N$18,7,FALSE)&gt;50,"+",(IF(VLOOKUP(C14,OUTPUT_COUNTRY!$B$6:$N$18,7,FALSE)&gt;25,"-","--")))))</f>
        <v>-</v>
      </c>
      <c r="I14" s="159" t="str">
        <f>IF(VLOOKUP(C14,OUTPUT_COUNTRY!$B$6:$N$18,8,FALSE)&gt;75,"++",(IF(VLOOKUP(C14,OUTPUT_COUNTRY!$B$6:$N$18,8,FALSE)&gt;50,"+",(IF(VLOOKUP(C14,OUTPUT_COUNTRY!$B$6:$N$18,8,FALSE)&gt;25,"-","--")))))</f>
        <v>+</v>
      </c>
      <c r="J14" s="121" t="str">
        <f ca="1">IF(VLOOKUP(C14,OUTPUT_COUNTRY!$B$6:$N$18,9,FALSE)&gt;75,"++",(IF(VLOOKUP(C14,OUTPUT_COUNTRY!$B$6:$N$18,9,FALSE)&gt;50,"+",(IF(VLOOKUP(C14,OUTPUT_COUNTRY!$B$6:$N$18,9,FALSE)&gt;25,"-","--")))))</f>
        <v>++</v>
      </c>
      <c r="K14" s="159" t="str">
        <f>IF(VLOOKUP(C14,OUTPUT_COUNTRY!$B$6:$N$18,11,FALSE)&gt;75,"++",(IF(VLOOKUP(C14,OUTPUT_COUNTRY!$B$6:$N$18,11,FALSE)&gt;50,"+",(IF(VLOOKUP(C14,OUTPUT_COUNTRY!$B$6:$N$18,11,FALSE)&gt;25,"-","--")))))</f>
        <v>++</v>
      </c>
      <c r="L14" s="121" t="str">
        <f ca="1">IF(VLOOKUP(C14,OUTPUT_COUNTRY!$B$6:$N$18,13,FALSE)&gt;75,"++",(IF(VLOOKUP(C14,OUTPUT_COUNTRY!$B$6:$N$18,13,FALSE)&gt;50,"+",(IF(VLOOKUP(C14,OUTPUT_COUNTRY!$B$6:$N$18,13,FALSE)&gt;25,"-","--")))))</f>
        <v>++</v>
      </c>
    </row>
    <row r="15" spans="3:12" x14ac:dyDescent="0.35">
      <c r="C15" s="78" t="s">
        <v>864</v>
      </c>
      <c r="D15" s="167" t="str" cm="1">
        <f t="array" ref="D15">_xll.FDS(C15,"FG_COMPANY_NAME")</f>
        <v>iShares MSCI Sweden ETF</v>
      </c>
      <c r="E15" s="159" t="str">
        <f>IF(VLOOKUP(C15,OUTPUT_COUNTRY!$B$6:$N$18,3,FALSE)&gt;75,"++",(IF(VLOOKUP(C15,OUTPUT_COUNTRY!$B$6:$N$18,3,FALSE)&gt;50,"+",(IF(VLOOKUP(C15,OUTPUT_COUNTRY!$B$6:$N$18,3,FALSE)&gt;25,"-","--")))))</f>
        <v>++</v>
      </c>
      <c r="F15" s="121" t="str">
        <f>IF(VLOOKUP(C15,OUTPUT_COUNTRY!$B$6:$N$18,4,FALSE)&gt;75,"++",(IF(VLOOKUP(C15,OUTPUT_COUNTRY!$B$6:$N$18,4,FALSE)&gt;50,"+",(IF(VLOOKUP(C15,OUTPUT_COUNTRY!$B$6:$N$18,4,FALSE)&gt;25,"-","--")))))</f>
        <v>-</v>
      </c>
      <c r="G15" s="159" t="str">
        <f>IF(VLOOKUP(C15,OUTPUT_COUNTRY!$B$6:$N$18,5,FALSE)&gt;75,"++",(IF(VLOOKUP(C15,OUTPUT_COUNTRY!$B$6:$N$18,5,FALSE)&gt;50,"+",(IF(VLOOKUP(C15,OUTPUT_COUNTRY!$B$6:$N$18,5,FALSE)&gt;25,"-","--")))))</f>
        <v>--</v>
      </c>
      <c r="H15" s="121" t="str">
        <f>IF(VLOOKUP(C15,OUTPUT_COUNTRY!$B$6:$N$18,7,FALSE)&gt;75,"++",(IF(VLOOKUP(C15,OUTPUT_COUNTRY!$B$6:$N$18,7,FALSE)&gt;50,"+",(IF(VLOOKUP(C15,OUTPUT_COUNTRY!$B$6:$N$18,7,FALSE)&gt;25,"-","--")))))</f>
        <v>-</v>
      </c>
      <c r="I15" s="159" t="str">
        <f>IF(VLOOKUP(C15,OUTPUT_COUNTRY!$B$6:$N$18,8,FALSE)&gt;75,"++",(IF(VLOOKUP(C15,OUTPUT_COUNTRY!$B$6:$N$18,8,FALSE)&gt;50,"+",(IF(VLOOKUP(C15,OUTPUT_COUNTRY!$B$6:$N$18,8,FALSE)&gt;25,"-","--")))))</f>
        <v>++</v>
      </c>
      <c r="J15" s="121" t="str">
        <f ca="1">IF(VLOOKUP(C15,OUTPUT_COUNTRY!$B$6:$N$18,9,FALSE)&gt;75,"++",(IF(VLOOKUP(C15,OUTPUT_COUNTRY!$B$6:$N$18,9,FALSE)&gt;50,"+",(IF(VLOOKUP(C15,OUTPUT_COUNTRY!$B$6:$N$18,9,FALSE)&gt;25,"-","--")))))</f>
        <v>-</v>
      </c>
      <c r="K15" s="159" t="str">
        <f>IF(VLOOKUP(C15,OUTPUT_COUNTRY!$B$6:$N$18,11,FALSE)&gt;75,"++",(IF(VLOOKUP(C15,OUTPUT_COUNTRY!$B$6:$N$18,11,FALSE)&gt;50,"+",(IF(VLOOKUP(C15,OUTPUT_COUNTRY!$B$6:$N$18,11,FALSE)&gt;25,"-","--")))))</f>
        <v>-</v>
      </c>
      <c r="L15" s="121" t="str">
        <f ca="1">IF(VLOOKUP(C15,OUTPUT_COUNTRY!$B$6:$N$18,13,FALSE)&gt;75,"++",(IF(VLOOKUP(C15,OUTPUT_COUNTRY!$B$6:$N$18,13,FALSE)&gt;50,"+",(IF(VLOOKUP(C15,OUTPUT_COUNTRY!$B$6:$N$18,13,FALSE)&gt;25,"-","--")))))</f>
        <v>-</v>
      </c>
    </row>
    <row r="16" spans="3:12" x14ac:dyDescent="0.35">
      <c r="C16" s="79" t="s">
        <v>866</v>
      </c>
      <c r="D16" s="168" t="str" cm="1">
        <f t="array" ref="D16">_xll.FDS(C16,"FG_COMPANY_NAME")</f>
        <v>iShares MSCI Italy ETF</v>
      </c>
      <c r="E16" s="154" t="str">
        <f>IF(VLOOKUP(C16,OUTPUT_COUNTRY!$B$6:$N$18,3,FALSE)&gt;75,"++",(IF(VLOOKUP(C16,OUTPUT_COUNTRY!$B$6:$N$18,3,FALSE)&gt;50,"+",(IF(VLOOKUP(C16,OUTPUT_COUNTRY!$B$6:$N$18,3,FALSE)&gt;25,"-","--")))))</f>
        <v>++</v>
      </c>
      <c r="F16" s="122" t="str">
        <f>IF(VLOOKUP(C16,OUTPUT_COUNTRY!$B$6:$N$18,4,FALSE)&gt;75,"++",(IF(VLOOKUP(C16,OUTPUT_COUNTRY!$B$6:$N$18,4,FALSE)&gt;50,"+",(IF(VLOOKUP(C16,OUTPUT_COUNTRY!$B$6:$N$18,4,FALSE)&gt;25,"-","--")))))</f>
        <v>--</v>
      </c>
      <c r="G16" s="154" t="str">
        <f>IF(VLOOKUP(C16,OUTPUT_COUNTRY!$B$6:$N$18,5,FALSE)&gt;75,"++",(IF(VLOOKUP(C16,OUTPUT_COUNTRY!$B$6:$N$18,5,FALSE)&gt;50,"+",(IF(VLOOKUP(C16,OUTPUT_COUNTRY!$B$6:$N$18,5,FALSE)&gt;25,"-","--")))))</f>
        <v>--</v>
      </c>
      <c r="H16" s="122" t="str">
        <f>IF(VLOOKUP(C16,OUTPUT_COUNTRY!$B$6:$N$18,7,FALSE)&gt;75,"++",(IF(VLOOKUP(C16,OUTPUT_COUNTRY!$B$6:$N$18,7,FALSE)&gt;50,"+",(IF(VLOOKUP(C16,OUTPUT_COUNTRY!$B$6:$N$18,7,FALSE)&gt;25,"-","--")))))</f>
        <v>--</v>
      </c>
      <c r="I16" s="154" t="str">
        <f>IF(VLOOKUP(C16,OUTPUT_COUNTRY!$B$6:$N$18,8,FALSE)&gt;75,"++",(IF(VLOOKUP(C16,OUTPUT_COUNTRY!$B$6:$N$18,8,FALSE)&gt;50,"+",(IF(VLOOKUP(C16,OUTPUT_COUNTRY!$B$6:$N$18,8,FALSE)&gt;25,"-","--")))))</f>
        <v>-</v>
      </c>
      <c r="J16" s="122" t="str">
        <f ca="1">IF(VLOOKUP(C16,OUTPUT_COUNTRY!$B$6:$N$18,9,FALSE)&gt;75,"++",(IF(VLOOKUP(C16,OUTPUT_COUNTRY!$B$6:$N$18,9,FALSE)&gt;50,"+",(IF(VLOOKUP(C16,OUTPUT_COUNTRY!$B$6:$N$18,9,FALSE)&gt;25,"-","--")))))</f>
        <v>--</v>
      </c>
      <c r="K16" s="154" t="str">
        <f>IF(VLOOKUP(C16,OUTPUT_COUNTRY!$B$6:$N$18,11,FALSE)&gt;75,"++",(IF(VLOOKUP(C16,OUTPUT_COUNTRY!$B$6:$N$18,11,FALSE)&gt;50,"+",(IF(VLOOKUP(C16,OUTPUT_COUNTRY!$B$6:$N$18,11,FALSE)&gt;25,"-","--")))))</f>
        <v>-</v>
      </c>
      <c r="L16" s="122" t="str">
        <f ca="1">IF(VLOOKUP(C16,OUTPUT_COUNTRY!$B$6:$N$18,13,FALSE)&gt;75,"++",(IF(VLOOKUP(C16,OUTPUT_COUNTRY!$B$6:$N$18,13,FALSE)&gt;50,"+",(IF(VLOOKUP(C16,OUTPUT_COUNTRY!$B$6:$N$18,13,FALSE)&gt;25,"-","--")))))</f>
        <v>--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"/>
  <sheetViews>
    <sheetView topLeftCell="A33" workbookViewId="0">
      <selection activeCell="D78" sqref="D78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555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487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  <row r="75" spans="1:4" x14ac:dyDescent="0.35">
      <c r="A75" t="s">
        <v>106</v>
      </c>
      <c r="B75" t="s">
        <v>869</v>
      </c>
      <c r="D75" s="26" t="s">
        <v>163</v>
      </c>
    </row>
    <row r="76" spans="1:4" x14ac:dyDescent="0.35">
      <c r="A76" t="s">
        <v>875</v>
      </c>
      <c r="B76" t="s">
        <v>870</v>
      </c>
      <c r="D76" s="26" t="s">
        <v>163</v>
      </c>
    </row>
    <row r="77" spans="1:4" x14ac:dyDescent="0.35">
      <c r="A77" t="s">
        <v>272</v>
      </c>
      <c r="B77" t="s">
        <v>273</v>
      </c>
      <c r="D77" s="26" t="s">
        <v>275</v>
      </c>
    </row>
    <row r="78" spans="1:4" x14ac:dyDescent="0.35">
      <c r="A78" t="s">
        <v>876</v>
      </c>
      <c r="B78" t="s">
        <v>868</v>
      </c>
      <c r="D78" s="26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1"/>
  <sheetViews>
    <sheetView zoomScale="75" zoomScaleNormal="130" workbookViewId="0">
      <selection activeCell="O16" sqref="O16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1.542968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10.81640625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740</v>
      </c>
      <c r="D2" s="72" t="s">
        <v>0</v>
      </c>
      <c r="E2" s="72" t="s">
        <v>561</v>
      </c>
      <c r="F2" s="72"/>
      <c r="G2" s="72" t="s">
        <v>2</v>
      </c>
      <c r="H2" s="72" t="s">
        <v>3</v>
      </c>
      <c r="I2" s="72" t="s">
        <v>406</v>
      </c>
      <c r="J2" s="72" t="s">
        <v>8</v>
      </c>
      <c r="K2" s="72" t="s">
        <v>67</v>
      </c>
      <c r="L2" s="72" t="s">
        <v>407</v>
      </c>
      <c r="M2" s="72" t="s">
        <v>408</v>
      </c>
      <c r="N2" s="72" t="s">
        <v>509</v>
      </c>
      <c r="O2" s="72" t="s">
        <v>741</v>
      </c>
      <c r="P2" s="72" t="s">
        <v>769</v>
      </c>
      <c r="Q2" s="72" t="s">
        <v>510</v>
      </c>
      <c r="R2" s="72" t="s">
        <v>511</v>
      </c>
      <c r="S2" s="72" t="s">
        <v>512</v>
      </c>
      <c r="T2" s="72" t="s">
        <v>742</v>
      </c>
      <c r="U2" s="72" t="s">
        <v>513</v>
      </c>
      <c r="V2" s="72" t="s">
        <v>514</v>
      </c>
      <c r="W2" s="72" t="s">
        <v>515</v>
      </c>
      <c r="X2" s="72" t="s">
        <v>516</v>
      </c>
      <c r="Y2" s="72" t="s">
        <v>517</v>
      </c>
      <c r="Z2" s="72" t="s">
        <v>743</v>
      </c>
      <c r="AA2" s="115" t="s">
        <v>770</v>
      </c>
      <c r="AB2" s="72" t="s">
        <v>530</v>
      </c>
      <c r="AC2" s="72" t="s">
        <v>541</v>
      </c>
    </row>
    <row r="3" spans="1:29" x14ac:dyDescent="0.35">
      <c r="A3" t="s">
        <v>431</v>
      </c>
      <c r="B3" t="s">
        <v>198</v>
      </c>
      <c r="C3" t="str" cm="1">
        <f t="array" ref="C3">_xll.FDS(A3,"FG_COMPANY_NAME")</f>
        <v>iShares MSCI New Zealand ETF</v>
      </c>
      <c r="D3" t="s">
        <v>431</v>
      </c>
      <c r="E3" t="s">
        <v>674</v>
      </c>
      <c r="F3" s="2" cm="1">
        <f t="array" ref="F3">_xll.FDS(D3,"JULIAN(FMA_DIV_YLD(NTMA,NOW,NOW,M,""PORTAGG"",""MEANR"").dates)")</f>
        <v>45469</v>
      </c>
      <c r="G3" s="4" cm="1">
        <f t="array" ref="G3">_xll.FDS(D3,"FMA_PE(LTM,0,,,""PORTAGG"",""MEANR"")")</f>
        <v>33.482242973958499</v>
      </c>
      <c r="H3" s="4" cm="1">
        <f t="array" ref="H3">_xll.FDS(D3,"FMA_PE(NTMA,0,,,""PORTAGG"",""MEANR"")")</f>
        <v>24.433932581039599</v>
      </c>
      <c r="I3" cm="1">
        <f t="array" ref="I3">_xll.FDS(D3,"FMA_DIV_YLD(NTMA,NOW,NOW,M,""PORTAGG"",""MEANR"")")</f>
        <v>2.7209611062300101</v>
      </c>
      <c r="J3" s="52" cm="1">
        <f t="array" ref="J3">IFERROR(_xll.FDS(D3,"FG_FCF_YIELD_NTM(0)"),(1/G3*100))</f>
        <v>-0.14016793607273301</v>
      </c>
      <c r="K3" s="3" cm="1">
        <f t="array" ref="K3">_xll.FDS(D3,"FMA_EVAL_EBITDA(NTMA,0,,,""PORTAGG"",""MEANR"")")</f>
        <v>11.6596049737346</v>
      </c>
      <c r="L3" cm="1">
        <f t="array" ref="L3">_xll.FDS(D3,"FMA_EVAL_EBIT(LTMA,NOW,NOW,M,""PORTAGG"",""MEANR"")")</f>
        <v>20.4843133785883</v>
      </c>
      <c r="M3">
        <f>HLOOKUP(D3,'Index ROE'!$A$1:$N$25,25,FALSE)</f>
        <v>6.5791075391831502</v>
      </c>
      <c r="N3">
        <f>VLOOKUP(A3,'LIQIDITY 2'!$A$3:$E$16,5,FALSE)</f>
        <v>4.6685999999999996</v>
      </c>
      <c r="O3" cm="1">
        <f t="array" ref="O3">IFERROR(IFERROR(IFERROR(IFERROR(_xll.FDS(B3,"IMF_IFS_RCPI_Q(0)"),_xll.FDS(B3,"IMF_IFS_RCPI_Q(-1AM)")),_xll.FDS(B3,"IMF_IFS_RCPI_Q(-2AM)")),_xll.FDS(B3,"IMF_IFS_RCPI_Q(-3AM)")),$D$31)</f>
        <v>4.0229889999999999</v>
      </c>
      <c r="P3">
        <f>VLOOKUP(E3,GDP_GROWTH!$B$10:$W$165,22,FALSE)</f>
        <v>2.7196134550164452</v>
      </c>
      <c r="Q3">
        <f t="shared" ref="Q3:Q11" si="0">I3-N3</f>
        <v>-1.9476388937699896</v>
      </c>
      <c r="R3" s="52">
        <f t="shared" ref="R3:R11" si="1">J3-N3</f>
        <v>-4.8087679360727327</v>
      </c>
      <c r="S3">
        <f t="shared" ref="S3:S11" si="2">M3-N3</f>
        <v>1.9105075391831505</v>
      </c>
      <c r="T3">
        <f t="shared" ref="T3:T11" si="3">M3-O3</f>
        <v>2.5561185391831502</v>
      </c>
      <c r="U3" cm="1">
        <f t="array" ref="U3">_xlfn.PERCENTRANK.EXC(_xlfn._xlws.FILTER(Q$3:Q$15, ISNUMBER(Q$3:Q$15)),Q3)*100</f>
        <v>21.4</v>
      </c>
      <c r="V3" cm="1">
        <f t="array" ref="V3">_xlfn.PERCENTRANK.EXC(_xlfn._xlws.FILTER(R$3:R$15, ISNUMBER(R$3:R$15)),R3)*100</f>
        <v>7.1</v>
      </c>
      <c r="W3" cm="1">
        <f t="array" ref="W3">_xlfn.PERCENTRANK.EXC(_xlfn._xlws.FILTER(S$3:S$15, ISNUMBER(S$3:S$15)),S3)*100</f>
        <v>7.1</v>
      </c>
      <c r="X3" cm="1">
        <f t="array" ref="X3">(1-_xlfn.PERCENTRANK.EXC(_xlfn._xlws.FILTER(G$3:G$15, ISNUMBER(G$3:G$15)),G3))*100</f>
        <v>14.3</v>
      </c>
      <c r="Y3" cm="1">
        <f t="array" ref="Y3">(1-_xlfn.PERCENTRANK.EXC(_xlfn._xlws.FILTER(H$3:H$15, ISNUMBER(H$3:H$15)),H3))*100</f>
        <v>14.3</v>
      </c>
      <c r="Z3" cm="1">
        <f t="array" ref="Z3">_xlfn.PERCENTRANK.EXC(_xlfn._xlws.FILTER(T$3:T$15, ISNUMBER(T$3:T$15)),T3)*100</f>
        <v>7.1</v>
      </c>
      <c r="AA3" cm="1">
        <f t="array" ref="AA3">_xlfn.PERCENTRANK.EXC(_xlfn._xlws.FILTER(P$3:P$15, ISNUMBER(P$3:P$15)),P3)*100</f>
        <v>92.800000000000011</v>
      </c>
      <c r="AB3">
        <f>U3*Assumption!$E$40 + V3*Assumption!$F$40 + X3*Assumption!$G$40 + Y3*Assumption!$H$40 + W3*Assumption!$I$40 +Z3* Assumption!$K$40 + AA3* Assumption!$J$40</f>
        <v>11.415000000000003</v>
      </c>
      <c r="AC3" cm="1">
        <f t="array" ref="AC3">_xlfn.PERCENTRANK.EXC(_xlfn._xlws.FILTER(AB$3:AB$15, ISNUMBER(AB$3:AB$15)),AB3)*100</f>
        <v>7.1</v>
      </c>
    </row>
    <row r="4" spans="1:29" x14ac:dyDescent="0.35">
      <c r="A4" t="s">
        <v>44</v>
      </c>
      <c r="B4" t="s">
        <v>174</v>
      </c>
      <c r="C4" t="str" cm="1">
        <f t="array" ref="C4">_xll.FDS(A4,"FG_COMPANY_NAME")</f>
        <v>iShares MSCI Australia ETF</v>
      </c>
      <c r="D4" t="s">
        <v>44</v>
      </c>
      <c r="E4" t="s">
        <v>576</v>
      </c>
      <c r="F4" s="2" cm="1">
        <f t="array" ref="F4">_xll.FDS(D4,"JULIAN(FMA_DIV_YLD(NTMA,NOW,NOW,M,""PORTAGG"",""MEANR"").dates)")</f>
        <v>45470</v>
      </c>
      <c r="G4" s="4" cm="1">
        <f t="array" ref="G4">_xll.FDS(D4,"FMA_PE(LTM,0,,,""PORTAGG"",""MEANR"")")</f>
        <v>19.2941503940575</v>
      </c>
      <c r="H4" s="4" cm="1">
        <f t="array" ref="H4">_xll.FDS(D4,"FMA_PE(NTMA,0,,,""PORTAGG"",""MEANR"")")</f>
        <v>16.801995940630899</v>
      </c>
      <c r="I4" cm="1">
        <f t="array" ref="I4">_xll.FDS(D4,"FMA_DIV_YLD(NTMA,NOW,NOW,M,""PORTAGG"",""MEANR"")")</f>
        <v>3.93983803575111</v>
      </c>
      <c r="J4" s="52" cm="1">
        <f t="array" ref="J4">IFERROR(_xll.FDS(D4,"FG_FCF_YIELD_NTM(0)"),(1/G4*100))</f>
        <v>5.0834780704269198</v>
      </c>
      <c r="K4" s="3" cm="1">
        <f t="array" ref="K4">_xll.FDS(D4,"FMA_EVAL_EBITDA(NTMA,0,,,""PORTAGG"",""MEANR"")")</f>
        <v>8.6031074715768305</v>
      </c>
      <c r="L4" cm="1">
        <f t="array" ref="L4">_xll.FDS(D4,"FMA_EVAL_EBIT(LTMA,NOW,NOW,M,""PORTAGG"",""MEANR"")")</f>
        <v>12.399707785054099</v>
      </c>
      <c r="M4">
        <f>HLOOKUP(D4,'Index ROE'!$A$1:$N$25,25,FALSE)</f>
        <v>13.226137995013501</v>
      </c>
      <c r="N4">
        <f>VLOOKUP(A4,'LIQIDITY 2'!$A$3:$E$16,5,FALSE)</f>
        <v>4.3120000000000003</v>
      </c>
      <c r="O4" cm="1">
        <f t="array" ref="O4">IFERROR(IFERROR(IFERROR(IFERROR(_xll.FDS(B4,"IMF_IFS_RCPI_Q(0)"),_xll.FDS(B4,"IMF_IFS_RCPI_Q(-1AM)")),_xll.FDS(B4,"IMF_IFS_RCPI_Q(-2AM)")),_xll.FDS(B4,"IMF_IFS_RCPI_Q(-3AM)")),$D$31)</f>
        <v>3.61991</v>
      </c>
      <c r="P4">
        <f>VLOOKUP(E4,GDP_GROWTH!$B$10:$W$165,22,FALSE)</f>
        <v>2.0879441195558623</v>
      </c>
      <c r="Q4">
        <f t="shared" si="0"/>
        <v>-0.37216196424889025</v>
      </c>
      <c r="R4" s="52">
        <f t="shared" si="1"/>
        <v>0.77147807042691952</v>
      </c>
      <c r="S4">
        <f t="shared" si="2"/>
        <v>8.9141379950135011</v>
      </c>
      <c r="T4">
        <f t="shared" si="3"/>
        <v>9.6062279950135014</v>
      </c>
      <c r="U4" cm="1">
        <f t="array" ref="U4">_xlfn.PERCENTRANK.EXC(_xlfn._xlws.FILTER(Q$3:Q$15, ISNUMBER(Q$3:Q$15)),Q4)*100</f>
        <v>28.499999999999996</v>
      </c>
      <c r="V4" cm="1">
        <f t="array" ref="V4">_xlfn.PERCENTRANK.EXC(_xlfn._xlws.FILTER(R$3:R$15, ISNUMBER(R$3:R$15)),R4)*100</f>
        <v>35.699999999999996</v>
      </c>
      <c r="W4" cm="1">
        <f t="array" ref="W4">_xlfn.PERCENTRANK.EXC(_xlfn._xlws.FILTER(S$3:S$15, ISNUMBER(S$3:S$15)),S4)*100</f>
        <v>21.4</v>
      </c>
      <c r="X4" cm="1">
        <f t="array" ref="X4">(1-_xlfn.PERCENTRANK.EXC(_xlfn._xlws.FILTER(G$3:G$15, ISNUMBER(G$3:G$15)),G4))*100</f>
        <v>35.799999999999997</v>
      </c>
      <c r="Y4" cm="1">
        <f t="array" ref="Y4">(1-_xlfn.PERCENTRANK.EXC(_xlfn._xlws.FILTER(H$3:H$15, ISNUMBER(H$3:H$15)),H4))*100</f>
        <v>35.799999999999997</v>
      </c>
      <c r="Z4" cm="1">
        <f t="array" ref="Z4">_xlfn.PERCENTRANK.EXC(_xlfn._xlws.FILTER(T$3:T$15, ISNUMBER(T$3:T$15)),T4)*100</f>
        <v>28.499999999999996</v>
      </c>
      <c r="AA4" cm="1">
        <f t="array" ref="AA4">_xlfn.PERCENTRANK.EXC(_xlfn._xlws.FILTER(P$3:P$15, ISNUMBER(P$3:P$15)),P4)*100</f>
        <v>85.7</v>
      </c>
      <c r="AB4">
        <f>U4*Assumption!$E$40 + V4*Assumption!$F$40 + X4*Assumption!$G$40 + Y4*Assumption!$H$40 + W4*Assumption!$I$40 +Z4* Assumption!$K$40 + AA4* Assumption!$J$40</f>
        <v>33.239999999999995</v>
      </c>
      <c r="AC4" cm="1">
        <f t="array" ref="AC4">_xlfn.PERCENTRANK.EXC(_xlfn._xlws.FILTER(AB$3:AB$15, ISNUMBER(AB$3:AB$15)),AB4)*100</f>
        <v>28.499999999999996</v>
      </c>
    </row>
    <row r="5" spans="1:29" x14ac:dyDescent="0.35">
      <c r="A5" t="s">
        <v>49</v>
      </c>
      <c r="B5" t="s">
        <v>157</v>
      </c>
      <c r="C5" t="str" cm="1">
        <f t="array" ref="C5">_xll.FDS(A5,"FG_COMPANY_NAME")</f>
        <v>iShares MSCI Canada ETF</v>
      </c>
      <c r="D5" t="s">
        <v>49</v>
      </c>
      <c r="E5" t="s">
        <v>598</v>
      </c>
      <c r="F5" s="2" cm="1">
        <f t="array" ref="F5">_xll.FDS(D5,"JULIAN(FMA_DIV_YLD(NTMA,NOW,NOW,M,""PORTAGG"",""MEANR"").dates)")</f>
        <v>45470</v>
      </c>
      <c r="G5" s="4" cm="1">
        <f t="array" ref="G5">_xll.FDS(D5,"FMA_PE(LTM,0,,,""PORTAGG"",""MEANR"")")</f>
        <v>17.108253422933402</v>
      </c>
      <c r="H5" s="4" cm="1">
        <f t="array" ref="H5">_xll.FDS(D5,"FMA_PE(NTMA,0,,,""PORTAGG"",""MEANR"")")</f>
        <v>13.983749051546701</v>
      </c>
      <c r="I5" cm="1">
        <f t="array" ref="I5">_xll.FDS(D5,"FMA_DIV_YLD(NTMA,NOW,NOW,M,""PORTAGG"",""MEANR"")")</f>
        <v>3.3372840280521401</v>
      </c>
      <c r="J5" s="52" cm="1">
        <f t="array" ref="J5">IFERROR(_xll.FDS(D5,"FG_FCF_YIELD_NTM(0)"),(1/G5*100))</f>
        <v>5.9975675846727299</v>
      </c>
      <c r="K5" s="3" cm="1">
        <f t="array" ref="K5">_xll.FDS(D5,"FMA_EVAL_EBITDA(NTMA,0,,,""PORTAGG"",""MEANR"")")</f>
        <v>9.6490646495818204</v>
      </c>
      <c r="L5" cm="1">
        <f t="array" ref="L5">_xll.FDS(D5,"FMA_EVAL_EBIT(LTMA,NOW,NOW,M,""PORTAGG"",""MEANR"")")</f>
        <v>15.9654707235691</v>
      </c>
      <c r="M5">
        <f>HLOOKUP(D5,'Index ROE'!$A$1:$N$25,25,FALSE)</f>
        <v>13.147116166704</v>
      </c>
      <c r="N5">
        <f>VLOOKUP(A5,'LIQIDITY 2'!$A$3:$E$16,5,FALSE)</f>
        <v>3.5038</v>
      </c>
      <c r="O5" cm="1">
        <f t="array" ref="O5">IFERROR(IFERROR(IFERROR(IFERROR(_xll.FDS(B5,"IMF_IFS_RCPI_Q(0)"),_xll.FDS(B5,"IMF_IFS_RCPI_Q(-1AM)")),_xll.FDS(B5,"IMF_IFS_RCPI_Q(-2AM)")),_xll.FDS(B5,"IMF_IFS_RCPI_Q(-3AM)")),$D$31)</f>
        <v>2.8466705999999999</v>
      </c>
      <c r="P5">
        <f>VLOOKUP(E5,GDP_GROWTH!$B$10:$W$165,22,FALSE)</f>
        <v>1.4598842535213041</v>
      </c>
      <c r="Q5">
        <f t="shared" si="0"/>
        <v>-0.16651597194785994</v>
      </c>
      <c r="R5" s="52">
        <f t="shared" si="1"/>
        <v>2.4937675846727299</v>
      </c>
      <c r="S5">
        <f t="shared" si="2"/>
        <v>9.6433161667040004</v>
      </c>
      <c r="T5">
        <f t="shared" si="3"/>
        <v>10.300445566704001</v>
      </c>
      <c r="U5" cm="1">
        <f t="array" ref="U5">_xlfn.PERCENTRANK.EXC(_xlfn._xlws.FILTER(Q$3:Q$15, ISNUMBER(Q$3:Q$15)),Q5)*100</f>
        <v>50</v>
      </c>
      <c r="V5" cm="1">
        <f t="array" ref="V5">_xlfn.PERCENTRANK.EXC(_xlfn._xlws.FILTER(R$3:R$15, ISNUMBER(R$3:R$15)),R5)*100</f>
        <v>57.099999999999994</v>
      </c>
      <c r="W5" cm="1">
        <f t="array" ref="W5">_xlfn.PERCENTRANK.EXC(_xlfn._xlws.FILTER(S$3:S$15, ISNUMBER(S$3:S$15)),S5)*100</f>
        <v>42.8</v>
      </c>
      <c r="X5" cm="1">
        <f t="array" ref="X5">(1-_xlfn.PERCENTRANK.EXC(_xlfn._xlws.FILTER(G$3:G$15, ISNUMBER(G$3:G$15)),G5))*100</f>
        <v>42.900000000000006</v>
      </c>
      <c r="Y5" cm="1">
        <f t="array" ref="Y5">(1-_xlfn.PERCENTRANK.EXC(_xlfn._xlws.FILTER(H$3:H$15, ISNUMBER(H$3:H$15)),H5))*100</f>
        <v>64.3</v>
      </c>
      <c r="Z5" cm="1">
        <f t="array" ref="Z5">_xlfn.PERCENTRANK.EXC(_xlfn._xlws.FILTER(T$3:T$15, ISNUMBER(T$3:T$15)),T5)*100</f>
        <v>42.8</v>
      </c>
      <c r="AA5" cm="1">
        <f t="array" ref="AA5">_xlfn.PERCENTRANK.EXC(_xlfn._xlws.FILTER(P$3:P$15, ISNUMBER(P$3:P$15)),P5)*100</f>
        <v>42.8</v>
      </c>
      <c r="AB5">
        <f>U5*Assumption!$E$40 + V5*Assumption!$F$40 + X5*Assumption!$G$40 + Y5*Assumption!$H$40 + W5*Assumption!$I$40 +Z5* Assumption!$K$40 + AA5* Assumption!$J$40</f>
        <v>52.135000000000005</v>
      </c>
      <c r="AC5" cm="1">
        <f t="array" ref="AC5">_xlfn.PERCENTRANK.EXC(_xlfn._xlws.FILTER(AB$3:AB$15, ISNUMBER(AB$3:AB$15)),AB5)*100</f>
        <v>42.8</v>
      </c>
    </row>
    <row r="6" spans="1:29" x14ac:dyDescent="0.35">
      <c r="A6" t="s">
        <v>11</v>
      </c>
      <c r="B6" t="s">
        <v>555</v>
      </c>
      <c r="C6" t="str" cm="1">
        <f t="array" ref="C6">_xll.FDS(A6,"FG_COMPANY_NAME")</f>
        <v>iShares MSCI Germany ETF</v>
      </c>
      <c r="D6" t="s">
        <v>11</v>
      </c>
      <c r="E6" t="s">
        <v>625</v>
      </c>
      <c r="F6" s="2" cm="1">
        <f t="array" ref="F6">_xll.FDS(D6,"JULIAN(FMA_DIV_YLD(NTMA,NOW,NOW,M,""PORTAGG"",""MEANR"").dates)")</f>
        <v>45469</v>
      </c>
      <c r="G6" s="4" cm="1">
        <f t="array" ref="G6">_xll.FDS(D6,"FMA_PE(LTM,0,,,""PORTAGG"",""MEANR"")")</f>
        <v>16.0922044617331</v>
      </c>
      <c r="H6" s="4" cm="1">
        <f t="array" ref="H6">_xll.FDS(D6,"FMA_PE(NTMA,0,,,""PORTAGG"",""MEANR"")")</f>
        <v>11.685160265203701</v>
      </c>
      <c r="I6" cm="1">
        <f t="array" ref="I6">_xll.FDS(D6,"FMA_DIV_YLD(NTMA,NOW,NOW,M,""PORTAGG"",""MEANR"")")</f>
        <v>3.42555657614996</v>
      </c>
      <c r="J6" s="52" cm="1">
        <f t="array" ref="J6">IFERROR(_xll.FDS(D6,"FG_FCF_YIELD_NTM(0)"),(1/G6*100))</f>
        <v>5.86715787357282</v>
      </c>
      <c r="K6" s="3" cm="1">
        <f t="array" ref="K6">_xll.FDS(D6,"FMA_EVAL_EBITDA(NTMA,0,,,""PORTAGG"",""MEANR"")")</f>
        <v>8.3930226699842692</v>
      </c>
      <c r="L6" cm="1">
        <f t="array" ref="L6">_xll.FDS(D6,"FMA_EVAL_EBIT(LTMA,NOW,NOW,M,""PORTAGG"",""MEANR"")")</f>
        <v>13.4021801660622</v>
      </c>
      <c r="M6">
        <f>HLOOKUP(D6,'Index ROE'!$A$1:$N$25,25,FALSE)</f>
        <v>11.9489916743573</v>
      </c>
      <c r="N6">
        <f>VLOOKUP(A6,'LIQIDITY 2'!$A$3:$E$16,5,FALSE)</f>
        <v>2.4689999999999999</v>
      </c>
      <c r="O6" cm="1">
        <f t="array" ref="O6">IFERROR(IFERROR(IFERROR(IFERROR(_xll.FDS(B6,"IMF_IFS_RCPI_Q(0)"),_xll.FDS(B6,"IMF_IFS_RCPI_Q(-1AM)")),_xll.FDS(B6,"IMF_IFS_RCPI_Q(-2AM)")),_xll.FDS(B6,"IMF_IFS_RCPI_Q(-3AM)")),$D$31)</f>
        <v>2.5173564000000002</v>
      </c>
      <c r="P6">
        <f>VLOOKUP(E6,GDP_GROWTH!$B$10:$W$165,22,FALSE)</f>
        <v>0.863192929992318</v>
      </c>
      <c r="Q6">
        <f t="shared" si="0"/>
        <v>0.95655657614996015</v>
      </c>
      <c r="R6" s="52">
        <f t="shared" si="1"/>
        <v>3.3981578735728202</v>
      </c>
      <c r="S6">
        <f t="shared" si="2"/>
        <v>9.4799916743573007</v>
      </c>
      <c r="T6">
        <f t="shared" si="3"/>
        <v>9.4316352743572995</v>
      </c>
      <c r="U6" cm="1">
        <f t="array" ref="U6">_xlfn.PERCENTRANK.EXC(_xlfn._xlws.FILTER(Q$3:Q$15, ISNUMBER(Q$3:Q$15)),Q6)*100</f>
        <v>64.2</v>
      </c>
      <c r="V6" cm="1">
        <f t="array" ref="V6">_xlfn.PERCENTRANK.EXC(_xlfn._xlws.FILTER(R$3:R$15, ISNUMBER(R$3:R$15)),R6)*100</f>
        <v>85.7</v>
      </c>
      <c r="W6" cm="1">
        <f t="array" ref="W6">_xlfn.PERCENTRANK.EXC(_xlfn._xlws.FILTER(S$3:S$15, ISNUMBER(S$3:S$15)),S6)*100</f>
        <v>35.699999999999996</v>
      </c>
      <c r="X6" cm="1">
        <f t="array" ref="X6">(1-_xlfn.PERCENTRANK.EXC(_xlfn._xlws.FILTER(G$3:G$15, ISNUMBER(G$3:G$15)),G6))*100</f>
        <v>57.2</v>
      </c>
      <c r="Y6" cm="1">
        <f t="array" ref="Y6">(1-_xlfn.PERCENTRANK.EXC(_xlfn._xlws.FILTER(H$3:H$15, ISNUMBER(H$3:H$15)),H6))*100</f>
        <v>78.600000000000009</v>
      </c>
      <c r="Z6" cm="1">
        <f t="array" ref="Z6">_xlfn.PERCENTRANK.EXC(_xlfn._xlws.FILTER(T$3:T$15, ISNUMBER(T$3:T$15)),T6)*100</f>
        <v>21.4</v>
      </c>
      <c r="AA6" cm="1">
        <f t="array" ref="AA6">_xlfn.PERCENTRANK.EXC(_xlfn._xlws.FILTER(P$3:P$15, ISNUMBER(P$3:P$15)),P6)*100</f>
        <v>21.4</v>
      </c>
      <c r="AB6">
        <f>U6*Assumption!$E$40 + V6*Assumption!$F$40 + X6*Assumption!$G$40 + Y6*Assumption!$H$40 + W6*Assumption!$I$40 +Z6* Assumption!$K$40 + AA6* Assumption!$J$40</f>
        <v>64.295000000000002</v>
      </c>
      <c r="AC6" cm="1">
        <f t="array" ref="AC6">_xlfn.PERCENTRANK.EXC(_xlfn._xlws.FILTER(AB$3:AB$15, ISNUMBER(AB$3:AB$15)),AB6)*100</f>
        <v>57.099999999999994</v>
      </c>
    </row>
    <row r="7" spans="1:29" x14ac:dyDescent="0.35">
      <c r="A7" t="s">
        <v>46</v>
      </c>
      <c r="B7" t="s">
        <v>164</v>
      </c>
      <c r="C7" t="str" cm="1">
        <f t="array" ref="C7">_xll.FDS(A7,"FG_COMPANY_NAME")</f>
        <v>iShares MSCI Japan ETF</v>
      </c>
      <c r="D7" t="s">
        <v>46</v>
      </c>
      <c r="E7" t="s">
        <v>643</v>
      </c>
      <c r="F7" s="2" cm="1">
        <f t="array" ref="F7">_xll.FDS(D7,"JULIAN(FMA_DIV_YLD(NTMA,NOW,NOW,M,""PORTAGG"",""MEANR"").dates)")</f>
        <v>45469</v>
      </c>
      <c r="G7" s="4" cm="1">
        <f t="array" ref="G7">_xll.FDS(D7,"FMA_PE(LTM,0,,,""PORTAGG"",""MEANR"")")</f>
        <v>16.038027781441698</v>
      </c>
      <c r="H7" s="4" cm="1">
        <f t="array" ref="H7">_xll.FDS(D7,"FMA_PE(NTMA,0,,,""PORTAGG"",""MEANR"")")</f>
        <v>15.5521401174445</v>
      </c>
      <c r="I7" cm="1">
        <f t="array" ref="I7">_xll.FDS(D7,"FMA_DIV_YLD(NTMA,NOW,NOW,M,""PORTAGG"",""MEANR"")")</f>
        <v>2.2397951431662801</v>
      </c>
      <c r="J7" s="52" cm="1">
        <f t="array" ref="J7">IFERROR(_xll.FDS(D7,"FG_FCF_YIELD_NTM(0)"),(1/G7*100))</f>
        <v>3.7837676094269601</v>
      </c>
      <c r="K7" s="3" cm="1">
        <f t="array" ref="K7">_xll.FDS(D7,"FMA_EVAL_EBITDA(NTMA,0,,,""PORTAGG"",""MEANR"")")</f>
        <v>10.5824882081639</v>
      </c>
      <c r="L7" cm="1">
        <f t="array" ref="L7">_xll.FDS(D7,"FMA_EVAL_EBIT(LTMA,NOW,NOW,M,""PORTAGG"",""MEANR"")")</f>
        <v>17.761894236234099</v>
      </c>
      <c r="M7">
        <f>HLOOKUP(D7,'Index ROE'!$A$1:$N$25,25,FALSE)</f>
        <v>9.2993797225733807</v>
      </c>
      <c r="N7">
        <f>VLOOKUP(A7,'LIQIDITY 2'!$A$3:$E$16,5,FALSE)</f>
        <v>1.0631999999999999</v>
      </c>
      <c r="O7" cm="1">
        <f t="array" ref="O7">IFERROR(IFERROR(IFERROR(IFERROR(_xll.FDS(B7,"IMF_IFS_RCPI_Q(0)"),_xll.FDS(B7,"IMF_IFS_RCPI_Q(-1AM)")),_xll.FDS(B7,"IMF_IFS_RCPI_Q(-2AM)")),_xll.FDS(B7,"IMF_IFS_RCPI_Q(-3AM)")),$D$31)</f>
        <v>2.5231561999999998</v>
      </c>
      <c r="P7">
        <f>VLOOKUP(E7,GDP_GROWTH!$B$10:$W$165,22,FALSE)</f>
        <v>0.31456851442112077</v>
      </c>
      <c r="Q7">
        <f t="shared" si="0"/>
        <v>1.1765951431662802</v>
      </c>
      <c r="R7" s="52">
        <f t="shared" si="1"/>
        <v>2.7205676094269604</v>
      </c>
      <c r="S7">
        <f t="shared" si="2"/>
        <v>8.2361797225733806</v>
      </c>
      <c r="T7">
        <f t="shared" si="3"/>
        <v>6.7762235225733809</v>
      </c>
      <c r="U7" cm="1">
        <f t="array" ref="U7">_xlfn.PERCENTRANK.EXC(_xlfn._xlws.FILTER(Q$3:Q$15, ISNUMBER(Q$3:Q$15)),Q7)*100</f>
        <v>78.5</v>
      </c>
      <c r="V7" cm="1">
        <f t="array" ref="V7">_xlfn.PERCENTRANK.EXC(_xlfn._xlws.FILTER(R$3:R$15, ISNUMBER(R$3:R$15)),R7)*100</f>
        <v>64.2</v>
      </c>
      <c r="W7" cm="1">
        <f t="array" ref="W7">_xlfn.PERCENTRANK.EXC(_xlfn._xlws.FILTER(S$3:S$15, ISNUMBER(S$3:S$15)),S7)*100</f>
        <v>14.2</v>
      </c>
      <c r="X7" cm="1">
        <f t="array" ref="X7">(1-_xlfn.PERCENTRANK.EXC(_xlfn._xlws.FILTER(G$3:G$15, ISNUMBER(G$3:G$15)),G7))*100</f>
        <v>64.3</v>
      </c>
      <c r="Y7" cm="1">
        <f t="array" ref="Y7">(1-_xlfn.PERCENTRANK.EXC(_xlfn._xlws.FILTER(H$3:H$15, ISNUMBER(H$3:H$15)),H7))*100</f>
        <v>57.2</v>
      </c>
      <c r="Z7" cm="1">
        <f t="array" ref="Z7">_xlfn.PERCENTRANK.EXC(_xlfn._xlws.FILTER(T$3:T$15, ISNUMBER(T$3:T$15)),T7)*100</f>
        <v>14.2</v>
      </c>
      <c r="AA7" cm="1">
        <f t="array" ref="AA7">_xlfn.PERCENTRANK.EXC(_xlfn._xlws.FILTER(P$3:P$15, ISNUMBER(P$3:P$15)),P7)*100</f>
        <v>7.1</v>
      </c>
      <c r="AB7">
        <f>U7*Assumption!$E$40 + V7*Assumption!$F$40 + X7*Assumption!$G$40 + Y7*Assumption!$H$40 + W7*Assumption!$I$40 +Z7* Assumption!$K$40 + AA7* Assumption!$J$40</f>
        <v>53.19</v>
      </c>
      <c r="AC7" cm="1">
        <f t="array" ref="AC7">_xlfn.PERCENTRANK.EXC(_xlfn._xlws.FILTER(AB$3:AB$15, ISNUMBER(AB$3:AB$15)),AB7)*100</f>
        <v>50</v>
      </c>
    </row>
    <row r="8" spans="1:29" x14ac:dyDescent="0.35">
      <c r="A8" t="s">
        <v>42</v>
      </c>
      <c r="B8" t="s">
        <v>276</v>
      </c>
      <c r="C8" t="str" cm="1">
        <f t="array" ref="C8">_xll.FDS(A8,"FG_COMPANY_NAME")</f>
        <v>iShares MSCI Switzerland ETF</v>
      </c>
      <c r="D8" t="s">
        <v>42</v>
      </c>
      <c r="E8" t="s">
        <v>706</v>
      </c>
      <c r="F8" s="2" cm="1">
        <f t="array" ref="F8">_xll.FDS(D8,"JULIAN(FMA_DIV_YLD(NTMA,NOW,NOW,M,""PORTAGG"",""MEANR"").dates)")</f>
        <v>45469</v>
      </c>
      <c r="G8" s="4" cm="1">
        <f t="array" ref="G8">_xll.FDS(D8,"FMA_PE(LTM,0,,,""PORTAGG"",""MEANR"")")</f>
        <v>16.899056643305901</v>
      </c>
      <c r="H8" s="4" cm="1">
        <f t="array" ref="H8">_xll.FDS(D8,"FMA_PE(NTMA,0,,,""PORTAGG"",""MEANR"")")</f>
        <v>17.159235279035901</v>
      </c>
      <c r="I8" cm="1">
        <f t="array" ref="I8">_xll.FDS(D8,"FMA_DIV_YLD(NTMA,NOW,NOW,M,""PORTAGG"",""MEANR"")")</f>
        <v>3.22623202006623</v>
      </c>
      <c r="J8" s="52" cm="1">
        <f t="array" ref="J8">IFERROR(_xll.FDS(D8,"FG_FCF_YIELD_NTM(0)"),(1/G8*100))</f>
        <v>4.7860187853724101</v>
      </c>
      <c r="K8" s="3" cm="1">
        <f t="array" ref="K8">_xll.FDS(D8,"FMA_EVAL_EBITDA(NTMA,0,,,""PORTAGG"",""MEANR"")")</f>
        <v>12.851196548658301</v>
      </c>
      <c r="L8" cm="1">
        <f t="array" ref="L8">_xll.FDS(D8,"FMA_EVAL_EBIT(LTMA,NOW,NOW,M,""PORTAGG"",""MEANR"")")</f>
        <v>16.530190515904501</v>
      </c>
      <c r="M8">
        <f>HLOOKUP(D8,'Index ROE'!$A$1:$N$25,25,FALSE)</f>
        <v>19.299686812780902</v>
      </c>
      <c r="N8">
        <f>VLOOKUP(A8,'LIQIDITY 2'!$A$3:$E$16,5,FALSE)</f>
        <v>0.53900000000000003</v>
      </c>
      <c r="O8" cm="1">
        <f t="array" ref="O8">IFERROR(IFERROR(IFERROR(IFERROR(_xll.FDS(B8,"IMF_IFS_RCPI_Q(0)"),_xll.FDS(B8,"IMF_IFS_RCPI_Q(-1AM)")),_xll.FDS(B8,"IMF_IFS_RCPI_Q(-2AM)")),_xll.FDS(B8,"IMF_IFS_RCPI_Q(-3AM)")),$D$31)</f>
        <v>1.1636324</v>
      </c>
      <c r="P8">
        <f>VLOOKUP(E8,GDP_GROWTH!$B$10:$W$165,22,FALSE)</f>
        <v>2.077185911672963</v>
      </c>
      <c r="Q8">
        <f t="shared" si="0"/>
        <v>2.6872320200662299</v>
      </c>
      <c r="R8" s="52">
        <f t="shared" si="1"/>
        <v>4.2470187853724104</v>
      </c>
      <c r="S8">
        <f t="shared" si="2"/>
        <v>18.7606868127809</v>
      </c>
      <c r="T8">
        <f t="shared" si="3"/>
        <v>18.136054412780901</v>
      </c>
      <c r="U8" cm="1">
        <f t="array" ref="U8">_xlfn.PERCENTRANK.EXC(_xlfn._xlws.FILTER(Q$3:Q$15, ISNUMBER(Q$3:Q$15)),Q8)*100</f>
        <v>92.800000000000011</v>
      </c>
      <c r="V8" cm="1">
        <f t="array" ref="V8">_xlfn.PERCENTRANK.EXC(_xlfn._xlws.FILTER(R$3:R$15, ISNUMBER(R$3:R$15)),R8)*100</f>
        <v>92.800000000000011</v>
      </c>
      <c r="W8" cm="1">
        <f t="array" ref="W8">_xlfn.PERCENTRANK.EXC(_xlfn._xlws.FILTER(S$3:S$15, ISNUMBER(S$3:S$15)),S8)*100</f>
        <v>85.7</v>
      </c>
      <c r="X8" cm="1">
        <f t="array" ref="X8">(1-_xlfn.PERCENTRANK.EXC(_xlfn._xlws.FILTER(G$3:G$15, ISNUMBER(G$3:G$15)),G8))*100</f>
        <v>50</v>
      </c>
      <c r="Y8" cm="1">
        <f t="array" ref="Y8">(1-_xlfn.PERCENTRANK.EXC(_xlfn._xlws.FILTER(H$3:H$15, ISNUMBER(H$3:H$15)),H8))*100</f>
        <v>28.6</v>
      </c>
      <c r="Z8" cm="1">
        <f t="array" ref="Z8">_xlfn.PERCENTRANK.EXC(_xlfn._xlws.FILTER(T$3:T$15, ISNUMBER(T$3:T$15)),T8)*100</f>
        <v>85.7</v>
      </c>
      <c r="AA8" cm="1">
        <f t="array" ref="AA8">_xlfn.PERCENTRANK.EXC(_xlfn._xlws.FILTER(P$3:P$15, ISNUMBER(P$3:P$15)),P8)*100</f>
        <v>64.2</v>
      </c>
      <c r="AB8">
        <f>U8*Assumption!$E$40 + V8*Assumption!$F$40 + X8*Assumption!$G$40 + Y8*Assumption!$H$40 + W8*Assumption!$I$40 +Z8* Assumption!$K$40 + AA8* Assumption!$J$40</f>
        <v>64.63</v>
      </c>
      <c r="AC8" cm="1">
        <f t="array" ref="AC8">_xlfn.PERCENTRANK.EXC(_xlfn._xlws.FILTER(AB$3:AB$15, ISNUMBER(AB$3:AB$15)),AB8)*100</f>
        <v>64.2</v>
      </c>
    </row>
    <row r="9" spans="1:29" x14ac:dyDescent="0.35">
      <c r="A9" t="s">
        <v>48</v>
      </c>
      <c r="B9" t="s">
        <v>167</v>
      </c>
      <c r="C9" t="str" cm="1">
        <f t="array" ref="C9">_xll.FDS(A9,"FG_COMPANY_NAME")</f>
        <v>iShares MSCI United Kingdom ETF</v>
      </c>
      <c r="D9" t="s">
        <v>48</v>
      </c>
      <c r="E9" t="s">
        <v>719</v>
      </c>
      <c r="F9" s="2" cm="1">
        <f t="array" ref="F9">_xll.FDS(D9,"JULIAN(FMA_DIV_YLD(NTMA,NOW,NOW,M,""PORTAGG"",""MEANR"").dates)")</f>
        <v>45469</v>
      </c>
      <c r="G9" s="4" cm="1">
        <f t="array" ref="G9">_xll.FDS(D9,"FMA_PE(LTM,0,,,""PORTAGG"",""MEANR"")")</f>
        <v>12.8688036232959</v>
      </c>
      <c r="H9" s="4" cm="1">
        <f t="array" ref="H9">_xll.FDS(D9,"FMA_PE(NTMA,0,,,""PORTAGG"",""MEANR"")")</f>
        <v>11.426774322315101</v>
      </c>
      <c r="I9" cm="1">
        <f t="array" ref="I9">_xll.FDS(D9,"FMA_DIV_YLD(NTMA,NOW,NOW,M,""PORTAGG"",""MEANR"")")</f>
        <v>3.9519741887313802</v>
      </c>
      <c r="J9" s="52" cm="1">
        <f t="array" ref="J9">IFERROR(_xll.FDS(D9,"FG_FCF_YIELD_NTM(0)"),(1/G9*100))</f>
        <v>6.1630647333863902</v>
      </c>
      <c r="K9" s="3" cm="1">
        <f t="array" ref="K9">_xll.FDS(D9,"FMA_EVAL_EBITDA(NTMA,0,,,""PORTAGG"",""MEANR"")")</f>
        <v>7.44545365769845</v>
      </c>
      <c r="L9" cm="1">
        <f t="array" ref="L9">_xll.FDS(D9,"FMA_EVAL_EBIT(LTMA,NOW,NOW,M,""PORTAGG"",""MEANR"")")</f>
        <v>10.5337481374782</v>
      </c>
      <c r="M9">
        <f>HLOOKUP(D9,'Index ROE'!$A$1:$N$25,25,FALSE)</f>
        <v>14.7207288829901</v>
      </c>
      <c r="N9">
        <f>VLOOKUP(A9,'LIQIDITY 2'!$A$3:$E$16,5,FALSE)</f>
        <v>4.1470000000000002</v>
      </c>
      <c r="O9" cm="1">
        <f t="array" ref="O9">IFERROR(IFERROR(IFERROR(IFERROR(_xll.FDS(B9,"IMF_IFS_RCPI_Q(0)"),_xll.FDS(B9,"IMF_IFS_RCPI_Q(-1AM)")),_xll.FDS(B9,"IMF_IFS_RCPI_Q(-2AM)")),_xll.FDS(B9,"IMF_IFS_RCPI_Q(-3AM)")),$D$31)</f>
        <v>3.9194993999999999</v>
      </c>
      <c r="P9">
        <f>VLOOKUP(E9,GDP_GROWTH!$B$10:$W$165,22,FALSE)</f>
        <v>1.0976426250664972</v>
      </c>
      <c r="Q9">
        <f t="shared" si="0"/>
        <v>-0.19502581126862006</v>
      </c>
      <c r="R9" s="52">
        <f t="shared" si="1"/>
        <v>2.0160647333863899</v>
      </c>
      <c r="S9">
        <f t="shared" si="2"/>
        <v>10.5737288829901</v>
      </c>
      <c r="T9">
        <f t="shared" si="3"/>
        <v>10.801229482990101</v>
      </c>
      <c r="U9" cm="1">
        <f t="array" ref="U9">_xlfn.PERCENTRANK.EXC(_xlfn._xlws.FILTER(Q$3:Q$15, ISNUMBER(Q$3:Q$15)),Q9)*100</f>
        <v>42.8</v>
      </c>
      <c r="V9" cm="1">
        <f t="array" ref="V9">_xlfn.PERCENTRANK.EXC(_xlfn._xlws.FILTER(R$3:R$15, ISNUMBER(R$3:R$15)),R9)*100</f>
        <v>42.8</v>
      </c>
      <c r="W9" cm="1">
        <f t="array" ref="W9">_xlfn.PERCENTRANK.EXC(_xlfn._xlws.FILTER(S$3:S$15, ISNUMBER(S$3:S$15)),S9)*100</f>
        <v>64.2</v>
      </c>
      <c r="X9" cm="1">
        <f t="array" ref="X9">(1-_xlfn.PERCENTRANK.EXC(_xlfn._xlws.FILTER(G$3:G$15, ISNUMBER(G$3:G$15)),G9))*100</f>
        <v>85.8</v>
      </c>
      <c r="Y9" cm="1">
        <f t="array" ref="Y9">(1-_xlfn.PERCENTRANK.EXC(_xlfn._xlws.FILTER(H$3:H$15, ISNUMBER(H$3:H$15)),H9))*100</f>
        <v>85.8</v>
      </c>
      <c r="Z9" cm="1">
        <f t="array" ref="Z9">_xlfn.PERCENTRANK.EXC(_xlfn._xlws.FILTER(T$3:T$15, ISNUMBER(T$3:T$15)),T9)*100</f>
        <v>64.2</v>
      </c>
      <c r="AA9" cm="1">
        <f t="array" ref="AA9">_xlfn.PERCENTRANK.EXC(_xlfn._xlws.FILTER(P$3:P$15, ISNUMBER(P$3:P$15)),P9)*100</f>
        <v>35.699999999999996</v>
      </c>
      <c r="AB9">
        <f>U9*Assumption!$E$40 + V9*Assumption!$F$40 + X9*Assumption!$G$40 + Y9*Assumption!$H$40 + W9*Assumption!$I$40 +Z9* Assumption!$K$40 + AA9* Assumption!$J$40</f>
        <v>68.58</v>
      </c>
      <c r="AC9" cm="1">
        <f t="array" ref="AC9">_xlfn.PERCENTRANK.EXC(_xlfn._xlws.FILTER(AB$3:AB$15, ISNUMBER(AB$3:AB$15)),AB9)*100</f>
        <v>85.7</v>
      </c>
    </row>
    <row r="10" spans="1:29" x14ac:dyDescent="0.35">
      <c r="A10" t="s">
        <v>51</v>
      </c>
      <c r="B10" t="s">
        <v>170</v>
      </c>
      <c r="C10" t="str" cm="1">
        <f t="array" ref="C10">_xll.FDS(A10,"FG_COMPANY_NAME")</f>
        <v>Invesco QQQ Trust Series I</v>
      </c>
      <c r="D10" t="s">
        <v>51</v>
      </c>
      <c r="E10" t="s">
        <v>720</v>
      </c>
      <c r="F10" s="2" cm="1">
        <f t="array" ref="F10">_xll.FDS(D10,"JULIAN(FMA_DIV_YLD(NTMA,NOW,NOW,M,""PORTAGG"",""MEANR"").dates)")</f>
        <v>45471</v>
      </c>
      <c r="G10" s="4" cm="1">
        <f t="array" ref="G10">_xll.FDS(D10,"FMA_PE(LTM,0,,,""PORTAGG"",""MEANR"")")</f>
        <v>35.291094635787601</v>
      </c>
      <c r="H10" s="4" cm="1">
        <f t="array" ref="H10">_xll.FDS(D10,"FMA_PE(NTMA,0,,,""PORTAGG"",""MEANR"")")</f>
        <v>26.953095954985301</v>
      </c>
      <c r="I10" cm="1">
        <f t="array" ref="I10">_xll.FDS(D10,"FMA_DIV_YLD(NTMA,NOW,NOW,M,""PORTAGG"",""MEANR"")")</f>
        <v>0.84324939802174803</v>
      </c>
      <c r="J10" s="52" cm="1">
        <f t="array" ref="J10">IFERROR(_xll.FDS(D10,"FG_FCF_YIELD_NTM(0)"),(1/G10*100))</f>
        <v>3.50755064391966</v>
      </c>
      <c r="K10" s="3" cm="1">
        <f t="array" ref="K10">_xll.FDS(D10,"FMA_EVAL_EBITDA(NTMA,0,,,""PORTAGG"",""MEANR"")")</f>
        <v>16.9128532965975</v>
      </c>
      <c r="L10" cm="1">
        <f t="array" ref="L10">_xll.FDS(D10,"FMA_EVAL_EBIT(LTMA,NOW,NOW,M,""PORTAGG"",""MEANR"")")</f>
        <v>24.784203575331802</v>
      </c>
      <c r="M10">
        <f>HLOOKUP(D10,'Index ROE'!$A$1:$N$25,25,FALSE)</f>
        <v>25.3199155980355</v>
      </c>
      <c r="N10">
        <f>VLOOKUP(A10,'LIQIDITY 2'!$A$3:$E$16,5,FALSE)</f>
        <v>4.3704999999999998</v>
      </c>
      <c r="O10" cm="1">
        <f t="array" ref="O10">IFERROR(IFERROR(IFERROR(IFERROR(_xll.FDS(B10,"IMF_IFS_RCPI_Q(0)"),_xll.FDS(B10,"IMF_IFS_RCPI_Q(-1AM)")),_xll.FDS(B10,"IMF_IFS_RCPI_Q(-2AM)")),_xll.FDS(B10,"IMF_IFS_RCPI_Q(-3AM)")),$D$31)</f>
        <v>3.2410160000000001</v>
      </c>
      <c r="P10">
        <f>VLOOKUP(E10,GDP_GROWTH!$B$10:$W$165,22,FALSE)</f>
        <v>2.0868572594445189</v>
      </c>
      <c r="Q10">
        <f t="shared" si="0"/>
        <v>-3.5272506019782517</v>
      </c>
      <c r="R10" s="52">
        <f t="shared" si="1"/>
        <v>-0.86294935608033985</v>
      </c>
      <c r="S10">
        <f t="shared" si="2"/>
        <v>20.9494155980355</v>
      </c>
      <c r="T10">
        <f t="shared" si="3"/>
        <v>22.078899598035498</v>
      </c>
      <c r="U10" cm="1">
        <f t="array" ref="U10">_xlfn.PERCENTRANK.EXC(_xlfn._xlws.FILTER(Q$3:Q$15, ISNUMBER(Q$3:Q$15)),Q10)*100</f>
        <v>7.1</v>
      </c>
      <c r="V10" cm="1">
        <f t="array" ref="V10">_xlfn.PERCENTRANK.EXC(_xlfn._xlws.FILTER(R$3:R$15, ISNUMBER(R$3:R$15)),R10)*100</f>
        <v>14.2</v>
      </c>
      <c r="W10" cm="1">
        <f t="array" ref="W10">_xlfn.PERCENTRANK.EXC(_xlfn._xlws.FILTER(S$3:S$15, ISNUMBER(S$3:S$15)),S10)*100</f>
        <v>92.800000000000011</v>
      </c>
      <c r="X10" cm="1">
        <f t="array" ref="X10">(1-_xlfn.PERCENTRANK.EXC(_xlfn._xlws.FILTER(G$3:G$15, ISNUMBER(G$3:G$15)),G10))*100</f>
        <v>7.1999999999999957</v>
      </c>
      <c r="Y10" cm="1">
        <f t="array" ref="Y10">(1-_xlfn.PERCENTRANK.EXC(_xlfn._xlws.FILTER(H$3:H$15, ISNUMBER(H$3:H$15)),H10))*100</f>
        <v>7.1999999999999957</v>
      </c>
      <c r="Z10" cm="1">
        <f t="array" ref="Z10">_xlfn.PERCENTRANK.EXC(_xlfn._xlws.FILTER(T$3:T$15, ISNUMBER(T$3:T$15)),T10)*100</f>
        <v>92.800000000000011</v>
      </c>
      <c r="AA10" cm="1">
        <f t="array" ref="AA10">_xlfn.PERCENTRANK.EXC(_xlfn._xlws.FILTER(P$3:P$15, ISNUMBER(P$3:P$15)),P10)*100</f>
        <v>71.399999999999991</v>
      </c>
      <c r="AB10">
        <f>U10*Assumption!$E$40 + V10*Assumption!$F$40 + X10*Assumption!$G$40 + Y10*Assumption!$H$40 + W10*Assumption!$I$40 +Z10* Assumption!$K$40 + AA10* Assumption!$J$40</f>
        <v>26.064999999999998</v>
      </c>
      <c r="AC10" cm="1">
        <f t="array" ref="AC10">_xlfn.PERCENTRANK.EXC(_xlfn._xlws.FILTER(AB$3:AB$15, ISNUMBER(AB$3:AB$15)),AB10)*100</f>
        <v>14.2</v>
      </c>
    </row>
    <row r="11" spans="1:29" x14ac:dyDescent="0.35">
      <c r="A11" t="s">
        <v>1</v>
      </c>
      <c r="B11" t="s">
        <v>170</v>
      </c>
      <c r="C11" t="str" cm="1">
        <f t="array" ref="C11">_xll.FDS(A11,"FG_COMPANY_NAME")</f>
        <v>SPDR S&amp;P 500 ETF Trust</v>
      </c>
      <c r="D11" t="s">
        <v>1</v>
      </c>
      <c r="E11" t="s">
        <v>720</v>
      </c>
      <c r="F11" s="2" cm="1">
        <f t="array" ref="F11">_xll.FDS(D11,"JULIAN(FMA_DIV_YLD(NTMA,NOW,NOW,M,""PORTAGG"",""MEANR"").dates)")</f>
        <v>45470</v>
      </c>
      <c r="G11" s="4" cm="1">
        <f t="array" ref="G11">_xll.FDS(D11,"FMA_PE(LTM,0,,,""PORTAGG"",""MEANR"")")</f>
        <v>26.2760672423898</v>
      </c>
      <c r="H11" s="4" cm="1">
        <f t="array" ref="H11">_xll.FDS(D11,"FMA_PE(NTMA,0,,,""PORTAGG"",""MEANR"")")</f>
        <v>21.0940854669369</v>
      </c>
      <c r="I11" cm="1">
        <f t="array" ref="I11">_xll.FDS(D11,"FMA_DIV_YLD(NTMA,NOW,NOW,M,""PORTAGG"",""MEANR"")")</f>
        <v>1.40175999121007</v>
      </c>
      <c r="J11" s="52" cm="1">
        <f t="array" ref="J11">IFERROR(_xll.FDS(D11,"FG_FCF_YIELD_NTM(0)"),(1/G11*100))</f>
        <v>4.1027419298451404</v>
      </c>
      <c r="K11" s="3" cm="1">
        <f t="array" ref="K11">_xll.FDS(D11,"FMA_EVAL_EBITDA(NTMA,0,,,""PORTAGG"",""MEANR"")")</f>
        <v>14.5808117198129</v>
      </c>
      <c r="L11" cm="1">
        <f t="array" ref="L11">_xll.FDS(D11,"FMA_EVAL_EBIT(LTMA,NOW,NOW,M,""PORTAGG"",""MEANR"")")</f>
        <v>20.7854440805067</v>
      </c>
      <c r="M11">
        <f>HLOOKUP(D11,'Index ROE'!$A$1:$N$25,25,FALSE)</f>
        <v>20.350503776961101</v>
      </c>
      <c r="N11">
        <f>VLOOKUP(A11,'LIQIDITY 2'!$A$3:$E$16,5,FALSE)</f>
        <v>4.3704999999999998</v>
      </c>
      <c r="O11" cm="1">
        <f t="array" ref="O11">IFERROR(IFERROR(IFERROR(IFERROR(_xll.FDS(B11,"IMF_IFS_RCPI_Q(0)"),_xll.FDS(B11,"IMF_IFS_RCPI_Q(-1AM)")),_xll.FDS(B11,"IMF_IFS_RCPI_Q(-2AM)")),_xll.FDS(B11,"IMF_IFS_RCPI_Q(-3AM)")),$D$31)</f>
        <v>3.2410160000000001</v>
      </c>
      <c r="P11">
        <f>VLOOKUP(E11,GDP_GROWTH!$B$10:$W$165,22,FALSE)</f>
        <v>2.0868572594445189</v>
      </c>
      <c r="Q11">
        <f t="shared" si="0"/>
        <v>-2.9687400087899301</v>
      </c>
      <c r="R11" s="52">
        <f t="shared" si="1"/>
        <v>-0.26775807015485942</v>
      </c>
      <c r="S11">
        <f t="shared" si="2"/>
        <v>15.980003776961102</v>
      </c>
      <c r="T11">
        <f t="shared" si="3"/>
        <v>17.109487776961103</v>
      </c>
      <c r="U11" cm="1">
        <f t="array" ref="U11">_xlfn.PERCENTRANK.EXC(_xlfn._xlws.FILTER(Q$3:Q$15, ISNUMBER(Q$3:Q$15)),Q11)*100</f>
        <v>14.2</v>
      </c>
      <c r="V11" cm="1">
        <f t="array" ref="V11">_xlfn.PERCENTRANK.EXC(_xlfn._xlws.FILTER(R$3:R$15, ISNUMBER(R$3:R$15)),R11)*100</f>
        <v>21.4</v>
      </c>
      <c r="W11" cm="1">
        <f t="array" ref="W11">_xlfn.PERCENTRANK.EXC(_xlfn._xlws.FILTER(S$3:S$15, ISNUMBER(S$3:S$15)),S11)*100</f>
        <v>78.5</v>
      </c>
      <c r="X11" cm="1">
        <f t="array" ref="X11">(1-_xlfn.PERCENTRANK.EXC(_xlfn._xlws.FILTER(G$3:G$15, ISNUMBER(G$3:G$15)),G11))*100</f>
        <v>21.499999999999996</v>
      </c>
      <c r="Y11" cm="1">
        <f t="array" ref="Y11">(1-_xlfn.PERCENTRANK.EXC(_xlfn._xlws.FILTER(H$3:H$15, ISNUMBER(H$3:H$15)),H11))*100</f>
        <v>21.499999999999996</v>
      </c>
      <c r="Z11" cm="1">
        <f t="array" ref="Z11">_xlfn.PERCENTRANK.EXC(_xlfn._xlws.FILTER(T$3:T$15, ISNUMBER(T$3:T$15)),T11)*100</f>
        <v>78.5</v>
      </c>
      <c r="AA11" cm="1">
        <f t="array" ref="AA11">_xlfn.PERCENTRANK.EXC(_xlfn._xlws.FILTER(P$3:P$15, ISNUMBER(P$3:P$15)),P11)*100</f>
        <v>71.399999999999991</v>
      </c>
      <c r="AB11">
        <f>U11*Assumption!$E$40 + V11*Assumption!$F$40 + X11*Assumption!$G$40 + Y11*Assumption!$H$40 + W11*Assumption!$I$40 +Z11* Assumption!$K$40 + AA11* Assumption!$J$40</f>
        <v>32.51</v>
      </c>
      <c r="AC11" cm="1">
        <f t="array" ref="AC11">_xlfn.PERCENTRANK.EXC(_xlfn._xlws.FILTER(AB$3:AB$15, ISNUMBER(AB$3:AB$15)),AB11)*100</f>
        <v>21.4</v>
      </c>
    </row>
    <row r="12" spans="1:29" x14ac:dyDescent="0.35">
      <c r="A12" t="s">
        <v>865</v>
      </c>
      <c r="B12" t="s">
        <v>869</v>
      </c>
      <c r="C12" t="str" cm="1">
        <f t="array" ref="C12">_xll.FDS(A12,"FG_COMPANY_NAME")</f>
        <v>iShares MSCI France ETF</v>
      </c>
      <c r="D12" t="s">
        <v>865</v>
      </c>
      <c r="E12" t="s">
        <v>621</v>
      </c>
      <c r="F12" s="2" cm="1">
        <f t="array" ref="F12">_xll.FDS(D12,"JULIAN(FMA_DIV_YLD(NTMA,NOW,NOW,M,""PORTAGG"",""MEANR"").dates)")</f>
        <v>45469</v>
      </c>
      <c r="G12" s="4" cm="1">
        <f t="array" ref="G12">_xll.FDS(D12,"FMA_PE(LTM,0,,,""PORTAGG"",""MEANR"")")</f>
        <v>15.7027987176523</v>
      </c>
      <c r="H12" s="4" cm="1">
        <f t="array" ref="H12">_xll.FDS(D12,"FMA_PE(NTMA,0,,,""PORTAGG"",""MEANR"")")</f>
        <v>13.606036132693299</v>
      </c>
      <c r="I12" cm="1">
        <f t="array" ref="I12">_xll.FDS(D12,"FMA_DIV_YLD(NTMA,NOW,NOW,M,""PORTAGG"",""MEANR"")")</f>
        <v>3.3398894846424101</v>
      </c>
      <c r="J12" s="52" cm="1">
        <f t="array" ref="J12">IFERROR(_xll.FDS(D12,"FG_FCF_YIELD_NTM(0)"),(1/G12*100))</f>
        <v>6.0126036840457298</v>
      </c>
      <c r="K12" s="3" cm="1">
        <f t="array" ref="K12">_xll.FDS(D12,"FMA_EVAL_EBITDA(NTMA,0,,,""PORTAGG"",""MEANR"")")</f>
        <v>9.0105564307206496</v>
      </c>
      <c r="L12" cm="1">
        <f t="array" ref="L12">_xll.FDS(D12,"FMA_EVAL_EBIT(LTMA,NOW,NOW,M,""PORTAGG"",""MEANR"")")</f>
        <v>13.1053170390269</v>
      </c>
      <c r="M12">
        <f>HLOOKUP(D12,'Index ROE'!$A$1:$N$25,25,FALSE)</f>
        <v>13.221250861669199</v>
      </c>
      <c r="N12">
        <f>VLOOKUP(A12,'LIQIDITY 2'!$A$3:$E$16,5,FALSE)</f>
        <v>3.2570000000000001</v>
      </c>
      <c r="O12" cm="1">
        <f t="array" ref="O12">IFERROR(IFERROR(IFERROR(IFERROR(_xll.FDS(B12,"IMF_IFS_RCPI_Q(0)"),_xll.FDS(B12,"IMF_IFS_RCPI_Q(-1AM)")),_xll.FDS(B12,"IMF_IFS_RCPI_Q(-2AM)")),_xll.FDS(B12,"IMF_IFS_RCPI_Q(-3AM)")),$D$31)</f>
        <v>2.7940200000000002</v>
      </c>
      <c r="P12">
        <f>VLOOKUP(E12,GDP_GROWTH!$B$10:$W$165,22,FALSE)</f>
        <v>0.9426946158151317</v>
      </c>
      <c r="Q12">
        <f t="shared" ref="Q12:Q15" si="4">I12-N12</f>
        <v>8.2889484642409972E-2</v>
      </c>
      <c r="R12" s="52">
        <f t="shared" ref="R12:R15" si="5">J12-N12</f>
        <v>2.7556036840457296</v>
      </c>
      <c r="S12">
        <f t="shared" ref="S12:S15" si="6">M12-N12</f>
        <v>9.9642508616691998</v>
      </c>
      <c r="T12">
        <f t="shared" ref="T12:T15" si="7">M12-O12</f>
        <v>10.4272308616692</v>
      </c>
      <c r="U12" cm="1">
        <f t="array" ref="U12">_xlfn.PERCENTRANK.EXC(_xlfn._xlws.FILTER(Q$3:Q$15, ISNUMBER(Q$3:Q$15)),Q12)*100</f>
        <v>57.099999999999994</v>
      </c>
      <c r="V12" cm="1">
        <f t="array" ref="V12">_xlfn.PERCENTRANK.EXC(_xlfn._xlws.FILTER(R$3:R$15, ISNUMBER(R$3:R$15)),R12)*100</f>
        <v>71.399999999999991</v>
      </c>
      <c r="W12" cm="1">
        <f t="array" ref="W12">_xlfn.PERCENTRANK.EXC(_xlfn._xlws.FILTER(S$3:S$15, ISNUMBER(S$3:S$15)),S12)*100</f>
        <v>57.099999999999994</v>
      </c>
      <c r="X12" cm="1">
        <f t="array" ref="X12">(1-_xlfn.PERCENTRANK.EXC(_xlfn._xlws.FILTER(G$3:G$15, ISNUMBER(G$3:G$15)),G12))*100</f>
        <v>71.500000000000014</v>
      </c>
      <c r="Y12" cm="1">
        <f t="array" ref="Y12">(1-_xlfn.PERCENTRANK.EXC(_xlfn._xlws.FILTER(H$3:H$15, ISNUMBER(H$3:H$15)),H12))*100</f>
        <v>71.500000000000014</v>
      </c>
      <c r="Z12" cm="1">
        <f t="array" ref="Z12">_xlfn.PERCENTRANK.EXC(_xlfn._xlws.FILTER(T$3:T$15, ISNUMBER(T$3:T$15)),T12)*100</f>
        <v>50</v>
      </c>
      <c r="AA12" cm="1">
        <f t="array" ref="AA12">_xlfn.PERCENTRANK.EXC(_xlfn._xlws.FILTER(P$3:P$15, ISNUMBER(P$3:P$15)),P12)*100</f>
        <v>28.499999999999996</v>
      </c>
      <c r="AB12">
        <f>U12*Assumption!$E$40 + V12*Assumption!$F$40 + X12*Assumption!$G$40 + Y12*Assumption!$H$40 + W12*Assumption!$I$40 +Z12* Assumption!$K$40 + AA12* Assumption!$J$40</f>
        <v>67.164999999999992</v>
      </c>
      <c r="AC12" cm="1">
        <f t="array" ref="AC12">_xlfn.PERCENTRANK.EXC(_xlfn._xlws.FILTER(AB$3:AB$15, ISNUMBER(AB$3:AB$15)),AB12)*100</f>
        <v>71.399999999999991</v>
      </c>
    </row>
    <row r="13" spans="1:29" x14ac:dyDescent="0.35">
      <c r="A13" t="s">
        <v>867</v>
      </c>
      <c r="B13" t="s">
        <v>870</v>
      </c>
      <c r="C13" t="str" cm="1">
        <f t="array" ref="C13">_xll.FDS(A13,"FG_COMPANY_NAME")</f>
        <v>iShares MSCI Netherlands ETF</v>
      </c>
      <c r="D13" t="s">
        <v>867</v>
      </c>
      <c r="E13" t="s">
        <v>673</v>
      </c>
      <c r="F13" s="2" cm="1">
        <f t="array" ref="F13">_xll.FDS(D13,"JULIAN(FMA_DIV_YLD(NTMA,NOW,NOW,M,""PORTAGG"",""MEANR"").dates)")</f>
        <v>45470</v>
      </c>
      <c r="G13" s="4" cm="1">
        <f t="array" ref="G13">_xll.FDS(D13,"FMA_PE(LTM,0,,,""PORTAGG"",""MEANR"")")</f>
        <v>23.3042088688196</v>
      </c>
      <c r="H13" s="4" cm="1">
        <f t="array" ref="H13">_xll.FDS(D13,"FMA_PE(NTMA,0,,,""PORTAGG"",""MEANR"")")</f>
        <v>16.230112278438501</v>
      </c>
      <c r="I13" cm="1">
        <f t="array" ref="I13">_xll.FDS(D13,"FMA_DIV_YLD(NTMA,NOW,NOW,M,""PORTAGG"",""MEANR"")")</f>
        <v>2.4963927668607702</v>
      </c>
      <c r="J13" s="52" cm="1">
        <f t="array" ref="J13">IFERROR(_xll.FDS(D13,"FG_FCF_YIELD_NTM(0)"),(1/G13*100))</f>
        <v>3.5470004612104602</v>
      </c>
      <c r="K13" s="3" cm="1">
        <f t="array" ref="K13">_xll.FDS(D13,"FMA_EVAL_EBITDA(NTMA,0,,,""PORTAGG"",""MEANR"")")</f>
        <v>12.5153544399881</v>
      </c>
      <c r="L13" cm="1">
        <f t="array" ref="L13">_xll.FDS(D13,"FMA_EVAL_EBIT(LTMA,NOW,NOW,M,""PORTAGG"",""MEANR"")")</f>
        <v>21.870716547689899</v>
      </c>
      <c r="M13">
        <f>HLOOKUP(D13,'Index ROE'!$A$1:$N$25,25,FALSE)</f>
        <v>12.745985665341101</v>
      </c>
      <c r="N13">
        <f>VLOOKUP(A13,'LIQIDITY 2'!$A$3:$E$16,5,FALSE)</f>
        <v>2.8149999999999999</v>
      </c>
      <c r="O13" cm="1">
        <f t="array" ref="O13">IFERROR(IFERROR(IFERROR(IFERROR(_xll.FDS(B13,"IMF_IFS_RCPI_Q(0)"),_xll.FDS(B13,"IMF_IFS_RCPI_Q(-1AM)")),_xll.FDS(B13,"IMF_IFS_RCPI_Q(-2AM)")),_xll.FDS(B13,"IMF_IFS_RCPI_Q(-3AM)")),$D$31)</f>
        <v>3.0237905999999999</v>
      </c>
      <c r="P13">
        <f>VLOOKUP(E13,GDP_GROWTH!$B$10:$W$165,22,FALSE)</f>
        <v>1.7793785730007783</v>
      </c>
      <c r="Q13">
        <f t="shared" si="4"/>
        <v>-0.31860723313922978</v>
      </c>
      <c r="R13" s="52">
        <f t="shared" si="5"/>
        <v>0.73200046121046025</v>
      </c>
      <c r="S13">
        <f t="shared" si="6"/>
        <v>9.9309856653411011</v>
      </c>
      <c r="T13">
        <f t="shared" si="7"/>
        <v>9.7221950653411007</v>
      </c>
      <c r="U13" cm="1">
        <f t="array" ref="U13">_xlfn.PERCENTRANK.EXC(_xlfn._xlws.FILTER(Q$3:Q$15, ISNUMBER(Q$3:Q$15)),Q13)*100</f>
        <v>35.699999999999996</v>
      </c>
      <c r="V13" cm="1">
        <f t="array" ref="V13">_xlfn.PERCENTRANK.EXC(_xlfn._xlws.FILTER(R$3:R$15, ISNUMBER(R$3:R$15)),R13)*100</f>
        <v>28.499999999999996</v>
      </c>
      <c r="W13" cm="1">
        <f t="array" ref="W13">_xlfn.PERCENTRANK.EXC(_xlfn._xlws.FILTER(S$3:S$15, ISNUMBER(S$3:S$15)),S13)*100</f>
        <v>50</v>
      </c>
      <c r="X13" cm="1">
        <f t="array" ref="X13">(1-_xlfn.PERCENTRANK.EXC(_xlfn._xlws.FILTER(G$3:G$15, ISNUMBER(G$3:G$15)),G13))*100</f>
        <v>28.6</v>
      </c>
      <c r="Y13" cm="1">
        <f t="array" ref="Y13">(1-_xlfn.PERCENTRANK.EXC(_xlfn._xlws.FILTER(H$3:H$15, ISNUMBER(H$3:H$15)),H13))*100</f>
        <v>42.900000000000006</v>
      </c>
      <c r="Z13" cm="1">
        <f t="array" ref="Z13">_xlfn.PERCENTRANK.EXC(_xlfn._xlws.FILTER(T$3:T$15, ISNUMBER(T$3:T$15)),T13)*100</f>
        <v>35.699999999999996</v>
      </c>
      <c r="AA13" cm="1">
        <f t="array" ref="AA13">_xlfn.PERCENTRANK.EXC(_xlfn._xlws.FILTER(P$3:P$15, ISNUMBER(P$3:P$15)),P13)*100</f>
        <v>50</v>
      </c>
      <c r="AB13">
        <f>U13*Assumption!$E$40 + V13*Assumption!$F$40 + X13*Assumption!$G$40 + Y13*Assumption!$H$40 + W13*Assumption!$I$40 +Z13* Assumption!$K$40 + AA13* Assumption!$J$40</f>
        <v>35.354999999999997</v>
      </c>
      <c r="AC13" cm="1">
        <f t="array" ref="AC13">_xlfn.PERCENTRANK.EXC(_xlfn._xlws.FILTER(AB$3:AB$15, ISNUMBER(AB$3:AB$15)),AB13)*100</f>
        <v>35.699999999999996</v>
      </c>
    </row>
    <row r="14" spans="1:29" x14ac:dyDescent="0.35">
      <c r="A14" t="s">
        <v>864</v>
      </c>
      <c r="B14" t="s">
        <v>273</v>
      </c>
      <c r="C14" t="str" cm="1">
        <f t="array" ref="C14">_xll.FDS(A14,"FG_COMPANY_NAME")</f>
        <v>iShares MSCI Sweden ETF</v>
      </c>
      <c r="D14" t="s">
        <v>864</v>
      </c>
      <c r="E14" t="s">
        <v>705</v>
      </c>
      <c r="F14" s="2" cm="1">
        <f t="array" ref="F14">_xll.FDS(D14,"JULIAN(FMA_DIV_YLD(NTMA,NOW,NOW,M,""PORTAGG"",""MEANR"").dates)")</f>
        <v>45469</v>
      </c>
      <c r="G14" s="4" cm="1">
        <f t="array" ref="G14">_xll.FDS(D14,"FMA_PE(LTM,0,,,""PORTAGG"",""MEANR"")")</f>
        <v>14.5035517601655</v>
      </c>
      <c r="H14" s="4" cm="1">
        <f t="array" ref="H14">_xll.FDS(D14,"FMA_PE(NTMA,0,,,""PORTAGG"",""MEANR"")")</f>
        <v>15.9192626069432</v>
      </c>
      <c r="I14" cm="1">
        <f t="array" ref="I14">_xll.FDS(D14,"FMA_DIV_YLD(NTMA,NOW,NOW,M,""PORTAGG"",""MEANR"")")</f>
        <v>3.2431310985087101</v>
      </c>
      <c r="J14" s="52" cm="1">
        <f t="array" ref="J14">IFERROR(_xll.FDS(D14,"FG_FCF_YIELD_NTM(0)"),(1/G14*100))</f>
        <v>5.0892989493534104</v>
      </c>
      <c r="K14" s="3" cm="1">
        <f t="array" ref="K14">_xll.FDS(D14,"FMA_EVAL_EBITDA(NTMA,0,,,""PORTAGG"",""MEANR"")")</f>
        <v>10.9220930874597</v>
      </c>
      <c r="L14" cm="1">
        <f t="array" ref="L14">_xll.FDS(D14,"FMA_EVAL_EBIT(LTMA,NOW,NOW,M,""PORTAGG"",""MEANR"")")</f>
        <v>15.8500264000408</v>
      </c>
      <c r="M14">
        <f>HLOOKUP(D14,'Index ROE'!$A$1:$N$25,25,FALSE)</f>
        <v>15.368050598586001</v>
      </c>
      <c r="N14">
        <f>VLOOKUP(A14,'LIQIDITY 2'!$A$3:$E$16,5,FALSE)</f>
        <v>2.2210000000000001</v>
      </c>
      <c r="O14" cm="1">
        <f t="array" ref="O14">IFERROR(IFERROR(IFERROR(IFERROR(_xll.FDS(B14,"IMF_IFS_RCPI_Q(0)"),_xll.FDS(B14,"IMF_IFS_RCPI_Q(-1AM)")),_xll.FDS(B14,"IMF_IFS_RCPI_Q(-2AM)")),_xll.FDS(B14,"IMF_IFS_RCPI_Q(-3AM)")),$D$31)</f>
        <v>4.6701535999999999</v>
      </c>
      <c r="P14">
        <f>VLOOKUP(E14,GDP_GROWTH!$B$10:$W$165,22,FALSE)</f>
        <v>1.8182767577278436</v>
      </c>
      <c r="Q14">
        <f t="shared" si="4"/>
        <v>1.02213109850871</v>
      </c>
      <c r="R14" s="52">
        <f t="shared" si="5"/>
        <v>2.8682989493534103</v>
      </c>
      <c r="S14">
        <f t="shared" si="6"/>
        <v>13.147050598586</v>
      </c>
      <c r="T14">
        <f t="shared" si="7"/>
        <v>10.697896998586</v>
      </c>
      <c r="U14" cm="1">
        <f t="array" ref="U14">_xlfn.PERCENTRANK.EXC(_xlfn._xlws.FILTER(Q$3:Q$15, ISNUMBER(Q$3:Q$15)),Q14)*100</f>
        <v>71.399999999999991</v>
      </c>
      <c r="V14" cm="1">
        <f t="array" ref="V14">_xlfn.PERCENTRANK.EXC(_xlfn._xlws.FILTER(R$3:R$15, ISNUMBER(R$3:R$15)),R14)*100</f>
        <v>78.5</v>
      </c>
      <c r="W14" cm="1">
        <f t="array" ref="W14">_xlfn.PERCENTRANK.EXC(_xlfn._xlws.FILTER(S$3:S$15, ISNUMBER(S$3:S$15)),S14)*100</f>
        <v>71.399999999999991</v>
      </c>
      <c r="X14" cm="1">
        <f t="array" ref="X14">(1-_xlfn.PERCENTRANK.EXC(_xlfn._xlws.FILTER(G$3:G$15, ISNUMBER(G$3:G$15)),G14))*100</f>
        <v>78.600000000000009</v>
      </c>
      <c r="Y14" cm="1">
        <f t="array" ref="Y14">(1-_xlfn.PERCENTRANK.EXC(_xlfn._xlws.FILTER(H$3:H$15, ISNUMBER(H$3:H$15)),H14))*100</f>
        <v>50</v>
      </c>
      <c r="Z14" cm="1">
        <f t="array" ref="Z14">_xlfn.PERCENTRANK.EXC(_xlfn._xlws.FILTER(T$3:T$15, ISNUMBER(T$3:T$15)),T14)*100</f>
        <v>57.099999999999994</v>
      </c>
      <c r="AA14" cm="1">
        <f t="array" ref="AA14">_xlfn.PERCENTRANK.EXC(_xlfn._xlws.FILTER(P$3:P$15, ISNUMBER(P$3:P$15)),P14)*100</f>
        <v>57.099999999999994</v>
      </c>
      <c r="AB14">
        <f>U14*Assumption!$E$40 + V14*Assumption!$F$40 + X14*Assumption!$G$40 + Y14*Assumption!$H$40 + W14*Assumption!$I$40 +Z14* Assumption!$K$40 + AA14* Assumption!$J$40</f>
        <v>68.194999999999993</v>
      </c>
      <c r="AC14" cm="1">
        <f t="array" ref="AC14">_xlfn.PERCENTRANK.EXC(_xlfn._xlws.FILTER(AB$3:AB$15, ISNUMBER(AB$3:AB$15)),AB14)*100</f>
        <v>78.5</v>
      </c>
    </row>
    <row r="15" spans="1:29" x14ac:dyDescent="0.35">
      <c r="A15" t="s">
        <v>866</v>
      </c>
      <c r="B15" t="s">
        <v>868</v>
      </c>
      <c r="C15" t="str" cm="1">
        <f t="array" ref="C15">_xll.FDS(A15,"FG_COMPANY_NAME")</f>
        <v>iShares MSCI Italy ETF</v>
      </c>
      <c r="D15" t="s">
        <v>866</v>
      </c>
      <c r="E15" t="s">
        <v>641</v>
      </c>
      <c r="F15" s="2" cm="1">
        <f t="array" ref="F15">_xll.FDS(D15,"JULIAN(FMA_DIV_YLD(NTMA,NOW,NOW,M,""PORTAGG"",""MEANR"").dates)")</f>
        <v>45470</v>
      </c>
      <c r="G15" s="4" cm="1">
        <f t="array" ref="G15">_xll.FDS(D15,"FMA_PE(LTM,0,,,""PORTAGG"",""MEANR"")")</f>
        <v>9.7970591894095094</v>
      </c>
      <c r="H15" s="4" cm="1">
        <f t="array" ref="H15">_xll.FDS(D15,"FMA_PE(NTMA,0,,,""PORTAGG"",""MEANR"")")</f>
        <v>9.3187546797063607</v>
      </c>
      <c r="I15" cm="1">
        <f t="array" ref="I15">_xll.FDS(D15,"FMA_DIV_YLD(NTMA,NOW,NOW,M,""PORTAGG"",""MEANR"")")</f>
        <v>5.48221082220876</v>
      </c>
      <c r="J15" s="52" cm="1">
        <f t="array" ref="J15">IFERROR(_xll.FDS(D15,"FG_FCF_YIELD_NTM(0)"),(1/G15*100))</f>
        <v>6.3239033871253403</v>
      </c>
      <c r="K15" s="3" cm="1">
        <f t="array" ref="K15">_xll.FDS(D15,"FMA_EVAL_EBITDA(NTMA,0,,,""PORTAGG"",""MEANR"")")</f>
        <v>6.7120485800192196</v>
      </c>
      <c r="L15" cm="1">
        <f t="array" ref="L15">_xll.FDS(D15,"FMA_EVAL_EBIT(LTMA,NOW,NOW,M,""PORTAGG"",""MEANR"")")</f>
        <v>10.797351397977801</v>
      </c>
      <c r="M15">
        <f>HLOOKUP(D15,'Index ROE'!$A$1:$N$25,25,FALSE)</f>
        <v>13.3572149047324</v>
      </c>
      <c r="N15">
        <f>VLOOKUP(A15,'LIQIDITY 2'!$A$3:$E$16,5,FALSE)</f>
        <v>4.0650000000000004</v>
      </c>
      <c r="O15" cm="1">
        <f t="array" ref="O15">IFERROR(IFERROR(IFERROR(IFERROR(_xll.FDS(B15,"IMF_IFS_RCPI_Q(0)"),_xll.FDS(B15,"IMF_IFS_RCPI_Q(-1AM)")),_xll.FDS(B15,"IMF_IFS_RCPI_Q(-2AM)")),_xll.FDS(B15,"IMF_IFS_RCPI_Q(-3AM)")),$D$31)</f>
        <v>0.92385905999999995</v>
      </c>
      <c r="P15">
        <f>VLOOKUP(E15,GDP_GROWTH!$B$10:$W$165,22,FALSE)</f>
        <v>0.32855305426654491</v>
      </c>
      <c r="Q15">
        <f t="shared" si="4"/>
        <v>1.4172108222087596</v>
      </c>
      <c r="R15" s="52">
        <f t="shared" si="5"/>
        <v>2.2589033871253399</v>
      </c>
      <c r="S15">
        <f t="shared" si="6"/>
        <v>9.2922149047324005</v>
      </c>
      <c r="T15">
        <f t="shared" si="7"/>
        <v>12.4333558447324</v>
      </c>
      <c r="U15" cm="1">
        <f t="array" ref="U15">_xlfn.PERCENTRANK.EXC(_xlfn._xlws.FILTER(Q$3:Q$15, ISNUMBER(Q$3:Q$15)),Q15)*100</f>
        <v>85.7</v>
      </c>
      <c r="V15" cm="1">
        <f t="array" ref="V15">_xlfn.PERCENTRANK.EXC(_xlfn._xlws.FILTER(R$3:R$15, ISNUMBER(R$3:R$15)),R15)*100</f>
        <v>50</v>
      </c>
      <c r="W15" cm="1">
        <f t="array" ref="W15">_xlfn.PERCENTRANK.EXC(_xlfn._xlws.FILTER(S$3:S$15, ISNUMBER(S$3:S$15)),S15)*100</f>
        <v>28.499999999999996</v>
      </c>
      <c r="X15" cm="1">
        <f t="array" ref="X15">(1-_xlfn.PERCENTRANK.EXC(_xlfn._xlws.FILTER(G$3:G$15, ISNUMBER(G$3:G$15)),G15))*100</f>
        <v>92.9</v>
      </c>
      <c r="Y15" cm="1">
        <f t="array" ref="Y15">(1-_xlfn.PERCENTRANK.EXC(_xlfn._xlws.FILTER(H$3:H$15, ISNUMBER(H$3:H$15)),H15))*100</f>
        <v>92.9</v>
      </c>
      <c r="Z15" cm="1">
        <f t="array" ref="Z15">_xlfn.PERCENTRANK.EXC(_xlfn._xlws.FILTER(T$3:T$15, ISNUMBER(T$3:T$15)),T15)*100</f>
        <v>71.399999999999991</v>
      </c>
      <c r="AA15" cm="1">
        <f t="array" ref="AA15">_xlfn.PERCENTRANK.EXC(_xlfn._xlws.FILTER(P$3:P$15, ISNUMBER(P$3:P$15)),P15)*100</f>
        <v>14.2</v>
      </c>
      <c r="AB15">
        <f>U15*Assumption!$E$40 + V15*Assumption!$F$40 + X15*Assumption!$G$40 + Y15*Assumption!$H$40 + W15*Assumption!$I$40 +Z15* Assumption!$K$40 + AA15* Assumption!$J$40</f>
        <v>73.225000000000009</v>
      </c>
      <c r="AC15" cm="1">
        <f t="array" ref="AC15">_xlfn.PERCENTRANK.EXC(_xlfn._xlws.FILTER(AB$3:AB$15, ISNUMBER(AB$3:AB$15)),AB15)*100</f>
        <v>92.800000000000011</v>
      </c>
    </row>
    <row r="16" spans="1:29" x14ac:dyDescent="0.35">
      <c r="F16" s="2"/>
      <c r="G16" s="4"/>
      <c r="H16" s="4"/>
      <c r="J16" s="52"/>
      <c r="K16" s="3"/>
    </row>
    <row r="17" spans="1:12" x14ac:dyDescent="0.35">
      <c r="F17" s="2"/>
      <c r="G17" s="4"/>
      <c r="H17" s="4"/>
      <c r="J17" s="52"/>
      <c r="K17" s="3"/>
    </row>
    <row r="18" spans="1:12" x14ac:dyDescent="0.35">
      <c r="A18" t="s">
        <v>535</v>
      </c>
      <c r="F18" s="2"/>
      <c r="G18" s="4"/>
      <c r="H18" s="4"/>
      <c r="J18" s="52"/>
      <c r="K18" s="3"/>
    </row>
    <row r="19" spans="1:12" x14ac:dyDescent="0.35">
      <c r="A19" t="s">
        <v>536</v>
      </c>
      <c r="B19" t="s">
        <v>161</v>
      </c>
      <c r="C19" t="s">
        <v>537</v>
      </c>
      <c r="D19" t="str">
        <f>A19</f>
        <v>VGK</v>
      </c>
      <c r="F19" s="2" cm="1">
        <f t="array" ref="F19">_xll.FDS(D19,"JULIAN(FMA_DIV_YLD(NTMA,NOW,NOW,M,""PORTAGG"",""MEANR"").dates)")</f>
        <v>45443</v>
      </c>
      <c r="G19" s="4" cm="1">
        <f t="array" ref="G19">_xll.FDS(D19,"FG_PE(0)")</f>
        <v>14.379538857424301</v>
      </c>
      <c r="H19" s="4" cm="1">
        <f t="array" ref="H19">_xll.FDS(D19,"FG_PE_NTM(0,,,90,0)")</f>
        <v>13.4929377703647</v>
      </c>
      <c r="I19" cm="1">
        <f t="array" ref="I19">_xll.FDS(D19,"FMA_DIV_YLD(NTMA,NOW,NOW,M,""PORTAGG"",""MEANR"")")</f>
        <v>3.4434567564351899</v>
      </c>
      <c r="J19" s="52" cm="1">
        <f t="array" ref="J19">_xll.FDS(D19,"FG_FCF_YIELD_NTM(0)")</f>
        <v>5.2008474574566304</v>
      </c>
      <c r="K19" s="3" cm="1">
        <f t="array" ref="K19">_xll.FDS(D19,"FMA_EVAL_EBITDA(NTMA,0,,,""PORTAGG"",""MEANR"")")</f>
        <v>8.9501549947522197</v>
      </c>
      <c r="L19" cm="1">
        <f t="array" ref="L19">_xll.FDS(D19,"FMA_EVAL_EBIT(LTMA,NOW,NOW,M,""PORTAGG"",""MEANR"")")</f>
        <v>13.2878151669223</v>
      </c>
    </row>
    <row r="20" spans="1:12" x14ac:dyDescent="0.35">
      <c r="A20" t="s">
        <v>6</v>
      </c>
      <c r="C20" t="s">
        <v>538</v>
      </c>
      <c r="D20" t="str">
        <f>A20</f>
        <v>VWO</v>
      </c>
      <c r="F20" s="2" cm="1">
        <f t="array" ref="F20">_xll.FDS(D20,"JULIAN(FMA_DIV_YLD(NTMA,NOW,NOW,M,""PORTAGG"",""MEANR"").dates)")</f>
        <v>45443</v>
      </c>
      <c r="G20" s="4" cm="1">
        <f t="array" ref="G20">_xll.FDS(D20,"FG_PE(0)")</f>
        <v>14.4418177143083</v>
      </c>
      <c r="H20" s="4" cm="1">
        <f t="array" ref="H20">_xll.FDS(D20,"FG_PE_NTM(0,,,90,0)")</f>
        <v>12.6404783721988</v>
      </c>
      <c r="I20" cm="1">
        <f t="array" ref="I20">_xll.FDS(D20,"FMA_DIV_YLD(NTMA,NOW,NOW,M,""PORTAGG"",""MEANR"")")</f>
        <v>3.0591304792756802</v>
      </c>
      <c r="J20" s="52" cm="1">
        <f t="array" ref="J20">_xll.FDS(D20,"FG_FCF_YIELD_NTM(0)")</f>
        <v>5.42403043686262</v>
      </c>
      <c r="K20" s="3" cm="1">
        <f t="array" ref="K20">_xll.FDS(D20,"FMA_EVAL_EBITDA(NTMA,0,,,""PORTAGG"",""MEANR"")")</f>
        <v>8.8871155415718501</v>
      </c>
      <c r="L20" cm="1">
        <f t="array" ref="L20">_xll.FDS(D20,"FMA_EVAL_EBIT(LTMA,NOW,NOW,M,""PORTAGG"",""MEANR"")")</f>
        <v>14.3363634026247</v>
      </c>
    </row>
    <row r="21" spans="1:12" x14ac:dyDescent="0.35">
      <c r="F21" s="2"/>
      <c r="G21" s="4"/>
      <c r="H21" s="4"/>
      <c r="J21" s="52"/>
      <c r="K21" s="3"/>
    </row>
    <row r="22" spans="1:12" x14ac:dyDescent="0.35">
      <c r="B22" t="s">
        <v>776</v>
      </c>
      <c r="C22" t="s">
        <v>544</v>
      </c>
      <c r="D22" t="s">
        <v>777</v>
      </c>
      <c r="F22" s="2"/>
      <c r="G22" s="4"/>
      <c r="H22" s="4"/>
      <c r="J22" s="52"/>
      <c r="K22" s="3"/>
    </row>
    <row r="23" spans="1:12" x14ac:dyDescent="0.35">
      <c r="B23" t="s">
        <v>170</v>
      </c>
      <c r="C23" t="s">
        <v>720</v>
      </c>
      <c r="D23" cm="1">
        <f t="array" ref="D23">IFERROR(IFERROR(IFERROR(_xll.FDS(B23,"IMF_IFS_RCPI_Q(0)"),_xll.FDS(B23,"IMF_IFS_RCPI_Q(-1AM)")),_xll.FDS(B23,"IMF_IFS_RCPI_Q(-2AM)")),_xll.FDS(B23,"IMF_IFS_RCPI_Q(-3AM)"))</f>
        <v>3.2410160000000001</v>
      </c>
    </row>
    <row r="33" spans="4:5" x14ac:dyDescent="0.35">
      <c r="D33" s="1"/>
      <c r="E33" s="1"/>
    </row>
    <row r="40" spans="4:5" x14ac:dyDescent="0.35">
      <c r="D40" s="1"/>
      <c r="E40" s="1"/>
    </row>
    <row r="45" spans="4:5" x14ac:dyDescent="0.35">
      <c r="D45" s="1"/>
      <c r="E45" s="1"/>
    </row>
    <row r="50" spans="4:5" x14ac:dyDescent="0.35">
      <c r="D50" s="1"/>
      <c r="E50" s="1"/>
    </row>
    <row r="51" spans="4:5" x14ac:dyDescent="0.35">
      <c r="D51" s="1"/>
      <c r="E51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1"/>
  <sheetViews>
    <sheetView topLeftCell="A2" zoomScale="145" zoomScaleNormal="145" workbookViewId="0">
      <selection activeCell="G3" sqref="G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525</v>
      </c>
      <c r="G2" s="25" t="s">
        <v>907</v>
      </c>
      <c r="H2" s="25" t="s">
        <v>381</v>
      </c>
      <c r="I2" s="25" t="s">
        <v>490</v>
      </c>
      <c r="L2" s="25" t="s">
        <v>526</v>
      </c>
      <c r="S2" s="5" t="s">
        <v>459</v>
      </c>
      <c r="T2" s="5" t="s">
        <v>458</v>
      </c>
      <c r="U2" t="s">
        <v>382</v>
      </c>
      <c r="V2" s="46"/>
      <c r="X2" t="s">
        <v>552</v>
      </c>
    </row>
    <row r="3" spans="1:24" x14ac:dyDescent="0.35">
      <c r="A3" t="s">
        <v>431</v>
      </c>
      <c r="B3" t="s">
        <v>197</v>
      </c>
      <c r="C3" t="s">
        <v>449</v>
      </c>
      <c r="D3" s="26" t="str" cm="1">
        <f t="array" ref="D3">_xll.FDSB(C3,"FG_YIELD_NAME")</f>
        <v>New Zealand Benchmark Bond - 10 Year</v>
      </c>
      <c r="E3" s="26" cm="1">
        <f t="array" ref="E3">IFERROR(_xll.FDS(C3,"FG_YIELD(0,,,,""YTM"")"),$E$18)</f>
        <v>4.6685999999999996</v>
      </c>
      <c r="G3" s="26" cm="1">
        <f t="array" ref="G3">_xll.FDSB(C3,"PCTCHG(FG_YIELD(0,,,,""YTM""),FG_YIELD(-1AM,,,,""YTM""))")</f>
        <v>-3.0364646999999998</v>
      </c>
      <c r="H3" s="26" cm="1">
        <f t="array" ref="H3">_xll.FDSB(C3,"PCTCHG(FG_YIELD(0,,,,""YTM""),FG_YIELD(-3AM,,,,""YTM""))")</f>
        <v>1.1943201999999999</v>
      </c>
      <c r="I3" s="26"/>
      <c r="J3" s="26" t="str">
        <f>VLOOKUP(B3,mnemonics!$A$4:$D$78, 4, FALSE)</f>
        <v>REFNZOCR-FDS</v>
      </c>
      <c r="K3" s="26" t="str" cm="1">
        <f t="array" ref="K3">_xll.FDSB(J3,"PROPER_NAME(0,,,""SECURITY"",""NAME"")")</f>
        <v>New Zealand Official Cash Rate</v>
      </c>
      <c r="L3" s="26" cm="1">
        <f t="array" ref="L3">_xll.FDSB(J3,"FG_YIELD(NOW,,,0)")</f>
        <v>5.5</v>
      </c>
      <c r="M3" s="36" cm="1">
        <f t="array" ref="M3">_xll.FDSB(J3,"(SUBARRAY(NOT_NA(NO_REPEAT_F(FG_YIELD(now,-10AY,D))),0,1)-SUBARRAY(NOT_NA(NO_REPEAT_F(FG_YIELD(now,-10AY,D))),1,1))*100")</f>
        <v>25</v>
      </c>
      <c r="N3" s="38">
        <f t="shared" ref="N3:N15" si="0">M3*-1</f>
        <v>-25</v>
      </c>
      <c r="O3" s="26">
        <f>L3-E3</f>
        <v>0.83140000000000036</v>
      </c>
      <c r="S3">
        <f t="shared" ref="S3:S15" si="1">IF(M3&gt; 0, 0, 1)</f>
        <v>0</v>
      </c>
      <c r="T3">
        <f t="shared" ref="T3:T15" si="2">IF(G3&lt;0, 1, 0)</f>
        <v>1</v>
      </c>
      <c r="U3">
        <f t="shared" ref="U3:U15" si="3">IF(H3&lt;0, 1, 0)</f>
        <v>0</v>
      </c>
      <c r="V3" s="47">
        <f t="shared" ref="V3:V15" si="4">SUMPRODUCT($S$1:$U$1,S3:U3)</f>
        <v>0.25</v>
      </c>
      <c r="X3">
        <f>_xlfn.PERCENTRANK.EXC($V$3:$V$15,V3)*100</f>
        <v>21.4</v>
      </c>
    </row>
    <row r="4" spans="1:24" x14ac:dyDescent="0.35">
      <c r="A4" t="s">
        <v>44</v>
      </c>
      <c r="B4" t="s">
        <v>113</v>
      </c>
      <c r="C4" t="s">
        <v>138</v>
      </c>
      <c r="D4" s="26" t="str" cm="1">
        <f t="array" ref="D4">_xll.FDSB(C4,"FG_YIELD_NAME")</f>
        <v>Australia Benchmark Bond - 10 Year</v>
      </c>
      <c r="E4" s="26" cm="1">
        <f t="array" ref="E4">IFERROR(_xll.FDS(C4,"FG_YIELD(0,,,,""YTM"")"),$E$18)</f>
        <v>4.3120000000000003</v>
      </c>
      <c r="G4" s="26" cm="1">
        <f t="array" ref="G4">_xll.FDSB(C4,"PCTCHG(FG_YIELD(0,,,,""YTM""),FG_YIELD(-1AM,,,,""YTM""))")</f>
        <v>1.1494203000000001</v>
      </c>
      <c r="H4" s="26" cm="1">
        <f t="array" ref="H4">_xll.FDSB(C4,"PCTCHG(FG_YIELD(0,,,,""YTM""),FG_YIELD(-3AM,,,,""YTM""))")</f>
        <v>8.7241479999999996</v>
      </c>
      <c r="I4" s="26"/>
      <c r="J4" s="26" t="str">
        <f>VLOOKUP(B4,mnemonics!$A$4:$D$78, 4, FALSE)</f>
        <v>REFAUCASH-FDS</v>
      </c>
      <c r="K4" s="26" t="str" cm="1">
        <f t="array" ref="K4">_xll.FDSB(J4,"PROPER_NAME(0,,,""SECURITY"",""NAME"")")</f>
        <v>Australia Target Cash Rate</v>
      </c>
      <c r="L4" s="26" cm="1">
        <f t="array" ref="L4">_xll.FDSB(J4,"FG_YIELD(NOW,,,0)")</f>
        <v>4.3499999999999996</v>
      </c>
      <c r="M4" s="36" cm="1">
        <f t="array" ref="M4">_xll.FDSB(J4,"(SUBARRAY(NOT_NA(NO_REPEAT_F(FG_YIELD(now,-10AY,D))),0,1)-SUBARRAY(NOT_NA(NO_REPEAT_F(FG_YIELD(now,-10AY,D))),1,1))*100")</f>
        <v>25</v>
      </c>
      <c r="N4" s="38">
        <f t="shared" si="0"/>
        <v>-25</v>
      </c>
      <c r="O4" s="26">
        <f t="shared" ref="O4:O15" si="5">L4-E4</f>
        <v>3.7999999999999368E-2</v>
      </c>
      <c r="S4">
        <f t="shared" si="1"/>
        <v>0</v>
      </c>
      <c r="T4">
        <f t="shared" si="2"/>
        <v>0</v>
      </c>
      <c r="U4">
        <f t="shared" si="3"/>
        <v>0</v>
      </c>
      <c r="V4" s="47">
        <f t="shared" si="4"/>
        <v>0</v>
      </c>
      <c r="X4">
        <f t="shared" ref="X4:X15" si="6">_xlfn.PERCENTRANK.EXC($V$3:$V$15,V4)*100</f>
        <v>7.1</v>
      </c>
    </row>
    <row r="5" spans="1:24" x14ac:dyDescent="0.35">
      <c r="A5" t="s">
        <v>49</v>
      </c>
      <c r="B5" t="s">
        <v>116</v>
      </c>
      <c r="C5" t="s">
        <v>142</v>
      </c>
      <c r="D5" s="26" t="str" cm="1">
        <f t="array" ref="D5">_xll.FDSB(C5,"FG_YIELD_NAME")</f>
        <v>Canada Benchmark Bond - 10 Year</v>
      </c>
      <c r="E5" s="26" cm="1">
        <f t="array" ref="E5">IFERROR(_xll.FDS(C5,"FG_YIELD(0,,,,""YTM"")"),$E$18)</f>
        <v>3.5038</v>
      </c>
      <c r="G5" s="26" cm="1">
        <f t="array" ref="G5">_xll.FDSB(C5,"PCTCHG(FG_YIELD(0,,,,""YTM""),FG_YIELD(-1AM,,,,""YTM""))")</f>
        <v>-5.3717556000000002</v>
      </c>
      <c r="H5" s="26" cm="1">
        <f t="array" ref="H5">_xll.FDSB(C5,"PCTCHG(FG_YIELD(0,,,,""YTM""),FG_YIELD(-3AM,,,,""YTM""))")</f>
        <v>0.93333790000000005</v>
      </c>
      <c r="I5" s="26"/>
      <c r="J5" s="26" t="str">
        <f>VLOOKUP(B5,mnemonics!$A$4:$D$78, 4, FALSE)</f>
        <v>REFCATARG-FDS</v>
      </c>
      <c r="K5" s="26" t="str" cm="1">
        <f t="array" ref="K5">_xll.FDSB(J5,"PROPER_NAME(0,,,""SECURITY"",""NAME"")")</f>
        <v>Canada Target Rate</v>
      </c>
      <c r="L5" s="26" cm="1">
        <f t="array" ref="L5">_xll.FDSB(J5,"FG_YIELD(NOW,,,0)")</f>
        <v>4.75</v>
      </c>
      <c r="M5" s="36" cm="1">
        <f t="array" ref="M5">_xll.FDSB(J5,"(SUBARRAY(NOT_NA(NO_REPEAT_F(FG_YIELD(now,-10AY,D))),0,1)-SUBARRAY(NOT_NA(NO_REPEAT_F(FG_YIELD(now,-10AY,D))),1,1))*100")</f>
        <v>-25</v>
      </c>
      <c r="N5" s="38">
        <f t="shared" si="0"/>
        <v>25</v>
      </c>
      <c r="O5" s="26">
        <f t="shared" si="5"/>
        <v>1.2462</v>
      </c>
      <c r="S5">
        <f t="shared" si="1"/>
        <v>1</v>
      </c>
      <c r="T5">
        <f t="shared" si="2"/>
        <v>1</v>
      </c>
      <c r="U5">
        <f t="shared" si="3"/>
        <v>0</v>
      </c>
      <c r="V5" s="47">
        <f t="shared" si="4"/>
        <v>0.75</v>
      </c>
      <c r="X5">
        <f t="shared" si="6"/>
        <v>64.2</v>
      </c>
    </row>
    <row r="6" spans="1:24" x14ac:dyDescent="0.35">
      <c r="A6" t="s">
        <v>11</v>
      </c>
      <c r="B6" t="s">
        <v>102</v>
      </c>
      <c r="C6" t="s">
        <v>19</v>
      </c>
      <c r="D6" s="26" t="str" cm="1">
        <f t="array" ref="D6">_xll.FDSB(C6,"FG_YIELD_NAME")</f>
        <v>Germany Benchmark Bond - 10 Year</v>
      </c>
      <c r="E6" s="26" cm="1">
        <f t="array" ref="E6">IFERROR(_xll.FDS(C6,"FG_YIELD(0,,,,""YTM"")"),$E$18)</f>
        <v>2.4689999999999999</v>
      </c>
      <c r="G6" s="26" cm="1">
        <f t="array" ref="G6">_xll.FDSB(C6,"PCTCHG(FG_YIELD(0,,,,""YTM""),FG_YIELD(-1AM,,,,""YTM""))")</f>
        <v>-4.5612596999999999</v>
      </c>
      <c r="H6" s="26" cm="1">
        <f t="array" ref="H6">_xll.FDSB(C6,"PCTCHG(FG_YIELD(0,,,,""YTM""),FG_YIELD(-3AM,,,,""YTM""))")</f>
        <v>7.6286050000000003</v>
      </c>
      <c r="I6" s="26"/>
      <c r="J6" s="26" t="str">
        <f>VLOOKUP(B6,mnemonics!$A$4:$D$78, 4, FALSE)</f>
        <v>REFEUREFI-FDS</v>
      </c>
      <c r="K6" s="26" t="str" cm="1">
        <f t="array" ref="K6">_xll.FDSB(J6,"PROPER_NAME(0,,,""SECURITY"",""NAME"")")</f>
        <v>Eurozone Main Refinancing Operations Minimum Bid Rate</v>
      </c>
      <c r="L6" s="26" cm="1">
        <f t="array" ref="L6">_xll.FDSB(J6,"FG_YIELD(NOW,,,0)")</f>
        <v>4.25</v>
      </c>
      <c r="M6" s="36" cm="1">
        <f t="array" ref="M6">_xll.FDSB(J6,"(SUBARRAY(NOT_NA(NO_REPEAT_F(FG_YIELD(now,-10AY,D))),0,1)-SUBARRAY(NOT_NA(NO_REPEAT_F(FG_YIELD(now,-10AY,D))),1,1))*100")</f>
        <v>-25</v>
      </c>
      <c r="N6" s="38">
        <f t="shared" si="0"/>
        <v>25</v>
      </c>
      <c r="O6" s="26">
        <f t="shared" si="5"/>
        <v>1.7810000000000001</v>
      </c>
      <c r="S6">
        <f t="shared" si="1"/>
        <v>1</v>
      </c>
      <c r="T6">
        <f t="shared" si="2"/>
        <v>1</v>
      </c>
      <c r="U6">
        <f t="shared" si="3"/>
        <v>0</v>
      </c>
      <c r="V6" s="47">
        <f t="shared" si="4"/>
        <v>0.75</v>
      </c>
      <c r="X6">
        <f t="shared" si="6"/>
        <v>64.2</v>
      </c>
    </row>
    <row r="7" spans="1:24" x14ac:dyDescent="0.35">
      <c r="A7" t="s">
        <v>46</v>
      </c>
      <c r="B7" t="s">
        <v>114</v>
      </c>
      <c r="C7" t="s">
        <v>139</v>
      </c>
      <c r="D7" s="26" t="str" cm="1">
        <f t="array" ref="D7">_xll.FDSB(C7,"FG_YIELD_NAME")</f>
        <v>Japan Benchmark Bond - 10 Year</v>
      </c>
      <c r="E7" s="26" cm="1">
        <f t="array" ref="E7">IFERROR(_xll.FDS(C7,"FG_YIELD(0,,,,""YTM"")"),$E$18)</f>
        <v>1.0631999999999999</v>
      </c>
      <c r="G7" s="26" cm="1">
        <f t="array" ref="G7">_xll.FDSB(C7,"PCTCHG(FG_YIELD(0,,,,""YTM""),FG_YIELD(-1AM,,,,""YTM""))")</f>
        <v>2.7941630000000002</v>
      </c>
      <c r="H7" s="26" cm="1">
        <f t="array" ref="H7">_xll.FDSB(C7,"PCTCHG(FG_YIELD(0,,,,""YTM""),FG_YIELD(-3AM,,,,""YTM""))")</f>
        <v>51.237552999999998</v>
      </c>
      <c r="I7" s="26"/>
      <c r="J7" s="26" t="str">
        <f>VLOOKUP(B7,mnemonics!$A$4:$D$78, 4, FALSE)</f>
        <v>REFJPTON-FDS</v>
      </c>
      <c r="K7" s="26" t="str" cm="1">
        <f t="array" ref="K7">_xll.FDSB(J7,"PROPER_NAME(0,,,""SECURITY"",""NAME"")")</f>
        <v>Japan Policy Rate</v>
      </c>
      <c r="L7" s="26" cm="1">
        <f t="array" ref="L7">_xll.FDSB(J7,"FG_YIELD(NOW,,,0)")</f>
        <v>0.1</v>
      </c>
      <c r="M7" s="36" cm="1">
        <f t="array" ref="M7">_xll.FDSB(J7,"(SUBARRAY(NOT_NA(NO_REPEAT_F(FG_YIELD(now,-10AY,D))),0,1)-SUBARRAY(NOT_NA(NO_REPEAT_F(FG_YIELD(now,-10AY,D))),1,1))*100")</f>
        <v>10</v>
      </c>
      <c r="N7" s="38">
        <f t="shared" si="0"/>
        <v>-10</v>
      </c>
      <c r="O7" s="26">
        <f t="shared" si="5"/>
        <v>-0.96319999999999995</v>
      </c>
      <c r="S7">
        <f t="shared" si="1"/>
        <v>0</v>
      </c>
      <c r="T7">
        <f t="shared" si="2"/>
        <v>0</v>
      </c>
      <c r="U7">
        <f t="shared" si="3"/>
        <v>0</v>
      </c>
      <c r="V7" s="47">
        <f t="shared" si="4"/>
        <v>0</v>
      </c>
      <c r="X7">
        <f t="shared" si="6"/>
        <v>7.1</v>
      </c>
    </row>
    <row r="8" spans="1:24" x14ac:dyDescent="0.35">
      <c r="A8" t="s">
        <v>42</v>
      </c>
      <c r="B8" t="s">
        <v>110</v>
      </c>
      <c r="C8" t="s">
        <v>135</v>
      </c>
      <c r="D8" s="26" t="str" cm="1">
        <f t="array" ref="D8">_xll.FDSB(C8,"FG_YIELD_NAME")</f>
        <v>Treasury - Switzerland Benchmark Bond 10Y</v>
      </c>
      <c r="E8" s="26" cm="1">
        <f t="array" ref="E8">IFERROR(_xll.FDS(C8,"FG_YIELD(0,,,,""YTM"")"),$E$18)</f>
        <v>0.53900000000000003</v>
      </c>
      <c r="G8" s="26" cm="1">
        <f t="array" ref="G8">_xll.FDSB(C8,"PCTCHG(FG_YIELD(0,,,,""YTM""),FG_YIELD(-1AM,,,,""YTM""))")</f>
        <v>-33.946080000000002</v>
      </c>
      <c r="H8" s="26" cm="1">
        <f t="array" ref="H8">_xll.FDSB(C8,"PCTCHG(FG_YIELD(0,,,,""YTM""),FG_YIELD(-3AM,,,,""YTM""))")</f>
        <v>-22.334299999999999</v>
      </c>
      <c r="I8" s="26"/>
      <c r="J8" s="26" t="str">
        <f>VLOOKUP(B8,mnemonics!$A$4:$D$78, 4, FALSE)</f>
        <v>REFCHMPR-FDS</v>
      </c>
      <c r="K8" s="26" t="str" cm="1">
        <f t="array" ref="K8">_xll.FDSB(J8,"PROPER_NAME(0,,,""SECURITY"",""NAME"")")</f>
        <v>Swiss Policy Rate - Sight Deposit Rate</v>
      </c>
      <c r="L8" s="26" cm="1">
        <f t="array" ref="L8">_xll.FDSB(J8,"FG_YIELD(NOW,,,0)")</f>
        <v>1.25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O8" s="26">
        <f t="shared" si="5"/>
        <v>0.71099999999999997</v>
      </c>
      <c r="S8">
        <f t="shared" si="1"/>
        <v>1</v>
      </c>
      <c r="T8">
        <f t="shared" si="2"/>
        <v>1</v>
      </c>
      <c r="U8">
        <f t="shared" si="3"/>
        <v>1</v>
      </c>
      <c r="V8" s="47">
        <f t="shared" si="4"/>
        <v>1</v>
      </c>
      <c r="X8">
        <f t="shared" si="6"/>
        <v>85.7</v>
      </c>
    </row>
    <row r="9" spans="1:24" x14ac:dyDescent="0.35">
      <c r="A9" t="s">
        <v>48</v>
      </c>
      <c r="B9" t="s">
        <v>115</v>
      </c>
      <c r="C9" t="s">
        <v>141</v>
      </c>
      <c r="D9" s="26" t="str" cm="1">
        <f t="array" ref="D9">_xll.FDSB(C9,"FG_YIELD_NAME")</f>
        <v>United Kingdom Benchmark Bond - 10 Year</v>
      </c>
      <c r="E9" s="26" cm="1">
        <f t="array" ref="E9">IFERROR(_xll.FDS(C9,"FG_YIELD(0,,,,""YTM"")"),$E$18)</f>
        <v>4.1470000000000002</v>
      </c>
      <c r="G9" s="26" cm="1">
        <f t="array" ref="G9">_xll.FDSB(C9,"PCTCHG(FG_YIELD(0,,,,""YTM""),FG_YIELD(-1AM,,,,""YTM""))")</f>
        <v>-3.2205370000000002</v>
      </c>
      <c r="H9" s="26" cm="1">
        <f t="array" ref="H9">_xll.FDSB(C9,"PCTCHG(FG_YIELD(0,,,,""YTM""),FG_YIELD(-3AM,,,,""YTM""))")</f>
        <v>5.6829714999999998</v>
      </c>
      <c r="I9" s="26"/>
      <c r="J9" s="26" t="str">
        <f>VLOOKUP(B9,mnemonics!$A$4:$D$78, 4, FALSE)</f>
        <v>REFGBBANK-FDS</v>
      </c>
      <c r="K9" s="26" t="str" cm="1">
        <f t="array" ref="K9">_xll.FDSB(J9,"PROPER_NAME(0,,,""SECURITY"",""NAME"")")</f>
        <v>UK Bank Rate</v>
      </c>
      <c r="L9" s="26" cm="1">
        <f t="array" ref="L9">_xll.FDSB(J9,"FG_YIELD(NOW,,,0)")</f>
        <v>5.25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O9" s="26">
        <f t="shared" si="5"/>
        <v>1.1029999999999998</v>
      </c>
      <c r="S9">
        <f t="shared" si="1"/>
        <v>0</v>
      </c>
      <c r="T9">
        <f t="shared" si="2"/>
        <v>1</v>
      </c>
      <c r="U9">
        <f t="shared" si="3"/>
        <v>0</v>
      </c>
      <c r="V9" s="47">
        <f t="shared" si="4"/>
        <v>0.25</v>
      </c>
      <c r="X9">
        <f t="shared" si="6"/>
        <v>21.4</v>
      </c>
    </row>
    <row r="10" spans="1:24" x14ac:dyDescent="0.35">
      <c r="A10" t="s">
        <v>51</v>
      </c>
      <c r="B10" t="s">
        <v>119</v>
      </c>
      <c r="C10" t="s">
        <v>14</v>
      </c>
      <c r="D10" s="26" t="str" cm="1">
        <f t="array" ref="D10">_xll.FDSB(C10,"FG_YIELD_NAME")</f>
        <v>US Benchmark Bond - 10 Year</v>
      </c>
      <c r="E10" s="26" cm="1">
        <f t="array" ref="E10">IFERROR(_xll.FDS(C10,"FG_YIELD(0,,,,""YTM"")"),$E$18)</f>
        <v>4.3704999999999998</v>
      </c>
      <c r="G10" s="26" cm="1">
        <f t="array" ref="G10">_xll.FDSB(C10,"PCTCHG(FG_YIELD(0,,,,""YTM""),FG_YIELD(-1AM,,,,""YTM""))")</f>
        <v>-3.7334773999999999</v>
      </c>
      <c r="H10" s="26" cm="1">
        <f t="array" ref="H10">_xll.FDSB(C10,"PCTCHG(FG_YIELD(0,,,,""YTM""),FG_YIELD(-3AM,,,,""YTM""))")</f>
        <v>4.0397105</v>
      </c>
      <c r="I10" s="26"/>
      <c r="J10" s="26" t="str">
        <f>VLOOKUP(B10,mnemonics!$A$4:$D$78, 4, FALSE)</f>
        <v>REFFFUND-FDS</v>
      </c>
      <c r="K10" s="26" t="str" cm="1">
        <f t="array" ref="K10">_xll.FDSB(J10,"PROPER_NAME(0,,,""SECURITY"",""NAME"")")</f>
        <v>US Federal Funds Target Rate</v>
      </c>
      <c r="L10" s="26" cm="1">
        <f t="array" ref="L10">_xll.FDSB(J10,"FG_YIELD(NOW,,,0)")</f>
        <v>5.5</v>
      </c>
      <c r="M10" s="36" cm="1">
        <f t="array" ref="M10">_xll.FDSB(J10,"(SUBARRAY(NOT_NA(NO_REPEAT_F(FG_YIELD(now,-10AY,D))),0,1)-SUBARRAY(NOT_NA(NO_REPEAT_F(FG_YIELD(now,-10AY,D))),1,1))*100")</f>
        <v>25</v>
      </c>
      <c r="N10" s="38">
        <f t="shared" si="0"/>
        <v>-25</v>
      </c>
      <c r="O10" s="26">
        <f t="shared" si="5"/>
        <v>1.1295000000000002</v>
      </c>
      <c r="S10">
        <f t="shared" si="1"/>
        <v>0</v>
      </c>
      <c r="T10">
        <f t="shared" si="2"/>
        <v>1</v>
      </c>
      <c r="U10">
        <f t="shared" si="3"/>
        <v>0</v>
      </c>
      <c r="V10" s="47">
        <f t="shared" si="4"/>
        <v>0.25</v>
      </c>
      <c r="X10">
        <f t="shared" si="6"/>
        <v>21.4</v>
      </c>
    </row>
    <row r="11" spans="1:24" x14ac:dyDescent="0.35">
      <c r="A11" t="s">
        <v>1</v>
      </c>
      <c r="B11" t="s">
        <v>119</v>
      </c>
      <c r="C11" t="s">
        <v>14</v>
      </c>
      <c r="D11" s="26" t="str" cm="1">
        <f t="array" ref="D11">_xll.FDSB(C11,"FG_YIELD_NAME")</f>
        <v>US Benchmark Bond - 10 Year</v>
      </c>
      <c r="E11" s="26" cm="1">
        <f t="array" ref="E11">IFERROR(_xll.FDS(C11,"FG_YIELD(0,,,,""YTM"")"),$E$18)</f>
        <v>4.3704999999999998</v>
      </c>
      <c r="G11" s="26" cm="1">
        <f t="array" ref="G11">_xll.FDSB(C11,"PCTCHG(FG_YIELD(0,,,,""YTM""),FG_YIELD(-1AM,,,,""YTM""))")</f>
        <v>-3.7334773999999999</v>
      </c>
      <c r="H11" s="26" cm="1">
        <f t="array" ref="H11">_xll.FDSB(C11,"PCTCHG(FG_YIELD(0,,,,""YTM""),FG_YIELD(-3AM,,,,""YTM""))")</f>
        <v>4.0397105</v>
      </c>
      <c r="I11" s="26"/>
      <c r="J11" s="26" t="str">
        <f>VLOOKUP(B11,mnemonics!$A$4:$D$78, 4, FALSE)</f>
        <v>REFFFUND-FDS</v>
      </c>
      <c r="K11" s="26" t="str" cm="1">
        <f t="array" ref="K11">_xll.FDSB(J11,"PROPER_NAME(0,,,""SECURITY"",""NAME"")")</f>
        <v>US Federal Funds Target Rate</v>
      </c>
      <c r="L11" s="26" cm="1">
        <f t="array" ref="L11">_xll.FDSB(J11,"FG_YIELD(NOW,,,0)")</f>
        <v>5.5</v>
      </c>
      <c r="M11" s="36" cm="1">
        <f t="array" ref="M11">_xll.FDSB(J11,"(SUBARRAY(NOT_NA(NO_REPEAT_F(FG_YIELD(now,-10AY,D))),0,1)-SUBARRAY(NOT_NA(NO_REPEAT_F(FG_YIELD(now,-10AY,D))),1,1))*100")</f>
        <v>25</v>
      </c>
      <c r="N11" s="38">
        <f t="shared" si="0"/>
        <v>-25</v>
      </c>
      <c r="O11" s="26">
        <f t="shared" si="5"/>
        <v>1.1295000000000002</v>
      </c>
      <c r="S11">
        <f t="shared" si="1"/>
        <v>0</v>
      </c>
      <c r="T11">
        <f t="shared" si="2"/>
        <v>1</v>
      </c>
      <c r="U11">
        <f t="shared" si="3"/>
        <v>0</v>
      </c>
      <c r="V11" s="47">
        <f t="shared" si="4"/>
        <v>0.25</v>
      </c>
      <c r="X11">
        <f t="shared" si="6"/>
        <v>21.4</v>
      </c>
    </row>
    <row r="12" spans="1:24" x14ac:dyDescent="0.35">
      <c r="A12" t="s">
        <v>865</v>
      </c>
      <c r="B12" t="s">
        <v>106</v>
      </c>
      <c r="C12" t="s">
        <v>133</v>
      </c>
      <c r="D12" s="26" t="str" cm="1">
        <f t="array" ref="D12">_xll.FDSB(C12,"FG_YIELD_NAME")</f>
        <v>France Benchmark Bond - 10 Year</v>
      </c>
      <c r="E12" s="26" cm="1">
        <f t="array" ref="E12">IFERROR(_xll.FDS(C12,"FG_YIELD(0,,,,""YTM"")"),$E$18)</f>
        <v>3.2570000000000001</v>
      </c>
      <c r="G12" s="26" cm="1">
        <f t="array" ref="G12">_xll.FDSB(C12,"PCTCHG(FG_YIELD(0,,,,""YTM""),FG_YIELD(-1AM,,,,""YTM""))")</f>
        <v>6.5772243000000001</v>
      </c>
      <c r="H12" s="26" cm="1">
        <f t="array" ref="H12">_xll.FDSB(C12,"PCTCHG(FG_YIELD(0,,,,""YTM""),FG_YIELD(-3AM,,,,""YTM""))")</f>
        <v>16.279893999999999</v>
      </c>
      <c r="I12" s="26"/>
      <c r="J12" s="26" t="str">
        <f>VLOOKUP(B12,mnemonics!$A$4:$D$78, 4, FALSE)</f>
        <v>REFEUREFI-FDS</v>
      </c>
      <c r="K12" s="26" t="str" cm="1">
        <f t="array" ref="K12">_xll.FDSB(J12,"PROPER_NAME(0,,,""SECURITY"",""NAME"")")</f>
        <v>Eurozone Main Refinancing Operations Minimum Bid Rate</v>
      </c>
      <c r="L12" s="26" cm="1">
        <f t="array" ref="L12">_xll.FDSB(J12,"FG_YIELD(NOW,,,0)")</f>
        <v>4.25</v>
      </c>
      <c r="M12" s="36" cm="1">
        <f t="array" ref="M12">_xll.FDSB(J12,"(SUBARRAY(NOT_NA(NO_REPEAT_F(FG_YIELD(now,-10AY,D))),0,1)-SUBARRAY(NOT_NA(NO_REPEAT_F(FG_YIELD(now,-10AY,D))),1,1))*100")</f>
        <v>-25</v>
      </c>
      <c r="N12" s="38">
        <f t="shared" si="0"/>
        <v>25</v>
      </c>
      <c r="O12" s="26">
        <f t="shared" si="5"/>
        <v>0.99299999999999988</v>
      </c>
      <c r="S12">
        <f t="shared" si="1"/>
        <v>1</v>
      </c>
      <c r="T12">
        <f t="shared" si="2"/>
        <v>0</v>
      </c>
      <c r="U12">
        <f t="shared" si="3"/>
        <v>0</v>
      </c>
      <c r="V12" s="47">
        <f t="shared" si="4"/>
        <v>0.5</v>
      </c>
      <c r="X12">
        <f t="shared" si="6"/>
        <v>50</v>
      </c>
    </row>
    <row r="13" spans="1:24" x14ac:dyDescent="0.35">
      <c r="A13" t="s">
        <v>867</v>
      </c>
      <c r="B13" t="s">
        <v>875</v>
      </c>
      <c r="C13" t="s">
        <v>877</v>
      </c>
      <c r="D13" s="26" t="str" cm="1">
        <f t="array" ref="D13">_xll.FDSB(C13,"FG_YIELD_NAME")</f>
        <v>Netherlands Benchmark Bond - 10 Year</v>
      </c>
      <c r="E13" s="26" cm="1">
        <f t="array" ref="E13">IFERROR(_xll.FDS(C13,"FG_YIELD(0,,,,""YTM"")"),$E$18)</f>
        <v>2.8149999999999999</v>
      </c>
      <c r="G13" s="26" cm="1">
        <f t="array" ref="G13">_xll.FDSB(C13,"PCTCHG(FG_YIELD(0,,,,""YTM""),FG_YIELD(-1AM,,,,""YTM""))")</f>
        <v>-1.8821855000000001</v>
      </c>
      <c r="H13" s="26" cm="1">
        <f t="array" ref="H13">_xll.FDSB(C13,"PCTCHG(FG_YIELD(0,,,,""YTM""),FG_YIELD(-3AM,,,,""YTM""))")</f>
        <v>8.3943080000000005</v>
      </c>
      <c r="I13" s="26"/>
      <c r="J13" s="26" t="str">
        <f>VLOOKUP(B13,mnemonics!$A$4:$D$78, 4, FALSE)</f>
        <v>REFEUREFI-FDS</v>
      </c>
      <c r="K13" s="26" t="str" cm="1">
        <f t="array" ref="K13">_xll.FDSB(J13,"PROPER_NAME(0,,,""SECURITY"",""NAME"")")</f>
        <v>Eurozone Main Refinancing Operations Minimum Bid Rate</v>
      </c>
      <c r="L13" s="26" cm="1">
        <f t="array" ref="L13">_xll.FDSB(J13,"FG_YIELD(NOW,,,0)")</f>
        <v>4.25</v>
      </c>
      <c r="M13" s="36" cm="1">
        <f t="array" ref="M13">_xll.FDSB(J13,"(SUBARRAY(NOT_NA(NO_REPEAT_F(FG_YIELD(now,-10AY,D))),0,1)-SUBARRAY(NOT_NA(NO_REPEAT_F(FG_YIELD(now,-10AY,D))),1,1))*100")</f>
        <v>-25</v>
      </c>
      <c r="N13" s="38">
        <f t="shared" si="0"/>
        <v>25</v>
      </c>
      <c r="O13" s="26">
        <f t="shared" si="5"/>
        <v>1.4350000000000001</v>
      </c>
      <c r="S13">
        <f t="shared" si="1"/>
        <v>1</v>
      </c>
      <c r="T13">
        <f t="shared" si="2"/>
        <v>1</v>
      </c>
      <c r="U13">
        <f t="shared" si="3"/>
        <v>0</v>
      </c>
      <c r="V13" s="47">
        <f t="shared" si="4"/>
        <v>0.75</v>
      </c>
      <c r="X13">
        <f t="shared" si="6"/>
        <v>64.2</v>
      </c>
    </row>
    <row r="14" spans="1:24" x14ac:dyDescent="0.35">
      <c r="A14" t="s">
        <v>864</v>
      </c>
      <c r="B14" t="s">
        <v>272</v>
      </c>
      <c r="C14" t="s">
        <v>878</v>
      </c>
      <c r="D14" s="26" t="str" cm="1">
        <f t="array" ref="D14">_xll.FDSB(C14,"FG_YIELD_NAME")</f>
        <v>Sweden Benchmark Bond - 10 Year</v>
      </c>
      <c r="E14" s="26" cm="1">
        <f t="array" ref="E14">IFERROR(_xll.FDS(C14,"FG_YIELD(0,,,,""YTM"")"),$E$18)</f>
        <v>2.2210000000000001</v>
      </c>
      <c r="G14" s="26" cm="1">
        <f t="array" ref="G14">_xll.FDSB(C14,"PCTCHG(FG_YIELD(0,,,,""YTM""),FG_YIELD(-1AM,,,,""YTM""))")</f>
        <v>-6.9543419999999996</v>
      </c>
      <c r="H14" s="26" cm="1">
        <f t="array" ref="H14">_xll.FDSB(C14,"PCTCHG(FG_YIELD(0,,,,""YTM""),FG_YIELD(-3AM,,,,""YTM""))")</f>
        <v>-6.5235677000000001</v>
      </c>
      <c r="I14" s="26"/>
      <c r="J14" s="26" t="str">
        <f>VLOOKUP(B14,mnemonics!$A$4:$D$78, 4, FALSE)</f>
        <v>REFSEREPO-FDS</v>
      </c>
      <c r="K14" s="26" t="str" cm="1">
        <f t="array" ref="K14">_xll.FDSB(J14,"PROPER_NAME(0,,,""SECURITY"",""NAME"")")</f>
        <v>Sweden Repo Rate</v>
      </c>
      <c r="L14" s="26" cm="1">
        <f t="array" ref="L14">_xll.FDSB(J14,"FG_YIELD(NOW,,,0)")</f>
        <v>3.75</v>
      </c>
      <c r="M14" s="36" cm="1">
        <f t="array" ref="M14">_xll.FDSB(J14,"(SUBARRAY(NOT_NA(NO_REPEAT_F(FG_YIELD(now,-10AY,D))),0,1)-SUBARRAY(NOT_NA(NO_REPEAT_F(FG_YIELD(now,-10AY,D))),1,1))*100")</f>
        <v>-25</v>
      </c>
      <c r="N14" s="38">
        <f t="shared" si="0"/>
        <v>25</v>
      </c>
      <c r="O14" s="26">
        <f t="shared" si="5"/>
        <v>1.5289999999999999</v>
      </c>
      <c r="S14">
        <f t="shared" si="1"/>
        <v>1</v>
      </c>
      <c r="T14">
        <f t="shared" si="2"/>
        <v>1</v>
      </c>
      <c r="U14">
        <f t="shared" si="3"/>
        <v>1</v>
      </c>
      <c r="V14" s="47">
        <f t="shared" si="4"/>
        <v>1</v>
      </c>
      <c r="X14">
        <f t="shared" si="6"/>
        <v>85.7</v>
      </c>
    </row>
    <row r="15" spans="1:24" x14ac:dyDescent="0.35">
      <c r="A15" t="s">
        <v>866</v>
      </c>
      <c r="B15" t="s">
        <v>876</v>
      </c>
      <c r="C15" t="s">
        <v>879</v>
      </c>
      <c r="D15" s="26" t="str" cm="1">
        <f t="array" ref="D15">_xll.FDSB(C15,"FG_YIELD_NAME")</f>
        <v>Italy Benchmark Bond - 10 Year</v>
      </c>
      <c r="E15" s="26" cm="1">
        <f t="array" ref="E15">IFERROR(_xll.FDS(C15,"FG_YIELD(0,,,,""YTM"")"),$E$18)</f>
        <v>4.0650000000000004</v>
      </c>
      <c r="G15" s="26" cm="1">
        <f t="array" ref="G15">_xll.FDSB(C15,"PCTCHG(FG_YIELD(0,,,,""YTM""),FG_YIELD(-1AM,,,,""YTM""))")</f>
        <v>4.3645719999999999</v>
      </c>
      <c r="H15" s="26" cm="1">
        <f t="array" ref="H15">_xll.FDSB(C15,"PCTCHG(FG_YIELD(0,,,,""YTM""),FG_YIELD(-3AM,,,,""YTM""))")</f>
        <v>11.035237</v>
      </c>
      <c r="I15" s="26"/>
      <c r="J15" s="26" t="str">
        <f>VLOOKUP(B15,mnemonics!$A$4:$D$78,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4.25</v>
      </c>
      <c r="M15" s="36" cm="1">
        <f t="array" ref="M15">_xll.FDSB(J15,"(SUBARRAY(NOT_NA(NO_REPEAT_F(FG_YIELD(now,-10AY,D))),0,1)-SUBARRAY(NOT_NA(NO_REPEAT_F(FG_YIELD(now,-10AY,D))),1,1))*100")</f>
        <v>-25</v>
      </c>
      <c r="N15" s="38">
        <f t="shared" si="0"/>
        <v>25</v>
      </c>
      <c r="O15" s="26">
        <f t="shared" si="5"/>
        <v>0.18499999999999961</v>
      </c>
      <c r="S15">
        <f t="shared" si="1"/>
        <v>1</v>
      </c>
      <c r="T15">
        <f t="shared" si="2"/>
        <v>0</v>
      </c>
      <c r="U15">
        <f t="shared" si="3"/>
        <v>0</v>
      </c>
      <c r="V15" s="47">
        <f t="shared" si="4"/>
        <v>0.5</v>
      </c>
      <c r="X15">
        <f t="shared" si="6"/>
        <v>50</v>
      </c>
    </row>
    <row r="16" spans="1:24" x14ac:dyDescent="0.35">
      <c r="D16" s="26"/>
      <c r="E16" s="26"/>
      <c r="G16" s="26"/>
      <c r="H16" s="26"/>
      <c r="J16" s="26"/>
      <c r="K16" s="26"/>
      <c r="L16" s="26"/>
      <c r="M16" s="36"/>
      <c r="N16" s="38"/>
      <c r="V16" s="50"/>
    </row>
    <row r="17" spans="1:22" x14ac:dyDescent="0.35">
      <c r="D17" s="26"/>
      <c r="E17" s="26"/>
      <c r="G17" s="26"/>
      <c r="H17" s="26"/>
      <c r="J17" s="26"/>
      <c r="K17" s="26"/>
      <c r="L17" s="26"/>
      <c r="M17" s="36"/>
      <c r="N17" s="38"/>
      <c r="V17" s="50"/>
    </row>
    <row r="18" spans="1:22" x14ac:dyDescent="0.35">
      <c r="A18" t="s">
        <v>1</v>
      </c>
      <c r="B18" t="s">
        <v>119</v>
      </c>
      <c r="C18" t="s">
        <v>14</v>
      </c>
      <c r="D18" s="26" t="str" cm="1">
        <f t="array" ref="D18">_xll.FDSB(C18,"FG_YIELD_NAME")</f>
        <v>US Benchmark Bond - 10 Year</v>
      </c>
      <c r="E18" s="26" cm="1">
        <f t="array" ref="E18">IFERROR(_xll.FDS(C18,"FG_YIELD(0,,,,""YTM"")"),E47)</f>
        <v>4.3704999999999998</v>
      </c>
      <c r="G18" s="26"/>
      <c r="H18" s="26"/>
      <c r="J18" s="26"/>
      <c r="K18" s="26"/>
      <c r="L18" s="26"/>
      <c r="M18" s="36"/>
      <c r="N18" s="38"/>
      <c r="V18" s="50"/>
    </row>
    <row r="19" spans="1:22" x14ac:dyDescent="0.35">
      <c r="D19" s="26"/>
      <c r="E19" s="26"/>
      <c r="G19" s="26"/>
      <c r="H19" s="26"/>
      <c r="J19" s="26"/>
      <c r="K19" s="26"/>
      <c r="L19" s="26"/>
      <c r="M19" s="36"/>
      <c r="N19" s="38"/>
      <c r="V19" s="50"/>
    </row>
    <row r="20" spans="1:22" x14ac:dyDescent="0.35">
      <c r="D20" s="26"/>
      <c r="E20" s="26"/>
      <c r="G20" s="26"/>
      <c r="H20" s="26"/>
      <c r="J20" s="26"/>
      <c r="K20" s="26"/>
      <c r="L20" s="26"/>
      <c r="M20" s="36"/>
      <c r="N20" s="38"/>
      <c r="V20" s="50"/>
    </row>
    <row r="21" spans="1:22" x14ac:dyDescent="0.35">
      <c r="D21" s="26"/>
      <c r="E21" s="26"/>
      <c r="G21" s="26"/>
      <c r="H21" s="26"/>
      <c r="J21" s="26"/>
      <c r="K21" s="26"/>
      <c r="L21" s="26"/>
      <c r="M21" s="36"/>
      <c r="N21" s="38"/>
      <c r="V21" s="50"/>
    </row>
    <row r="22" spans="1:22" x14ac:dyDescent="0.35">
      <c r="D22" s="26"/>
      <c r="E22" s="26"/>
      <c r="G22" s="26"/>
      <c r="H22" s="26"/>
      <c r="J22" s="26"/>
      <c r="K22" s="26"/>
      <c r="L22" s="26"/>
      <c r="M22" s="36"/>
      <c r="N22" s="38"/>
      <c r="V22" s="50"/>
    </row>
    <row r="27" spans="1:22" ht="18.5" x14ac:dyDescent="0.45">
      <c r="A27" s="34"/>
      <c r="B27" s="35"/>
      <c r="C27" s="35"/>
      <c r="D27" s="35"/>
      <c r="E27" s="35"/>
      <c r="F27" s="35"/>
      <c r="G27" s="35"/>
      <c r="H27" s="35"/>
    </row>
    <row r="34" spans="3:6" x14ac:dyDescent="0.35">
      <c r="C34" s="1"/>
      <c r="D34" s="1"/>
      <c r="E34" s="1"/>
      <c r="F34" s="1"/>
    </row>
    <row r="35" spans="3:6" x14ac:dyDescent="0.35">
      <c r="C35" s="1"/>
      <c r="D35" s="1"/>
      <c r="E35" s="1"/>
      <c r="F35" s="1"/>
    </row>
    <row r="36" spans="3:6" x14ac:dyDescent="0.35">
      <c r="C36" s="1"/>
      <c r="D36" s="1"/>
      <c r="E36" s="1"/>
      <c r="F36" s="1"/>
    </row>
    <row r="55" spans="3:6" x14ac:dyDescent="0.35">
      <c r="C55" s="1"/>
      <c r="D55" s="1"/>
      <c r="E55" s="1"/>
      <c r="F55" s="1"/>
    </row>
    <row r="71" spans="4:6" x14ac:dyDescent="0.35">
      <c r="D71" s="1"/>
      <c r="E71" s="1"/>
      <c r="F71" s="1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N3:N22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14"/>
  <sheetViews>
    <sheetView workbookViewId="0">
      <selection activeCell="A2" sqref="A2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0.453125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4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2" t="s">
        <v>531</v>
      </c>
      <c r="B1" s="72" t="s">
        <v>518</v>
      </c>
      <c r="C1" s="72" t="s">
        <v>519</v>
      </c>
      <c r="D1" s="72" t="s">
        <v>96</v>
      </c>
      <c r="E1" s="72" t="s">
        <v>97</v>
      </c>
      <c r="F1" s="72" t="s">
        <v>98</v>
      </c>
      <c r="G1" s="75" t="s">
        <v>380</v>
      </c>
      <c r="H1" s="75" t="s">
        <v>408</v>
      </c>
      <c r="I1" s="75" t="s">
        <v>529</v>
      </c>
      <c r="J1" s="75" t="s">
        <v>532</v>
      </c>
      <c r="K1" s="76" t="s">
        <v>735</v>
      </c>
      <c r="L1" s="75" t="s">
        <v>528</v>
      </c>
      <c r="M1" s="75" t="s">
        <v>540</v>
      </c>
      <c r="N1" s="72" t="s">
        <v>733</v>
      </c>
      <c r="O1" s="72" t="s">
        <v>734</v>
      </c>
      <c r="P1" s="72" t="s">
        <v>736</v>
      </c>
      <c r="Q1" s="72" t="s">
        <v>533</v>
      </c>
      <c r="R1" s="72" t="s">
        <v>534</v>
      </c>
      <c r="S1" s="72" t="s">
        <v>542</v>
      </c>
    </row>
    <row r="2" spans="1:19" x14ac:dyDescent="0.35">
      <c r="A2" t="s">
        <v>431</v>
      </c>
      <c r="B2" t="s">
        <v>431</v>
      </c>
      <c r="C2" t="str" cm="1">
        <f t="array" ref="C2">_xll.FDS(B2,"FG_COMPANY_NAME")</f>
        <v>iShares MSCI New Zealand ETF</v>
      </c>
      <c r="D2" t="s">
        <v>197</v>
      </c>
      <c r="E2" t="s">
        <v>449</v>
      </c>
      <c r="F2" t="str" cm="1">
        <f t="array" ref="F2">_xll.FDS(E2,"FG_YIELD_NAME")</f>
        <v>New Zealand Benchmark Bond - 10 Year</v>
      </c>
      <c r="G2">
        <f>VLOOKUP(A2,'LIQIDITY 2'!$A$3:$E$15,5,FALSE)</f>
        <v>4.6685999999999996</v>
      </c>
      <c r="H2" cm="1">
        <f t="array" ref="H2">_xll.FDS(B2,"FG_ROE(0)")</f>
        <v>4.9539161257895001</v>
      </c>
      <c r="I2">
        <f>HLOOKUP(B2,'Index ROE'!$B$1:$N$25,24,FALSE)</f>
        <v>9.8238973987983247</v>
      </c>
      <c r="J2" cm="1">
        <f t="array" ref="J2">_xll.FDS(B2, "FMA_RBICS_REV_CURRENT(30, LOC, ""PORTAGG"")")</f>
        <v>14.3512586842186</v>
      </c>
      <c r="K2" s="74">
        <f>HLOOKUP(B2,'Index earnings'!$B$1:$N$25,25,FALSE)</f>
        <v>-9.3828148339384354E-3</v>
      </c>
      <c r="L2">
        <f>HLOOKUP(A2,'Yearly returns'!$B$1:$N$128,126,FALSE)</f>
        <v>-30.397856000000001</v>
      </c>
      <c r="M2">
        <f t="shared" ref="M2:M10" si="0">I2-G2</f>
        <v>5.155297398798325</v>
      </c>
      <c r="N2" cm="1">
        <f t="array" ref="N2">_xlfn.PERCENTRANK.EXC(_xlfn._xlws.FILTER(M$2:M$14, ISNUMBER(M$2:M$14)),M2)*100</f>
        <v>7.1</v>
      </c>
      <c r="O2" cm="1">
        <f t="array" ref="O2">(1-_xlfn.PERCENTRANK.EXC(_xlfn._xlws.FILTER(J$2:J$14, ISNUMBER(J$2:J$14)),J2))*100</f>
        <v>71.500000000000014</v>
      </c>
      <c r="P2" cm="1">
        <f t="array" ref="P2">_xlfn.PERCENTRANK.EXC(_xlfn._xlws.FILTER(K$2:K$14, ISNUMBER(K$2:K$14)),K2)*100</f>
        <v>7.1</v>
      </c>
      <c r="Q2" cm="1">
        <f t="array" ref="Q2">_xlfn.PERCENTRANK.EXC(_xlfn._xlws.FILTER(L$2:L$14, ISNUMBER(L$2:L$14)),L2)*100</f>
        <v>42.8</v>
      </c>
      <c r="R2">
        <f>N2*Assumption!$F$64 + O2*Assumption!$F$61 + P2*Assumption!$F$62 + Q2*Assumption!$F$63</f>
        <v>32.125</v>
      </c>
      <c r="S2" cm="1">
        <f t="array" ref="S2">_xlfn.PERCENTRANK.EXC(_xlfn._xlws.FILTER(R$2:R$14, ISNUMBER(R$2:R$14)),R2)*100</f>
        <v>21.4</v>
      </c>
    </row>
    <row r="3" spans="1:19" x14ac:dyDescent="0.35">
      <c r="A3" t="s">
        <v>44</v>
      </c>
      <c r="B3" t="s">
        <v>44</v>
      </c>
      <c r="C3" t="str" cm="1">
        <f t="array" ref="C3">_xll.FDS(B3,"FG_COMPANY_NAME")</f>
        <v>iShares MSCI Australia ETF</v>
      </c>
      <c r="D3" t="s">
        <v>113</v>
      </c>
      <c r="E3" t="s">
        <v>138</v>
      </c>
      <c r="F3" t="str" cm="1">
        <f t="array" ref="F3">_xll.FDS(E3,"FG_YIELD_NAME")</f>
        <v>Australia Benchmark Bond - 10 Year</v>
      </c>
      <c r="G3">
        <f>VLOOKUP(A3,'LIQIDITY 2'!$A$3:$E$15,5,FALSE)</f>
        <v>4.3120000000000003</v>
      </c>
      <c r="H3" cm="1">
        <f t="array" ref="H3">_xll.FDS(B3,"FG_ROE(0)")</f>
        <v>12.5591922716914</v>
      </c>
      <c r="I3">
        <f>HLOOKUP(B3,'Index ROE'!$B$1:$N$25,24,FALSE)</f>
        <v>13.020733299173699</v>
      </c>
      <c r="J3" cm="1">
        <f t="array" ref="J3">_xll.FDS(B3, "FMA_RBICS_REV_CURRENT(30, LOC, ""PORTAGG"")")</f>
        <v>41.356925527987201</v>
      </c>
      <c r="K3" s="74">
        <f>HLOOKUP(B3,'Index earnings'!$B$1:$N$25,25,FALSE)</f>
        <v>1.1173841089814562E-2</v>
      </c>
      <c r="L3">
        <f>HLOOKUP(A3,'Yearly returns'!$B$1:$N$128,126,FALSE)</f>
        <v>-28.844785999999999</v>
      </c>
      <c r="M3">
        <f t="shared" si="0"/>
        <v>8.7087332991736979</v>
      </c>
      <c r="N3" cm="1">
        <f t="array" ref="N3">_xlfn.PERCENTRANK.EXC(_xlfn._xlws.FILTER(M$2:M$14, ISNUMBER(M$2:M$14)),M3)*100</f>
        <v>35.699999999999996</v>
      </c>
      <c r="O3" cm="1">
        <f t="array" ref="O3">(1-_xlfn.PERCENTRANK.EXC(_xlfn._xlws.FILTER(J$2:J$14, ISNUMBER(J$2:J$14)),J3))*100</f>
        <v>7.1999999999999957</v>
      </c>
      <c r="P3" cm="1">
        <f t="array" ref="P3">_xlfn.PERCENTRANK.EXC(_xlfn._xlws.FILTER(K$2:K$14, ISNUMBER(K$2:K$14)),K3)*100</f>
        <v>28.499999999999996</v>
      </c>
      <c r="Q3" cm="1">
        <f t="array" ref="Q3">_xlfn.PERCENTRANK.EXC(_xlfn._xlws.FILTER(L$2:L$14, ISNUMBER(L$2:L$14)),L3)*100</f>
        <v>50</v>
      </c>
      <c r="R3">
        <f>N3*Assumption!$F$64 + O3*Assumption!$F$61 + P3*Assumption!$F$62 + Q3*Assumption!$F$63</f>
        <v>30.349999999999998</v>
      </c>
      <c r="S3" cm="1">
        <f t="array" ref="S3">_xlfn.PERCENTRANK.EXC(_xlfn._xlws.FILTER(R$2:R$14, ISNUMBER(R$2:R$14)),R3)*100</f>
        <v>14.2</v>
      </c>
    </row>
    <row r="4" spans="1:19" x14ac:dyDescent="0.35">
      <c r="A4" t="s">
        <v>49</v>
      </c>
      <c r="B4" t="s">
        <v>49</v>
      </c>
      <c r="C4" t="str" cm="1">
        <f t="array" ref="C4">_xll.FDS(B4,"FG_COMPANY_NAME")</f>
        <v>iShares MSCI Canada ETF</v>
      </c>
      <c r="D4" t="s">
        <v>116</v>
      </c>
      <c r="E4" t="s">
        <v>142</v>
      </c>
      <c r="F4" t="str" cm="1">
        <f t="array" ref="F4">_xll.FDS(E4,"FG_YIELD_NAME")</f>
        <v>Canada Benchmark Bond - 10 Year</v>
      </c>
      <c r="G4">
        <f>VLOOKUP(A4,'LIQIDITY 2'!$A$3:$E$15,5,FALSE)</f>
        <v>3.5038</v>
      </c>
      <c r="H4" cm="1">
        <f t="array" ref="H4">_xll.FDS(B4,"FG_ROE(0)")</f>
        <v>11.043096241711</v>
      </c>
      <c r="I4">
        <f>HLOOKUP(B4,'Index ROE'!$B$1:$N$25,24,FALSE)</f>
        <v>12.7516875895064</v>
      </c>
      <c r="J4" cm="1">
        <f t="array" ref="J4">_xll.FDS(B4, "FMA_RBICS_REV_CURRENT(30, LOC, ""PORTAGG"")")</f>
        <v>39.799823557626603</v>
      </c>
      <c r="K4" s="74">
        <f>HLOOKUP(B4,'Index earnings'!$B$1:$N$25,25,FALSE)</f>
        <v>4.0909866878857226E-2</v>
      </c>
      <c r="L4">
        <f>HLOOKUP(A4,'Yearly returns'!$B$1:$N$128,126,FALSE)</f>
        <v>-26.420074</v>
      </c>
      <c r="M4">
        <f t="shared" si="0"/>
        <v>9.2478875895063997</v>
      </c>
      <c r="N4" cm="1">
        <f t="array" ref="N4">_xlfn.PERCENTRANK.EXC(_xlfn._xlws.FILTER(M$2:M$14, ISNUMBER(M$2:M$14)),M4)*100</f>
        <v>42.8</v>
      </c>
      <c r="O4" cm="1">
        <f t="array" ref="O4">(1-_xlfn.PERCENTRANK.EXC(_xlfn._xlws.FILTER(J$2:J$14, ISNUMBER(J$2:J$14)),J4))*100</f>
        <v>14.3</v>
      </c>
      <c r="P4" cm="1">
        <f t="array" ref="P4">_xlfn.PERCENTRANK.EXC(_xlfn._xlws.FILTER(K$2:K$14, ISNUMBER(K$2:K$14)),K4)*100</f>
        <v>71.399999999999991</v>
      </c>
      <c r="Q4" cm="1">
        <f t="array" ref="Q4">_xlfn.PERCENTRANK.EXC(_xlfn._xlws.FILTER(L$2:L$14, ISNUMBER(L$2:L$14)),L4)*100</f>
        <v>71.399999999999991</v>
      </c>
      <c r="R4">
        <f>N4*Assumption!$F$64 + O4*Assumption!$F$61 + P4*Assumption!$F$62 + Q4*Assumption!$F$63</f>
        <v>49.974999999999994</v>
      </c>
      <c r="S4" cm="1">
        <f t="array" ref="S4">_xlfn.PERCENTRANK.EXC(_xlfn._xlws.FILTER(R$2:R$14, ISNUMBER(R$2:R$14)),R4)*100</f>
        <v>64.2</v>
      </c>
    </row>
    <row r="5" spans="1:19" x14ac:dyDescent="0.35">
      <c r="A5" t="s">
        <v>11</v>
      </c>
      <c r="B5" t="s">
        <v>11</v>
      </c>
      <c r="C5" t="str" cm="1">
        <f t="array" ref="C5">_xll.FDS(B5,"FG_COMPANY_NAME")</f>
        <v>iShares MSCI Germany ETF</v>
      </c>
      <c r="D5" t="s">
        <v>102</v>
      </c>
      <c r="E5" t="s">
        <v>19</v>
      </c>
      <c r="F5" t="str" cm="1">
        <f t="array" ref="F5">_xll.FDS(E5,"FG_YIELD_NAME")</f>
        <v>Germany Benchmark Bond - 10 Year</v>
      </c>
      <c r="G5">
        <f>VLOOKUP(A5,'LIQIDITY 2'!$A$3:$E$15,5,FALSE)</f>
        <v>2.4689999999999999</v>
      </c>
      <c r="H5" cm="1">
        <f t="array" ref="H5">_xll.FDS(B5,"FG_ROE(0)")</f>
        <v>9.4829420324200999</v>
      </c>
      <c r="I5">
        <f>HLOOKUP(B5,'Index ROE'!$B$1:$N$25,24,FALSE)</f>
        <v>11.988728308067351</v>
      </c>
      <c r="J5" cm="1">
        <f t="array" ref="J5">_xll.FDS(B5, "FMA_RBICS_REV_CURRENT(30, LOC, ""PORTAGG"")")</f>
        <v>23.435683096826899</v>
      </c>
      <c r="K5" s="74">
        <f>HLOOKUP(B5,'Index earnings'!$B$1:$N$25,25,FALSE)</f>
        <v>2.8327007241510938E-2</v>
      </c>
      <c r="L5">
        <f>HLOOKUP(A5,'Yearly returns'!$B$1:$N$128,126,FALSE)</f>
        <v>-37.066450000000003</v>
      </c>
      <c r="M5">
        <f t="shared" si="0"/>
        <v>9.5197283080673518</v>
      </c>
      <c r="N5" cm="1">
        <f t="array" ref="N5">_xlfn.PERCENTRANK.EXC(_xlfn._xlws.FILTER(M$2:M$14, ISNUMBER(M$2:M$14)),M5)*100</f>
        <v>50</v>
      </c>
      <c r="O5" cm="1">
        <f t="array" ref="O5">(1-_xlfn.PERCENTRANK.EXC(_xlfn._xlws.FILTER(J$2:J$14, ISNUMBER(J$2:J$14)),J5))*100</f>
        <v>42.900000000000006</v>
      </c>
      <c r="P5" cm="1">
        <f t="array" ref="P5">_xlfn.PERCENTRANK.EXC(_xlfn._xlws.FILTER(K$2:K$14, ISNUMBER(K$2:K$14)),K5)*100</f>
        <v>57.099999999999994</v>
      </c>
      <c r="Q5" cm="1">
        <f t="array" ref="Q5">_xlfn.PERCENTRANK.EXC(_xlfn._xlws.FILTER(L$2:L$14, ISNUMBER(L$2:L$14)),L5)*100</f>
        <v>7.1</v>
      </c>
      <c r="R5">
        <f>N5*Assumption!$F$64 + O5*Assumption!$F$61 + P5*Assumption!$F$62 + Q5*Assumption!$F$63</f>
        <v>39.274999999999999</v>
      </c>
      <c r="S5" cm="1">
        <f t="array" ref="S5">_xlfn.PERCENTRANK.EXC(_xlfn._xlws.FILTER(R$2:R$14, ISNUMBER(R$2:R$14)),R5)*100</f>
        <v>28.499999999999996</v>
      </c>
    </row>
    <row r="6" spans="1:19" x14ac:dyDescent="0.35">
      <c r="A6" t="s">
        <v>46</v>
      </c>
      <c r="B6" t="s">
        <v>46</v>
      </c>
      <c r="C6" t="str" cm="1">
        <f t="array" ref="C6">_xll.FDS(B6,"FG_COMPANY_NAME")</f>
        <v>iShares MSCI Japan ETF</v>
      </c>
      <c r="D6" t="s">
        <v>114</v>
      </c>
      <c r="E6" t="s">
        <v>139</v>
      </c>
      <c r="F6" t="str" cm="1">
        <f t="array" ref="F6">_xll.FDS(E6,"FG_YIELD_NAME")</f>
        <v>Japan Benchmark Bond - 10 Year</v>
      </c>
      <c r="G6">
        <f>VLOOKUP(A6,'LIQIDITY 2'!$A$3:$E$15,5,FALSE)</f>
        <v>1.0631999999999999</v>
      </c>
      <c r="H6" cm="1">
        <f t="array" ref="H6">_xll.FDS(B6,"FG_ROE(0)")</f>
        <v>9.7592812093646693</v>
      </c>
      <c r="I6">
        <f>HLOOKUP(B6,'Index ROE'!$B$1:$N$25,24,FALSE)</f>
        <v>8.994618118763011</v>
      </c>
      <c r="J6" cm="1">
        <f t="array" ref="J6">_xll.FDS(B6, "FMA_RBICS_REV_CURRENT(30, LOC, ""PORTAGG"")")</f>
        <v>18.8758256480555</v>
      </c>
      <c r="K6" s="74">
        <f>HLOOKUP(B6,'Index earnings'!$B$1:$N$25,25,FALSE)</f>
        <v>2.4109040329629794E-2</v>
      </c>
      <c r="L6">
        <f>HLOOKUP(A6,'Yearly returns'!$B$1:$N$128,126,FALSE)</f>
        <v>-28.349287</v>
      </c>
      <c r="M6">
        <f t="shared" si="0"/>
        <v>7.9314181187630108</v>
      </c>
      <c r="N6" cm="1">
        <f t="array" ref="N6">_xlfn.PERCENTRANK.EXC(_xlfn._xlws.FILTER(M$2:M$14, ISNUMBER(M$2:M$14)),M6)*100</f>
        <v>28.499999999999996</v>
      </c>
      <c r="O6" cm="1">
        <f t="array" ref="O6">(1-_xlfn.PERCENTRANK.EXC(_xlfn._xlws.FILTER(J$2:J$14, ISNUMBER(J$2:J$14)),J6))*100</f>
        <v>57.2</v>
      </c>
      <c r="P6" cm="1">
        <f t="array" ref="P6">_xlfn.PERCENTRANK.EXC(_xlfn._xlws.FILTER(K$2:K$14, ISNUMBER(K$2:K$14)),K6)*100</f>
        <v>42.8</v>
      </c>
      <c r="Q6" cm="1">
        <f t="array" ref="Q6">_xlfn.PERCENTRANK.EXC(_xlfn._xlws.FILTER(L$2:L$14, ISNUMBER(L$2:L$14)),L6)*100</f>
        <v>57.099999999999994</v>
      </c>
      <c r="R6">
        <f>N6*Assumption!$F$64 + O6*Assumption!$F$61 + P6*Assumption!$F$62 + Q6*Assumption!$F$63</f>
        <v>46.4</v>
      </c>
      <c r="S6" cm="1">
        <f t="array" ref="S6">_xlfn.PERCENTRANK.EXC(_xlfn._xlws.FILTER(R$2:R$14, ISNUMBER(R$2:R$14)),R6)*100</f>
        <v>50</v>
      </c>
    </row>
    <row r="7" spans="1:19" x14ac:dyDescent="0.35">
      <c r="A7" t="s">
        <v>42</v>
      </c>
      <c r="B7" t="s">
        <v>42</v>
      </c>
      <c r="C7" t="str" cm="1">
        <f t="array" ref="C7">_xll.FDS(B7,"FG_COMPANY_NAME")</f>
        <v>iShares MSCI Switzerland ETF</v>
      </c>
      <c r="D7" t="s">
        <v>110</v>
      </c>
      <c r="E7" t="s">
        <v>135</v>
      </c>
      <c r="F7" t="str" cm="1">
        <f t="array" ref="F7">_xll.FDS(E7,"FG_YIELD_NAME")</f>
        <v>Treasury - Switzerland Benchmark Bond 10Y</v>
      </c>
      <c r="G7">
        <f>VLOOKUP(A7,'LIQIDITY 2'!$A$3:$E$15,5,FALSE)</f>
        <v>0.53900000000000003</v>
      </c>
      <c r="H7" cm="1">
        <f t="array" ref="H7">_xll.FDS(B7,"FG_ROE(0)")</f>
        <v>23.9517133163178</v>
      </c>
      <c r="I7">
        <f>HLOOKUP(B7,'Index ROE'!$B$1:$N$25,24,FALSE)</f>
        <v>15.55096443559315</v>
      </c>
      <c r="J7" cm="1">
        <f t="array" ref="J7">_xll.FDS(B7, "FMA_RBICS_REV_CURRENT(30, LOC, ""PORTAGG"")")</f>
        <v>18.424673270128999</v>
      </c>
      <c r="K7" s="74">
        <f>HLOOKUP(B7,'Index earnings'!$B$1:$N$25,25,FALSE)</f>
        <v>4.6608631192781802E-2</v>
      </c>
      <c r="L7">
        <f>HLOOKUP(A7,'Yearly returns'!$B$1:$N$128,126,FALSE)</f>
        <v>-19.774532000000001</v>
      </c>
      <c r="M7">
        <f t="shared" si="0"/>
        <v>15.01196443559315</v>
      </c>
      <c r="N7" cm="1">
        <f t="array" ref="N7">_xlfn.PERCENTRANK.EXC(_xlfn._xlws.FILTER(M$2:M$14, ISNUMBER(M$2:M$14)),M7)*100</f>
        <v>85.7</v>
      </c>
      <c r="O7" cm="1">
        <f t="array" ref="O7">(1-_xlfn.PERCENTRANK.EXC(_xlfn._xlws.FILTER(J$2:J$14, ISNUMBER(J$2:J$14)),J7))*100</f>
        <v>64.3</v>
      </c>
      <c r="P7" cm="1">
        <f t="array" ref="P7">_xlfn.PERCENTRANK.EXC(_xlfn._xlws.FILTER(K$2:K$14, ISNUMBER(K$2:K$14)),K7)*100</f>
        <v>78.5</v>
      </c>
      <c r="Q7" cm="1">
        <f t="array" ref="Q7">_xlfn.PERCENTRANK.EXC(_xlfn._xlws.FILTER(L$2:L$14, ISNUMBER(L$2:L$14)),L7)*100</f>
        <v>85.7</v>
      </c>
      <c r="R7">
        <f>N7*Assumption!$F$64 + O7*Assumption!$F$61 + P7*Assumption!$F$62 + Q7*Assumption!$F$63</f>
        <v>78.55</v>
      </c>
      <c r="S7" cm="1">
        <f t="array" ref="S7">_xlfn.PERCENTRANK.EXC(_xlfn._xlws.FILTER(R$2:R$14, ISNUMBER(R$2:R$14)),R7)*100</f>
        <v>85.7</v>
      </c>
    </row>
    <row r="8" spans="1:19" x14ac:dyDescent="0.35">
      <c r="A8" t="s">
        <v>48</v>
      </c>
      <c r="B8" t="s">
        <v>48</v>
      </c>
      <c r="C8" t="str" cm="1">
        <f t="array" ref="C8">_xll.FDS(B8,"FG_COMPANY_NAME")</f>
        <v>iShares MSCI United Kingdom ETF</v>
      </c>
      <c r="D8" t="s">
        <v>115</v>
      </c>
      <c r="E8" t="s">
        <v>141</v>
      </c>
      <c r="F8" t="str" cm="1">
        <f t="array" ref="F8">_xll.FDS(E8,"FG_YIELD_NAME")</f>
        <v>United Kingdom Benchmark Bond - 10 Year</v>
      </c>
      <c r="G8">
        <f>VLOOKUP(A8,'LIQIDITY 2'!$A$3:$E$15,5,FALSE)</f>
        <v>4.1470000000000002</v>
      </c>
      <c r="H8" cm="1">
        <f t="array" ref="H8">_xll.FDS(B8,"FG_ROE(0)")</f>
        <v>14.4351538625311</v>
      </c>
      <c r="I8">
        <f>HLOOKUP(B8,'Index ROE'!$B$1:$N$25,24,FALSE)</f>
        <v>14.561964916400001</v>
      </c>
      <c r="J8" cm="1">
        <f t="array" ref="J8">_xll.FDS(B8, "FMA_RBICS_REV_CURRENT(30, LOC, ""PORTAGG"")")</f>
        <v>19.389880339308601</v>
      </c>
      <c r="K8" s="74">
        <f>HLOOKUP(B8,'Index earnings'!$B$1:$N$25,25,FALSE)</f>
        <v>3.7127108177381629E-3</v>
      </c>
      <c r="L8">
        <f>HLOOKUP(A8,'Yearly returns'!$B$1:$N$128,126,FALSE)</f>
        <v>-26.490122</v>
      </c>
      <c r="M8">
        <f t="shared" si="0"/>
        <v>10.414964916400001</v>
      </c>
      <c r="N8" cm="1">
        <f t="array" ref="N8">_xlfn.PERCENTRANK.EXC(_xlfn._xlws.FILTER(M$2:M$14, ISNUMBER(M$2:M$14)),M8)*100</f>
        <v>64.2</v>
      </c>
      <c r="O8" cm="1">
        <f t="array" ref="O8">(1-_xlfn.PERCENTRANK.EXC(_xlfn._xlws.FILTER(J$2:J$14, ISNUMBER(J$2:J$14)),J8))*100</f>
        <v>50</v>
      </c>
      <c r="P8" cm="1">
        <f t="array" ref="P8">_xlfn.PERCENTRANK.EXC(_xlfn._xlws.FILTER(K$2:K$14, ISNUMBER(K$2:K$14)),K8)*100</f>
        <v>14.2</v>
      </c>
      <c r="Q8" cm="1">
        <f t="array" ref="Q8">_xlfn.PERCENTRANK.EXC(_xlfn._xlws.FILTER(L$2:L$14, ISNUMBER(L$2:L$14)),L8)*100</f>
        <v>64.2</v>
      </c>
      <c r="R8">
        <f>N8*Assumption!$F$64 + O8*Assumption!$F$61 + P8*Assumption!$F$62 + Q8*Assumption!$F$63</f>
        <v>48.150000000000006</v>
      </c>
      <c r="S8" cm="1">
        <f t="array" ref="S8">_xlfn.PERCENTRANK.EXC(_xlfn._xlws.FILTER(R$2:R$14, ISNUMBER(R$2:R$14)),R8)*100</f>
        <v>57.099999999999994</v>
      </c>
    </row>
    <row r="9" spans="1:19" x14ac:dyDescent="0.35">
      <c r="A9" t="s">
        <v>51</v>
      </c>
      <c r="B9" t="s">
        <v>51</v>
      </c>
      <c r="C9" t="str" cm="1">
        <f t="array" ref="C9">_xll.FDS(B9,"FG_COMPANY_NAME")</f>
        <v>Invesco QQQ Trust Series I</v>
      </c>
      <c r="D9" t="s">
        <v>119</v>
      </c>
      <c r="E9" t="s">
        <v>14</v>
      </c>
      <c r="F9" t="str" cm="1">
        <f t="array" ref="F9">_xll.FDS(E9,"FG_YIELD_NAME")</f>
        <v>US Benchmark Bond - 10 Year</v>
      </c>
      <c r="G9">
        <f>VLOOKUP(A9,'LIQIDITY 2'!$A$3:$E$15,5,FALSE)</f>
        <v>4.3704999999999998</v>
      </c>
      <c r="H9" cm="1">
        <f t="array" ref="H9">_xll.FDS(B9,"FG_ROE(0)")</f>
        <v>22.573546814819299</v>
      </c>
      <c r="I9">
        <f>HLOOKUP(B9,'Index ROE'!$B$1:$N$25,24,FALSE)</f>
        <v>21.036882269896502</v>
      </c>
      <c r="J9" cm="1">
        <f t="array" ref="J9">_xll.FDS(B9, "FMA_RBICS_REV_CURRENT(30, LOC, ""PORTAGG"")")</f>
        <v>0.85398706926075696</v>
      </c>
      <c r="K9" s="74">
        <f>HLOOKUP(B9,'Index earnings'!$B$1:$N$25,25,FALSE)</f>
        <v>0.12988959960167512</v>
      </c>
      <c r="L9">
        <f>HLOOKUP(A9,'Yearly returns'!$B$1:$N$128,126,FALSE)</f>
        <v>-34.759884</v>
      </c>
      <c r="M9">
        <f t="shared" si="0"/>
        <v>16.666382269896502</v>
      </c>
      <c r="N9" cm="1">
        <f t="array" ref="N9">_xlfn.PERCENTRANK.EXC(_xlfn._xlws.FILTER(M$2:M$14, ISNUMBER(M$2:M$14)),M9)*100</f>
        <v>92.800000000000011</v>
      </c>
      <c r="O9" cm="1">
        <f t="array" ref="O9">(1-_xlfn.PERCENTRANK.EXC(_xlfn._xlws.FILTER(J$2:J$14, ISNUMBER(J$2:J$14)),J9))*100</f>
        <v>92.9</v>
      </c>
      <c r="P9" cm="1">
        <f t="array" ref="P9">_xlfn.PERCENTRANK.EXC(_xlfn._xlws.FILTER(K$2:K$14, ISNUMBER(K$2:K$14)),K9)*100</f>
        <v>92.800000000000011</v>
      </c>
      <c r="Q9" cm="1">
        <f t="array" ref="Q9">_xlfn.PERCENTRANK.EXC(_xlfn._xlws.FILTER(L$2:L$14, ISNUMBER(L$2:L$14)),L9)*100</f>
        <v>28.499999999999996</v>
      </c>
      <c r="R9">
        <f>N9*Assumption!$F$64 + O9*Assumption!$F$61 + P9*Assumption!$F$62 + Q9*Assumption!$F$63</f>
        <v>76.75</v>
      </c>
      <c r="S9" cm="1">
        <f t="array" ref="S9">_xlfn.PERCENTRANK.EXC(_xlfn._xlws.FILTER(R$2:R$14, ISNUMBER(R$2:R$14)),R9)*100</f>
        <v>78.5</v>
      </c>
    </row>
    <row r="10" spans="1:19" x14ac:dyDescent="0.35">
      <c r="A10" t="s">
        <v>1</v>
      </c>
      <c r="B10" t="s">
        <v>1</v>
      </c>
      <c r="C10" t="str" cm="1">
        <f t="array" ref="C10">_xll.FDS(B10,"FG_COMPANY_NAME")</f>
        <v>SPDR S&amp;P 500 ETF Trust</v>
      </c>
      <c r="D10" t="s">
        <v>119</v>
      </c>
      <c r="E10" t="s">
        <v>14</v>
      </c>
      <c r="F10" t="str" cm="1">
        <f t="array" ref="F10">_xll.FDS(E10,"FG_YIELD_NAME")</f>
        <v>US Benchmark Bond - 10 Year</v>
      </c>
      <c r="G10">
        <f>VLOOKUP(A10,'LIQIDITY 2'!$A$3:$E$15,5,FALSE)</f>
        <v>4.3704999999999998</v>
      </c>
      <c r="H10" cm="1">
        <f t="array" ref="H10">_xll.FDS(B10,"FG_ROE(0)")</f>
        <v>18.536922267852201</v>
      </c>
      <c r="I10">
        <f>HLOOKUP(B10,'Index ROE'!$B$1:$N$25,24,FALSE)</f>
        <v>16.391058174766847</v>
      </c>
      <c r="J10" cm="1">
        <f t="array" ref="J10">_xll.FDS(B10, "FMA_RBICS_REV_CURRENT(30, LOC, ""PORTAGG"")")</f>
        <v>12.3968672783065</v>
      </c>
      <c r="K10" s="74">
        <f>HLOOKUP(B10,'Index earnings'!$B$1:$N$25,25,FALSE)</f>
        <v>5.9884631691867751E-2</v>
      </c>
      <c r="L10">
        <f>HLOOKUP(A10,'Yearly returns'!$B$1:$N$128,126,FALSE)</f>
        <v>-19.729084</v>
      </c>
      <c r="M10">
        <f t="shared" si="0"/>
        <v>12.020558174766848</v>
      </c>
      <c r="N10" cm="1">
        <f t="array" ref="N10">_xlfn.PERCENTRANK.EXC(_xlfn._xlws.FILTER(M$2:M$14, ISNUMBER(M$2:M$14)),M10)*100</f>
        <v>71.399999999999991</v>
      </c>
      <c r="O10" cm="1">
        <f t="array" ref="O10">(1-_xlfn.PERCENTRANK.EXC(_xlfn._xlws.FILTER(J$2:J$14, ISNUMBER(J$2:J$14)),J10))*100</f>
        <v>78.600000000000009</v>
      </c>
      <c r="P10" cm="1">
        <f t="array" ref="P10">_xlfn.PERCENTRANK.EXC(_xlfn._xlws.FILTER(K$2:K$14, ISNUMBER(K$2:K$14)),K10)*100</f>
        <v>85.7</v>
      </c>
      <c r="Q10" cm="1">
        <f t="array" ref="Q10">_xlfn.PERCENTRANK.EXC(_xlfn._xlws.FILTER(L$2:L$14, ISNUMBER(L$2:L$14)),L10)*100</f>
        <v>92.800000000000011</v>
      </c>
      <c r="R10">
        <f>N10*Assumption!$F$64 + O10*Assumption!$F$61 + P10*Assumption!$F$62 + Q10*Assumption!$F$63</f>
        <v>82.125</v>
      </c>
      <c r="S10" cm="1">
        <f t="array" ref="S10">_xlfn.PERCENTRANK.EXC(_xlfn._xlws.FILTER(R$2:R$14, ISNUMBER(R$2:R$14)),R10)*100</f>
        <v>92.800000000000011</v>
      </c>
    </row>
    <row r="11" spans="1:19" x14ac:dyDescent="0.35">
      <c r="A11" t="s">
        <v>865</v>
      </c>
      <c r="B11" t="s">
        <v>865</v>
      </c>
      <c r="C11" t="str" cm="1">
        <f t="array" ref="C11">_xll.FDS(B11,"FG_COMPANY_NAME")</f>
        <v>iShares MSCI France ETF</v>
      </c>
      <c r="D11" t="s">
        <v>106</v>
      </c>
      <c r="E11" t="s">
        <v>133</v>
      </c>
      <c r="F11" t="str" cm="1">
        <f t="array" ref="F11">_xll.FDS(E11,"FG_YIELD_NAME")</f>
        <v>France Benchmark Bond - 10 Year</v>
      </c>
      <c r="G11">
        <f>VLOOKUP(A11,'LIQIDITY 2'!$A$3:$E$15,5,FALSE)</f>
        <v>3.2570000000000001</v>
      </c>
      <c r="H11" cm="1">
        <f t="array" ref="H11">_xll.FDS(B11,"FG_ROE(0)")</f>
        <v>12.775310230987101</v>
      </c>
      <c r="I11">
        <f>HLOOKUP(B11,'Index ROE'!$B$1:$N$25,24,FALSE)</f>
        <v>11.16089938202855</v>
      </c>
      <c r="J11" cm="1">
        <f t="array" ref="J11">_xll.FDS(B11, "FMA_RBICS_REV_CURRENT(30, LOC, ""PORTAGG"")")</f>
        <v>11.8223044537398</v>
      </c>
      <c r="K11" s="74">
        <f>HLOOKUP(B11,'Index earnings'!$B$1:$N$25,25,FALSE)</f>
        <v>1.8533351259146347E-2</v>
      </c>
      <c r="L11">
        <f>HLOOKUP(A11,'Yearly returns'!$B$1:$N$128,126,FALSE)</f>
        <v>-23.603110999999998</v>
      </c>
      <c r="M11">
        <f t="shared" ref="M11:M14" si="1">I11-G11</f>
        <v>7.9038993820285501</v>
      </c>
      <c r="N11" cm="1">
        <f t="array" ref="N11">_xlfn.PERCENTRANK.EXC(_xlfn._xlws.FILTER(M$2:M$14, ISNUMBER(M$2:M$14)),M11)*100</f>
        <v>21.4</v>
      </c>
      <c r="O11" cm="1">
        <f t="array" ref="O11">(1-_xlfn.PERCENTRANK.EXC(_xlfn._xlws.FILTER(J$2:J$14, ISNUMBER(J$2:J$14)),J11))*100</f>
        <v>85.8</v>
      </c>
      <c r="P11" cm="1">
        <f t="array" ref="P11">_xlfn.PERCENTRANK.EXC(_xlfn._xlws.FILTER(K$2:K$14, ISNUMBER(K$2:K$14)),K11)*100</f>
        <v>35.699999999999996</v>
      </c>
      <c r="Q11" cm="1">
        <f t="array" ref="Q11">_xlfn.PERCENTRANK.EXC(_xlfn._xlws.FILTER(L$2:L$14, ISNUMBER(L$2:L$14)),L11)*100</f>
        <v>78.5</v>
      </c>
      <c r="R11">
        <f>N11*Assumption!$F$64 + O11*Assumption!$F$61 + P11*Assumption!$F$62 + Q11*Assumption!$F$63</f>
        <v>55.349999999999994</v>
      </c>
      <c r="S11" cm="1">
        <f t="array" ref="S11">_xlfn.PERCENTRANK.EXC(_xlfn._xlws.FILTER(R$2:R$14, ISNUMBER(R$2:R$14)),R11)*100</f>
        <v>71.399999999999991</v>
      </c>
    </row>
    <row r="12" spans="1:19" x14ac:dyDescent="0.35">
      <c r="A12" t="s">
        <v>867</v>
      </c>
      <c r="B12" t="s">
        <v>867</v>
      </c>
      <c r="C12" t="str" cm="1">
        <f t="array" ref="C12">_xll.FDS(B12,"FG_COMPANY_NAME")</f>
        <v>iShares MSCI Netherlands ETF</v>
      </c>
      <c r="D12" t="s">
        <v>875</v>
      </c>
      <c r="E12" t="s">
        <v>877</v>
      </c>
      <c r="F12" t="str" cm="1">
        <f t="array" ref="F12">_xll.FDS(E12,"FG_YIELD_NAME")</f>
        <v>Netherlands Benchmark Bond - 10 Year</v>
      </c>
      <c r="G12">
        <f>VLOOKUP(A12,'LIQIDITY 2'!$A$3:$E$15,5,FALSE)</f>
        <v>2.8149999999999999</v>
      </c>
      <c r="H12" cm="1">
        <f t="array" ref="H12">_xll.FDS(B12,"FG_ROE(0)")</f>
        <v>10.3799894611246</v>
      </c>
      <c r="I12">
        <f>HLOOKUP(B12,'Index ROE'!$B$1:$N$25,24,FALSE)</f>
        <v>13.04966082823935</v>
      </c>
      <c r="J12" cm="1">
        <f t="array" ref="J12">_xll.FDS(B12, "FMA_RBICS_REV_CURRENT(30, LOC, ""PORTAGG"")")</f>
        <v>25.333204846631201</v>
      </c>
      <c r="K12" s="74">
        <f>HLOOKUP(B12,'Index earnings'!$B$1:$N$25,25,FALSE)</f>
        <v>3.4801405293916954E-2</v>
      </c>
      <c r="L12">
        <f>HLOOKUP(A12,'Yearly returns'!$B$1:$N$128,126,FALSE)</f>
        <v>-36.805472999999999</v>
      </c>
      <c r="M12">
        <f t="shared" si="1"/>
        <v>10.234660828239351</v>
      </c>
      <c r="N12" cm="1">
        <f t="array" ref="N12">_xlfn.PERCENTRANK.EXC(_xlfn._xlws.FILTER(M$2:M$14, ISNUMBER(M$2:M$14)),M12)*100</f>
        <v>57.099999999999994</v>
      </c>
      <c r="O12" cm="1">
        <f t="array" ref="O12">(1-_xlfn.PERCENTRANK.EXC(_xlfn._xlws.FILTER(J$2:J$14, ISNUMBER(J$2:J$14)),J12))*100</f>
        <v>35.799999999999997</v>
      </c>
      <c r="P12" cm="1">
        <f t="array" ref="P12">_xlfn.PERCENTRANK.EXC(_xlfn._xlws.FILTER(K$2:K$14, ISNUMBER(K$2:K$14)),K12)*100</f>
        <v>64.2</v>
      </c>
      <c r="Q12" cm="1">
        <f t="array" ref="Q12">_xlfn.PERCENTRANK.EXC(_xlfn._xlws.FILTER(L$2:L$14, ISNUMBER(L$2:L$14)),L12)*100</f>
        <v>14.2</v>
      </c>
      <c r="R12">
        <f>N12*Assumption!$F$64 + O12*Assumption!$F$61 + P12*Assumption!$F$62 + Q12*Assumption!$F$63</f>
        <v>42.824999999999996</v>
      </c>
      <c r="S12" cm="1">
        <f t="array" ref="S12">_xlfn.PERCENTRANK.EXC(_xlfn._xlws.FILTER(R$2:R$14, ISNUMBER(R$2:R$14)),R12)*100</f>
        <v>35.699999999999996</v>
      </c>
    </row>
    <row r="13" spans="1:19" x14ac:dyDescent="0.35">
      <c r="A13" t="s">
        <v>864</v>
      </c>
      <c r="B13" t="s">
        <v>864</v>
      </c>
      <c r="C13" t="str" cm="1">
        <f t="array" ref="C13">_xll.FDS(B13,"FG_COMPANY_NAME")</f>
        <v>iShares MSCI Sweden ETF</v>
      </c>
      <c r="D13" t="s">
        <v>272</v>
      </c>
      <c r="E13" t="s">
        <v>878</v>
      </c>
      <c r="F13" t="str" cm="1">
        <f t="array" ref="F13">_xll.FDS(E13,"FG_YIELD_NAME")</f>
        <v>Sweden Benchmark Bond - 10 Year</v>
      </c>
      <c r="G13">
        <f>VLOOKUP(A13,'LIQIDITY 2'!$A$3:$E$15,5,FALSE)</f>
        <v>2.2210000000000001</v>
      </c>
      <c r="H13" cm="1">
        <f t="array" ref="H13">_xll.FDS(B13,"FG_ROE(0)")</f>
        <v>16.802257702053101</v>
      </c>
      <c r="I13">
        <f>HLOOKUP(B13,'Index ROE'!$B$1:$N$25,24,FALSE)</f>
        <v>14.4674786896177</v>
      </c>
      <c r="J13" cm="1">
        <f t="array" ref="J13">_xll.FDS(B13, "FMA_RBICS_REV_CURRENT(30, LOC, ""PORTAGG"")")</f>
        <v>26.156690037056599</v>
      </c>
      <c r="K13" s="74">
        <f>HLOOKUP(B13,'Index earnings'!$B$1:$N$25,25,FALSE)</f>
        <v>2.4305006375947347E-2</v>
      </c>
      <c r="L13">
        <f>HLOOKUP(A13,'Yearly returns'!$B$1:$N$128,126,FALSE)</f>
        <v>-35.136436000000003</v>
      </c>
      <c r="M13">
        <f t="shared" si="1"/>
        <v>12.2464786896177</v>
      </c>
      <c r="N13" cm="1">
        <f t="array" ref="N13">_xlfn.PERCENTRANK.EXC(_xlfn._xlws.FILTER(M$2:M$14, ISNUMBER(M$2:M$14)),M13)*100</f>
        <v>78.5</v>
      </c>
      <c r="O13" cm="1">
        <f t="array" ref="O13">(1-_xlfn.PERCENTRANK.EXC(_xlfn._xlws.FILTER(J$2:J$14, ISNUMBER(J$2:J$14)),J13))*100</f>
        <v>28.6</v>
      </c>
      <c r="P13" cm="1">
        <f t="array" ref="P13">_xlfn.PERCENTRANK.EXC(_xlfn._xlws.FILTER(K$2:K$14, ISNUMBER(K$2:K$14)),K13)*100</f>
        <v>50</v>
      </c>
      <c r="Q13" cm="1">
        <f t="array" ref="Q13">_xlfn.PERCENTRANK.EXC(_xlfn._xlws.FILTER(L$2:L$14, ISNUMBER(L$2:L$14)),L13)*100</f>
        <v>21.4</v>
      </c>
      <c r="R13">
        <f>N13*Assumption!$F$64 + O13*Assumption!$F$61 + P13*Assumption!$F$62 + Q13*Assumption!$F$63</f>
        <v>44.625</v>
      </c>
      <c r="S13" cm="1">
        <f t="array" ref="S13">_xlfn.PERCENTRANK.EXC(_xlfn._xlws.FILTER(R$2:R$14, ISNUMBER(R$2:R$14)),R13)*100</f>
        <v>42.8</v>
      </c>
    </row>
    <row r="14" spans="1:19" x14ac:dyDescent="0.35">
      <c r="A14" t="s">
        <v>866</v>
      </c>
      <c r="B14" t="s">
        <v>866</v>
      </c>
      <c r="C14" t="str" cm="1">
        <f t="array" ref="C14">_xll.FDS(B14,"FG_COMPANY_NAME")</f>
        <v>iShares MSCI Italy ETF</v>
      </c>
      <c r="D14" t="s">
        <v>876</v>
      </c>
      <c r="E14" t="s">
        <v>879</v>
      </c>
      <c r="F14" t="str" cm="1">
        <f t="array" ref="F14">_xll.FDS(E14,"FG_YIELD_NAME")</f>
        <v>Italy Benchmark Bond - 10 Year</v>
      </c>
      <c r="G14">
        <f>VLOOKUP(A14,'LIQIDITY 2'!$A$3:$E$15,5,FALSE)</f>
        <v>4.0650000000000004</v>
      </c>
      <c r="H14" cm="1">
        <f t="array" ref="H14">_xll.FDS(B14,"FG_ROE(0)")</f>
        <v>13.9277356553016</v>
      </c>
      <c r="I14">
        <f>HLOOKUP(B14,'Index ROE'!$B$1:$N$25,24,FALSE)</f>
        <v>9.6445775045501065</v>
      </c>
      <c r="J14" cm="1">
        <f t="array" ref="J14">_xll.FDS(B14, "FMA_RBICS_REV_CURRENT(30, LOC, ""PORTAGG"")")</f>
        <v>37.3007280733583</v>
      </c>
      <c r="K14" s="74">
        <f>HLOOKUP(B14,'Index earnings'!$B$1:$N$25,25,FALSE)</f>
        <v>9.2743946932130061E-3</v>
      </c>
      <c r="L14">
        <f>HLOOKUP(A14,'Yearly returns'!$B$1:$N$128,126,FALSE)</f>
        <v>-32.011189999999999</v>
      </c>
      <c r="M14">
        <f t="shared" si="1"/>
        <v>5.5795775045501061</v>
      </c>
      <c r="N14" cm="1">
        <f t="array" ref="N14">_xlfn.PERCENTRANK.EXC(_xlfn._xlws.FILTER(M$2:M$14, ISNUMBER(M$2:M$14)),M14)*100</f>
        <v>14.2</v>
      </c>
      <c r="O14" cm="1">
        <f t="array" ref="O14">(1-_xlfn.PERCENTRANK.EXC(_xlfn._xlws.FILTER(J$2:J$14, ISNUMBER(J$2:J$14)),J14))*100</f>
        <v>21.499999999999996</v>
      </c>
      <c r="P14" cm="1">
        <f t="array" ref="P14">_xlfn.PERCENTRANK.EXC(_xlfn._xlws.FILTER(K$2:K$14, ISNUMBER(K$2:K$14)),K14)*100</f>
        <v>21.4</v>
      </c>
      <c r="Q14" cm="1">
        <f t="array" ref="Q14">_xlfn.PERCENTRANK.EXC(_xlfn._xlws.FILTER(L$2:L$14, ISNUMBER(L$2:L$14)),L14)*100</f>
        <v>35.699999999999996</v>
      </c>
      <c r="R14">
        <f>N14*Assumption!$F$64 + O14*Assumption!$F$61 + P14*Assumption!$F$62 + Q14*Assumption!$F$63</f>
        <v>23.199999999999996</v>
      </c>
      <c r="S14" cm="1">
        <f t="array" ref="S14">_xlfn.PERCENTRANK.EXC(_xlfn._xlws.FILTER(R$2:R$14, ISNUMBER(R$2:R$14)),R14)*100</f>
        <v>7.1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57"/>
  <sheetViews>
    <sheetView zoomScale="95" zoomScaleNormal="130" workbookViewId="0">
      <pane xSplit="1" topLeftCell="E1" activePane="topRight" state="frozen"/>
      <selection pane="topRight" activeCell="S15" sqref="S1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5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12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7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49" t="s">
        <v>861</v>
      </c>
      <c r="E1" s="72" t="s">
        <v>862</v>
      </c>
      <c r="F1" s="72" t="s">
        <v>16</v>
      </c>
      <c r="G1" s="72" t="s">
        <v>66</v>
      </c>
      <c r="H1" s="72" t="s">
        <v>62</v>
      </c>
      <c r="I1" s="72" t="s">
        <v>69</v>
      </c>
      <c r="J1" s="72" t="s">
        <v>77</v>
      </c>
      <c r="K1" t="s">
        <v>68</v>
      </c>
      <c r="L1" t="s">
        <v>389</v>
      </c>
      <c r="M1" t="s">
        <v>390</v>
      </c>
      <c r="N1" t="s">
        <v>908</v>
      </c>
      <c r="O1" t="s">
        <v>4</v>
      </c>
      <c r="P1" t="s">
        <v>5</v>
      </c>
      <c r="Q1" t="s">
        <v>9</v>
      </c>
      <c r="R1" t="s">
        <v>501</v>
      </c>
      <c r="S1" t="s">
        <v>72</v>
      </c>
      <c r="T1" t="s">
        <v>506</v>
      </c>
      <c r="U1" t="s">
        <v>507</v>
      </c>
      <c r="V1" t="s">
        <v>502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391</v>
      </c>
      <c r="AD1" t="s">
        <v>392</v>
      </c>
      <c r="AE1" s="72" t="s">
        <v>863</v>
      </c>
      <c r="AF1" s="72" t="s">
        <v>765</v>
      </c>
      <c r="AG1" s="72" t="s">
        <v>909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00">
        <f>Assumption!F24</f>
        <v>0</v>
      </c>
      <c r="Z2" s="22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431</v>
      </c>
      <c r="B3" t="str" cm="1">
        <f t="array" ref="B3">_xll.FDS(A3,"FG_COMPANY_NAME")</f>
        <v>iShares MSCI New Zealand ETF</v>
      </c>
      <c r="C3" t="s">
        <v>431</v>
      </c>
      <c r="D3" s="142">
        <f>VLOOKUP(C3,'Market Capitalisation'!$C$2:$G$14,5,FALSE)</f>
        <v>91336.335999999996</v>
      </c>
      <c r="E3" cm="1">
        <f t="array" ref="E3">_xll.FDS(C3,"FMA_COS_UP(""EPS"",""1M"",+1,0,,,""PORTAGG"",""MEANR"")")</f>
        <v>6</v>
      </c>
      <c r="F3" cm="1">
        <f t="array" ref="F3">_xll.FDS(C3,"FMA_COS_DOWN(""EPS"",""1M"",+1,0,,,""PORTAGG"",""MEANR"")")</f>
        <v>7</v>
      </c>
      <c r="G3" cm="1">
        <f t="array" ref="G3">_xll.FDS(A3,"SIZE(FG_CONSTITUENTS)")</f>
        <v>14</v>
      </c>
      <c r="H3" s="9">
        <f t="shared" ref="H3:H11" si="0">E3/$G3</f>
        <v>0.42857142857142855</v>
      </c>
      <c r="I3" s="9">
        <f t="shared" ref="I3:I11" si="1">F3/$G3</f>
        <v>0.5</v>
      </c>
      <c r="J3" s="9">
        <f t="shared" ref="J3:J11" si="2">H3-I3</f>
        <v>-7.1428571428571452E-2</v>
      </c>
      <c r="K3" s="5" cm="1">
        <f t="array" ref="K3">_xll.FDS(A3,"FMA_PCT_ABOVE_MAVG(200,0,,,,""PORTAGG"")")/100</f>
        <v>0.35714285714285698</v>
      </c>
      <c r="L3" s="41" cm="1">
        <f t="array" ref="L3">_xll.FDSB(A3,"PERCENT_CHANGE(FMA_EPS(+1,0,,,,""PORTAGG"",""MEAN""),FMA_EPS(+1,-1AM,,,,""PORTAGG"",""MEAN""))")</f>
        <v>2.7310256246748299</v>
      </c>
      <c r="M3" s="41" cm="1">
        <f t="array" ref="M3">_xll.FDSB(A3,"PERCENT_CHANGE(FMA_EPS(+1,0,,,,""PORTAGG"",""MEAN""),FMA_EPS(+1,-3AM,,,,""PORTAGG"",""MEAN""))")</f>
        <v>1.50140553829834</v>
      </c>
      <c r="N3" s="3" cm="1">
        <f t="array" ref="N3">_xll.FDS(C3,"FG_TOTAL_RETURNC(0,-1AM)")</f>
        <v>2.5942802</v>
      </c>
      <c r="O3" s="3" cm="1">
        <f t="array" ref="O3">_xll.FDS(C3,"FG_TOTAL_RETURNC(0,-3AM)")</f>
        <v>0.69979429999999998</v>
      </c>
      <c r="P3" s="3" cm="1">
        <f t="array" ref="P3">_xll.FDS(C3,"FG_TOTAL_RETURNC(0,-6AM)")</f>
        <v>-5.6665063</v>
      </c>
      <c r="Q3" s="9" cm="1">
        <f t="array" ref="Q3">_xll.FDS(C3,"P_PRICE(0)/P_PRICE_HIGH_PR(0,,,,,,""PRICE"",""INTRA"",""52W"")")</f>
        <v>0.88633260000000003</v>
      </c>
      <c r="R3" s="9" cm="1">
        <f t="array" ref="R3">_xll.FDS(C3,"P_PRICE(0)/P_PRICE_low_PR(0,,,,,,""PRICE"",""INTRA"",""52W"")-1")</f>
        <v>0.10796702</v>
      </c>
      <c r="S3" s="3" cm="1">
        <f t="array" ref="S3">_xll.FDS(C3,"FG_TOTAL_RETURNC(0,-12AM)")</f>
        <v>-1.4715075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42.8</v>
      </c>
      <c r="X3" s="4" cm="1">
        <f t="array" ref="X3">_xlfn.PERCENTRANK.EXC(_xlfn._xlws.FILTER($P$3:$P$15, ISNUMBER($P$3:$P$15)),P3)*100</f>
        <v>7.1</v>
      </c>
      <c r="Y3" s="201" cm="1">
        <f t="array" ref="Y3">_xlfn.PERCENTRANK.EXC(_xlfn._xlws.FILTER($S$3:$S$15, ISNUMBER($S$3:$S$15)),S3)*100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64.2</v>
      </c>
      <c r="AB3" s="4" cm="1">
        <f t="array" ref="AB3">_xlfn.PERCENTRANK.EXC(_xlfn._xlws.FILTER($J$3:$J$15, ISNUMBER($J$3:$J$15)),J3)*100</f>
        <v>21.4</v>
      </c>
      <c r="AC3" s="4">
        <f t="shared" ref="AC3:AC15" si="4">_xlfn.PERCENTRANK.EXC($L$3:$L$15,L3)*100</f>
        <v>92.800000000000011</v>
      </c>
      <c r="AD3" s="4">
        <f t="shared" ref="AD3:AD15" si="5">_xlfn.PERCENTRANK.EXC($M$3:$M$15,M3)*100</f>
        <v>71.399999999999991</v>
      </c>
      <c r="AE3" s="4">
        <f t="shared" ref="AE3:AE15" si="6">_xlfn.PERCENTRANK.EXC($D$3:$D$15,D3)*100</f>
        <v>7.1</v>
      </c>
      <c r="AF3" s="4">
        <f ca="1">'Economic Momentum'!Q4</f>
        <v>28.499999999999996</v>
      </c>
      <c r="AG3" s="4">
        <f ca="1">'Economic Momentum'!R4</f>
        <v>7.1</v>
      </c>
      <c r="AH3" s="4">
        <f t="shared" ref="AH3:AH15" ca="1" si="7">SUMPRODUCT($U$2:$AG$2,U3:AG3)</f>
        <v>17.809999999999999</v>
      </c>
      <c r="AJ3" s="3" cm="1">
        <f t="array" aca="1" ref="AJ3" ca="1">_xlfn.PERCENTRANK.EXC(_xlfn._xlws.FILTER($AH$3:$AH$15, ISNUMBER($AH$3:$AH$15)),AH3)*100</f>
        <v>14.2</v>
      </c>
      <c r="AK3">
        <f t="shared" ref="AK3:AK15" si="8">COUNTIF(V3:AB3,"&gt;70")</f>
        <v>0</v>
      </c>
      <c r="AM3" s="4"/>
    </row>
    <row r="4" spans="1:39" x14ac:dyDescent="0.35">
      <c r="A4" t="s">
        <v>44</v>
      </c>
      <c r="B4" t="str" cm="1">
        <f t="array" ref="B4">_xll.FDS(A4,"FG_COMPANY_NAME")</f>
        <v>iShares MSCI Australia ETF</v>
      </c>
      <c r="C4" t="s">
        <v>44</v>
      </c>
      <c r="D4" s="142">
        <f>VLOOKUP(C4,'Market Capitalisation'!$C$2:$G$14,5,FALSE)</f>
        <v>1706446</v>
      </c>
      <c r="E4" cm="1">
        <f t="array" ref="E4">_xll.FDS(C4,"FMA_COS_UP(""EPS"",""1M"",+1,0,,,""PORTAGG"",""MEANR"")")</f>
        <v>19</v>
      </c>
      <c r="F4" cm="1">
        <f t="array" ref="F4">_xll.FDS(C4,"FMA_COS_DOWN(""EPS"",""1M"",+1,0,,,""PORTAGG"",""MEANR"")")</f>
        <v>31</v>
      </c>
      <c r="G4" cm="1">
        <f t="array" ref="G4">_xll.FDS(A4,"SIZE(FG_CONSTITUENTS)")</f>
        <v>60</v>
      </c>
      <c r="H4" s="9">
        <f t="shared" si="0"/>
        <v>0.31666666666666665</v>
      </c>
      <c r="I4" s="9">
        <f t="shared" si="1"/>
        <v>0.51666666666666672</v>
      </c>
      <c r="J4" s="9">
        <f t="shared" si="2"/>
        <v>-0.20000000000000007</v>
      </c>
      <c r="K4" s="5" cm="1">
        <f t="array" ref="K4">_xll.FDS(A4,"FMA_PCT_ABOVE_MAVG(200,0,,,,""PORTAGG"")")/100</f>
        <v>0.54237288135593198</v>
      </c>
      <c r="L4" s="41" cm="1">
        <f t="array" ref="L4">_xll.FDSB(A4,"PERCENT_CHANGE(FMA_EPS(+1,0,,,,""PORTAGG"",""MEAN""),FMA_EPS(+1,-1AM,,,,""PORTAGG"",""MEAN""))")</f>
        <v>-1.32419582872001</v>
      </c>
      <c r="M4" s="41" cm="1">
        <f t="array" ref="M4">_xll.FDSB(A4,"PERCENT_CHANGE(FMA_EPS(+1,0,,,,""PORTAGG"",""MEAN""),FMA_EPS(+1,-3AM,,,,""PORTAGG"",""MEAN""))")</f>
        <v>-1.83176802136874</v>
      </c>
      <c r="N4" s="3" cm="1">
        <f t="array" ref="N4">_xll.FDS(C4,"FG_TOTAL_RETURNC(0,-1AM)")</f>
        <v>1.1618257000000001</v>
      </c>
      <c r="O4" s="3" cm="1">
        <f t="array" ref="O4">_xll.FDS(C4,"FG_TOTAL_RETURNC(0,-3AM)")</f>
        <v>0.99774600000000002</v>
      </c>
      <c r="P4" s="3" cm="1">
        <f t="array" ref="P4">_xll.FDS(C4,"FG_TOTAL_RETURNC(0,-6AM)")</f>
        <v>1.6988277000000001</v>
      </c>
      <c r="Q4" s="9" cm="1">
        <f t="array" ref="Q4">_xll.FDS(C4,"P_PRICE(0)/P_PRICE_HIGH_PR(0,,,,,,""PRICE"",""INTRA"",""52W"")")</f>
        <v>0.96790810000000005</v>
      </c>
      <c r="R4" s="9" cm="1">
        <f t="array" ref="R4">_xll.FDS(C4,"P_PRICE(0)/P_PRICE_low_PR(0,,,,,,""PRICE"",""INTRA"",""52W"")-1")</f>
        <v>0.19403719999999999</v>
      </c>
      <c r="S4" s="3" cm="1">
        <f t="array" ref="S4">_xll.FDS(C4,"FG_TOTAL_RETURNC(0,-12AM)")</f>
        <v>14.397812</v>
      </c>
      <c r="T4" s="4" cm="1">
        <f t="array" ref="T4">_xlfn.PERCENTRANK.EXC(_xlfn._xlws.FILTER($R$3:$R$15, ISNUMBER($R$3:$R$15)),R4)*100</f>
        <v>50</v>
      </c>
      <c r="U4" s="4">
        <f t="shared" si="3"/>
        <v>50</v>
      </c>
      <c r="V4" s="4" cm="1">
        <f t="array" ref="V4">_xlfn.PERCENTRANK.EXC(_xlfn._xlws.FILTER($Q$3:$Q$15, ISNUMBER($Q$3:$Q$15)),Q4)*100</f>
        <v>78.5</v>
      </c>
      <c r="W4" s="4" cm="1">
        <f t="array" ref="W4">_xlfn.PERCENTRANK.EXC(_xlfn._xlws.FILTER($O$3:$O$15, ISNUMBER($O$3:$O$15)),O4)*100</f>
        <v>50</v>
      </c>
      <c r="X4" s="4" cm="1">
        <f t="array" ref="X4">_xlfn.PERCENTRANK.EXC(_xlfn._xlws.FILTER($P$3:$P$15, ISNUMBER($P$3:$P$15)),P4)*100</f>
        <v>21.4</v>
      </c>
      <c r="Y4" s="201" cm="1">
        <f t="array" ref="Y4">_xlfn.PERCENTRANK.EXC(_xlfn._xlws.FILTER($S$3:$S$15, ISNUMBER($S$3:$S$15)),S4)*100</f>
        <v>57.099999999999994</v>
      </c>
      <c r="Z4" s="4" cm="1">
        <f t="array" ref="Z4">_xlfn.PERCENTRANK.EXC(_xlfn._xlws.FILTER($K$3:$K$15, ISNUMBER($K$3:$K$15)),K4)*100</f>
        <v>28.499999999999996</v>
      </c>
      <c r="AA4" s="4" cm="1">
        <f t="array" ref="AA4">_xlfn.PERCENTRANK.EXC(_xlfn._xlws.FILTER($H$3:$H$15, ISNUMBER($H$3:$H$15)),H4)*100</f>
        <v>28.499999999999996</v>
      </c>
      <c r="AB4" s="4" cm="1">
        <f t="array" ref="AB4">_xlfn.PERCENTRANK.EXC(_xlfn._xlws.FILTER($J$3:$J$15, ISNUMBER($J$3:$J$15)),J4)*100</f>
        <v>14.2</v>
      </c>
      <c r="AC4" s="4">
        <f t="shared" si="4"/>
        <v>50</v>
      </c>
      <c r="AD4" s="4">
        <f t="shared" si="5"/>
        <v>21.4</v>
      </c>
      <c r="AE4" s="4">
        <f t="shared" si="6"/>
        <v>35.699999999999996</v>
      </c>
      <c r="AF4" s="4">
        <f ca="1">'Economic Momentum'!Q5</f>
        <v>21.4</v>
      </c>
      <c r="AG4" s="4">
        <f ca="1">'Economic Momentum'!R5</f>
        <v>7.1</v>
      </c>
      <c r="AH4" s="4">
        <f t="shared" ca="1" si="7"/>
        <v>52.820000000000007</v>
      </c>
      <c r="AJ4" s="3" cm="1">
        <f t="array" aca="1" ref="AJ4" ca="1">_xlfn.PERCENTRANK.EXC(_xlfn._xlws.FILTER($AH$3:$AH$15, ISNUMBER($AH$3:$AH$15)),AH4)*100</f>
        <v>57.099999999999994</v>
      </c>
      <c r="AK4">
        <f t="shared" si="8"/>
        <v>1</v>
      </c>
      <c r="AM4" s="4"/>
    </row>
    <row r="5" spans="1:39" x14ac:dyDescent="0.35">
      <c r="A5" t="s">
        <v>49</v>
      </c>
      <c r="B5" t="str" cm="1">
        <f t="array" ref="B5">_xll.FDS(A5,"FG_COMPANY_NAME")</f>
        <v>iShares MSCI Canada ETF</v>
      </c>
      <c r="C5" t="s">
        <v>49</v>
      </c>
      <c r="D5" s="142">
        <f>VLOOKUP(C5,'Market Capitalisation'!$C$2:$G$14,5,FALSE)</f>
        <v>2695164.3</v>
      </c>
      <c r="E5" cm="1">
        <f t="array" ref="E5">_xll.FDS(C5,"FMA_COS_UP(""EPS"",""1M"",+1,0,,,""PORTAGG"",""MEANR"")")</f>
        <v>27</v>
      </c>
      <c r="F5" cm="1">
        <f t="array" ref="F5">_xll.FDS(C5,"FMA_COS_DOWN(""EPS"",""1M"",+1,0,,,""PORTAGG"",""MEANR"")")</f>
        <v>26</v>
      </c>
      <c r="G5" cm="1">
        <f t="array" ref="G5">_xll.FDS(A5,"SIZE(FG_CONSTITUENTS)")</f>
        <v>88</v>
      </c>
      <c r="H5" s="9">
        <f t="shared" si="0"/>
        <v>0.30681818181818182</v>
      </c>
      <c r="I5" s="9">
        <f t="shared" si="1"/>
        <v>0.29545454545454547</v>
      </c>
      <c r="J5" s="9">
        <f t="shared" si="2"/>
        <v>1.1363636363636354E-2</v>
      </c>
      <c r="K5" s="5" cm="1">
        <f t="array" ref="K5">_xll.FDS(A5,"FMA_PCT_ABOVE_MAVG(200,0,,,,""PORTAGG"")")/100</f>
        <v>0.625</v>
      </c>
      <c r="L5" s="41" cm="1">
        <f t="array" ref="L5">_xll.FDSB(A5,"PERCENT_CHANGE(FMA_EPS(+1,0,,,,""PORTAGG"",""MEAN""),FMA_EPS(+1,-1AM,,,,""PORTAGG"",""MEAN""))")</f>
        <v>-0.66801116311867403</v>
      </c>
      <c r="M5" s="41" cm="1">
        <f t="array" ref="M5">_xll.FDSB(A5,"PERCENT_CHANGE(FMA_EPS(+1,0,,,,""PORTAGG"",""MEAN""),FMA_EPS(+1,-3AM,,,,""PORTAGG"",""MEAN""))")</f>
        <v>-0.77188098403938898</v>
      </c>
      <c r="N5" s="3" cm="1">
        <f t="array" ref="N5">_xll.FDS(C5,"FG_TOTAL_RETURNC(0,-1AM)")</f>
        <v>-1.8322468000000001</v>
      </c>
      <c r="O5" s="3" cm="1">
        <f t="array" ref="O5">_xll.FDS(C5,"FG_TOTAL_RETURNC(0,-3AM)")</f>
        <v>-2.1912753999999999</v>
      </c>
      <c r="P5" s="3" cm="1">
        <f t="array" ref="P5">_xll.FDS(C5,"FG_TOTAL_RETURNC(0,-6AM)")</f>
        <v>2.0195603000000002</v>
      </c>
      <c r="Q5" s="9" cm="1">
        <f t="array" ref="Q5">_xll.FDS(C5,"P_PRICE(0)/P_PRICE_HIGH_PR(0,,,,,,""PRICE"",""INTRA"",""52W"")")</f>
        <v>0.95691437000000001</v>
      </c>
      <c r="R5" s="9" cm="1">
        <f t="array" ref="R5">_xll.FDS(C5,"P_PRICE(0)/P_PRICE_low_PR(0,,,,,,""PRICE"",""INTRA"",""52W"")-1")</f>
        <v>0.18083416999999999</v>
      </c>
      <c r="S5" s="3" cm="1">
        <f t="array" ref="S5">_xll.FDS(C5,"FG_TOTAL_RETURNC(0,-12AM)")</f>
        <v>10.419917</v>
      </c>
      <c r="T5" s="4" cm="1">
        <f t="array" ref="T5">_xlfn.PERCENTRANK.EXC(_xlfn._xlws.FILTER($R$3:$R$15, ISNUMBER($R$3:$R$15)),R5)*100</f>
        <v>35.699999999999996</v>
      </c>
      <c r="U5" s="4">
        <f t="shared" si="3"/>
        <v>64.300000000000011</v>
      </c>
      <c r="V5" s="4" cm="1">
        <f t="array" ref="V5">_xlfn.PERCENTRANK.EXC(_xlfn._xlws.FILTER($Q$3:$Q$15, ISNUMBER($Q$3:$Q$15)),Q5)*100</f>
        <v>71.399999999999991</v>
      </c>
      <c r="W5" s="4" cm="1">
        <f t="array" ref="W5">_xlfn.PERCENTRANK.EXC(_xlfn._xlws.FILTER($O$3:$O$15, ISNUMBER($O$3:$O$15)),O5)*100</f>
        <v>28.499999999999996</v>
      </c>
      <c r="X5" s="4" cm="1">
        <f t="array" ref="X5">_xlfn.PERCENTRANK.EXC(_xlfn._xlws.FILTER($P$3:$P$15, ISNUMBER($P$3:$P$15)),P5)*100</f>
        <v>28.499999999999996</v>
      </c>
      <c r="Y5" s="201" cm="1">
        <f t="array" ref="Y5">_xlfn.PERCENTRANK.EXC(_xlfn._xlws.FILTER($S$3:$S$15, ISNUMBER($S$3:$S$15)),S5)*100</f>
        <v>28.499999999999996</v>
      </c>
      <c r="Z5" s="4" cm="1">
        <f t="array" ref="Z5">_xlfn.PERCENTRANK.EXC(_xlfn._xlws.FILTER($K$3:$K$15, ISNUMBER($K$3:$K$15)),K5)*100</f>
        <v>64.2</v>
      </c>
      <c r="AA5" s="4" cm="1">
        <f t="array" ref="AA5">_xlfn.PERCENTRANK.EXC(_xlfn._xlws.FILTER($H$3:$H$15, ISNUMBER($H$3:$H$15)),H5)*100</f>
        <v>14.2</v>
      </c>
      <c r="AB5" s="4" cm="1">
        <f t="array" ref="AB5">_xlfn.PERCENTRANK.EXC(_xlfn._xlws.FILTER($J$3:$J$15, ISNUMBER($J$3:$J$15)),J5)*100</f>
        <v>42.8</v>
      </c>
      <c r="AC5" s="4">
        <f t="shared" si="4"/>
        <v>71.399999999999991</v>
      </c>
      <c r="AD5" s="4">
        <f t="shared" si="5"/>
        <v>50</v>
      </c>
      <c r="AE5" s="4">
        <f t="shared" si="6"/>
        <v>57.099999999999994</v>
      </c>
      <c r="AF5" s="4">
        <f ca="1">'Economic Momentum'!Q6</f>
        <v>28.499999999999996</v>
      </c>
      <c r="AG5" s="4">
        <f ca="1">'Economic Momentum'!R6</f>
        <v>7.1</v>
      </c>
      <c r="AH5" s="4">
        <f t="shared" ca="1" si="7"/>
        <v>45.66</v>
      </c>
      <c r="AJ5" s="3" cm="1">
        <f t="array" aca="1" ref="AJ5" ca="1">_xlfn.PERCENTRANK.EXC(_xlfn._xlws.FILTER($AH$3:$AH$15, ISNUMBER($AH$3:$AH$15)),AH5)*100</f>
        <v>50</v>
      </c>
      <c r="AK5">
        <f t="shared" si="8"/>
        <v>1</v>
      </c>
      <c r="AM5" s="4"/>
    </row>
    <row r="6" spans="1:39" x14ac:dyDescent="0.35">
      <c r="A6" t="s">
        <v>11</v>
      </c>
      <c r="B6" t="str" cm="1">
        <f t="array" ref="B6">_xll.FDS(A6,"FG_COMPANY_NAME")</f>
        <v>iShares MSCI Germany ETF</v>
      </c>
      <c r="C6" t="s">
        <v>11</v>
      </c>
      <c r="D6" s="142">
        <f>VLOOKUP(C6,'Market Capitalisation'!$C$2:$G$14,5,FALSE)</f>
        <v>2229665.5</v>
      </c>
      <c r="E6" cm="1">
        <f t="array" ref="E6">_xll.FDS(C6,"FMA_COS_UP(""EPS"",""1M"",+1,0,,,""PORTAGG"",""MEANR"")")</f>
        <v>25</v>
      </c>
      <c r="F6" cm="1">
        <f t="array" ref="F6">_xll.FDS(C6,"FMA_COS_DOWN(""EPS"",""1M"",+1,0,,,""PORTAGG"",""MEANR"")")</f>
        <v>23</v>
      </c>
      <c r="G6" cm="1">
        <f t="array" ref="G6">_xll.FDS(A6,"SIZE(FG_CONSTITUENTS)")</f>
        <v>59</v>
      </c>
      <c r="H6" s="9">
        <f t="shared" si="0"/>
        <v>0.42372881355932202</v>
      </c>
      <c r="I6" s="9">
        <f t="shared" si="1"/>
        <v>0.38983050847457629</v>
      </c>
      <c r="J6" s="9">
        <f t="shared" si="2"/>
        <v>3.3898305084745728E-2</v>
      </c>
      <c r="K6" s="5" cm="1">
        <f t="array" ref="K6">_xll.FDS(A6,"FMA_PCT_ABOVE_MAVG(200,0,,,,""PORTAGG"")")/100</f>
        <v>0.60344827586206895</v>
      </c>
      <c r="L6" s="41" cm="1">
        <f t="array" ref="L6">_xll.FDSB(A6,"PERCENT_CHANGE(FMA_EPS(+1,0,,,,""PORTAGG"",""MEAN""),FMA_EPS(+1,-1AM,,,,""PORTAGG"",""MEAN""))")</f>
        <v>-3.9358059081746899</v>
      </c>
      <c r="M6" s="41" cm="1">
        <f t="array" ref="M6">_xll.FDSB(A6,"PERCENT_CHANGE(FMA_EPS(+1,0,,,,""PORTAGG"",""MEAN""),FMA_EPS(+1,-3AM,,,,""PORTAGG"",""MEAN""))")</f>
        <v>-1.01673927830609</v>
      </c>
      <c r="N6" s="3" cm="1">
        <f t="array" ref="N6">_xll.FDS(C6,"FG_TOTAL_RETURNC(0,-1AM)")</f>
        <v>-2.6821733000000001</v>
      </c>
      <c r="O6" s="3" cm="1">
        <f t="array" ref="O6">_xll.FDS(C6,"FG_TOTAL_RETURNC(0,-3AM)")</f>
        <v>-1.1802495</v>
      </c>
      <c r="P6" s="3" cm="1">
        <f t="array" ref="P6">_xll.FDS(C6,"FG_TOTAL_RETURNC(0,-6AM)")</f>
        <v>5.7831169999999998</v>
      </c>
      <c r="Q6" s="9" cm="1">
        <f t="array" ref="Q6">_xll.FDS(C6,"P_PRICE(0)/P_PRICE_HIGH_PR(0,,,,,,""PRICE"",""INTRA"",""52W"")")</f>
        <v>0.93503320000000001</v>
      </c>
      <c r="R6" s="9" cm="1">
        <f t="array" ref="R6">_xll.FDS(C6,"P_PRICE(0)/P_PRICE_low_PR(0,,,,,,""PRICE"",""INTRA"",""52W"")-1")</f>
        <v>0.23942530000000001</v>
      </c>
      <c r="S6" s="3" cm="1">
        <f t="array" ref="S6">_xll.FDS(C6,"FG_TOTAL_RETURNC(0,-12AM)")</f>
        <v>11.226201</v>
      </c>
      <c r="T6" s="4" cm="1">
        <f t="array" ref="T6">_xlfn.PERCENTRANK.EXC(_xlfn._xlws.FILTER($R$3:$R$15, ISNUMBER($R$3:$R$15)),R6)*100</f>
        <v>64.2</v>
      </c>
      <c r="U6" s="4">
        <f t="shared" si="3"/>
        <v>35.799999999999997</v>
      </c>
      <c r="V6" s="4" cm="1">
        <f t="array" ref="V6">_xlfn.PERCENTRANK.EXC(_xlfn._xlws.FILTER($Q$3:$Q$15, ISNUMBER($Q$3:$Q$15)),Q6)*100</f>
        <v>28.499999999999996</v>
      </c>
      <c r="W6" s="4" cm="1">
        <f t="array" ref="W6">_xlfn.PERCENTRANK.EXC(_xlfn._xlws.FILTER($O$3:$O$15, ISNUMBER($O$3:$O$15)),O6)*100</f>
        <v>35.699999999999996</v>
      </c>
      <c r="X6" s="4" cm="1">
        <f t="array" ref="X6">_xlfn.PERCENTRANK.EXC(_xlfn._xlws.FILTER($P$3:$P$15, ISNUMBER($P$3:$P$15)),P6)*100</f>
        <v>50</v>
      </c>
      <c r="Y6" s="201" cm="1">
        <f t="array" ref="Y6">_xlfn.PERCENTRANK.EXC(_xlfn._xlws.FILTER($S$3:$S$15, ISNUMBER($S$3:$S$15)),S6)*100</f>
        <v>35.699999999999996</v>
      </c>
      <c r="Z6" s="4" cm="1">
        <f t="array" ref="Z6">_xlfn.PERCENTRANK.EXC(_xlfn._xlws.FILTER($K$3:$K$15, ISNUMBER($K$3:$K$15)),K6)*100</f>
        <v>50</v>
      </c>
      <c r="AA6" s="4" cm="1">
        <f t="array" ref="AA6">_xlfn.PERCENTRANK.EXC(_xlfn._xlws.FILTER($H$3:$H$15, ISNUMBER($H$3:$H$15)),H6)*100</f>
        <v>57.099999999999994</v>
      </c>
      <c r="AB6" s="4" cm="1">
        <f t="array" ref="AB6">_xlfn.PERCENTRANK.EXC(_xlfn._xlws.FILTER($J$3:$J$15, ISNUMBER($J$3:$J$15)),J6)*100</f>
        <v>64.2</v>
      </c>
      <c r="AC6" s="4">
        <f t="shared" si="4"/>
        <v>7.1</v>
      </c>
      <c r="AD6" s="4">
        <f t="shared" si="5"/>
        <v>42.8</v>
      </c>
      <c r="AE6" s="4">
        <f t="shared" si="6"/>
        <v>50</v>
      </c>
      <c r="AF6" s="4">
        <f ca="1">'Economic Momentum'!Q7</f>
        <v>7.1</v>
      </c>
      <c r="AG6" s="4">
        <f ca="1">'Economic Momentum'!R7</f>
        <v>7.1</v>
      </c>
      <c r="AH6" s="4">
        <f t="shared" ca="1" si="7"/>
        <v>37.11</v>
      </c>
      <c r="AJ6" s="3" cm="1">
        <f t="array" aca="1" ref="AJ6" ca="1">_xlfn.PERCENTRANK.EXC(_xlfn._xlws.FILTER($AH$3:$AH$15, ISNUMBER($AH$3:$AH$15)),AH6)*100</f>
        <v>28.499999999999996</v>
      </c>
      <c r="AK6">
        <f t="shared" si="8"/>
        <v>0</v>
      </c>
      <c r="AM6" s="4"/>
    </row>
    <row r="7" spans="1:39" x14ac:dyDescent="0.35">
      <c r="A7" t="s">
        <v>46</v>
      </c>
      <c r="B7" t="str" cm="1">
        <f t="array" ref="B7">_xll.FDS(A7,"FG_COMPANY_NAME")</f>
        <v>iShares MSCI Japan ETF</v>
      </c>
      <c r="C7" t="s">
        <v>46</v>
      </c>
      <c r="D7" s="142">
        <f>VLOOKUP(C7,'Market Capitalisation'!$C$2:$G$14,5,FALSE)</f>
        <v>6342091</v>
      </c>
      <c r="E7" cm="1">
        <f t="array" ref="E7">_xll.FDS(C7,"FMA_COS_UP(""EPS"",""1M"",+1,0,,,""PORTAGG"",""MEANR"")")</f>
        <v>105</v>
      </c>
      <c r="F7" cm="1">
        <f t="array" ref="F7">_xll.FDS(C7,"FMA_COS_DOWN(""EPS"",""1M"",+1,0,,,""PORTAGG"",""MEANR"")")</f>
        <v>88</v>
      </c>
      <c r="G7" cm="1">
        <f t="array" ref="G7">_xll.FDS(A7,"SIZE(FG_CONSTITUENTS)")</f>
        <v>205</v>
      </c>
      <c r="H7" s="9">
        <f t="shared" si="0"/>
        <v>0.51219512195121952</v>
      </c>
      <c r="I7" s="9">
        <f t="shared" si="1"/>
        <v>0.42926829268292682</v>
      </c>
      <c r="J7" s="9">
        <f t="shared" si="2"/>
        <v>8.2926829268292701E-2</v>
      </c>
      <c r="K7" s="5" cm="1">
        <f t="array" ref="K7">_xll.FDS(A7,"FMA_PCT_ABOVE_MAVG(200,0,,,,""PORTAGG"")")/100</f>
        <v>0.68137254901960798</v>
      </c>
      <c r="L7" s="41" cm="1">
        <f t="array" ref="L7">_xll.FDSB(A7,"PERCENT_CHANGE(FMA_EPS(+1,0,,,,""PORTAGG"",""MEAN""),FMA_EPS(+1,-1AM,,,,""PORTAGG"",""MEAN""))")</f>
        <v>-2.8461800153287999</v>
      </c>
      <c r="M7" s="41" cm="1">
        <f t="array" ref="M7">_xll.FDSB(A7,"PERCENT_CHANGE(FMA_EPS(+1,0,,,,""PORTAGG"",""MEAN""),FMA_EPS(+1,-3AM,,,,""PORTAGG"",""MEAN""))")</f>
        <v>-6.3943857668291804</v>
      </c>
      <c r="N7" s="3" cm="1">
        <f t="array" ref="N7">_xll.FDS(C7,"FG_TOTAL_RETURNC(0,-1AM)")</f>
        <v>-0.1452446</v>
      </c>
      <c r="O7" s="3" cm="1">
        <f t="array" ref="O7">_xll.FDS(C7,"FG_TOTAL_RETURNC(0,-3AM)")</f>
        <v>-3.6440134</v>
      </c>
      <c r="P7" s="3" cm="1">
        <f t="array" ref="P7">_xll.FDS(C7,"FG_TOTAL_RETURNC(0,-6AM)")</f>
        <v>7.3547719999999996</v>
      </c>
      <c r="Q7" s="9" cm="1">
        <f t="array" ref="Q7">_xll.FDS(C7,"P_PRICE(0)/P_PRICE_HIGH_PR(0,,,,,,""PRICE"",""INTRA"",""52W"")")</f>
        <v>0.94692284000000004</v>
      </c>
      <c r="R7" s="9" cm="1">
        <f t="array" ref="R7">_xll.FDS(C7,"P_PRICE(0)/P_PRICE_low_PR(0,,,,,,""PRICE"",""INTRA"",""52W"")-1")</f>
        <v>0.19300698999999999</v>
      </c>
      <c r="S7" s="3" cm="1">
        <f t="array" ref="S7">_xll.FDS(C7,"FG_TOTAL_RETURNC(0,-12AM)")</f>
        <v>12.77746</v>
      </c>
      <c r="T7" s="4" cm="1">
        <f t="array" ref="T7">_xlfn.PERCENTRANK.EXC(_xlfn._xlws.FILTER($R$3:$R$15, ISNUMBER($R$3:$R$15)),R7)*100</f>
        <v>42.8</v>
      </c>
      <c r="U7" s="4">
        <f t="shared" si="3"/>
        <v>57.2</v>
      </c>
      <c r="V7" s="4" cm="1">
        <f t="array" ref="V7">_xlfn.PERCENTRANK.EXC(_xlfn._xlws.FILTER($Q$3:$Q$15, ISNUMBER($Q$3:$Q$15)),Q7)*100</f>
        <v>42.8</v>
      </c>
      <c r="W7" s="4" cm="1">
        <f t="array" ref="W7">_xlfn.PERCENTRANK.EXC(_xlfn._xlws.FILTER($O$3:$O$15, ISNUMBER($O$3:$O$15)),O7)*100</f>
        <v>14.2</v>
      </c>
      <c r="X7" s="4" cm="1">
        <f t="array" ref="X7">_xlfn.PERCENTRANK.EXC(_xlfn._xlws.FILTER($P$3:$P$15, ISNUMBER($P$3:$P$15)),P7)*100</f>
        <v>57.099999999999994</v>
      </c>
      <c r="Y7" s="201" cm="1">
        <f t="array" ref="Y7">_xlfn.PERCENTRANK.EXC(_xlfn._xlws.FILTER($S$3:$S$15, ISNUMBER($S$3:$S$15)),S7)*100</f>
        <v>42.8</v>
      </c>
      <c r="Z7" s="4" cm="1">
        <f t="array" ref="Z7">_xlfn.PERCENTRANK.EXC(_xlfn._xlws.FILTER($K$3:$K$15, ISNUMBER($K$3:$K$15)),K7)*100</f>
        <v>85.7</v>
      </c>
      <c r="AA7" s="4" cm="1">
        <f t="array" ref="AA7">_xlfn.PERCENTRANK.EXC(_xlfn._xlws.FILTER($H$3:$H$15, ISNUMBER($H$3:$H$15)),H7)*100</f>
        <v>92.800000000000011</v>
      </c>
      <c r="AB7" s="4" cm="1">
        <f t="array" ref="AB7">_xlfn.PERCENTRANK.EXC(_xlfn._xlws.FILTER($J$3:$J$15, ISNUMBER($J$3:$J$15)),J7)*100</f>
        <v>78.5</v>
      </c>
      <c r="AC7" s="4">
        <f t="shared" si="4"/>
        <v>35.699999999999996</v>
      </c>
      <c r="AD7" s="4">
        <f t="shared" si="5"/>
        <v>7.1</v>
      </c>
      <c r="AE7" s="4">
        <f t="shared" si="6"/>
        <v>78.5</v>
      </c>
      <c r="AF7" s="4">
        <f ca="1">'Economic Momentum'!Q8</f>
        <v>71.399999999999991</v>
      </c>
      <c r="AG7" s="4">
        <f ca="1">'Economic Momentum'!R8</f>
        <v>7.1</v>
      </c>
      <c r="AH7" s="4">
        <f t="shared" ca="1" si="7"/>
        <v>38.510000000000005</v>
      </c>
      <c r="AJ7" s="3" cm="1">
        <f t="array" aca="1" ref="AJ7" ca="1">_xlfn.PERCENTRANK.EXC(_xlfn._xlws.FILTER($AH$3:$AH$15, ISNUMBER($AH$3:$AH$15)),AH7)*100</f>
        <v>35.699999999999996</v>
      </c>
      <c r="AK7">
        <f t="shared" si="8"/>
        <v>3</v>
      </c>
      <c r="AM7" s="4"/>
    </row>
    <row r="8" spans="1:39" x14ac:dyDescent="0.35">
      <c r="A8" t="s">
        <v>42</v>
      </c>
      <c r="B8" t="str" cm="1">
        <f t="array" ref="B8">_xll.FDS(A8,"FG_COMPANY_NAME")</f>
        <v>iShares MSCI Switzerland ETF</v>
      </c>
      <c r="C8" t="s">
        <v>42</v>
      </c>
      <c r="D8" s="142">
        <f>VLOOKUP(C8,'Market Capitalisation'!$C$2:$G$14,5,FALSE)</f>
        <v>2163202.2999999998</v>
      </c>
      <c r="E8" cm="1">
        <f t="array" ref="E8">_xll.FDS(C8,"FMA_COS_UP(""EPS"",""1M"",+1,0,,,""PORTAGG"",""MEANR"")")</f>
        <v>18</v>
      </c>
      <c r="F8" cm="1">
        <f t="array" ref="F8">_xll.FDS(C8,"FMA_COS_DOWN(""EPS"",""1M"",+1,0,,,""PORTAGG"",""MEANR"")")</f>
        <v>17</v>
      </c>
      <c r="G8" cm="1">
        <f t="array" ref="G8">_xll.FDS(A8,"SIZE(FG_CONSTITUENTS)")</f>
        <v>46</v>
      </c>
      <c r="H8" s="9">
        <f t="shared" si="0"/>
        <v>0.39130434782608697</v>
      </c>
      <c r="I8" s="9">
        <f t="shared" si="1"/>
        <v>0.36956521739130432</v>
      </c>
      <c r="J8" s="9">
        <f t="shared" si="2"/>
        <v>2.173913043478265E-2</v>
      </c>
      <c r="K8" s="5" cm="1">
        <f t="array" ref="K8">_xll.FDS(A8,"FMA_PCT_ABOVE_MAVG(200,0,,,,""PORTAGG"")")/100</f>
        <v>0.64444444444444404</v>
      </c>
      <c r="L8" s="41" cm="1">
        <f t="array" ref="L8">_xll.FDSB(A8,"PERCENT_CHANGE(FMA_EPS(+1,0,,,,""PORTAGG"",""MEAN""),FMA_EPS(+1,-1AM,,,,""PORTAGG"",""MEAN""))")</f>
        <v>-0.75329237536154303</v>
      </c>
      <c r="M8" s="41" cm="1">
        <f t="array" ref="M8">_xll.FDSB(A8,"PERCENT_CHANGE(FMA_EPS(+1,0,,,,""PORTAGG"",""MEAN""),FMA_EPS(+1,-3AM,,,,""PORTAGG"",""MEAN""))")</f>
        <v>2.0738834051430102</v>
      </c>
      <c r="N8" s="3" cm="1">
        <f t="array" ref="N8">_xll.FDS(C8,"FG_TOTAL_RETURNC(0,-1AM)")</f>
        <v>2.5016904000000002</v>
      </c>
      <c r="O8" s="3" cm="1">
        <f t="array" ref="O8">_xll.FDS(C8,"FG_TOTAL_RETURNC(0,-3AM)")</f>
        <v>3.4061192999999998</v>
      </c>
      <c r="P8" s="3" cm="1">
        <f t="array" ref="P8">_xll.FDS(C8,"FG_TOTAL_RETURNC(0,-6AM)")</f>
        <v>2.8443694000000002</v>
      </c>
      <c r="Q8" s="9" cm="1">
        <f t="array" ref="Q8">_xll.FDS(C8,"P_PRICE(0)/P_PRICE_HIGH_PR(0,,,,,,""PRICE"",""INTRA"",""52W"")")</f>
        <v>0.9522022</v>
      </c>
      <c r="R8" s="9" cm="1">
        <f t="array" ref="R8">_xll.FDS(C8,"P_PRICE(0)/P_PRICE_low_PR(0,,,,,,""PRICE"",""INTRA"",""52W"")-1")</f>
        <v>0.16028881</v>
      </c>
      <c r="S8" s="3" cm="1">
        <f t="array" ref="S8">_xll.FDS(C8,"FG_TOTAL_RETURNC(0,-12AM)")</f>
        <v>7.7524423999999996</v>
      </c>
      <c r="T8" s="4" cm="1">
        <f t="array" ref="T8">_xlfn.PERCENTRANK.EXC(_xlfn._xlws.FILTER($R$3:$R$15, ISNUMBER($R$3:$R$15)),R8)*100</f>
        <v>28.499999999999996</v>
      </c>
      <c r="U8" s="4">
        <f t="shared" si="3"/>
        <v>71.5</v>
      </c>
      <c r="V8" s="4" cm="1">
        <f t="array" ref="V8">_xlfn.PERCENTRANK.EXC(_xlfn._xlws.FILTER($Q$3:$Q$15, ISNUMBER($Q$3:$Q$15)),Q8)*100</f>
        <v>57.099999999999994</v>
      </c>
      <c r="W8" s="4" cm="1">
        <f t="array" ref="W8">_xlfn.PERCENTRANK.EXC(_xlfn._xlws.FILTER($O$3:$O$15, ISNUMBER($O$3:$O$15)),O8)*100</f>
        <v>71.399999999999991</v>
      </c>
      <c r="X8" s="4" cm="1">
        <f t="array" ref="X8">_xlfn.PERCENTRANK.EXC(_xlfn._xlws.FILTER($P$3:$P$15, ISNUMBER($P$3:$P$15)),P8)*100</f>
        <v>35.699999999999996</v>
      </c>
      <c r="Y8" s="201" cm="1">
        <f t="array" ref="Y8">_xlfn.PERCENTRANK.EXC(_xlfn._xlws.FILTER($S$3:$S$15, ISNUMBER($S$3:$S$15)),S8)*100</f>
        <v>21.4</v>
      </c>
      <c r="Z8" s="4" cm="1">
        <f t="array" ref="Z8">_xlfn.PERCENTRANK.EXC(_xlfn._xlws.FILTER($K$3:$K$15, ISNUMBER($K$3:$K$15)),K8)*100</f>
        <v>71.399999999999991</v>
      </c>
      <c r="AA8" s="4" cm="1">
        <f t="array" ref="AA8">_xlfn.PERCENTRANK.EXC(_xlfn._xlws.FILTER($H$3:$H$15, ISNUMBER($H$3:$H$15)),H8)*100</f>
        <v>50</v>
      </c>
      <c r="AB8" s="4" cm="1">
        <f t="array" ref="AB8">_xlfn.PERCENTRANK.EXC(_xlfn._xlws.FILTER($J$3:$J$15, ISNUMBER($J$3:$J$15)),J8)*100</f>
        <v>57.099999999999994</v>
      </c>
      <c r="AC8" s="4">
        <f t="shared" si="4"/>
        <v>64.2</v>
      </c>
      <c r="AD8" s="4">
        <f t="shared" si="5"/>
        <v>85.7</v>
      </c>
      <c r="AE8" s="4">
        <f t="shared" si="6"/>
        <v>42.8</v>
      </c>
      <c r="AF8" s="4">
        <f ca="1">'Economic Momentum'!Q9</f>
        <v>28.499999999999996</v>
      </c>
      <c r="AG8" s="4">
        <f ca="1">'Economic Momentum'!R9</f>
        <v>7.1</v>
      </c>
      <c r="AH8" s="4">
        <f t="shared" ca="1" si="7"/>
        <v>54.97</v>
      </c>
      <c r="AJ8" s="3" cm="1">
        <f t="array" aca="1" ref="AJ8" ca="1">_xlfn.PERCENTRANK.EXC(_xlfn._xlws.FILTER($AH$3:$AH$15, ISNUMBER($AH$3:$AH$15)),AH8)*100</f>
        <v>64.2</v>
      </c>
      <c r="AK8">
        <f t="shared" si="8"/>
        <v>2</v>
      </c>
      <c r="AM8" s="4"/>
    </row>
    <row r="9" spans="1:39" x14ac:dyDescent="0.35">
      <c r="A9" t="s">
        <v>48</v>
      </c>
      <c r="B9" t="str" cm="1">
        <f t="array" ref="B9">_xll.FDS(A9,"FG_COMPANY_NAME")</f>
        <v>iShares MSCI United Kingdom ETF</v>
      </c>
      <c r="C9" t="s">
        <v>48</v>
      </c>
      <c r="D9" s="142">
        <f>VLOOKUP(C9,'Market Capitalisation'!$C$2:$G$14,5,FALSE)</f>
        <v>3203385</v>
      </c>
      <c r="E9" cm="1">
        <f t="array" ref="E9">_xll.FDS(C9,"FMA_COS_UP(""EPS"",""1M"",+1,0,,,""PORTAGG"",""MEANR"")")</f>
        <v>39</v>
      </c>
      <c r="F9" cm="1">
        <f t="array" ref="F9">_xll.FDS(C9,"FMA_COS_DOWN(""EPS"",""1M"",+1,0,,,""PORTAGG"",""MEANR"")")</f>
        <v>27</v>
      </c>
      <c r="G9" cm="1">
        <f t="array" ref="G9">_xll.FDS(A9,"SIZE(FG_CONSTITUENTS)")</f>
        <v>81</v>
      </c>
      <c r="H9" s="9">
        <f t="shared" si="0"/>
        <v>0.48148148148148145</v>
      </c>
      <c r="I9" s="9">
        <f t="shared" si="1"/>
        <v>0.33333333333333331</v>
      </c>
      <c r="J9" s="9">
        <f t="shared" si="2"/>
        <v>0.14814814814814814</v>
      </c>
      <c r="K9" s="5" cm="1">
        <f t="array" ref="K9">_xll.FDS(A9,"FMA_PCT_ABOVE_MAVG(200,0,,,,""PORTAGG"")")/100</f>
        <v>0.6</v>
      </c>
      <c r="L9" s="41" cm="1">
        <f t="array" ref="L9">_xll.FDSB(A9,"PERCENT_CHANGE(FMA_EPS(+1,0,,,,""PORTAGG"",""MEAN""),FMA_EPS(+1,-1AM,,,,""PORTAGG"",""MEAN""))")</f>
        <v>-1.1977452345413</v>
      </c>
      <c r="M9" s="41" cm="1">
        <f t="array" ref="M9">_xll.FDSB(A9,"PERCENT_CHANGE(FMA_EPS(+1,0,,,,""PORTAGG"",""MEAN""),FMA_EPS(+1,-3AM,,,,""PORTAGG"",""MEAN""))")</f>
        <v>1.53334996889234</v>
      </c>
      <c r="N9" s="3" cm="1">
        <f t="array" ref="N9">_xll.FDS(C9,"FG_TOTAL_RETURNC(0,-1AM)")</f>
        <v>-1.5146196000000001</v>
      </c>
      <c r="O9" s="3" cm="1">
        <f t="array" ref="O9">_xll.FDS(C9,"FG_TOTAL_RETURNC(0,-3AM)")</f>
        <v>3.9551973</v>
      </c>
      <c r="P9" s="3" cm="1">
        <f t="array" ref="P9">_xll.FDS(C9,"FG_TOTAL_RETURNC(0,-6AM)")</f>
        <v>7.6038480000000002</v>
      </c>
      <c r="Q9" s="9" cm="1">
        <f t="array" ref="Q9">_xll.FDS(C9,"P_PRICE(0)/P_PRICE_HIGH_PR(0,,,,,,""PRICE"",""INTRA"",""52W"")")</f>
        <v>0.94872844000000001</v>
      </c>
      <c r="R9" s="9" cm="1">
        <f t="array" ref="R9">_xll.FDS(C9,"P_PRICE(0)/P_PRICE_low_PR(0,,,,,,""PRICE"",""INTRA"",""52W"")-1")</f>
        <v>0.15726614</v>
      </c>
      <c r="S9" s="3" cm="1">
        <f t="array" ref="S9">_xll.FDS(C9,"FG_TOTAL_RETURNC(0,-12AM)")</f>
        <v>13.799787</v>
      </c>
      <c r="T9" s="4" cm="1">
        <f t="array" ref="T9">_xlfn.PERCENTRANK.EXC(_xlfn._xlws.FILTER($R$3:$R$15, ISNUMBER($R$3:$R$15)),R9)*100</f>
        <v>21.4</v>
      </c>
      <c r="U9" s="4">
        <f t="shared" si="3"/>
        <v>78.599999999999994</v>
      </c>
      <c r="V9" s="4" cm="1">
        <f t="array" ref="V9">_xlfn.PERCENTRANK.EXC(_xlfn._xlws.FILTER($Q$3:$Q$15, ISNUMBER($Q$3:$Q$15)),Q9)*100</f>
        <v>50</v>
      </c>
      <c r="W9" s="4" cm="1">
        <f t="array" ref="W9">_xlfn.PERCENTRANK.EXC(_xlfn._xlws.FILTER($O$3:$O$15, ISNUMBER($O$3:$O$15)),O9)*100</f>
        <v>78.5</v>
      </c>
      <c r="X9" s="4" cm="1">
        <f t="array" ref="X9">_xlfn.PERCENTRANK.EXC(_xlfn._xlws.FILTER($P$3:$P$15, ISNUMBER($P$3:$P$15)),P9)*100</f>
        <v>64.2</v>
      </c>
      <c r="Y9" s="201" cm="1">
        <f t="array" ref="Y9">_xlfn.PERCENTRANK.EXC(_xlfn._xlws.FILTER($S$3:$S$15, ISNUMBER($S$3:$S$15)),S9)*100</f>
        <v>50</v>
      </c>
      <c r="Z9" s="4" cm="1">
        <f t="array" ref="Z9">_xlfn.PERCENTRANK.EXC(_xlfn._xlws.FILTER($K$3:$K$15, ISNUMBER($K$3:$K$15)),K9)*100</f>
        <v>42.8</v>
      </c>
      <c r="AA9" s="4" cm="1">
        <f t="array" ref="AA9">_xlfn.PERCENTRANK.EXC(_xlfn._xlws.FILTER($H$3:$H$15, ISNUMBER($H$3:$H$15)),H9)*100</f>
        <v>85.7</v>
      </c>
      <c r="AB9" s="4" cm="1">
        <f t="array" ref="AB9">_xlfn.PERCENTRANK.EXC(_xlfn._xlws.FILTER($J$3:$J$15, ISNUMBER($J$3:$J$15)),J9)*100</f>
        <v>85.7</v>
      </c>
      <c r="AC9" s="4">
        <f t="shared" si="4"/>
        <v>57.099999999999994</v>
      </c>
      <c r="AD9" s="4">
        <f t="shared" si="5"/>
        <v>78.5</v>
      </c>
      <c r="AE9" s="4">
        <f t="shared" si="6"/>
        <v>71.399999999999991</v>
      </c>
      <c r="AF9" s="4">
        <f ca="1">'Economic Momentum'!Q10</f>
        <v>78.5</v>
      </c>
      <c r="AG9" s="4">
        <f ca="1">'Economic Momentum'!R10</f>
        <v>7.1</v>
      </c>
      <c r="AH9" s="4">
        <f t="shared" ca="1" si="7"/>
        <v>62.81</v>
      </c>
      <c r="AJ9" s="3" cm="1">
        <f t="array" aca="1" ref="AJ9" ca="1">_xlfn.PERCENTRANK.EXC(_xlfn._xlws.FILTER($AH$3:$AH$15, ISNUMBER($AH$3:$AH$15)),AH9)*100</f>
        <v>71.399999999999991</v>
      </c>
      <c r="AK9">
        <f t="shared" si="8"/>
        <v>3</v>
      </c>
      <c r="AM9" s="4"/>
    </row>
    <row r="10" spans="1:39" x14ac:dyDescent="0.35">
      <c r="A10" t="s">
        <v>51</v>
      </c>
      <c r="B10" t="str" cm="1">
        <f t="array" ref="B10">_xll.FDS(A10,"FG_COMPANY_NAME")</f>
        <v>Invesco QQQ Trust Series I</v>
      </c>
      <c r="C10" t="s">
        <v>51</v>
      </c>
      <c r="D10" s="142">
        <f>VLOOKUP(C10,'Market Capitalisation'!$C$2:$G$14,5,FALSE)</f>
        <v>56486140</v>
      </c>
      <c r="E10" cm="1">
        <f t="array" ref="E10">_xll.FDS(C10,"FMA_COS_UP(""EPS"",""1M"",+1,0,,,""PORTAGG"",""MEANR"")")</f>
        <v>36</v>
      </c>
      <c r="F10" cm="1">
        <f t="array" ref="F10">_xll.FDS(C10,"FMA_COS_DOWN(""EPS"",""1M"",+1,0,,,""PORTAGG"",""MEANR"")")</f>
        <v>31</v>
      </c>
      <c r="G10" cm="1">
        <f t="array" ref="G10">_xll.FDS(A10,"SIZE(FG_CONSTITUENTS)")</f>
        <v>103</v>
      </c>
      <c r="H10" s="9">
        <f t="shared" si="0"/>
        <v>0.34951456310679613</v>
      </c>
      <c r="I10" s="9">
        <f t="shared" si="1"/>
        <v>0.30097087378640774</v>
      </c>
      <c r="J10" s="9">
        <f t="shared" si="2"/>
        <v>4.8543689320388383E-2</v>
      </c>
      <c r="K10" s="5" cm="1">
        <f t="array" ref="K10">_xll.FDS(A10,"FMA_PCT_ABOVE_MAVG(200,0,,,,""PORTAGG"")")/100</f>
        <v>0.61764705882352899</v>
      </c>
      <c r="L10" s="41" cm="1">
        <f t="array" ref="L10">_xll.FDSB(A10,"PERCENT_CHANGE(FMA_EPS(+1,0,,,,""PORTAGG"",""MEAN""),FMA_EPS(+1,-1AM,,,,""PORTAGG"",""MEAN""))")</f>
        <v>-0.132928896151293</v>
      </c>
      <c r="M10" s="41" cm="1">
        <f t="array" ref="M10">_xll.FDSB(A10,"PERCENT_CHANGE(FMA_EPS(+1,0,,,,""PORTAGG"",""MEAN""),FMA_EPS(+1,-3AM,,,,""PORTAGG"",""MEAN""))")</f>
        <v>0.23802773314855399</v>
      </c>
      <c r="N10" s="3" cm="1">
        <f t="array" ref="N10">_xll.FDS(C10,"FG_TOTAL_RETURNC(0,-1AM)")</f>
        <v>4.3943167000000001</v>
      </c>
      <c r="O10" s="3" cm="1">
        <f t="array" ref="O10">_xll.FDS(C10,"FG_TOTAL_RETURNC(0,-3AM)")</f>
        <v>8.0785990000000005</v>
      </c>
      <c r="P10" s="3" cm="1">
        <f t="array" ref="P10">_xll.FDS(C10,"FG_TOTAL_RETURNC(0,-6AM)")</f>
        <v>16.826857</v>
      </c>
      <c r="Q10" s="9" cm="1">
        <f t="array" ref="Q10">_xll.FDS(C10,"P_PRICE(0)/P_PRICE_HIGH_PR(0,,,,,,""PRICE"",""INTRA"",""52W"")")</f>
        <v>0.98339485999999998</v>
      </c>
      <c r="R10" s="9" cm="1">
        <f t="array" ref="R10">_xll.FDS(C10,"P_PRICE(0)/P_PRICE_low_PR(0,,,,,,""PRICE"",""INTRA"",""52W"")-1")</f>
        <v>0.39947413999999998</v>
      </c>
      <c r="S10" s="3" cm="1">
        <f t="array" ref="S10">_xll.FDS(C10,"FG_TOTAL_RETURNC(0,-12AM)")</f>
        <v>32.334282000000002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85.7</v>
      </c>
      <c r="W10" s="4" cm="1">
        <f t="array" ref="W10">_xlfn.PERCENTRANK.EXC(_xlfn._xlws.FILTER($O$3:$O$15, ISNUMBER($O$3:$O$15)),O10)*100</f>
        <v>92.800000000000011</v>
      </c>
      <c r="X10" s="4" cm="1">
        <f t="array" ref="X10">_xlfn.PERCENTRANK.EXC(_xlfn._xlws.FILTER($P$3:$P$15, ISNUMBER($P$3:$P$15)),P10)*100</f>
        <v>92.800000000000011</v>
      </c>
      <c r="Y10" s="201" cm="1">
        <f t="array" ref="Y10">_xlfn.PERCENTRANK.EXC(_xlfn._xlws.FILTER($S$3:$S$15, ISNUMBER($S$3:$S$15)),S10)*100</f>
        <v>92.800000000000011</v>
      </c>
      <c r="Z10" s="4" cm="1">
        <f t="array" ref="Z10">_xlfn.PERCENTRANK.EXC(_xlfn._xlws.FILTER($K$3:$K$15, ISNUMBER($K$3:$K$15)),K10)*100</f>
        <v>57.099999999999994</v>
      </c>
      <c r="AA10" s="4" cm="1">
        <f t="array" ref="AA10">_xlfn.PERCENTRANK.EXC(_xlfn._xlws.FILTER($H$3:$H$15, ISNUMBER($H$3:$H$15)),H10)*100</f>
        <v>42.8</v>
      </c>
      <c r="AB10" s="4" cm="1">
        <f t="array" ref="AB10">_xlfn.PERCENTRANK.EXC(_xlfn._xlws.FILTER($J$3:$J$15, ISNUMBER($J$3:$J$15)),J10)*100</f>
        <v>71.399999999999991</v>
      </c>
      <c r="AC10" s="4">
        <f t="shared" si="4"/>
        <v>85.7</v>
      </c>
      <c r="AD10" s="4">
        <f t="shared" si="5"/>
        <v>57.099999999999994</v>
      </c>
      <c r="AE10" s="4">
        <f t="shared" si="6"/>
        <v>85.7</v>
      </c>
      <c r="AF10" s="4">
        <f ca="1">'Economic Momentum'!Q11</f>
        <v>85.7</v>
      </c>
      <c r="AG10" s="4">
        <f ca="1">'Economic Momentum'!R11</f>
        <v>7.1</v>
      </c>
      <c r="AH10" s="4">
        <f t="shared" ca="1" si="7"/>
        <v>89.960000000000008</v>
      </c>
      <c r="AJ10" s="3" cm="1">
        <f t="array" aca="1" ref="AJ10" ca="1">_xlfn.PERCENTRANK.EXC(_xlfn._xlws.FILTER($AH$3:$AH$15, ISNUMBER($AH$3:$AH$15)),AH10)*100</f>
        <v>92.800000000000011</v>
      </c>
      <c r="AK10">
        <f t="shared" si="8"/>
        <v>5</v>
      </c>
      <c r="AM10" s="4"/>
    </row>
    <row r="11" spans="1:39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142">
        <f>VLOOKUP(C11,'Market Capitalisation'!$C$2:$G$14,5,FALSE)</f>
        <v>56486140</v>
      </c>
      <c r="E11" cm="1">
        <f t="array" ref="E11">_xll.FDS(C11,"FMA_COS_UP(""EPS"",""1M"",+1,0,,,""PORTAGG"",""MEANR"")")</f>
        <v>155</v>
      </c>
      <c r="F11" cm="1">
        <f t="array" ref="F11">_xll.FDS(C11,"FMA_COS_DOWN(""EPS"",""1M"",+1,0,,,""PORTAGG"",""MEANR"")")</f>
        <v>171</v>
      </c>
      <c r="G11" cm="1">
        <f t="array" ref="G11">_xll.FDS(A11,"SIZE(FG_CONSTITUENTS)")</f>
        <v>504</v>
      </c>
      <c r="H11" s="9">
        <f t="shared" si="0"/>
        <v>0.30753968253968256</v>
      </c>
      <c r="I11" s="9">
        <f t="shared" si="1"/>
        <v>0.3392857142857143</v>
      </c>
      <c r="J11" s="9">
        <f t="shared" si="2"/>
        <v>-3.1746031746031744E-2</v>
      </c>
      <c r="K11" s="5" cm="1">
        <f t="array" ref="K11">_xll.FDS(A11,"FMA_PCT_ABOVE_MAVG(200,0,,,,""PORTAGG"")")/100</f>
        <v>0.66467065868263508</v>
      </c>
      <c r="L11" s="41" cm="1">
        <f t="array" ref="L11">_xll.FDSB(A11,"PERCENT_CHANGE(FMA_EPS(+1,0,,,,""PORTAGG"",""MEAN""),FMA_EPS(+1,-1AM,,,,""PORTAGG"",""MEAN""))")</f>
        <v>-0.50718918144916603</v>
      </c>
      <c r="M11" s="41" cm="1">
        <f t="array" ref="M11">_xll.FDSB(A11,"PERCENT_CHANGE(FMA_EPS(+1,0,,,,""PORTAGG"",""MEAN""),FMA_EPS(+1,-3AM,,,,""PORTAGG"",""MEAN""))")</f>
        <v>0.247710272643617</v>
      </c>
      <c r="N11" s="3" cm="1">
        <f t="array" ref="N11">_xll.FDS(C11,"FG_TOTAL_RETURNC(0,-1AM)")</f>
        <v>3.0516744</v>
      </c>
      <c r="O11" s="3" cm="1">
        <f t="array" ref="O11">_xll.FDS(C11,"FG_TOTAL_RETURNC(0,-3AM)")</f>
        <v>4.3795346999999998</v>
      </c>
      <c r="P11" s="3" cm="1">
        <f t="array" ref="P11">_xll.FDS(C11,"FG_TOTAL_RETURNC(0,-6AM)")</f>
        <v>14.893556</v>
      </c>
      <c r="Q11" s="9" cm="1">
        <f t="array" ref="Q11">_xll.FDS(C11,"P_PRICE(0)/P_PRICE_HIGH_PR(0,,,,,,""PRICE"",""INTRA"",""52W"")")</f>
        <v>0.98898730000000001</v>
      </c>
      <c r="R11" s="9" cm="1">
        <f t="array" ref="R11">_xll.FDS(C11,"P_PRICE(0)/P_PRICE_low_PR(0,,,,,,""PRICE"",""INTRA"",""52W"")-1")</f>
        <v>0.32992840000000001</v>
      </c>
      <c r="S11" s="3" cm="1">
        <f t="array" ref="S11">_xll.FDS(C11,"FG_TOTAL_RETURNC(0,-12AM)")</f>
        <v>26.463471999999999</v>
      </c>
      <c r="T11" s="4" cm="1">
        <f t="array" ref="T11">_xlfn.PERCENTRANK.EXC(_xlfn._xlws.FILTER($R$3:$R$15, ISNUMBER($R$3:$R$15)),R11)*100</f>
        <v>78.5</v>
      </c>
      <c r="U11" s="4">
        <f t="shared" si="3"/>
        <v>21.5</v>
      </c>
      <c r="V11" s="4" cm="1">
        <f t="array" ref="V11">_xlfn.PERCENTRANK.EXC(_xlfn._xlws.FILTER($Q$3:$Q$15, ISNUMBER($Q$3:$Q$15)),Q11)*100</f>
        <v>92.800000000000011</v>
      </c>
      <c r="W11" s="4" cm="1">
        <f t="array" ref="W11">_xlfn.PERCENTRANK.EXC(_xlfn._xlws.FILTER($O$3:$O$15, ISNUMBER($O$3:$O$15)),O11)*100</f>
        <v>85.7</v>
      </c>
      <c r="X11" s="4" cm="1">
        <f t="array" ref="X11">_xlfn.PERCENTRANK.EXC(_xlfn._xlws.FILTER($P$3:$P$15, ISNUMBER($P$3:$P$15)),P11)*100</f>
        <v>85.7</v>
      </c>
      <c r="Y11" s="201" cm="1">
        <f t="array" ref="Y11">_xlfn.PERCENTRANK.EXC(_xlfn._xlws.FILTER($S$3:$S$15, ISNUMBER($S$3:$S$15)),S11)*100</f>
        <v>85.7</v>
      </c>
      <c r="Z11" s="4" cm="1">
        <f t="array" ref="Z11">_xlfn.PERCENTRANK.EXC(_xlfn._xlws.FILTER($K$3:$K$15, ISNUMBER($K$3:$K$15)),K11)*100</f>
        <v>78.5</v>
      </c>
      <c r="AA11" s="4" cm="1">
        <f t="array" ref="AA11">_xlfn.PERCENTRANK.EXC(_xlfn._xlws.FILTER($H$3:$H$15, ISNUMBER($H$3:$H$15)),H11)*100</f>
        <v>21.4</v>
      </c>
      <c r="AB11" s="4" cm="1">
        <f t="array" ref="AB11">_xlfn.PERCENTRANK.EXC(_xlfn._xlws.FILTER($J$3:$J$15, ISNUMBER($J$3:$J$15)),J11)*100</f>
        <v>28.499999999999996</v>
      </c>
      <c r="AC11" s="4">
        <f t="shared" si="4"/>
        <v>78.5</v>
      </c>
      <c r="AD11" s="4">
        <f t="shared" si="5"/>
        <v>64.2</v>
      </c>
      <c r="AE11" s="4">
        <f t="shared" si="6"/>
        <v>85.7</v>
      </c>
      <c r="AF11" s="4">
        <f ca="1">'Economic Momentum'!Q12</f>
        <v>85.7</v>
      </c>
      <c r="AG11" s="4">
        <f ca="1">'Economic Momentum'!R12</f>
        <v>7.1</v>
      </c>
      <c r="AH11" s="4">
        <f t="shared" ca="1" si="7"/>
        <v>88.54</v>
      </c>
      <c r="AJ11" s="3" cm="1">
        <f t="array" aca="1" ref="AJ11" ca="1">_xlfn.PERCENTRANK.EXC(_xlfn._xlws.FILTER($AH$3:$AH$15, ISNUMBER($AH$3:$AH$15)),AH11)*100</f>
        <v>85.7</v>
      </c>
      <c r="AK11">
        <f t="shared" si="8"/>
        <v>5</v>
      </c>
      <c r="AM11" s="4"/>
    </row>
    <row r="12" spans="1:39" x14ac:dyDescent="0.35">
      <c r="A12" t="s">
        <v>865</v>
      </c>
      <c r="B12" t="str" cm="1">
        <f t="array" ref="B12">_xll.FDS(A12,"FG_COMPANY_NAME")</f>
        <v>iShares MSCI France ETF</v>
      </c>
      <c r="C12" t="s">
        <v>865</v>
      </c>
      <c r="D12" s="142">
        <f>VLOOKUP(C12,'Market Capitalisation'!$C$2:$G$14,5,FALSE)</f>
        <v>3095495</v>
      </c>
      <c r="E12" cm="1">
        <f t="array" ref="E12">_xll.FDS(C12,"FMA_COS_UP(""EPS"",""1M"",+1,0,,,""PORTAGG"",""MEANR"")")</f>
        <v>27</v>
      </c>
      <c r="F12" cm="1">
        <f t="array" ref="F12">_xll.FDS(C12,"FMA_COS_DOWN(""EPS"",""1M"",+1,0,,,""PORTAGG"",""MEANR"")")</f>
        <v>26</v>
      </c>
      <c r="G12" cm="1">
        <f t="array" ref="G12">_xll.FDS(A12,"SIZE(FG_CONSTITUENTS)")</f>
        <v>62</v>
      </c>
      <c r="H12" s="9">
        <f t="shared" ref="H12:H15" si="9">E12/$G12</f>
        <v>0.43548387096774194</v>
      </c>
      <c r="I12" s="9">
        <f t="shared" ref="I12:I15" si="10">F12/$G12</f>
        <v>0.41935483870967744</v>
      </c>
      <c r="J12" s="9">
        <f t="shared" ref="J12:J15" si="11">H12-I12</f>
        <v>1.6129032258064502E-2</v>
      </c>
      <c r="K12" s="5" cm="1">
        <f t="array" ref="K12">_xll.FDS(A12,"FMA_PCT_ABOVE_MAVG(200,0,,,,""PORTAGG"")")/100</f>
        <v>0.40322580645161304</v>
      </c>
      <c r="L12" s="41" cm="1">
        <f t="array" ref="L12">_xll.FDSB(A12,"PERCENT_CHANGE(FMA_EPS(+1,0,,,,""PORTAGG"",""MEAN""),FMA_EPS(+1,-1AM,,,,""PORTAGG"",""MEAN""))")</f>
        <v>-3.9114784152340198</v>
      </c>
      <c r="M12" s="41" cm="1">
        <f t="array" ref="M12">_xll.FDSB(A12,"PERCENT_CHANGE(FMA_EPS(+1,0,,,,""PORTAGG"",""MEAN""),FMA_EPS(+1,-3AM,,,,""PORTAGG"",""MEAN""))")</f>
        <v>-2.4458904857176398</v>
      </c>
      <c r="N12" s="3" cm="1">
        <f t="array" ref="N12">_xll.FDS(C12,"FG_TOTAL_RETURNC(0,-1AM)")</f>
        <v>-7.5617846999999996</v>
      </c>
      <c r="O12" s="3" cm="1">
        <f t="array" ref="O12">_xll.FDS(C12,"FG_TOTAL_RETURNC(0,-3AM)")</f>
        <v>-6.6465560000000004</v>
      </c>
      <c r="P12" s="3" cm="1">
        <f t="array" ref="P12">_xll.FDS(C12,"FG_TOTAL_RETURNC(0,-6AM)")</f>
        <v>-1.2071073000000001</v>
      </c>
      <c r="Q12" s="9" cm="1">
        <f t="array" ref="Q12">_xll.FDS(C12,"P_PRICE(0)/P_PRICE_HIGH_PR(0,,,,,,""PRICE"",""INTRA"",""52W"")")</f>
        <v>0.88685446999999995</v>
      </c>
      <c r="R12" s="9" cm="1">
        <f t="array" ref="R12">_xll.FDS(C12,"P_PRICE(0)/P_PRICE_low_PR(0,,,,,,""PRICE"",""INTRA"",""52W"")-1")</f>
        <v>0.12240040000000001</v>
      </c>
      <c r="S12" s="3" cm="1">
        <f t="array" ref="S12">_xll.FDS(C12,"FG_TOTAL_RETURNC(0,-12AM)")</f>
        <v>2.5551796000000002</v>
      </c>
      <c r="T12" s="4" cm="1">
        <f t="array" ref="T12">_xlfn.PERCENTRANK.EXC(_xlfn._xlws.FILTER($R$3:$R$15, ISNUMBER($R$3:$R$15)),R12)*100</f>
        <v>14.2</v>
      </c>
      <c r="U12" s="4">
        <f t="shared" ref="U12:U15" si="12">100-T12</f>
        <v>85.8</v>
      </c>
      <c r="V12" s="4" cm="1">
        <f t="array" ref="V12">_xlfn.PERCENTRANK.EXC(_xlfn._xlws.FILTER($Q$3:$Q$15, ISNUMBER($Q$3:$Q$15)),Q12)*100</f>
        <v>14.2</v>
      </c>
      <c r="W12" s="4" cm="1">
        <f t="array" ref="W12">_xlfn.PERCENTRANK.EXC(_xlfn._xlws.FILTER($O$3:$O$15, ISNUMBER($O$3:$O$15)),O12)*100</f>
        <v>7.1</v>
      </c>
      <c r="X12" s="4" cm="1">
        <f t="array" ref="X12">_xlfn.PERCENTRANK.EXC(_xlfn._xlws.FILTER($P$3:$P$15, ISNUMBER($P$3:$P$15)),P12)*100</f>
        <v>14.2</v>
      </c>
      <c r="Y12" s="201" cm="1">
        <f t="array" ref="Y12">_xlfn.PERCENTRANK.EXC(_xlfn._xlws.FILTER($S$3:$S$15, ISNUMBER($S$3:$S$15)),S12)*100</f>
        <v>14.2</v>
      </c>
      <c r="Z12" s="4" cm="1">
        <f t="array" ref="Z12">_xlfn.PERCENTRANK.EXC(_xlfn._xlws.FILTER($K$3:$K$15, ISNUMBER($K$3:$K$15)),K12)*100</f>
        <v>14.2</v>
      </c>
      <c r="AA12" s="4" cm="1">
        <f t="array" ref="AA12">_xlfn.PERCENTRANK.EXC(_xlfn._xlws.FILTER($H$3:$H$15, ISNUMBER($H$3:$H$15)),H12)*100</f>
        <v>71.399999999999991</v>
      </c>
      <c r="AB12" s="4" cm="1">
        <f t="array" ref="AB12">_xlfn.PERCENTRANK.EXC(_xlfn._xlws.FILTER($J$3:$J$15, ISNUMBER($J$3:$J$15)),J12)*100</f>
        <v>50</v>
      </c>
      <c r="AC12" s="4">
        <f t="shared" si="4"/>
        <v>14.2</v>
      </c>
      <c r="AD12" s="4">
        <f t="shared" si="5"/>
        <v>14.2</v>
      </c>
      <c r="AE12" s="4">
        <f t="shared" si="6"/>
        <v>64.2</v>
      </c>
      <c r="AF12" s="4">
        <f ca="1">'Economic Momentum'!Q13</f>
        <v>14.2</v>
      </c>
      <c r="AG12" s="4">
        <f ca="1">'Economic Momentum'!R13</f>
        <v>7.1</v>
      </c>
      <c r="AH12" s="4">
        <f t="shared" ca="1" si="7"/>
        <v>12.07</v>
      </c>
      <c r="AJ12" s="3" cm="1">
        <f t="array" aca="1" ref="AJ12" ca="1">_xlfn.PERCENTRANK.EXC(_xlfn._xlws.FILTER($AH$3:$AH$15, ISNUMBER($AH$3:$AH$15)),AH12)*100</f>
        <v>7.1</v>
      </c>
      <c r="AK12">
        <f t="shared" si="8"/>
        <v>1</v>
      </c>
    </row>
    <row r="13" spans="1:39" x14ac:dyDescent="0.35">
      <c r="A13" t="s">
        <v>867</v>
      </c>
      <c r="B13" t="str" cm="1">
        <f t="array" ref="B13">_xll.FDS(A13,"FG_COMPANY_NAME")</f>
        <v>iShares MSCI Netherlands ETF</v>
      </c>
      <c r="C13" t="s">
        <v>867</v>
      </c>
      <c r="D13" s="142">
        <f>VLOOKUP(C13,'Market Capitalisation'!$C$2:$G$14,5,FALSE)</f>
        <v>1161401.5</v>
      </c>
      <c r="E13" cm="1">
        <f t="array" ref="E13">_xll.FDS(C13,"FMA_COS_UP(""EPS"",""1M"",+1,0,,,""PORTAGG"",""MEANR"")")</f>
        <v>25</v>
      </c>
      <c r="F13" cm="1">
        <f t="array" ref="F13">_xll.FDS(C13,"FMA_COS_DOWN(""EPS"",""1M"",+1,0,,,""PORTAGG"",""MEANR"")")</f>
        <v>17</v>
      </c>
      <c r="G13" cm="1">
        <f t="array" ref="G13">_xll.FDS(A13,"SIZE(FG_CONSTITUENTS)")</f>
        <v>53</v>
      </c>
      <c r="H13" s="9">
        <f t="shared" si="9"/>
        <v>0.47169811320754718</v>
      </c>
      <c r="I13" s="9">
        <f t="shared" si="10"/>
        <v>0.32075471698113206</v>
      </c>
      <c r="J13" s="9">
        <f t="shared" si="11"/>
        <v>0.15094339622641512</v>
      </c>
      <c r="K13" s="5" cm="1">
        <f t="array" ref="K13">_xll.FDS(A13,"FMA_PCT_ABOVE_MAVG(200,0,,,,""PORTAGG"")")/100</f>
        <v>0.58490566037735803</v>
      </c>
      <c r="L13" s="41" cm="1">
        <f t="array" ref="L13">_xll.FDSB(A13,"PERCENT_CHANGE(FMA_EPS(+1,0,,,,""PORTAGG"",""MEAN""),FMA_EPS(+1,-1AM,,,,""PORTAGG"",""MEAN""))")</f>
        <v>-3.6375905777811801</v>
      </c>
      <c r="M13" s="41" cm="1">
        <f t="array" ref="M13">_xll.FDSB(A13,"PERCENT_CHANGE(FMA_EPS(+1,0,,,,""PORTAGG"",""MEAN""),FMA_EPS(+1,-3AM,,,,""PORTAGG"",""MEAN""))")</f>
        <v>-1.7703093283495499</v>
      </c>
      <c r="N13" s="3" cm="1">
        <f t="array" ref="N13">_xll.FDS(C13,"FG_TOTAL_RETURNC(0,-1AM)")</f>
        <v>-2.2201061000000002</v>
      </c>
      <c r="O13" s="3" cm="1">
        <f t="array" ref="O13">_xll.FDS(C13,"FG_TOTAL_RETURNC(0,-3AM)")</f>
        <v>2.6609777999999999</v>
      </c>
      <c r="P13" s="3" cm="1">
        <f t="array" ref="P13">_xll.FDS(C13,"FG_TOTAL_RETURNC(0,-6AM)")</f>
        <v>13.791788</v>
      </c>
      <c r="Q13" s="9" cm="1">
        <f t="array" ref="Q13">_xll.FDS(C13,"P_PRICE(0)/P_PRICE_HIGH_PR(0,,,,,,""PRICE"",""INTRA"",""52W"")")</f>
        <v>0.95331186000000001</v>
      </c>
      <c r="R13" s="9" cm="1">
        <f t="array" ref="R13">_xll.FDS(C13,"P_PRICE(0)/P_PRICE_low_PR(0,,,,,,""PRICE"",""INTRA"",""52W"")-1")</f>
        <v>0.38412785999999999</v>
      </c>
      <c r="S13" s="3" cm="1">
        <f t="array" ref="S13">_xll.FDS(C13,"FG_TOTAL_RETURNC(0,-12AM)")</f>
        <v>19.467545000000001</v>
      </c>
      <c r="T13" s="4" cm="1">
        <f t="array" ref="T13">_xlfn.PERCENTRANK.EXC(_xlfn._xlws.FILTER($R$3:$R$15, ISNUMBER($R$3:$R$15)),R13)*100</f>
        <v>85.7</v>
      </c>
      <c r="U13" s="4">
        <f t="shared" si="12"/>
        <v>14.299999999999997</v>
      </c>
      <c r="V13" s="4" cm="1">
        <f t="array" ref="V13">_xlfn.PERCENTRANK.EXC(_xlfn._xlws.FILTER($Q$3:$Q$15, ISNUMBER($Q$3:$Q$15)),Q13)*100</f>
        <v>64.2</v>
      </c>
      <c r="W13" s="4" cm="1">
        <f t="array" ref="W13">_xlfn.PERCENTRANK.EXC(_xlfn._xlws.FILTER($O$3:$O$15, ISNUMBER($O$3:$O$15)),O13)*100</f>
        <v>64.2</v>
      </c>
      <c r="X13" s="4" cm="1">
        <f t="array" ref="X13">_xlfn.PERCENTRANK.EXC(_xlfn._xlws.FILTER($P$3:$P$15, ISNUMBER($P$3:$P$15)),P13)*100</f>
        <v>78.5</v>
      </c>
      <c r="Y13" s="201" cm="1">
        <f t="array" ref="Y13">_xlfn.PERCENTRANK.EXC(_xlfn._xlws.FILTER($S$3:$S$15, ISNUMBER($S$3:$S$15)),S13)*100</f>
        <v>71.399999999999991</v>
      </c>
      <c r="Z13" s="4" cm="1">
        <f t="array" ref="Z13">_xlfn.PERCENTRANK.EXC(_xlfn._xlws.FILTER($K$3:$K$15, ISNUMBER($K$3:$K$15)),K13)*100</f>
        <v>35.699999999999996</v>
      </c>
      <c r="AA13" s="4" cm="1">
        <f t="array" ref="AA13">_xlfn.PERCENTRANK.EXC(_xlfn._xlws.FILTER($H$3:$H$15, ISNUMBER($H$3:$H$15)),H13)*100</f>
        <v>78.5</v>
      </c>
      <c r="AB13" s="4" cm="1">
        <f t="array" ref="AB13">_xlfn.PERCENTRANK.EXC(_xlfn._xlws.FILTER($J$3:$J$15, ISNUMBER($J$3:$J$15)),J13)*100</f>
        <v>92.800000000000011</v>
      </c>
      <c r="AC13" s="4">
        <f t="shared" si="4"/>
        <v>28.499999999999996</v>
      </c>
      <c r="AD13" s="4">
        <f t="shared" si="5"/>
        <v>28.499999999999996</v>
      </c>
      <c r="AE13" s="4">
        <f t="shared" si="6"/>
        <v>28.499999999999996</v>
      </c>
      <c r="AF13" s="4">
        <f ca="1">'Economic Momentum'!Q14</f>
        <v>28.499999999999996</v>
      </c>
      <c r="AG13" s="4">
        <f ca="1">'Economic Momentum'!R14</f>
        <v>7.1</v>
      </c>
      <c r="AH13" s="4">
        <f t="shared" ca="1" si="7"/>
        <v>68.490000000000009</v>
      </c>
      <c r="AJ13" s="3" cm="1">
        <f t="array" aca="1" ref="AJ13" ca="1">_xlfn.PERCENTRANK.EXC(_xlfn._xlws.FILTER($AH$3:$AH$15, ISNUMBER($AH$3:$AH$15)),AH13)*100</f>
        <v>78.5</v>
      </c>
      <c r="AK13">
        <f t="shared" si="8"/>
        <v>4</v>
      </c>
    </row>
    <row r="14" spans="1:39" x14ac:dyDescent="0.35">
      <c r="A14" t="s">
        <v>864</v>
      </c>
      <c r="B14" t="str" cm="1">
        <f t="array" ref="B14">_xll.FDS(A14,"FG_COMPANY_NAME")</f>
        <v>iShares MSCI Sweden ETF</v>
      </c>
      <c r="C14" t="s">
        <v>864</v>
      </c>
      <c r="D14" s="142">
        <f>VLOOKUP(C14,'Market Capitalisation'!$C$2:$G$14,5,FALSE)</f>
        <v>1011404.6</v>
      </c>
      <c r="E14" cm="1">
        <f t="array" ref="E14">_xll.FDS(C14,"FMA_COS_UP(""EPS"",""1M"",+1,0,,,""PORTAGG"",""MEANR"")")</f>
        <v>9</v>
      </c>
      <c r="F14" cm="1">
        <f t="array" ref="F14">_xll.FDS(C14,"FMA_COS_DOWN(""EPS"",""1M"",+1,0,,,""PORTAGG"",""MEANR"")")</f>
        <v>24</v>
      </c>
      <c r="G14" cm="1">
        <f t="array" ref="G14">_xll.FDS(A14,"SIZE(FG_CONSTITUENTS)")</f>
        <v>46</v>
      </c>
      <c r="H14" s="9">
        <f t="shared" si="9"/>
        <v>0.19565217391304349</v>
      </c>
      <c r="I14" s="9">
        <f t="shared" si="10"/>
        <v>0.52173913043478259</v>
      </c>
      <c r="J14" s="9">
        <f t="shared" si="11"/>
        <v>-0.32608695652173914</v>
      </c>
      <c r="K14" s="5" cm="1">
        <f t="array" ref="K14">_xll.FDS(A14,"FMA_PCT_ABOVE_MAVG(200,0,,,,""PORTAGG"")")/100</f>
        <v>0.79545454545454508</v>
      </c>
      <c r="L14" s="41" cm="1">
        <f t="array" ref="L14">_xll.FDSB(A14,"PERCENT_CHANGE(FMA_EPS(+1,0,,,,""PORTAGG"",""MEAN""),FMA_EPS(+1,-1AM,,,,""PORTAGG"",""MEAN""))")</f>
        <v>-2.2895332805868498</v>
      </c>
      <c r="M14" s="41" cm="1">
        <f t="array" ref="M14">_xll.FDSB(A14,"PERCENT_CHANGE(FMA_EPS(+1,0,,,,""PORTAGG"",""MEAN""),FMA_EPS(+1,-3AM,,,,""PORTAGG"",""MEAN""))")</f>
        <v>2.3206452024905899</v>
      </c>
      <c r="N14" s="3" cm="1">
        <f t="array" ref="N14">_xll.FDS(C14,"FG_TOTAL_RETURNC(0,-1AM)")</f>
        <v>-2.2967875000000002</v>
      </c>
      <c r="O14" s="3" cm="1">
        <f t="array" ref="O14">_xll.FDS(C14,"FG_TOTAL_RETURNC(0,-3AM)")</f>
        <v>2.3487686999999999</v>
      </c>
      <c r="P14" s="3" cm="1">
        <f t="array" ref="P14">_xll.FDS(C14,"FG_TOTAL_RETURNC(0,-6AM)")</f>
        <v>2.8894782000000001</v>
      </c>
      <c r="Q14" s="9" cm="1">
        <f t="array" ref="Q14">_xll.FDS(C14,"P_PRICE(0)/P_PRICE_HIGH_PR(0,,,,,,""PRICE"",""INTRA"",""52W"")")</f>
        <v>0.94372796999999997</v>
      </c>
      <c r="R14" s="9" cm="1">
        <f t="array" ref="R14">_xll.FDS(C14,"P_PRICE(0)/P_PRICE_low_PR(0,,,,,,""PRICE"",""INTRA"",""52W"")-1")</f>
        <v>0.31171584000000002</v>
      </c>
      <c r="S14" s="3" cm="1">
        <f t="array" ref="S14">_xll.FDS(C14,"FG_TOTAL_RETURNC(0,-12AM)")</f>
        <v>20.565391999999999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35.699999999999996</v>
      </c>
      <c r="W14" s="4" cm="1">
        <f t="array" ref="W14">_xlfn.PERCENTRANK.EXC(_xlfn._xlws.FILTER($O$3:$O$15, ISNUMBER($O$3:$O$15)),O14)*100</f>
        <v>57.099999999999994</v>
      </c>
      <c r="X14" s="4" cm="1">
        <f t="array" ref="X14">_xlfn.PERCENTRANK.EXC(_xlfn._xlws.FILTER($P$3:$P$15, ISNUMBER($P$3:$P$15)),P14)*100</f>
        <v>42.8</v>
      </c>
      <c r="Y14" s="201" cm="1">
        <f t="array" ref="Y14">_xlfn.PERCENTRANK.EXC(_xlfn._xlws.FILTER($S$3:$S$15, ISNUMBER($S$3:$S$15)),S14)*100</f>
        <v>78.5</v>
      </c>
      <c r="Z14" s="4" cm="1">
        <f t="array" ref="Z14">_xlfn.PERCENTRANK.EXC(_xlfn._xlws.FILTER($K$3:$K$15, ISNUMBER($K$3:$K$15)),K14)*100</f>
        <v>92.800000000000011</v>
      </c>
      <c r="AA14" s="4" cm="1">
        <f t="array" ref="AA14">_xlfn.PERCENTRANK.EXC(_xlfn._xlws.FILTER($H$3:$H$15, ISNUMBER($H$3:$H$15)),H14)*100</f>
        <v>7.1</v>
      </c>
      <c r="AB14" s="4" cm="1">
        <f t="array" ref="AB14">_xlfn.PERCENTRANK.EXC(_xlfn._xlws.FILTER($J$3:$J$15, ISNUMBER($J$3:$J$15)),J14)*100</f>
        <v>7.1</v>
      </c>
      <c r="AC14" s="4">
        <f t="shared" si="4"/>
        <v>42.8</v>
      </c>
      <c r="AD14" s="4">
        <f t="shared" si="5"/>
        <v>92.800000000000011</v>
      </c>
      <c r="AE14" s="4">
        <f t="shared" si="6"/>
        <v>21.4</v>
      </c>
      <c r="AF14" s="4">
        <f ca="1">'Economic Momentum'!Q15</f>
        <v>28.499999999999996</v>
      </c>
      <c r="AG14" s="4">
        <f ca="1">'Economic Momentum'!R15</f>
        <v>7.1</v>
      </c>
      <c r="AH14" s="4">
        <f t="shared" ca="1" si="7"/>
        <v>44.249999999999993</v>
      </c>
      <c r="AJ14" s="3" cm="1">
        <f t="array" aca="1" ref="AJ14" ca="1">_xlfn.PERCENTRANK.EXC(_xlfn._xlws.FILTER($AH$3:$AH$15, ISNUMBER($AH$3:$AH$15)),AH14)*100</f>
        <v>42.8</v>
      </c>
      <c r="AK14">
        <f t="shared" si="8"/>
        <v>2</v>
      </c>
    </row>
    <row r="15" spans="1:39" x14ac:dyDescent="0.35">
      <c r="A15" t="s">
        <v>866</v>
      </c>
      <c r="B15" t="str" cm="1">
        <f t="array" ref="B15">_xll.FDS(A15,"FG_COMPANY_NAME")</f>
        <v>iShares MSCI Italy ETF</v>
      </c>
      <c r="C15" t="s">
        <v>866</v>
      </c>
      <c r="D15" s="142">
        <f>VLOOKUP(C15,'Market Capitalisation'!$C$2:$G$14,5,FALSE)</f>
        <v>844926.94</v>
      </c>
      <c r="E15" cm="1">
        <f t="array" ref="E15">_xll.FDS(C15,"FMA_COS_UP(""EPS"",""1M"",+1,0,,,""PORTAGG"",""MEANR"")")</f>
        <v>9</v>
      </c>
      <c r="F15" cm="1">
        <f t="array" ref="F15">_xll.FDS(C15,"FMA_COS_DOWN(""EPS"",""1M"",+1,0,,,""PORTAGG"",""MEANR"")")</f>
        <v>9</v>
      </c>
      <c r="G15" cm="1">
        <f t="array" ref="G15">_xll.FDS(A15,"SIZE(FG_CONSTITUENTS)")</f>
        <v>27</v>
      </c>
      <c r="H15" s="9">
        <f t="shared" si="9"/>
        <v>0.33333333333333331</v>
      </c>
      <c r="I15" s="9">
        <f t="shared" si="10"/>
        <v>0.33333333333333331</v>
      </c>
      <c r="J15" s="9">
        <f t="shared" si="11"/>
        <v>0</v>
      </c>
      <c r="K15" s="5" cm="1">
        <f t="array" ref="K15">_xll.FDS(A15,"FMA_PCT_ABOVE_MAVG(200,0,,,,""PORTAGG"")")/100</f>
        <v>0.52</v>
      </c>
      <c r="L15" s="41" cm="1">
        <f t="array" ref="L15">_xll.FDSB(A15,"PERCENT_CHANGE(FMA_EPS(+1,0,,,,""PORTAGG"",""MEAN""),FMA_EPS(+1,-1AM,,,,""PORTAGG"",""MEAN""))")</f>
        <v>-3.7499506208452198</v>
      </c>
      <c r="M15" s="41" cm="1">
        <f t="array" ref="M15">_xll.FDSB(A15,"PERCENT_CHANGE(FMA_EPS(+1,0,,,,""PORTAGG"",""MEAN""),FMA_EPS(+1,-3AM,,,,""PORTAGG"",""MEAN""))")</f>
        <v>-1.0952127021139</v>
      </c>
      <c r="N15" s="3" cm="1">
        <f t="array" ref="N15">_xll.FDS(C15,"FG_TOTAL_RETURNC(0,-1AM)")</f>
        <v>-5.4123697000000002</v>
      </c>
      <c r="O15" s="3" cm="1">
        <f t="array" ref="O15">_xll.FDS(C15,"FG_TOTAL_RETURNC(0,-3AM)")</f>
        <v>-2.6038290000000002</v>
      </c>
      <c r="P15" s="3" cm="1">
        <f t="array" ref="P15">_xll.FDS(C15,"FG_TOTAL_RETURNC(0,-6AM)")</f>
        <v>8.307302</v>
      </c>
      <c r="Q15" s="9" cm="1">
        <f t="array" ref="Q15">_xll.FDS(C15,"P_PRICE(0)/P_PRICE_HIGH_PR(0,,,,,,""PRICE"",""INTRA"",""52W"")")</f>
        <v>0.91059179999999995</v>
      </c>
      <c r="R15" s="9" cm="1">
        <f t="array" ref="R15">_xll.FDS(C15,"P_PRICE(0)/P_PRICE_low_PR(0,,,,,,""PRICE"",""INTRA"",""52W"")-1")</f>
        <v>0.23556780999999999</v>
      </c>
      <c r="S15" s="3" cm="1">
        <f t="array" ref="S15">_xll.FDS(C15,"FG_TOTAL_RETURNC(0,-12AM)")</f>
        <v>19.349765999999999</v>
      </c>
      <c r="T15" s="4" cm="1">
        <f t="array" ref="T15">_xlfn.PERCENTRANK.EXC(_xlfn._xlws.FILTER($R$3:$R$15, ISNUMBER($R$3:$R$15)),R15)*100</f>
        <v>57.099999999999994</v>
      </c>
      <c r="U15" s="4">
        <f t="shared" si="12"/>
        <v>42.900000000000006</v>
      </c>
      <c r="V15" s="4" cm="1">
        <f t="array" ref="V15">_xlfn.PERCENTRANK.EXC(_xlfn._xlws.FILTER($Q$3:$Q$15, ISNUMBER($Q$3:$Q$15)),Q15)*100</f>
        <v>21.4</v>
      </c>
      <c r="W15" s="4" cm="1">
        <f t="array" ref="W15">_xlfn.PERCENTRANK.EXC(_xlfn._xlws.FILTER($O$3:$O$15, ISNUMBER($O$3:$O$15)),O15)*100</f>
        <v>21.4</v>
      </c>
      <c r="X15" s="4" cm="1">
        <f t="array" ref="X15">_xlfn.PERCENTRANK.EXC(_xlfn._xlws.FILTER($P$3:$P$15, ISNUMBER($P$3:$P$15)),P15)*100</f>
        <v>71.399999999999991</v>
      </c>
      <c r="Y15" s="201" cm="1">
        <f t="array" ref="Y15">_xlfn.PERCENTRANK.EXC(_xlfn._xlws.FILTER($S$3:$S$15, ISNUMBER($S$3:$S$15)),S15)*100</f>
        <v>64.2</v>
      </c>
      <c r="Z15" s="4" cm="1">
        <f t="array" ref="Z15">_xlfn.PERCENTRANK.EXC(_xlfn._xlws.FILTER($K$3:$K$15, ISNUMBER($K$3:$K$15)),K15)*100</f>
        <v>21.4</v>
      </c>
      <c r="AA15" s="4" cm="1">
        <f t="array" ref="AA15">_xlfn.PERCENTRANK.EXC(_xlfn._xlws.FILTER($H$3:$H$15, ISNUMBER($H$3:$H$15)),H15)*100</f>
        <v>35.699999999999996</v>
      </c>
      <c r="AB15" s="4" cm="1">
        <f t="array" ref="AB15">_xlfn.PERCENTRANK.EXC(_xlfn._xlws.FILTER($J$3:$J$15, ISNUMBER($J$3:$J$15)),J15)*100</f>
        <v>35.699999999999996</v>
      </c>
      <c r="AC15" s="4">
        <f t="shared" si="4"/>
        <v>21.4</v>
      </c>
      <c r="AD15" s="4">
        <f t="shared" si="5"/>
        <v>35.699999999999996</v>
      </c>
      <c r="AE15" s="4">
        <f t="shared" si="6"/>
        <v>14.2</v>
      </c>
      <c r="AF15" s="4">
        <f ca="1">'Economic Momentum'!Q16</f>
        <v>28.499999999999996</v>
      </c>
      <c r="AG15" s="4">
        <f ca="1">'Economic Momentum'!R16</f>
        <v>7.1</v>
      </c>
      <c r="AH15" s="4">
        <f t="shared" ca="1" si="7"/>
        <v>36.4</v>
      </c>
      <c r="AJ15" s="3" cm="1">
        <f t="array" aca="1" ref="AJ15" ca="1">_xlfn.PERCENTRANK.EXC(_xlfn._xlws.FILTER($AH$3:$AH$15, ISNUMBER($AH$3:$AH$15)),AH15)*100</f>
        <v>21.4</v>
      </c>
      <c r="AK15">
        <f t="shared" si="8"/>
        <v>1</v>
      </c>
    </row>
    <row r="16" spans="1:39" x14ac:dyDescent="0.35">
      <c r="H16" s="9"/>
      <c r="I16" s="9"/>
      <c r="J16" s="9"/>
      <c r="K16" s="5"/>
      <c r="L16" s="41"/>
      <c r="M16" s="41"/>
      <c r="N16" s="3"/>
      <c r="O16" s="3"/>
      <c r="Q16" s="9"/>
      <c r="R16" s="9"/>
      <c r="S16" s="3"/>
      <c r="V16" s="4"/>
      <c r="W16" s="4"/>
      <c r="X16" s="4"/>
      <c r="Z16" s="4"/>
      <c r="AA16" s="4"/>
      <c r="AB16" s="4"/>
      <c r="AC16" s="4"/>
      <c r="AD16" s="4"/>
      <c r="AE16" s="4"/>
      <c r="AF16" s="4"/>
      <c r="AG16" s="4"/>
      <c r="AH16" s="4"/>
      <c r="AJ16" s="4"/>
    </row>
    <row r="17" spans="1:37" x14ac:dyDescent="0.35">
      <c r="A17" s="1" t="s">
        <v>779</v>
      </c>
      <c r="H17" s="9"/>
      <c r="I17" s="9"/>
      <c r="J17" s="9"/>
      <c r="K17" s="5"/>
      <c r="L17" s="41"/>
      <c r="M17" s="41"/>
      <c r="N17" s="3"/>
      <c r="O17" s="3"/>
      <c r="Q17" s="9"/>
      <c r="R17" s="9"/>
      <c r="S17" s="3"/>
      <c r="V17" s="4"/>
      <c r="W17" s="4"/>
      <c r="X17" s="4"/>
      <c r="Z17" s="4"/>
      <c r="AA17" s="4"/>
      <c r="AB17" s="4"/>
      <c r="AC17" s="4"/>
      <c r="AD17" s="4"/>
      <c r="AE17" s="4"/>
      <c r="AF17" s="4"/>
      <c r="AG17" s="4"/>
      <c r="AH17" s="4"/>
      <c r="AJ17" s="4"/>
    </row>
    <row r="18" spans="1:37" x14ac:dyDescent="0.35">
      <c r="A18" t="s">
        <v>536</v>
      </c>
      <c r="B18" t="s">
        <v>227</v>
      </c>
      <c r="C18" t="str">
        <f>A18</f>
        <v>VGK</v>
      </c>
      <c r="E18" cm="1">
        <f t="array" ref="E18">_xll.FDS(C18,"FMA_COS_UP(""EPS"",""1M"",+1,0,,,""PORTAGG"",""MEANR"")")</f>
        <v>516</v>
      </c>
      <c r="F18" cm="1">
        <f t="array" ref="F18">_xll.FDS(C18,"FMA_COS_DOWN(""EPS"",""1M"",+1,0,,,""PORTAGG"",""MEANR"")")</f>
        <v>437</v>
      </c>
      <c r="G18" cm="1">
        <f t="array" ref="G18">_xll.FDS(A18,"SIZE(FG_CONSTITUENTS)")</f>
        <v>1279</v>
      </c>
      <c r="H18" s="9">
        <f>E18/$G18</f>
        <v>0.40344018764659889</v>
      </c>
      <c r="I18" s="9">
        <f>F18/$G18</f>
        <v>0.34167318217357312</v>
      </c>
      <c r="J18" s="9">
        <f t="shared" ref="J18" si="13">H18-I18</f>
        <v>6.1767005473025771E-2</v>
      </c>
      <c r="K18" s="5" cm="1">
        <f t="array" ref="K18">_xll.FDS(A18,"FMA_PCT_ABOVE_MAVG(200,0,,,,""PORTAGG"")")/100</f>
        <v>0.7321144674085851</v>
      </c>
      <c r="L18" s="41" cm="1">
        <f t="array" ref="L18">_xll.FDSB(A18,"PERCENT_CHANGE(FMA_EPS(+1,0,,,,""PORTAGG"",""MEAN""),FMA_EPS(+1,-1AM,,,,""PORTAGG"",""MEAN""))")</f>
        <v>4.0534779115518402</v>
      </c>
      <c r="M18" s="41" cm="1">
        <f t="array" ref="M18">_xll.FDSB(A18,"PERCENT_CHANGE(FMA_EPS(+1,0,,,,""PORTAGG"",""MEAN""),FMA_EPS(+1,-3AM,,,,""PORTAGG"",""MEAN""))")</f>
        <v>3.2434992080979801</v>
      </c>
      <c r="N18" s="3" cm="1">
        <f t="array" ref="N18">_xll.FDS(C18,"FG_TOTAL_RETURNC(0,-1AM)")</f>
        <v>-2.5761783</v>
      </c>
      <c r="O18" s="3" cm="1">
        <f t="array" ref="O18">_xll.FDS(C18,"FG_TOTAL_RETURNC(0,-3AM)")</f>
        <v>0.67900419999999995</v>
      </c>
      <c r="P18" s="3" cm="1">
        <f t="array" ref="P18">_xll.FDS(C18,"FG_TOTAL_RETURNC(0,-6AM)")</f>
        <v>5.8270574000000002</v>
      </c>
      <c r="Q18" s="9" cm="1">
        <f t="array" ref="Q18">_xll.FDS(C18,"P_PRICE(0)/P_PRICE_HIGH_PR(0,,,,,,""PRICE"",""INTRA"",""52W"")")</f>
        <v>0.944747</v>
      </c>
      <c r="R18" s="9" cm="1">
        <f t="array" ref="R18">_xll.FDS(C18,"P_PRICE(0)/P_PRICE_low_PR(0,,,,,,""PRICE"",""INTRA"",""52W"")-1")</f>
        <v>0.212677</v>
      </c>
      <c r="S18" s="3" cm="1">
        <f t="array" ref="S18">_xll.FDS(C18,"FG_TOTAL_RETURNC(0,-12AM)")</f>
        <v>13.358784</v>
      </c>
      <c r="W18" s="4"/>
      <c r="X18" s="4"/>
      <c r="Y18" s="201"/>
      <c r="AA18" s="4"/>
      <c r="AB18" s="4"/>
      <c r="AC18" s="4"/>
      <c r="AD18" s="4"/>
      <c r="AE18" s="4"/>
      <c r="AF18" s="4"/>
      <c r="AG18" s="4"/>
      <c r="AH18" s="4"/>
      <c r="AI18" s="4"/>
      <c r="AK18" s="4"/>
    </row>
    <row r="19" spans="1:37" x14ac:dyDescent="0.35">
      <c r="A19" t="s">
        <v>6</v>
      </c>
      <c r="B19" t="s">
        <v>749</v>
      </c>
      <c r="C19" t="str">
        <f>A19</f>
        <v>VWO</v>
      </c>
      <c r="E19" cm="1">
        <f t="array" ref="E19">_xll.FDS(C19,"FMA_COS_UP(""EPS"",""1M"",+1,0,,,""PORTAGG"",""MEANR"")")</f>
        <v>1000</v>
      </c>
      <c r="F19" cm="1">
        <f t="array" ref="F19">_xll.FDS(C19,"FMA_COS_DOWN(""EPS"",""1M"",+1,0,,,""PORTAGG"",""MEANR"")")</f>
        <v>1326</v>
      </c>
      <c r="G19" cm="1">
        <f t="array" ref="G19">_xll.FDS(A19,"SIZE(FG_CONSTITUENTS)")</f>
        <v>4759</v>
      </c>
      <c r="H19" s="9">
        <f>E19/$G19</f>
        <v>0.21012817818869511</v>
      </c>
      <c r="I19" s="9">
        <f>F19/$G19</f>
        <v>0.27862996427820969</v>
      </c>
      <c r="J19" s="9">
        <f t="shared" ref="J19" si="14">H19-I19</f>
        <v>-6.8501786089514571E-2</v>
      </c>
      <c r="K19" s="5" cm="1">
        <f t="array" ref="K19">_xll.FDS(A19,"FMA_PCT_ABOVE_MAVG(200,0,,,,""PORTAGG"")")/100</f>
        <v>0.45910460611278503</v>
      </c>
      <c r="L19" s="41" cm="1">
        <f t="array" ref="L19">_xll.FDSB(A19,"PERCENT_CHANGE(FMA_EPS(+1,0,,,,""PORTAGG"",""MEAN""),FMA_EPS(+1,-1AM,,,,""PORTAGG"",""MEAN""))")</f>
        <v>2.0159334884589599</v>
      </c>
      <c r="M19" s="41" cm="1">
        <f t="array" ref="M19">_xll.FDSB(A19,"PERCENT_CHANGE(FMA_EPS(+1,0,,,,""PORTAGG"",""MEAN""),FMA_EPS(+1,-3AM,,,,""PORTAGG"",""MEAN""))")</f>
        <v>-0.34806927347032801</v>
      </c>
      <c r="N19" s="3" cm="1">
        <f t="array" ref="N19">_xll.FDS(C19,"FG_TOTAL_RETURNC(0,-1AM)")</f>
        <v>-0.34105777999999998</v>
      </c>
      <c r="O19" s="3" cm="1">
        <f t="array" ref="O19">_xll.FDS(C19,"FG_TOTAL_RETURNC(0,-3AM)")</f>
        <v>5.170369</v>
      </c>
      <c r="P19" s="3" cm="1">
        <f t="array" ref="P19">_xll.FDS(C19,"FG_TOTAL_RETURNC(0,-6AM)")</f>
        <v>7.2708370000000002</v>
      </c>
      <c r="Q19" s="9" cm="1">
        <f t="array" ref="Q19">_xll.FDS(C19,"P_PRICE(0)/P_PRICE_HIGH_PR(0,,,,,,""PRICE"",""INTRA"",""52W"")")</f>
        <v>0.97318183999999996</v>
      </c>
      <c r="R19" s="9" cm="1">
        <f t="array" ref="R19">_xll.FDS(C19,"P_PRICE(0)/P_PRICE_low_PR(0,,,,,,""PRICE"",""INTRA"",""52W"")-1")</f>
        <v>0.16833519999999999</v>
      </c>
      <c r="S19" s="3" cm="1">
        <f t="array" ref="S19">_xll.FDS(C19,"FG_TOTAL_RETURNC(0,-12AM)")</f>
        <v>11.809158</v>
      </c>
    </row>
    <row r="20" spans="1:37" x14ac:dyDescent="0.35">
      <c r="A20" t="s">
        <v>780</v>
      </c>
      <c r="B20" t="s">
        <v>781</v>
      </c>
      <c r="C20" t="str">
        <f t="shared" ref="C20" si="15">A20</f>
        <v>URTH</v>
      </c>
      <c r="E20" cm="1">
        <f t="array" ref="E20">_xll.FDS(C20,"FMA_COS_UP(""EPS"",""1M"",+1,0,,,""PORTAGG"",""MEANR"")")</f>
        <v>541</v>
      </c>
      <c r="F20" cm="1">
        <f t="array" ref="F20">_xll.FDS(C20,"FMA_COS_DOWN(""EPS"",""1M"",+1,0,,,""PORTAGG"",""MEANR"")")</f>
        <v>529</v>
      </c>
      <c r="G20" cm="1">
        <f t="array" ref="G20">_xll.FDS(A20,"SIZE(FG_CONSTITUENTS)")</f>
        <v>1433</v>
      </c>
      <c r="H20" s="9">
        <f t="shared" ref="H20" si="16">E20/$G20</f>
        <v>0.37752965806001398</v>
      </c>
      <c r="I20" s="9">
        <f t="shared" ref="I20" si="17">F20/$G20</f>
        <v>0.36915561758548499</v>
      </c>
      <c r="J20" s="9">
        <f t="shared" ref="J20" si="18">H20-I20</f>
        <v>8.3740404745289987E-3</v>
      </c>
      <c r="K20" s="5" cm="1">
        <f t="array" ref="K20">_xll.FDS(A20,"FMA_PCT_ABOVE_MAVG(200,0,,,,""PORTAGG"")")/100</f>
        <v>0.63183730715287501</v>
      </c>
      <c r="L20" s="41" cm="1">
        <f t="array" ref="L20">_xll.FDSB(A20,"PERCENT_CHANGE(FMA_EPS(+1,0,,,,""PORTAGG"",""MEAN""),FMA_EPS(+1,-1AM,,,,""PORTAGG"",""MEAN""))")</f>
        <v>-1.0969415184057001</v>
      </c>
      <c r="M20" s="41" cm="1">
        <f t="array" ref="M20">_xll.FDSB(A20,"PERCENT_CHANGE(FMA_EPS(+1,0,,,,""PORTAGG"",""MEAN""),FMA_EPS(+1,-3AM,,,,""PORTAGG"",""MEAN""))")</f>
        <v>-0.52956043036577805</v>
      </c>
      <c r="N20" s="3" cm="1">
        <f t="array" ref="N20">_xll.FDS(C20,"FG_TOTAL_RETURNC(0,-1AM)")</f>
        <v>1.6070247</v>
      </c>
      <c r="O20" s="3" cm="1">
        <f t="array" ref="O20">_xll.FDS(C20,"FG_TOTAL_RETURNC(0,-3AM)")</f>
        <v>2.6097060000000001</v>
      </c>
      <c r="P20" s="3" cm="1">
        <f t="array" ref="P20">_xll.FDS(C20,"FG_TOTAL_RETURNC(0,-6AM)")</f>
        <v>11.563408000000001</v>
      </c>
      <c r="Q20" s="9" cm="1">
        <f t="array" ref="Q20">_xll.FDS(C20,"P_PRICE(0)/P_PRICE_HIGH_PR(0,,,,,,""PRICE"",""INTRA"",""52W"")")</f>
        <v>0.99079673999999995</v>
      </c>
      <c r="R20" s="9" cm="1">
        <f t="array" ref="R20">_xll.FDS(C20,"P_PRICE(0)/P_PRICE_low_PR(0,,,,,,""PRICE"",""INTRA"",""52W"")-1")</f>
        <v>0.28587626999999999</v>
      </c>
      <c r="S20" s="3" cm="1">
        <f t="array" ref="S20">_xll.FDS(C20,"FG_TOTAL_RETURNC(0,-12AM)")</f>
        <v>22.07433</v>
      </c>
    </row>
    <row r="21" spans="1:37" x14ac:dyDescent="0.35">
      <c r="A21" t="s">
        <v>46</v>
      </c>
      <c r="B21" t="s">
        <v>816</v>
      </c>
      <c r="C21" t="str">
        <f t="shared" ref="C21:C22" si="19">A21</f>
        <v>EWJ</v>
      </c>
      <c r="E21" cm="1">
        <f t="array" ref="E21">_xll.FDS(C21,"FMA_COS_UP(""EPS"",""1M"",+1,0,,,""PORTAGG"",""MEANR"")")</f>
        <v>105</v>
      </c>
      <c r="F21" cm="1">
        <f t="array" ref="F21">_xll.FDS(C21,"FMA_COS_DOWN(""EPS"",""1M"",+1,0,,,""PORTAGG"",""MEANR"")")</f>
        <v>88</v>
      </c>
      <c r="G21" cm="1">
        <f t="array" ref="G21">_xll.FDS(A21,"SIZE(FG_CONSTITUENTS)")</f>
        <v>205</v>
      </c>
      <c r="H21" s="9">
        <f t="shared" ref="H21:H22" si="20">E21/$G21</f>
        <v>0.51219512195121952</v>
      </c>
      <c r="I21" s="9">
        <f t="shared" ref="I21:I22" si="21">F21/$G21</f>
        <v>0.42926829268292682</v>
      </c>
      <c r="J21" s="9">
        <f t="shared" ref="J21:J22" si="22">H21-I21</f>
        <v>8.2926829268292701E-2</v>
      </c>
      <c r="K21" s="5" cm="1">
        <f t="array" ref="K21">_xll.FDS(A21,"FMA_PCT_ABOVE_MAVG(200,0,,,,""PORTAGG"")")/100</f>
        <v>0.68137254901960798</v>
      </c>
      <c r="L21" s="41" cm="1">
        <f t="array" ref="L21">_xll.FDSB(A21,"PERCENT_CHANGE(FMA_EPS(+1,0,,,,""PORTAGG"",""MEAN""),FMA_EPS(+1,-1AM,,,,""PORTAGG"",""MEAN""))")</f>
        <v>-2.8461800153287999</v>
      </c>
      <c r="M21" s="41" cm="1">
        <f t="array" ref="M21">_xll.FDSB(A21,"PERCENT_CHANGE(FMA_EPS(+1,0,,,,""PORTAGG"",""MEAN""),FMA_EPS(+1,-3AM,,,,""PORTAGG"",""MEAN""))")</f>
        <v>-6.3943857668291804</v>
      </c>
      <c r="N21" s="3" cm="1">
        <f t="array" ref="N21">_xll.FDS(C21,"FG_TOTAL_RETURNC(0,-1AM)")</f>
        <v>-0.1452446</v>
      </c>
      <c r="O21" s="3" cm="1">
        <f t="array" ref="O21">_xll.FDS(C21,"FG_TOTAL_RETURNC(0,-3AM)")</f>
        <v>-3.6440134</v>
      </c>
      <c r="P21" s="3" cm="1">
        <f t="array" ref="P21">_xll.FDS(C21,"FG_TOTAL_RETURNC(0,-6AM)")</f>
        <v>7.3547719999999996</v>
      </c>
      <c r="Q21" s="9" cm="1">
        <f t="array" ref="Q21">_xll.FDS(C21,"P_PRICE(0)/P_PRICE_HIGH_PR(0,,,,,,""PRICE"",""INTRA"",""52W"")")</f>
        <v>0.94692284000000004</v>
      </c>
      <c r="R21" s="9" cm="1">
        <f t="array" ref="R21">_xll.FDS(C21,"P_PRICE(0)/P_PRICE_low_PR(0,,,,,,""PRICE"",""INTRA"",""52W"")-1")</f>
        <v>0.19300698999999999</v>
      </c>
      <c r="S21" s="3" cm="1">
        <f t="array" ref="S21">_xll.FDS(C21,"FG_TOTAL_RETURNC(0,-12AM)")</f>
        <v>12.77746</v>
      </c>
    </row>
    <row r="22" spans="1:37" x14ac:dyDescent="0.35">
      <c r="A22" t="s">
        <v>1</v>
      </c>
      <c r="B22" t="s">
        <v>119</v>
      </c>
      <c r="C22" t="str">
        <f t="shared" si="19"/>
        <v>SPY</v>
      </c>
      <c r="E22" cm="1">
        <f t="array" ref="E22">_xll.FDS(C22,"FMA_COS_UP(""EPS"",""1M"",+1,0,,,""PORTAGG"",""MEANR"")")</f>
        <v>155</v>
      </c>
      <c r="F22" cm="1">
        <f t="array" ref="F22">_xll.FDS(C22,"FMA_COS_DOWN(""EPS"",""1M"",+1,0,,,""PORTAGG"",""MEANR"")")</f>
        <v>171</v>
      </c>
      <c r="G22" cm="1">
        <f t="array" ref="G22">_xll.FDS(A22,"SIZE(FG_CONSTITUENTS)")</f>
        <v>504</v>
      </c>
      <c r="H22" s="9">
        <f t="shared" si="20"/>
        <v>0.30753968253968256</v>
      </c>
      <c r="I22" s="9">
        <f t="shared" si="21"/>
        <v>0.3392857142857143</v>
      </c>
      <c r="J22" s="9">
        <f t="shared" si="22"/>
        <v>-3.1746031746031744E-2</v>
      </c>
      <c r="K22" s="5" cm="1">
        <f t="array" ref="K22">_xll.FDS(A22,"FMA_PCT_ABOVE_MAVG(200,0,,,,""PORTAGG"")")/100</f>
        <v>0.66467065868263508</v>
      </c>
      <c r="L22" s="41" cm="1">
        <f t="array" ref="L22">_xll.FDSB(A22,"PERCENT_CHANGE(FMA_EPS(+1,0,,,,""PORTAGG"",""MEAN""),FMA_EPS(+1,-1AM,,,,""PORTAGG"",""MEAN""))")</f>
        <v>-0.50718918144916603</v>
      </c>
      <c r="M22" s="41" cm="1">
        <f t="array" ref="M22">_xll.FDSB(A22,"PERCENT_CHANGE(FMA_EPS(+1,0,,,,""PORTAGG"",""MEAN""),FMA_EPS(+1,-3AM,,,,""PORTAGG"",""MEAN""))")</f>
        <v>0.247710272643617</v>
      </c>
      <c r="N22" s="3" cm="1">
        <f t="array" ref="N22">_xll.FDS(C22,"FG_TOTAL_RETURNC(0,-1AM)")</f>
        <v>3.0516744</v>
      </c>
      <c r="O22" s="3" cm="1">
        <f t="array" ref="O22">_xll.FDS(C22,"FG_TOTAL_RETURNC(0,-3AM)")</f>
        <v>4.3795346999999998</v>
      </c>
      <c r="P22" s="3" cm="1">
        <f t="array" ref="P22">_xll.FDS(C22,"FG_TOTAL_RETURNC(0,-6AM)")</f>
        <v>14.893556</v>
      </c>
      <c r="Q22" s="9" cm="1">
        <f t="array" ref="Q22">_xll.FDS(C22,"P_PRICE(0)/P_PRICE_HIGH_PR(0,,,,,,""PRICE"",""INTRA"",""52W"")")</f>
        <v>0.98898730000000001</v>
      </c>
      <c r="R22" s="9" cm="1">
        <f t="array" ref="R22">_xll.FDS(C22,"P_PRICE(0)/P_PRICE_low_PR(0,,,,,,""PRICE"",""INTRA"",""52W"")-1")</f>
        <v>0.32992840000000001</v>
      </c>
      <c r="S22" s="3" cm="1">
        <f t="array" ref="S22">_xll.FDS(C22,"FG_TOTAL_RETURNC(0,-12AM)")</f>
        <v>26.463471999999999</v>
      </c>
    </row>
    <row r="23" spans="1:37" x14ac:dyDescent="0.35">
      <c r="A23" t="s">
        <v>895</v>
      </c>
      <c r="B23" t="s">
        <v>602</v>
      </c>
      <c r="C23" t="str">
        <f t="shared" ref="C23" si="23">A23</f>
        <v>FXI</v>
      </c>
      <c r="E23" cm="1">
        <f t="array" ref="E23">_xll.FDS(C23,"FMA_COS_UP(""EPS"",""1M"",+1,0,,,""PORTAGG"",""MEANR"")")</f>
        <v>16</v>
      </c>
      <c r="F23" cm="1">
        <f t="array" ref="F23">_xll.FDS(C23,"FMA_COS_DOWN(""EPS"",""1M"",+1,0,,,""PORTAGG"",""MEANR"")")</f>
        <v>18</v>
      </c>
      <c r="G23" cm="1">
        <f t="array" ref="G23">_xll.FDS(A23,"SIZE(FG_CONSTITUENTS)")</f>
        <v>53</v>
      </c>
      <c r="H23" s="9">
        <f t="shared" ref="H23" si="24">E23/$G23</f>
        <v>0.30188679245283018</v>
      </c>
      <c r="I23" s="9">
        <f t="shared" ref="I23" si="25">F23/$G23</f>
        <v>0.33962264150943394</v>
      </c>
      <c r="J23" s="9">
        <f t="shared" ref="J23" si="26">H23-I23</f>
        <v>-3.7735849056603765E-2</v>
      </c>
      <c r="K23" s="5" cm="1">
        <f t="array" ref="K23">_xll.FDS(A23,"FMA_PCT_ABOVE_MAVG(200,0,,,,""PORTAGG"")")/100</f>
        <v>0.70588235294117696</v>
      </c>
      <c r="L23" s="41" cm="1">
        <f t="array" ref="L23">_xll.FDSB(A23,"PERCENT_CHANGE(FMA_EPS(+1,0,,,,""PORTAGG"",""MEAN""),FMA_EPS(+1,-1AM,,,,""PORTAGG"",""MEAN""))")</f>
        <v>1.3470916399990001</v>
      </c>
      <c r="M23" s="41" cm="1">
        <f t="array" ref="M23">_xll.FDSB(A23,"PERCENT_CHANGE(FMA_EPS(+1,0,,,,""PORTAGG"",""MEAN""),FMA_EPS(+1,-3AM,,,,""PORTAGG"",""MEAN""))")</f>
        <v>0.17863250657674601</v>
      </c>
      <c r="N23" s="3" cm="1">
        <f t="array" ref="N23">_xll.FDS(C23,"FG_TOTAL_RETURNC(0,-1AM)")</f>
        <v>-5.3945420000000004</v>
      </c>
      <c r="O23" s="3" cm="1">
        <f t="array" ref="O23">_xll.FDS(C23,"FG_TOTAL_RETURNC(0,-3AM)")</f>
        <v>8.3226569999999995</v>
      </c>
      <c r="P23" s="3" cm="1">
        <f t="array" ref="P23">_xll.FDS(C23,"FG_TOTAL_RETURNC(0,-6AM)")</f>
        <v>9.1845269999999992</v>
      </c>
      <c r="Q23" s="9" cm="1">
        <f t="array" ref="Q23">_xll.FDS(C23,"P_PRICE(0)/P_PRICE_HIGH_PR(0,,,,,,""PRICE"",""INTRA"",""52W"")")</f>
        <v>0.85101503000000001</v>
      </c>
      <c r="R23" s="9" cm="1">
        <f t="array" ref="R23">_xll.FDS(C23,"P_PRICE(0)/P_PRICE_low_PR(0,,,,,,""PRICE"",""INTRA"",""52W"")-1")</f>
        <v>0.24592518999999999</v>
      </c>
      <c r="S23" s="3" cm="1">
        <f t="array" ref="S23">_xll.FDS(C23,"FG_TOTAL_RETURNC(0,-12AM)")</f>
        <v>-2.2120058999999999</v>
      </c>
    </row>
    <row r="24" spans="1:37" x14ac:dyDescent="0.35">
      <c r="Q24" s="9"/>
      <c r="R24" s="9"/>
    </row>
    <row r="25" spans="1:37" x14ac:dyDescent="0.35">
      <c r="Q25" s="9"/>
      <c r="R25" s="9"/>
    </row>
    <row r="26" spans="1:37" ht="15" customHeight="1" x14ac:dyDescent="0.35">
      <c r="E26" s="43"/>
      <c r="F26" s="43"/>
      <c r="Q26" s="9"/>
      <c r="R26" s="9"/>
    </row>
    <row r="27" spans="1:37" ht="15" customHeight="1" x14ac:dyDescent="0.35">
      <c r="E27" s="43"/>
      <c r="F27" s="43"/>
      <c r="Q27" s="9"/>
      <c r="R27" s="9"/>
    </row>
    <row r="28" spans="1:37" ht="15" customHeight="1" x14ac:dyDescent="0.35">
      <c r="E28" s="43"/>
      <c r="F28" s="43"/>
      <c r="Q28" s="9"/>
      <c r="R28" s="9"/>
    </row>
    <row r="29" spans="1:37" ht="15" customHeight="1" x14ac:dyDescent="0.35">
      <c r="C29" s="1"/>
      <c r="D29" s="1"/>
      <c r="E29" s="43"/>
      <c r="F29" s="43"/>
      <c r="Q29" s="9"/>
      <c r="R29" s="9"/>
    </row>
    <row r="30" spans="1:37" ht="15" customHeight="1" x14ac:dyDescent="0.35">
      <c r="E30" s="43"/>
      <c r="F30" s="43"/>
      <c r="Q30" s="9"/>
      <c r="R30" s="9"/>
    </row>
    <row r="31" spans="1:37" ht="15" customHeight="1" x14ac:dyDescent="0.35">
      <c r="E31" s="43"/>
      <c r="F31" s="43"/>
      <c r="Q31" s="9"/>
      <c r="R31" s="9"/>
    </row>
    <row r="32" spans="1:37" ht="15" customHeight="1" x14ac:dyDescent="0.35">
      <c r="E32" s="43"/>
      <c r="F32" s="43"/>
      <c r="Q32" s="9"/>
      <c r="R32" s="9"/>
    </row>
    <row r="33" spans="3:18" ht="15" customHeight="1" x14ac:dyDescent="0.35">
      <c r="E33" s="43"/>
      <c r="F33" s="43"/>
      <c r="P33" s="1"/>
      <c r="Q33" s="9"/>
      <c r="R33" s="9"/>
    </row>
    <row r="34" spans="3:18" ht="15" customHeight="1" x14ac:dyDescent="0.35">
      <c r="E34" s="43"/>
      <c r="F34" s="43"/>
      <c r="Q34" s="9"/>
      <c r="R34" s="9"/>
    </row>
    <row r="35" spans="3:18" ht="15" customHeight="1" x14ac:dyDescent="0.35">
      <c r="E35" s="43"/>
      <c r="F35" s="43"/>
      <c r="Q35" s="9"/>
      <c r="R35" s="9"/>
    </row>
    <row r="36" spans="3:18" ht="15" customHeight="1" x14ac:dyDescent="0.35">
      <c r="C36" s="1"/>
      <c r="D36" s="1"/>
      <c r="E36" s="43"/>
      <c r="F36" s="43"/>
      <c r="Q36" s="9"/>
      <c r="R36" s="9"/>
    </row>
    <row r="37" spans="3:18" ht="15" customHeight="1" x14ac:dyDescent="0.35">
      <c r="E37" s="43"/>
      <c r="F37" s="43"/>
      <c r="Q37" s="9"/>
      <c r="R37" s="9"/>
    </row>
    <row r="38" spans="3:18" ht="15" customHeight="1" x14ac:dyDescent="0.35">
      <c r="E38" s="43"/>
      <c r="F38" s="43"/>
      <c r="Q38" s="9"/>
      <c r="R38" s="9"/>
    </row>
    <row r="39" spans="3:18" ht="15" customHeight="1" x14ac:dyDescent="0.35">
      <c r="E39" s="43"/>
      <c r="F39" s="43"/>
      <c r="Q39" s="9"/>
      <c r="R39" s="9"/>
    </row>
    <row r="40" spans="3:18" ht="15" customHeight="1" x14ac:dyDescent="0.35">
      <c r="E40" s="43"/>
      <c r="F40" s="43"/>
      <c r="Q40" s="9"/>
      <c r="R40" s="9"/>
    </row>
    <row r="41" spans="3:18" ht="15" customHeight="1" x14ac:dyDescent="0.35">
      <c r="C41" s="1"/>
      <c r="D41" s="1"/>
      <c r="E41" s="43"/>
      <c r="F41" s="43"/>
      <c r="Q41" s="9"/>
      <c r="R41" s="9"/>
    </row>
    <row r="42" spans="3:18" ht="15" customHeight="1" x14ac:dyDescent="0.35">
      <c r="E42" s="43"/>
      <c r="F42" s="43"/>
      <c r="Q42" s="9"/>
      <c r="R42" s="9"/>
    </row>
    <row r="43" spans="3:18" ht="15" customHeight="1" x14ac:dyDescent="0.35">
      <c r="E43" s="43"/>
      <c r="F43" s="43"/>
      <c r="Q43" s="9"/>
      <c r="R43" s="9"/>
    </row>
    <row r="44" spans="3:18" ht="15" customHeight="1" x14ac:dyDescent="0.35">
      <c r="E44" s="43"/>
      <c r="F44" s="43"/>
      <c r="Q44" s="9"/>
      <c r="R44" s="9"/>
    </row>
    <row r="45" spans="3:18" ht="15" customHeight="1" x14ac:dyDescent="0.35">
      <c r="E45" s="43"/>
      <c r="F45" s="43"/>
      <c r="Q45" s="9"/>
      <c r="R45" s="9"/>
    </row>
    <row r="46" spans="3:18" ht="15" customHeight="1" x14ac:dyDescent="0.35">
      <c r="C46" s="1"/>
      <c r="D46" s="1"/>
      <c r="E46" s="43"/>
      <c r="F46" s="43"/>
      <c r="Q46" s="9"/>
      <c r="R46" s="9"/>
    </row>
    <row r="47" spans="3:18" ht="15" customHeight="1" x14ac:dyDescent="0.35">
      <c r="C47" s="1"/>
      <c r="D47" s="1"/>
      <c r="E47" s="43"/>
      <c r="F47" s="43"/>
    </row>
    <row r="48" spans="3:18" ht="15" customHeight="1" x14ac:dyDescent="0.35">
      <c r="E48" s="43"/>
      <c r="F48" s="43"/>
    </row>
    <row r="49" spans="5:7" ht="15" customHeight="1" x14ac:dyDescent="0.35">
      <c r="E49" s="43"/>
      <c r="F49" s="43"/>
    </row>
    <row r="50" spans="5:7" ht="15" customHeight="1" x14ac:dyDescent="0.35">
      <c r="E50" s="44"/>
      <c r="F50" s="44"/>
      <c r="G50" s="1"/>
    </row>
    <row r="51" spans="5:7" ht="15" customHeight="1" x14ac:dyDescent="0.35">
      <c r="E51" s="43"/>
      <c r="F51" s="43"/>
    </row>
    <row r="52" spans="5:7" ht="15" customHeight="1" x14ac:dyDescent="0.35">
      <c r="E52" s="43"/>
      <c r="F52" s="43"/>
    </row>
    <row r="53" spans="5:7" ht="15" customHeight="1" x14ac:dyDescent="0.35">
      <c r="E53" s="43"/>
      <c r="F53" s="43"/>
    </row>
    <row r="54" spans="5:7" ht="15" customHeight="1" x14ac:dyDescent="0.35">
      <c r="E54" s="43"/>
      <c r="F54" s="43"/>
    </row>
    <row r="55" spans="5:7" ht="15" customHeight="1" x14ac:dyDescent="0.35">
      <c r="E55" s="43"/>
      <c r="F55" s="43"/>
    </row>
    <row r="56" spans="5:7" ht="15" customHeight="1" x14ac:dyDescent="0.35">
      <c r="E56" s="43"/>
      <c r="F56" s="43"/>
    </row>
    <row r="57" spans="5:7" ht="15" customHeight="1" x14ac:dyDescent="0.35">
      <c r="E57" s="43"/>
      <c r="F57" s="43"/>
    </row>
    <row r="58" spans="5:7" ht="15" customHeight="1" x14ac:dyDescent="0.35">
      <c r="E58" s="44"/>
      <c r="F58" s="44"/>
      <c r="G58" s="1"/>
    </row>
    <row r="59" spans="5:7" ht="15" customHeight="1" x14ac:dyDescent="0.35">
      <c r="E59" s="43"/>
      <c r="F59" s="43"/>
    </row>
    <row r="60" spans="5:7" ht="15" customHeight="1" x14ac:dyDescent="0.35">
      <c r="E60" s="43"/>
      <c r="F60" s="43"/>
    </row>
    <row r="61" spans="5:7" ht="15" customHeight="1" x14ac:dyDescent="0.35">
      <c r="E61" s="43"/>
      <c r="F61" s="43"/>
    </row>
    <row r="62" spans="5:7" ht="15" customHeight="1" x14ac:dyDescent="0.35">
      <c r="E62" s="43"/>
      <c r="F62" s="43"/>
    </row>
    <row r="63" spans="5:7" ht="15" customHeight="1" x14ac:dyDescent="0.35">
      <c r="E63" s="43"/>
      <c r="F63" s="43"/>
    </row>
    <row r="64" spans="5:7" ht="15" customHeight="1" x14ac:dyDescent="0.35">
      <c r="E64" s="43"/>
      <c r="F64" s="43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honeticPr fontId="1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0"/>
  <sheetViews>
    <sheetView zoomScale="82" zoomScaleNormal="160" workbookViewId="0">
      <selection activeCell="V16" sqref="V16"/>
    </sheetView>
  </sheetViews>
  <sheetFormatPr defaultRowHeight="14.5" x14ac:dyDescent="0.35"/>
  <cols>
    <col min="3" max="3" width="45.54296875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style="183" bestFit="1" customWidth="1"/>
    <col min="11" max="11" width="13.453125" style="183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523</v>
      </c>
      <c r="M1" t="s">
        <v>522</v>
      </c>
      <c r="N1" s="49" t="s">
        <v>405</v>
      </c>
      <c r="P1" s="49" t="s">
        <v>404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402</v>
      </c>
      <c r="E3" s="46" t="s">
        <v>89</v>
      </c>
      <c r="H3" t="s">
        <v>403</v>
      </c>
      <c r="I3" t="s">
        <v>94</v>
      </c>
      <c r="J3" s="184"/>
      <c r="P3" t="s">
        <v>910</v>
      </c>
      <c r="R3" t="s">
        <v>911</v>
      </c>
    </row>
    <row r="4" spans="2:18" x14ac:dyDescent="0.35">
      <c r="B4" t="s">
        <v>431</v>
      </c>
      <c r="C4" t="str" cm="1">
        <f t="array" ref="C4">_xll.FDS(B4,"FG_COMPANY_NAME")</f>
        <v>iShares MSCI New Zealand ETF</v>
      </c>
      <c r="D4" s="9">
        <f>HLOOKUP(B4,'Monthly Returns'!$A$1:$Q$134, 127, FALSE)</f>
        <v>-0.18142986</v>
      </c>
      <c r="E4" s="9">
        <f>HLOOKUP(B4,'Monthly Returns'!$A$1:$Q$134, 132, FALSE)</f>
        <v>0.16528925619834711</v>
      </c>
      <c r="H4" s="9">
        <f>HLOOKUP(B4,'Yearly returns'!$B$1:$N$140, 133, FALSE)</f>
        <v>0.15702479338842976</v>
      </c>
      <c r="I4" s="9">
        <f>HLOOKUP(B4,'Yearly returns'!$B$1:$N$140, 138, FALSE)</f>
        <v>0.28599999999999998</v>
      </c>
      <c r="J4" s="183">
        <f>1/E4</f>
        <v>6.05</v>
      </c>
      <c r="K4" s="185">
        <f>PERCENTRANK($J$4:$J$16,J4)*100</f>
        <v>16.600000000000001</v>
      </c>
      <c r="L4" s="47">
        <f>(1-PERCENTRANK($E$4:$E$16,E4))*100</f>
        <v>25</v>
      </c>
      <c r="M4" s="47">
        <f>(1-PERCENTRANK($H$4:$H$16,H4))*100</f>
        <v>50</v>
      </c>
      <c r="N4" s="47">
        <f>(1-PERCENTRANK($I$4:$I$16,I4))*100</f>
        <v>100</v>
      </c>
      <c r="P4">
        <f>L4*Assumption!$E$53 + M4*Assumption!$F$53 + N4*Assumption!$G$53</f>
        <v>68.75</v>
      </c>
      <c r="R4" cm="1">
        <f t="array" ref="R4">_xlfn.PERCENTRANK.EXC(_xlfn._xlws.FILTER(P$4:P$16, ISNUMBER(P$4:P$16)),P4)*100</f>
        <v>71.399999999999991</v>
      </c>
    </row>
    <row r="5" spans="2:18" x14ac:dyDescent="0.35">
      <c r="B5" t="s">
        <v>44</v>
      </c>
      <c r="C5" t="str" cm="1">
        <f t="array" ref="C5">_xll.FDS(B5,"FG_COMPANY_NAME")</f>
        <v>iShares MSCI Australia ETF</v>
      </c>
      <c r="D5" s="9">
        <f>HLOOKUP(B5,'Monthly Returns'!$A$1:$Q$134, 127, FALSE)</f>
        <v>-0.27932410999999996</v>
      </c>
      <c r="E5" s="9">
        <f>HLOOKUP(B5,'Monthly Returns'!$A$1:$Q$134, 132, FALSE)</f>
        <v>0.15702479338842976</v>
      </c>
      <c r="H5" s="9">
        <f>HLOOKUP(B5,'Yearly returns'!$B$1:$N$140, 133, FALSE)</f>
        <v>0.19008264462809918</v>
      </c>
      <c r="I5" s="9">
        <f>HLOOKUP(B5,'Yearly returns'!$B$1:$N$140, 138, FALSE)</f>
        <v>0.72899999999999998</v>
      </c>
      <c r="J5" s="183">
        <f t="shared" ref="J5:J16" si="0">1/E5</f>
        <v>6.3684210526315788</v>
      </c>
      <c r="K5" s="185">
        <f t="shared" ref="K5:K16" si="1">PERCENTRANK($J$4:$J$16,J5)*100</f>
        <v>33.300000000000004</v>
      </c>
      <c r="L5" s="47">
        <f t="shared" ref="L5:L16" si="2">(1-PERCENTRANK($E$4:$E$16,E5))*100</f>
        <v>33.4</v>
      </c>
      <c r="M5" s="47">
        <f t="shared" ref="M5:M16" si="3">(1-PERCENTRANK($H$4:$H$16,H5))*100</f>
        <v>25</v>
      </c>
      <c r="N5" s="47">
        <f t="shared" ref="N5:N16" si="4">(1-PERCENTRANK($I$4:$I$16,I5))*100</f>
        <v>33.4</v>
      </c>
      <c r="P5">
        <f>L5*Assumption!$E$53 + M5*Assumption!$F$53 + N5*Assumption!$G$53</f>
        <v>31.299999999999997</v>
      </c>
      <c r="R5" cm="1">
        <f t="array" ref="R5">_xlfn.PERCENTRANK.EXC(_xlfn._xlws.FILTER(P$4:P$16, ISNUMBER(P$4:P$16)),P5)*100</f>
        <v>21.4</v>
      </c>
    </row>
    <row r="6" spans="2:18" x14ac:dyDescent="0.35">
      <c r="B6" t="s">
        <v>49</v>
      </c>
      <c r="C6" t="str" cm="1">
        <f t="array" ref="C6">_xll.FDS(B6,"FG_COMPANY_NAME")</f>
        <v>iShares MSCI Canada ETF</v>
      </c>
      <c r="D6" s="9">
        <f>HLOOKUP(B6,'Monthly Returns'!$A$1:$Q$134, 127, FALSE)</f>
        <v>-0.25117795999999998</v>
      </c>
      <c r="E6" s="9">
        <f>HLOOKUP(B6,'Monthly Returns'!$A$1:$Q$134, 132, FALSE)</f>
        <v>0.1487603305785124</v>
      </c>
      <c r="H6" s="9">
        <f>HLOOKUP(B6,'Yearly returns'!$B$1:$N$140, 133, FALSE)</f>
        <v>0.16528925619834711</v>
      </c>
      <c r="I6" s="9">
        <f>HLOOKUP(B6,'Yearly returns'!$B$1:$N$140, 138, FALSE)</f>
        <v>0.65500000000000003</v>
      </c>
      <c r="J6" s="183">
        <f t="shared" si="0"/>
        <v>6.7222222222222223</v>
      </c>
      <c r="K6" s="185">
        <f t="shared" si="1"/>
        <v>41.6</v>
      </c>
      <c r="L6" s="47">
        <f t="shared" si="2"/>
        <v>41.7</v>
      </c>
      <c r="M6" s="47">
        <f t="shared" si="3"/>
        <v>41.7</v>
      </c>
      <c r="N6" s="47">
        <f t="shared" si="4"/>
        <v>58.400000000000006</v>
      </c>
      <c r="P6">
        <f>L6*Assumption!$E$53 + M6*Assumption!$F$53 + N6*Assumption!$G$53</f>
        <v>50.050000000000004</v>
      </c>
      <c r="R6" cm="1">
        <f t="array" ref="R6">_xlfn.PERCENTRANK.EXC(_xlfn._xlws.FILTER(P$4:P$16, ISNUMBER(P$4:P$16)),P6)*100</f>
        <v>50</v>
      </c>
    </row>
    <row r="7" spans="2:18" x14ac:dyDescent="0.35">
      <c r="B7" t="s">
        <v>11</v>
      </c>
      <c r="C7" t="str" cm="1">
        <f t="array" ref="C7">_xll.FDS(B7,"FG_COMPANY_NAME")</f>
        <v>iShares MSCI Germany ETF</v>
      </c>
      <c r="D7" s="9">
        <f>HLOOKUP(B7,'Monthly Returns'!$A$1:$Q$134, 127, FALSE)</f>
        <v>-0.19450796000000001</v>
      </c>
      <c r="E7" s="9">
        <f>HLOOKUP(B7,'Monthly Returns'!$A$1:$Q$134, 132, FALSE)</f>
        <v>0.17355371900826447</v>
      </c>
      <c r="H7" s="9">
        <f>HLOOKUP(B7,'Yearly returns'!$B$1:$N$140, 133, FALSE)</f>
        <v>0.23140495867768596</v>
      </c>
      <c r="I7" s="9">
        <f>HLOOKUP(B7,'Yearly returns'!$B$1:$N$140, 138, FALSE)</f>
        <v>0.622</v>
      </c>
      <c r="J7" s="183">
        <f t="shared" si="0"/>
        <v>5.7619047619047619</v>
      </c>
      <c r="K7" s="185">
        <f t="shared" si="1"/>
        <v>8.3000000000000007</v>
      </c>
      <c r="L7" s="47">
        <f t="shared" si="2"/>
        <v>8.3999999999999968</v>
      </c>
      <c r="M7" s="47">
        <f t="shared" si="3"/>
        <v>8.3999999999999968</v>
      </c>
      <c r="N7" s="47">
        <f t="shared" si="4"/>
        <v>75</v>
      </c>
      <c r="P7">
        <f>L7*Assumption!$E$53 + M7*Assumption!$F$53 + N7*Assumption!$G$53</f>
        <v>41.699999999999996</v>
      </c>
      <c r="R7" cm="1">
        <f t="array" ref="R7">_xlfn.PERCENTRANK.EXC(_xlfn._xlws.FILTER(P$4:P$16, ISNUMBER(P$4:P$16)),P7)*100</f>
        <v>35.699999999999996</v>
      </c>
    </row>
    <row r="8" spans="2:18" x14ac:dyDescent="0.35">
      <c r="B8" t="s">
        <v>46</v>
      </c>
      <c r="C8" t="str" cm="1">
        <f t="array" ref="C8">_xll.FDS(B8,"FG_COMPANY_NAME")</f>
        <v>iShares MSCI Japan ETF</v>
      </c>
      <c r="D8" s="9">
        <f>HLOOKUP(B8,'Monthly Returns'!$A$1:$Q$134, 127, FALSE)</f>
        <v>-0.10393487999999999</v>
      </c>
      <c r="E8" s="9">
        <f>HLOOKUP(B8,'Monthly Returns'!$A$1:$Q$134, 132, FALSE)</f>
        <v>0.10743801652892562</v>
      </c>
      <c r="H8" s="9">
        <f>HLOOKUP(B8,'Yearly returns'!$B$1:$N$140, 133, FALSE)</f>
        <v>0.13223140495867769</v>
      </c>
      <c r="I8" s="9">
        <f>HLOOKUP(B8,'Yearly returns'!$B$1:$N$140, 138, FALSE)</f>
        <v>0.63900000000000001</v>
      </c>
      <c r="J8" s="183">
        <f t="shared" si="0"/>
        <v>9.3076923076923066</v>
      </c>
      <c r="K8" s="185">
        <f t="shared" si="1"/>
        <v>91.600000000000009</v>
      </c>
      <c r="L8" s="47">
        <f t="shared" si="2"/>
        <v>91.7</v>
      </c>
      <c r="M8" s="47">
        <f t="shared" si="3"/>
        <v>58.400000000000006</v>
      </c>
      <c r="N8" s="47">
        <f t="shared" si="4"/>
        <v>66.7</v>
      </c>
      <c r="P8">
        <f>L8*Assumption!$E$53 + M8*Assumption!$F$53 + N8*Assumption!$G$53</f>
        <v>70.875</v>
      </c>
      <c r="R8" cm="1">
        <f t="array" ref="R8">_xlfn.PERCENTRANK.EXC(_xlfn._xlws.FILTER(P$4:P$16, ISNUMBER(P$4:P$16)),P8)*100</f>
        <v>78.5</v>
      </c>
    </row>
    <row r="9" spans="2:18" x14ac:dyDescent="0.35">
      <c r="B9" t="s">
        <v>42</v>
      </c>
      <c r="C9" t="str" cm="1">
        <f t="array" ref="C9">_xll.FDS(B9,"FG_COMPANY_NAME")</f>
        <v>iShares MSCI Switzerland ETF</v>
      </c>
      <c r="D9" s="9">
        <f>HLOOKUP(B9,'Monthly Returns'!$A$1:$Q$134, 127, FALSE)</f>
        <v>-8.8741249999999994E-2</v>
      </c>
      <c r="E9" s="9">
        <f>HLOOKUP(B9,'Monthly Returns'!$A$1:$Q$134, 132, FALSE)</f>
        <v>0.12396694214876033</v>
      </c>
      <c r="H9" s="9">
        <f>HLOOKUP(B9,'Yearly returns'!$B$1:$N$140, 133, FALSE)</f>
        <v>9.9173553719008267E-2</v>
      </c>
      <c r="I9" s="9">
        <f>HLOOKUP(B9,'Yearly returns'!$B$1:$N$140, 138, FALSE)</f>
        <v>0.51600000000000001</v>
      </c>
      <c r="J9" s="183">
        <f t="shared" si="0"/>
        <v>8.0666666666666664</v>
      </c>
      <c r="K9" s="185">
        <f t="shared" si="1"/>
        <v>75</v>
      </c>
      <c r="L9" s="47">
        <f t="shared" si="2"/>
        <v>83.399999999999991</v>
      </c>
      <c r="M9" s="47">
        <f t="shared" si="3"/>
        <v>83.399999999999991</v>
      </c>
      <c r="N9" s="47">
        <f t="shared" si="4"/>
        <v>83.399999999999991</v>
      </c>
      <c r="P9">
        <f>L9*Assumption!$E$53 + M9*Assumption!$F$53 + N9*Assumption!$G$53</f>
        <v>83.399999999999991</v>
      </c>
      <c r="R9" cm="1">
        <f t="array" ref="R9">_xlfn.PERCENTRANK.EXC(_xlfn._xlws.FILTER(P$4:P$16, ISNUMBER(P$4:P$16)),P9)*100</f>
        <v>92.800000000000011</v>
      </c>
    </row>
    <row r="10" spans="2:18" x14ac:dyDescent="0.35">
      <c r="B10" t="s">
        <v>48</v>
      </c>
      <c r="C10" t="str" cm="1">
        <f t="array" ref="C10">_xll.FDS(B10,"FG_COMPANY_NAME")</f>
        <v>iShares MSCI United Kingdom ETF</v>
      </c>
      <c r="D10" s="9">
        <f>HLOOKUP(B10,'Monthly Returns'!$A$1:$Q$134, 127, FALSE)</f>
        <v>-0.20307165000000002</v>
      </c>
      <c r="E10" s="9">
        <f>HLOOKUP(B10,'Monthly Returns'!$A$1:$Q$134, 132, FALSE)</f>
        <v>0.12396694214876033</v>
      </c>
      <c r="H10" s="9">
        <f>HLOOKUP(B10,'Yearly returns'!$B$1:$N$140, 133, FALSE)</f>
        <v>0.18181818181818182</v>
      </c>
      <c r="I10" s="9">
        <f>HLOOKUP(B10,'Yearly returns'!$B$1:$N$140, 138, FALSE)</f>
        <v>0.79500000000000004</v>
      </c>
      <c r="J10" s="183">
        <f t="shared" si="0"/>
        <v>8.0666666666666664</v>
      </c>
      <c r="K10" s="185">
        <f t="shared" si="1"/>
        <v>75</v>
      </c>
      <c r="L10" s="47">
        <f t="shared" si="2"/>
        <v>83.399999999999991</v>
      </c>
      <c r="M10" s="47">
        <f t="shared" si="3"/>
        <v>33.4</v>
      </c>
      <c r="N10" s="47">
        <f t="shared" si="4"/>
        <v>8.3999999999999968</v>
      </c>
      <c r="P10">
        <f>L10*Assumption!$E$53 + M10*Assumption!$F$53 + N10*Assumption!$G$53</f>
        <v>33.399999999999991</v>
      </c>
      <c r="R10" cm="1">
        <f t="array" ref="R10">_xlfn.PERCENTRANK.EXC(_xlfn._xlws.FILTER(P$4:P$16, ISNUMBER(P$4:P$16)),P10)*100</f>
        <v>28.499999999999996</v>
      </c>
    </row>
    <row r="11" spans="2:18" x14ac:dyDescent="0.35">
      <c r="B11" t="s">
        <v>51</v>
      </c>
      <c r="C11" t="str" cm="1">
        <f t="array" ref="C11">_xll.FDS(B11,"FG_COMPANY_NAME")</f>
        <v>Invesco QQQ Trust Series I</v>
      </c>
      <c r="D11" s="9">
        <f>HLOOKUP(B11,'Monthly Returns'!$A$1:$Q$134, 127, FALSE)</f>
        <v>-0.12402582000000001</v>
      </c>
      <c r="E11" s="9">
        <f>HLOOKUP(B11,'Monthly Returns'!$A$1:$Q$134, 132, FALSE)</f>
        <v>0.13223140495867769</v>
      </c>
      <c r="H11" s="9">
        <f>HLOOKUP(B11,'Yearly returns'!$B$1:$N$140, 133, FALSE)</f>
        <v>8.2644628099173556E-2</v>
      </c>
      <c r="I11" s="9">
        <f>HLOOKUP(B11,'Yearly returns'!$B$1:$N$140, 138, FALSE)</f>
        <v>0.754</v>
      </c>
      <c r="J11" s="183">
        <f t="shared" si="0"/>
        <v>7.5625</v>
      </c>
      <c r="K11" s="185">
        <f t="shared" si="1"/>
        <v>66.600000000000009</v>
      </c>
      <c r="L11" s="47">
        <f t="shared" si="2"/>
        <v>66.7</v>
      </c>
      <c r="M11" s="47">
        <f t="shared" si="3"/>
        <v>91.7</v>
      </c>
      <c r="N11" s="47">
        <f t="shared" si="4"/>
        <v>25</v>
      </c>
      <c r="P11">
        <f>L11*Assumption!$E$53 + M11*Assumption!$F$53 + N11*Assumption!$G$53</f>
        <v>52.1</v>
      </c>
      <c r="R11" cm="1">
        <f t="array" ref="R11">_xlfn.PERCENTRANK.EXC(_xlfn._xlws.FILTER(P$4:P$16, ISNUMBER(P$4:P$16)),P11)*100</f>
        <v>57.099999999999994</v>
      </c>
    </row>
    <row r="12" spans="2:18" x14ac:dyDescent="0.35">
      <c r="B12" t="s">
        <v>1</v>
      </c>
      <c r="C12" t="str" cm="1">
        <f t="array" ref="C12">_xll.FDS(B12,"FG_COMPANY_NAME")</f>
        <v>SPDR S&amp;P 500 ETF Trust</v>
      </c>
      <c r="D12" s="9">
        <f>HLOOKUP(B12,'Monthly Returns'!$A$1:$Q$134, 127, FALSE)</f>
        <v>-0.13934791999999999</v>
      </c>
      <c r="E12" s="9">
        <f>HLOOKUP(B12,'Monthly Returns'!$A$1:$Q$134, 132, FALSE)</f>
        <v>9.0909090909090912E-2</v>
      </c>
      <c r="H12" s="9">
        <f>HLOOKUP(B12,'Yearly returns'!$B$1:$N$140, 133, FALSE)</f>
        <v>4.1322314049586778E-2</v>
      </c>
      <c r="I12" s="9">
        <f>HLOOKUP(B12,'Yearly returns'!$B$1:$N$140, 138, FALSE)</f>
        <v>0.85199999999999998</v>
      </c>
      <c r="J12" s="183">
        <f t="shared" si="0"/>
        <v>11</v>
      </c>
      <c r="K12" s="185">
        <f t="shared" si="1"/>
        <v>100</v>
      </c>
      <c r="L12" s="47">
        <f t="shared" si="2"/>
        <v>100</v>
      </c>
      <c r="M12" s="47">
        <f t="shared" si="3"/>
        <v>100</v>
      </c>
      <c r="N12" s="47">
        <f t="shared" si="4"/>
        <v>0</v>
      </c>
      <c r="P12">
        <f>L12*Assumption!$E$53 + M12*Assumption!$F$53 + N12*Assumption!$G$53</f>
        <v>50</v>
      </c>
      <c r="R12" cm="1">
        <f t="array" ref="R12">_xlfn.PERCENTRANK.EXC(_xlfn._xlws.FILTER(P$4:P$16, ISNUMBER(P$4:P$16)),P12)*100</f>
        <v>42.8</v>
      </c>
    </row>
    <row r="13" spans="2:18" x14ac:dyDescent="0.35">
      <c r="B13" t="s">
        <v>865</v>
      </c>
      <c r="C13" t="str" cm="1">
        <f t="array" ref="C13">_xll.FDS(B13,"FG_COMPANY_NAME")</f>
        <v>iShares MSCI France ETF</v>
      </c>
      <c r="D13" s="9">
        <f>HLOOKUP(B13,'Monthly Returns'!$A$1:$Q$134, 127, FALSE)</f>
        <v>-0.18285519</v>
      </c>
      <c r="E13" s="9">
        <f>HLOOKUP(B13,'Monthly Returns'!$A$1:$Q$134, 132, FALSE)</f>
        <v>0.14049586776859505</v>
      </c>
      <c r="H13" s="9">
        <f>HLOOKUP(B13,'Yearly returns'!$B$1:$N$140, 133, FALSE)</f>
        <v>0.11570247933884298</v>
      </c>
      <c r="I13" s="9">
        <f>HLOOKUP(B13,'Yearly returns'!$B$1:$N$140, 138, FALSE)</f>
        <v>0.45900000000000002</v>
      </c>
      <c r="J13" s="183">
        <f t="shared" si="0"/>
        <v>7.117647058823529</v>
      </c>
      <c r="K13" s="185">
        <f t="shared" si="1"/>
        <v>50</v>
      </c>
      <c r="L13" s="47">
        <f t="shared" si="2"/>
        <v>58.400000000000006</v>
      </c>
      <c r="M13" s="47">
        <f t="shared" si="3"/>
        <v>75</v>
      </c>
      <c r="N13" s="47">
        <f t="shared" si="4"/>
        <v>91.7</v>
      </c>
      <c r="P13">
        <f>L13*Assumption!$E$53 + M13*Assumption!$F$53 + N13*Assumption!$G$53</f>
        <v>79.2</v>
      </c>
      <c r="R13" cm="1">
        <f t="array" ref="R13">_xlfn.PERCENTRANK.EXC(_xlfn._xlws.FILTER(P$4:P$16, ISNUMBER(P$4:P$16)),P13)*100</f>
        <v>85.7</v>
      </c>
    </row>
    <row r="14" spans="2:18" x14ac:dyDescent="0.35">
      <c r="B14" t="s">
        <v>867</v>
      </c>
      <c r="C14" t="str" cm="1">
        <f t="array" ref="C14">_xll.FDS(B14,"FG_COMPANY_NAME")</f>
        <v>iShares MSCI Netherlands ETF</v>
      </c>
      <c r="D14" s="9">
        <f>HLOOKUP(B14,'Monthly Returns'!$A$1:$Q$134, 127, FALSE)</f>
        <v>-0.1576873</v>
      </c>
      <c r="E14" s="9">
        <f>HLOOKUP(B14,'Monthly Returns'!$A$1:$Q$134, 132, FALSE)</f>
        <v>0.14049586776859505</v>
      </c>
      <c r="H14" s="9">
        <f>HLOOKUP(B14,'Yearly returns'!$B$1:$N$140, 133, FALSE)</f>
        <v>0.11570247933884298</v>
      </c>
      <c r="I14" s="9">
        <f>HLOOKUP(B14,'Yearly returns'!$B$1:$N$140, 138, FALSE)</f>
        <v>0.69599999999999995</v>
      </c>
      <c r="J14" s="183">
        <f t="shared" si="0"/>
        <v>7.117647058823529</v>
      </c>
      <c r="K14" s="185">
        <f t="shared" si="1"/>
        <v>50</v>
      </c>
      <c r="L14" s="47">
        <f t="shared" si="2"/>
        <v>58.400000000000006</v>
      </c>
      <c r="M14" s="47">
        <f t="shared" si="3"/>
        <v>75</v>
      </c>
      <c r="N14" s="47">
        <f t="shared" si="4"/>
        <v>41.7</v>
      </c>
      <c r="P14">
        <f>L14*Assumption!$E$53 + M14*Assumption!$F$53 + N14*Assumption!$G$53</f>
        <v>54.2</v>
      </c>
      <c r="R14" cm="1">
        <f t="array" ref="R14">_xlfn.PERCENTRANK.EXC(_xlfn._xlws.FILTER(P$4:P$16, ISNUMBER(P$4:P$16)),P14)*100</f>
        <v>64.2</v>
      </c>
    </row>
    <row r="15" spans="2:18" x14ac:dyDescent="0.35">
      <c r="B15" t="s">
        <v>864</v>
      </c>
      <c r="C15" t="str" cm="1">
        <f t="array" ref="C15">_xll.FDS(B15,"FG_COMPANY_NAME")</f>
        <v>iShares MSCI Sweden ETF</v>
      </c>
      <c r="D15" s="9">
        <f>HLOOKUP(B15,'Monthly Returns'!$A$1:$Q$134, 127, FALSE)</f>
        <v>-0.18926924000000001</v>
      </c>
      <c r="E15" s="9">
        <f>HLOOKUP(B15,'Monthly Returns'!$A$1:$Q$134, 132, FALSE)</f>
        <v>0.18181818181818182</v>
      </c>
      <c r="H15" s="9">
        <f>HLOOKUP(B15,'Yearly returns'!$B$1:$N$140, 133, FALSE)</f>
        <v>0.19834710743801653</v>
      </c>
      <c r="I15" s="9">
        <f>HLOOKUP(B15,'Yearly returns'!$B$1:$N$140, 138, FALSE)</f>
        <v>0.76200000000000001</v>
      </c>
      <c r="J15" s="183">
        <f t="shared" si="0"/>
        <v>5.5</v>
      </c>
      <c r="K15" s="185">
        <f t="shared" si="1"/>
        <v>0</v>
      </c>
      <c r="L15" s="47">
        <f t="shared" si="2"/>
        <v>0</v>
      </c>
      <c r="M15" s="47">
        <f t="shared" si="3"/>
        <v>16.700000000000003</v>
      </c>
      <c r="N15" s="47">
        <f t="shared" si="4"/>
        <v>16.700000000000003</v>
      </c>
      <c r="P15">
        <f>L15*Assumption!$E$53 + M15*Assumption!$F$53 + N15*Assumption!$G$53</f>
        <v>12.525000000000002</v>
      </c>
      <c r="R15" cm="1">
        <f t="array" ref="R15">_xlfn.PERCENTRANK.EXC(_xlfn._xlws.FILTER(P$4:P$16, ISNUMBER(P$4:P$16)),P15)*100</f>
        <v>7.1</v>
      </c>
    </row>
    <row r="16" spans="2:18" x14ac:dyDescent="0.35">
      <c r="B16" t="s">
        <v>866</v>
      </c>
      <c r="C16" t="str" cm="1">
        <f t="array" ref="C16">_xll.FDS(B16,"FG_COMPANY_NAME")</f>
        <v>iShares MSCI Italy ETF</v>
      </c>
      <c r="D16" s="9">
        <f>HLOOKUP(B16,'Monthly Returns'!$A$1:$Q$134, 127, FALSE)</f>
        <v>-0.23861969</v>
      </c>
      <c r="E16" s="9">
        <f>HLOOKUP(B16,'Monthly Returns'!$A$1:$Q$134, 132, FALSE)</f>
        <v>0.16528925619834711</v>
      </c>
      <c r="H16" s="9">
        <f>HLOOKUP(B16,'Yearly returns'!$B$1:$N$140, 133, FALSE)</f>
        <v>0.2975206611570248</v>
      </c>
      <c r="I16" s="9">
        <f>HLOOKUP(B16,'Yearly returns'!$B$1:$N$140, 138, FALSE)</f>
        <v>0.68</v>
      </c>
      <c r="J16" s="183">
        <f t="shared" si="0"/>
        <v>6.05</v>
      </c>
      <c r="K16" s="185">
        <f t="shared" si="1"/>
        <v>16.600000000000001</v>
      </c>
      <c r="L16" s="47">
        <f t="shared" si="2"/>
        <v>25</v>
      </c>
      <c r="M16" s="47">
        <f t="shared" si="3"/>
        <v>0</v>
      </c>
      <c r="N16" s="47">
        <f t="shared" si="4"/>
        <v>50</v>
      </c>
      <c r="P16">
        <f>L16*Assumption!$E$53 + M16*Assumption!$F$53 + N16*Assumption!$G$53</f>
        <v>31.25</v>
      </c>
      <c r="R16" cm="1">
        <f t="array" ref="R16">_xlfn.PERCENTRANK.EXC(_xlfn._xlws.FILTER(P$4:P$16, ISNUMBER(P$4:P$16)),P16)*100</f>
        <v>14.2</v>
      </c>
    </row>
    <row r="17" spans="4:4" x14ac:dyDescent="0.35">
      <c r="D17" s="9"/>
    </row>
    <row r="18" spans="4:4" x14ac:dyDescent="0.35">
      <c r="D18" s="9"/>
    </row>
    <row r="19" spans="4:4" x14ac:dyDescent="0.35">
      <c r="D19" s="9"/>
    </row>
    <row r="20" spans="4:4" x14ac:dyDescent="0.35">
      <c r="D2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26"/>
  <sheetViews>
    <sheetView topLeftCell="I13" zoomScaleNormal="100" workbookViewId="0">
      <selection activeCell="N22" sqref="N22"/>
    </sheetView>
  </sheetViews>
  <sheetFormatPr defaultRowHeight="14.5" x14ac:dyDescent="0.35"/>
  <cols>
    <col min="1" max="1" width="15.1796875" bestFit="1" customWidth="1"/>
    <col min="2" max="2" width="34.453125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L2" s="5"/>
    </row>
    <row r="3" spans="1:22" x14ac:dyDescent="0.35">
      <c r="H3"/>
      <c r="I3"/>
      <c r="J3"/>
      <c r="L3" s="5"/>
    </row>
    <row r="4" spans="1:22" x14ac:dyDescent="0.35">
      <c r="A4" t="s">
        <v>821</v>
      </c>
      <c r="B4" t="s">
        <v>519</v>
      </c>
      <c r="C4" t="s">
        <v>820</v>
      </c>
      <c r="D4" t="s">
        <v>544</v>
      </c>
      <c r="F4" t="s">
        <v>783</v>
      </c>
      <c r="G4" s="110" t="s">
        <v>818</v>
      </c>
      <c r="H4" s="110" t="s">
        <v>817</v>
      </c>
      <c r="I4" s="110" t="s">
        <v>837</v>
      </c>
      <c r="J4" s="110" t="s">
        <v>819</v>
      </c>
      <c r="S4" s="110" t="s">
        <v>818</v>
      </c>
      <c r="T4" s="110" t="s">
        <v>817</v>
      </c>
      <c r="U4" s="110" t="s">
        <v>837</v>
      </c>
      <c r="V4" s="110" t="s">
        <v>819</v>
      </c>
    </row>
    <row r="5" spans="1:22" x14ac:dyDescent="0.35">
      <c r="A5" t="s">
        <v>198</v>
      </c>
      <c r="B5" t="str" cm="1">
        <f t="array" ref="B5">_xll.FDS(C5,"FG_COMPANY_NAME")</f>
        <v>iShares MSCI New Zealand ETF</v>
      </c>
      <c r="C5" t="s">
        <v>431</v>
      </c>
      <c r="D5" t="s">
        <v>674</v>
      </c>
      <c r="E5" s="3" t="s">
        <v>431</v>
      </c>
      <c r="F5" s="9">
        <f>HLOOKUP(E5,'Monthly Returns'!$A$1:$AE$136,134,FALSE)</f>
        <v>0.65500000000000003</v>
      </c>
      <c r="G5" s="141" cm="1">
        <f t="array" ref="G5">_xll.FDSZ(C5,"FG_PRICE(0)")</f>
        <v>45.46</v>
      </c>
      <c r="H5" s="141" cm="1">
        <f t="array" ref="H5">_xll.FDSZ(C5,"FG_PRICE_MAVG(0,,,,30)")</f>
        <v>45.717426000000003</v>
      </c>
      <c r="I5" s="141" cm="1">
        <f t="array" ref="I5">_xll.FDSZ(C5,"FG_PRICE_MAVG(0,,,,60)")</f>
        <v>45.283591999999999</v>
      </c>
      <c r="J5" s="141" cm="1">
        <f t="array" ref="J5">_xll.FDSZ(C5,"FG_PRICE_MAVG(0,,,,200)")</f>
        <v>45.381003999999997</v>
      </c>
      <c r="L5">
        <f>IF($G5&gt;H5, 1, 0)</f>
        <v>0</v>
      </c>
      <c r="M5">
        <f>IF($G5&gt;I5, 1, 0)</f>
        <v>1</v>
      </c>
      <c r="N5">
        <f>IF($G5&gt;J5, 1, 0)</f>
        <v>1</v>
      </c>
      <c r="P5">
        <f>SUM(L5:N5)</f>
        <v>2</v>
      </c>
      <c r="R5" t="s">
        <v>839</v>
      </c>
      <c r="S5" s="7" cm="1">
        <f t="array" ref="S5">_xll.FDSZ($R5,"FG_PRICE(0)")</f>
        <v>384.21663999999998</v>
      </c>
      <c r="T5" s="7" cm="1">
        <f t="array" ref="T5">_xll.FDSZ($R5,"FG_PRICE(0)")</f>
        <v>384.21663999999998</v>
      </c>
      <c r="U5" s="7" cm="1">
        <f t="array" ref="U5">_xll.FDSZ($R5,"FG_PRICE(0)")</f>
        <v>384.21663999999998</v>
      </c>
      <c r="V5" s="7" cm="1">
        <f t="array" ref="V5">_xll.FDSZ($R5,"FG_PRICE(0)")</f>
        <v>384.21663999999998</v>
      </c>
    </row>
    <row r="6" spans="1:22" x14ac:dyDescent="0.35">
      <c r="A6" t="s">
        <v>174</v>
      </c>
      <c r="B6" t="str" cm="1">
        <f t="array" ref="B6">_xll.FDS(C6,"FG_COMPANY_NAME")</f>
        <v>iShares MSCI Australia ETF</v>
      </c>
      <c r="C6" t="s">
        <v>44</v>
      </c>
      <c r="D6" t="s">
        <v>576</v>
      </c>
      <c r="E6" s="3" t="s">
        <v>44</v>
      </c>
      <c r="F6" s="9">
        <f>HLOOKUP(E6,'Monthly Returns'!$A$1:$AE$136,134,FALSE)</f>
        <v>0.55700000000000005</v>
      </c>
      <c r="G6" s="141" cm="1">
        <f t="array" ref="G6">_xll.FDSZ(C6,"FG_PRICE(0)")</f>
        <v>24.43</v>
      </c>
      <c r="H6" s="141" cm="1">
        <f t="array" ref="H6">_xll.FDSZ(C6,"FG_PRICE_MAVG(0,,,,30)")</f>
        <v>24.589333</v>
      </c>
      <c r="I6" s="141" cm="1">
        <f t="array" ref="I6">_xll.FDSZ(C6,"FG_PRICE_MAVG(0,,,,60)")</f>
        <v>24.329666</v>
      </c>
      <c r="J6" s="141" cm="1">
        <f t="array" ref="J6">_xll.FDSZ(C6,"FG_PRICE_MAVG(0,,,,200)")</f>
        <v>23.340900000000001</v>
      </c>
      <c r="L6">
        <f t="shared" ref="L6:L17" si="0">IF($G6&gt;H6, 1, 0)</f>
        <v>0</v>
      </c>
      <c r="M6">
        <f t="shared" ref="M6:M17" si="1">IF($G6&gt;I6, 1, 0)</f>
        <v>1</v>
      </c>
      <c r="N6">
        <f t="shared" ref="N6:N17" si="2">IF($G6&gt;J6, 1, 0)</f>
        <v>1</v>
      </c>
      <c r="P6">
        <f t="shared" ref="P6:P17" si="3">SUM(L6:N6)</f>
        <v>2</v>
      </c>
      <c r="R6" t="s">
        <v>840</v>
      </c>
      <c r="S6" s="7" cm="1">
        <f t="array" ref="S6">_xll.FDSZ($R6,"FG_PRICE(0)")</f>
        <v>362.85892000000001</v>
      </c>
      <c r="T6" s="7" cm="1">
        <f t="array" ref="T6">_xll.FDSZ($R6,"FG_PRICE(0)")</f>
        <v>362.85892000000001</v>
      </c>
      <c r="U6" s="7" cm="1">
        <f t="array" ref="U6">_xll.FDSZ($R6,"FG_PRICE(0)")</f>
        <v>362.85892000000001</v>
      </c>
      <c r="V6" s="7" cm="1">
        <f t="array" ref="V6">_xll.FDSZ($R6,"FG_PRICE(0)")</f>
        <v>362.85892000000001</v>
      </c>
    </row>
    <row r="7" spans="1:22" x14ac:dyDescent="0.35">
      <c r="A7" t="s">
        <v>157</v>
      </c>
      <c r="B7" t="str" cm="1">
        <f t="array" ref="B7">_xll.FDS(C7,"FG_COMPANY_NAME")</f>
        <v>iShares MSCI Canada ETF</v>
      </c>
      <c r="C7" t="s">
        <v>49</v>
      </c>
      <c r="D7" t="s">
        <v>598</v>
      </c>
      <c r="E7" s="3" t="s">
        <v>49</v>
      </c>
      <c r="F7" s="9">
        <f>HLOOKUP(E7,'Monthly Returns'!$A$1:$AE$136,134,FALSE)</f>
        <v>0.31900000000000001</v>
      </c>
      <c r="G7" s="141" cm="1">
        <f t="array" ref="G7">_xll.FDSZ(C7,"FG_PRICE(0)")</f>
        <v>37.090000000000003</v>
      </c>
      <c r="H7" s="141" cm="1">
        <f t="array" ref="H7">_xll.FDSZ(C7,"FG_PRICE_MAVG(0,,,,30)")</f>
        <v>37.485332</v>
      </c>
      <c r="I7" s="141" cm="1">
        <f t="array" ref="I7">_xll.FDSZ(C7,"FG_PRICE_MAVG(0,,,,60)")</f>
        <v>37.564835000000002</v>
      </c>
      <c r="J7" s="141" cm="1">
        <f t="array" ref="J7">_xll.FDSZ(C7,"FG_PRICE_MAVG(0,,,,200)")</f>
        <v>36.032600000000002</v>
      </c>
      <c r="L7">
        <f t="shared" si="0"/>
        <v>0</v>
      </c>
      <c r="M7">
        <f t="shared" si="1"/>
        <v>0</v>
      </c>
      <c r="N7">
        <f t="shared" si="2"/>
        <v>1</v>
      </c>
      <c r="P7">
        <f t="shared" si="3"/>
        <v>1</v>
      </c>
      <c r="R7" t="s">
        <v>841</v>
      </c>
      <c r="S7" s="7" cm="1">
        <f t="array" ref="S7">_xll.FDSZ($R7,"FG_PRICE(0)")</f>
        <v>287.57983000000002</v>
      </c>
      <c r="T7" s="7" cm="1">
        <f t="array" ref="T7">_xll.FDSZ($R7,"FG_PRICE(0)")</f>
        <v>287.57983000000002</v>
      </c>
      <c r="U7" s="7" cm="1">
        <f t="array" ref="U7">_xll.FDSZ($R7,"FG_PRICE(0)")</f>
        <v>287.57983000000002</v>
      </c>
      <c r="V7" s="7" cm="1">
        <f t="array" ref="V7">_xll.FDSZ($R7,"FG_PRICE(0)")</f>
        <v>287.57983000000002</v>
      </c>
    </row>
    <row r="8" spans="1:22" x14ac:dyDescent="0.35">
      <c r="A8" t="s">
        <v>555</v>
      </c>
      <c r="B8" t="str" cm="1">
        <f t="array" ref="B8">_xll.FDS(C8,"FG_COMPANY_NAME")</f>
        <v>iShares MSCI Germany ETF</v>
      </c>
      <c r="C8" t="s">
        <v>11</v>
      </c>
      <c r="D8" t="s">
        <v>625</v>
      </c>
      <c r="E8" s="3" t="s">
        <v>11</v>
      </c>
      <c r="F8" s="9">
        <f>HLOOKUP(E8,'Monthly Returns'!$A$1:$AE$136,134,FALSE)</f>
        <v>0.28599999999999998</v>
      </c>
      <c r="G8" s="141" cm="1">
        <f t="array" ref="G8">_xll.FDSZ(C8,"FG_PRICE(0)")</f>
        <v>30.62</v>
      </c>
      <c r="H8" s="141" cm="1">
        <f t="array" ref="H8">_xll.FDSZ(C8,"FG_PRICE_MAVG(0,,,,30)")</f>
        <v>31.414667000000001</v>
      </c>
      <c r="I8" s="141" cm="1">
        <f t="array" ref="I8">_xll.FDSZ(C8,"FG_PRICE_MAVG(0,,,,60)")</f>
        <v>31.231833000000002</v>
      </c>
      <c r="J8" s="141" cm="1">
        <f t="array" ref="J8">_xll.FDSZ(C8,"FG_PRICE_MAVG(0,,,,200)")</f>
        <v>29.3109</v>
      </c>
      <c r="L8">
        <f t="shared" si="0"/>
        <v>0</v>
      </c>
      <c r="M8">
        <f t="shared" si="1"/>
        <v>0</v>
      </c>
      <c r="N8">
        <f t="shared" si="2"/>
        <v>1</v>
      </c>
      <c r="P8">
        <f t="shared" si="3"/>
        <v>1</v>
      </c>
      <c r="R8" t="s">
        <v>838</v>
      </c>
      <c r="S8" s="7" cm="1">
        <f t="array" ref="S8">_xll.FDSZ($R8,"FG_PRICE(0)")</f>
        <v>9.3468420000000005</v>
      </c>
      <c r="T8" s="7" cm="1">
        <f t="array" ref="T8">_xll.FDSZ($R8,"FG_PRICE(0)")</f>
        <v>9.3468420000000005</v>
      </c>
      <c r="U8" s="7" cm="1">
        <f t="array" ref="U8">_xll.FDSZ($R8,"FG_PRICE(0)")</f>
        <v>9.3468420000000005</v>
      </c>
      <c r="V8" s="7" cm="1">
        <f t="array" ref="V8">_xll.FDSZ($R8,"FG_PRICE(0)")</f>
        <v>9.3468420000000005</v>
      </c>
    </row>
    <row r="9" spans="1:22" x14ac:dyDescent="0.35">
      <c r="A9" t="s">
        <v>164</v>
      </c>
      <c r="B9" t="str" cm="1">
        <f t="array" ref="B9">_xll.FDS(C9,"FG_COMPANY_NAME")</f>
        <v>iShares MSCI Japan ETF</v>
      </c>
      <c r="C9" t="s">
        <v>46</v>
      </c>
      <c r="D9" t="s">
        <v>643</v>
      </c>
      <c r="E9" s="3" t="s">
        <v>46</v>
      </c>
      <c r="F9" s="9">
        <f>HLOOKUP(E9,'Monthly Returns'!$A$1:$AE$136,134,FALSE)</f>
        <v>0.377</v>
      </c>
      <c r="G9" s="141" cm="1">
        <f t="array" ref="G9">_xll.FDSZ(C9,"FG_PRICE(0)")</f>
        <v>68.239999999999995</v>
      </c>
      <c r="H9" s="141" cm="1">
        <f t="array" ref="H9">_xll.FDSZ(C9,"FG_PRICE_MAVG(0,,,,30)")</f>
        <v>68.060670000000002</v>
      </c>
      <c r="I9" s="141" cm="1">
        <f t="array" ref="I9">_xll.FDSZ(C9,"FG_PRICE_MAVG(0,,,,60)")</f>
        <v>68.182500000000005</v>
      </c>
      <c r="J9" s="141" cm="1">
        <f t="array" ref="J9">_xll.FDSZ(C9,"FG_PRICE_MAVG(0,,,,200)")</f>
        <v>65.475899999999996</v>
      </c>
      <c r="L9">
        <f t="shared" si="0"/>
        <v>1</v>
      </c>
      <c r="M9">
        <f t="shared" si="1"/>
        <v>1</v>
      </c>
      <c r="N9">
        <f t="shared" si="2"/>
        <v>1</v>
      </c>
      <c r="P9">
        <f t="shared" si="3"/>
        <v>3</v>
      </c>
      <c r="R9" t="s">
        <v>842</v>
      </c>
      <c r="S9" s="7" cm="1">
        <f t="array" ref="S9">_xll.FDSZ($R9,"FG_PRICE(0)")</f>
        <v>171.27070000000001</v>
      </c>
      <c r="T9" s="7" cm="1">
        <f t="array" ref="T9">_xll.FDSZ($R9,"FG_PRICE(0)")</f>
        <v>171.27070000000001</v>
      </c>
      <c r="U9" s="7" cm="1">
        <f t="array" ref="U9">_xll.FDSZ($R9,"FG_PRICE(0)")</f>
        <v>171.27070000000001</v>
      </c>
      <c r="V9" s="7" cm="1">
        <f t="array" ref="V9">_xll.FDSZ($R9,"FG_PRICE(0)")</f>
        <v>171.27070000000001</v>
      </c>
    </row>
    <row r="10" spans="1:22" x14ac:dyDescent="0.35">
      <c r="A10" t="s">
        <v>276</v>
      </c>
      <c r="B10" t="str" cm="1">
        <f t="array" ref="B10">_xll.FDS(C10,"FG_COMPANY_NAME")</f>
        <v>iShares MSCI Switzerland ETF</v>
      </c>
      <c r="C10" t="s">
        <v>42</v>
      </c>
      <c r="D10" t="s">
        <v>706</v>
      </c>
      <c r="E10" s="3" t="s">
        <v>42</v>
      </c>
      <c r="F10" s="9">
        <f>HLOOKUP(E10,'Monthly Returns'!$A$1:$AE$136,134,FALSE)</f>
        <v>0.63900000000000001</v>
      </c>
      <c r="G10" s="141" cm="1">
        <f t="array" ref="G10">_xll.FDSZ(C10,"FG_PRICE(0)")</f>
        <v>48.21</v>
      </c>
      <c r="H10" s="141" cm="1">
        <f t="array" ref="H10">_xll.FDSZ(C10,"FG_PRICE_MAVG(0,,,,30)")</f>
        <v>48.930332</v>
      </c>
      <c r="I10" s="141" cm="1">
        <f t="array" ref="I10">_xll.FDSZ(C10,"FG_PRICE_MAVG(0,,,,60)")</f>
        <v>47.652500000000003</v>
      </c>
      <c r="J10" s="141" cm="1">
        <f t="array" ref="J10">_xll.FDSZ(C10,"FG_PRICE_MAVG(0,,,,200)")</f>
        <v>46.379950000000001</v>
      </c>
      <c r="L10">
        <f t="shared" si="0"/>
        <v>0</v>
      </c>
      <c r="M10">
        <f t="shared" si="1"/>
        <v>1</v>
      </c>
      <c r="N10">
        <f t="shared" si="2"/>
        <v>1</v>
      </c>
      <c r="P10">
        <f t="shared" si="3"/>
        <v>2</v>
      </c>
      <c r="R10" t="s">
        <v>843</v>
      </c>
      <c r="S10" s="7" cm="1">
        <f t="array" ref="S10">_xll.FDSZ($R10,"FG_PRICE(0)")</f>
        <v>328.17385999999999</v>
      </c>
      <c r="T10" s="7" cm="1">
        <f t="array" ref="T10">_xll.FDSZ($R10,"FG_PRICE(0)")</f>
        <v>328.17385999999999</v>
      </c>
      <c r="U10" s="7" cm="1">
        <f t="array" ref="U10">_xll.FDSZ($R10,"FG_PRICE(0)")</f>
        <v>328.17385999999999</v>
      </c>
      <c r="V10" s="7" cm="1">
        <f t="array" ref="V10">_xll.FDSZ($R10,"FG_PRICE(0)")</f>
        <v>328.17385999999999</v>
      </c>
    </row>
    <row r="11" spans="1:22" x14ac:dyDescent="0.35">
      <c r="A11" t="s">
        <v>167</v>
      </c>
      <c r="B11" t="str" cm="1">
        <f t="array" ref="B11">_xll.FDS(C11,"FG_COMPANY_NAME")</f>
        <v>iShares MSCI United Kingdom ETF</v>
      </c>
      <c r="C11" t="s">
        <v>48</v>
      </c>
      <c r="D11" t="s">
        <v>719</v>
      </c>
      <c r="E11" s="3" t="s">
        <v>48</v>
      </c>
      <c r="F11" s="9">
        <f>HLOOKUP(E11,'Monthly Returns'!$A$1:$AE$136,134,FALSE)</f>
        <v>0.28599999999999998</v>
      </c>
      <c r="G11" s="141" cm="1">
        <f t="array" ref="G11">_xll.FDSZ(C11,"FG_PRICE(0)")</f>
        <v>34.880000000000003</v>
      </c>
      <c r="H11" s="141" cm="1">
        <f t="array" ref="H11">_xll.FDSZ(C11,"FG_PRICE_MAVG(0,,,,30)")</f>
        <v>35.764668</v>
      </c>
      <c r="I11" s="141" cm="1">
        <f t="array" ref="I11">_xll.FDSZ(C11,"FG_PRICE_MAVG(0,,,,60)")</f>
        <v>35.227665000000002</v>
      </c>
      <c r="J11" s="141" cm="1">
        <f t="array" ref="J11">_xll.FDSZ(C11,"FG_PRICE_MAVG(0,,,,200)")</f>
        <v>33.223500000000001</v>
      </c>
      <c r="L11">
        <f t="shared" si="0"/>
        <v>0</v>
      </c>
      <c r="M11">
        <f t="shared" si="1"/>
        <v>0</v>
      </c>
      <c r="N11">
        <f t="shared" si="2"/>
        <v>1</v>
      </c>
      <c r="P11">
        <f t="shared" si="3"/>
        <v>1</v>
      </c>
      <c r="R11" t="s">
        <v>844</v>
      </c>
      <c r="S11" s="7" cm="1">
        <f t="array" ref="S11">_xll.FDSZ($R11,"FG_PRICE(0)")</f>
        <v>125.9208</v>
      </c>
      <c r="T11" s="7" cm="1">
        <f t="array" ref="T11">_xll.FDSZ($R11,"FG_PRICE(0)")</f>
        <v>125.9208</v>
      </c>
      <c r="U11" s="7" cm="1">
        <f t="array" ref="U11">_xll.FDSZ($R11,"FG_PRICE(0)")</f>
        <v>125.9208</v>
      </c>
      <c r="V11" s="7" cm="1">
        <f t="array" ref="V11">_xll.FDSZ($R11,"FG_PRICE(0)")</f>
        <v>125.9208</v>
      </c>
    </row>
    <row r="12" spans="1:22" x14ac:dyDescent="0.35">
      <c r="A12" t="s">
        <v>170</v>
      </c>
      <c r="B12" t="str" cm="1">
        <f t="array" ref="B12">_xll.FDS(C12,"FG_COMPANY_NAME")</f>
        <v>Invesco QQQ Trust Series I</v>
      </c>
      <c r="C12" t="s">
        <v>51</v>
      </c>
      <c r="D12" t="s">
        <v>720</v>
      </c>
      <c r="E12" s="3" t="s">
        <v>51</v>
      </c>
      <c r="F12" s="9">
        <f>HLOOKUP(E12,'Monthly Returns'!$A$1:$AE$136,134,FALSE)</f>
        <v>0.70399999999999996</v>
      </c>
      <c r="G12" s="141" cm="1">
        <f t="array" ref="G12">_xll.FDSZ(C12,"FG_PRICE(0)")</f>
        <v>479.11</v>
      </c>
      <c r="H12" s="141" cm="1">
        <f t="array" ref="H12">_xll.FDSZ(C12,"FG_PRICE_MAVG(0,,,,30)")</f>
        <v>466.22568000000001</v>
      </c>
      <c r="I12" s="141" cm="1">
        <f t="array" ref="I12">_xll.FDSZ(C12,"FG_PRICE_MAVG(0,,,,60)")</f>
        <v>450.10318000000001</v>
      </c>
      <c r="J12" s="141" cm="1">
        <f t="array" ref="J12">_xll.FDSZ(C12,"FG_PRICE_MAVG(0,,,,200)")</f>
        <v>415.66073999999998</v>
      </c>
      <c r="L12">
        <f t="shared" si="0"/>
        <v>1</v>
      </c>
      <c r="M12">
        <f t="shared" si="1"/>
        <v>1</v>
      </c>
      <c r="N12">
        <f t="shared" si="2"/>
        <v>1</v>
      </c>
      <c r="P12">
        <f t="shared" si="3"/>
        <v>3</v>
      </c>
      <c r="R12" t="s">
        <v>845</v>
      </c>
      <c r="S12" s="7" cm="1">
        <f t="array" ref="S12">_xll.FDSZ($R12,"FG_PRICE(0)")</f>
        <v>407.30221999999998</v>
      </c>
      <c r="T12" s="7" cm="1">
        <f t="array" ref="T12">_xll.FDSZ($R12,"FG_PRICE(0)")</f>
        <v>407.30221999999998</v>
      </c>
      <c r="U12" s="7" cm="1">
        <f t="array" ref="U12">_xll.FDSZ($R12,"FG_PRICE(0)")</f>
        <v>407.30221999999998</v>
      </c>
      <c r="V12" s="7" cm="1">
        <f t="array" ref="V12">_xll.FDSZ($R12,"FG_PRICE(0)")</f>
        <v>407.30221999999998</v>
      </c>
    </row>
    <row r="13" spans="1:22" x14ac:dyDescent="0.35">
      <c r="A13" t="s">
        <v>170</v>
      </c>
      <c r="B13" t="str" cm="1">
        <f t="array" ref="B13">_xll.FDS(C13,"FG_COMPANY_NAME")</f>
        <v>SPDR S&amp;P 500 ETF Trust</v>
      </c>
      <c r="C13" t="s">
        <v>1</v>
      </c>
      <c r="D13" t="s">
        <v>720</v>
      </c>
      <c r="E13" s="3" t="s">
        <v>1</v>
      </c>
      <c r="F13" s="9">
        <f>HLOOKUP(E13,'Monthly Returns'!$A$1:$AE$136,134,FALSE)</f>
        <v>0.68</v>
      </c>
      <c r="G13" s="141" cm="1">
        <f t="array" ref="G13">_xll.FDSZ(C13,"FG_PRICE(0)")</f>
        <v>544.22</v>
      </c>
      <c r="H13" s="141" cm="1">
        <f t="array" ref="H13">_xll.FDSZ(C13,"FG_PRICE_MAVG(0,,,,30)")</f>
        <v>536.00599999999997</v>
      </c>
      <c r="I13" s="141" cm="1">
        <f t="array" ref="I13">_xll.FDSZ(C13,"FG_PRICE_MAVG(0,,,,60)")</f>
        <v>523.55065999999999</v>
      </c>
      <c r="J13" s="141" cm="1">
        <f t="array" ref="J13">_xll.FDSZ(C13,"FG_PRICE_MAVG(0,,,,200)")</f>
        <v>485.36835000000002</v>
      </c>
      <c r="L13">
        <f t="shared" si="0"/>
        <v>1</v>
      </c>
      <c r="M13">
        <f t="shared" si="1"/>
        <v>1</v>
      </c>
      <c r="N13">
        <f t="shared" si="2"/>
        <v>1</v>
      </c>
      <c r="P13">
        <f t="shared" si="3"/>
        <v>3</v>
      </c>
      <c r="R13" t="s">
        <v>845</v>
      </c>
      <c r="S13" s="7" cm="1">
        <f t="array" ref="S13">_xll.FDSZ($R13,"FG_PRICE(0)")</f>
        <v>407.30221999999998</v>
      </c>
      <c r="T13" s="7" cm="1">
        <f t="array" ref="T13">_xll.FDSZ($R13,"FG_PRICE(0)")</f>
        <v>407.30221999999998</v>
      </c>
      <c r="U13" s="7" cm="1">
        <f t="array" ref="U13">_xll.FDSZ($R13,"FG_PRICE(0)")</f>
        <v>407.30221999999998</v>
      </c>
      <c r="V13" s="7" cm="1">
        <f t="array" ref="V13">_xll.FDSZ($R13,"FG_PRICE(0)")</f>
        <v>407.30221999999998</v>
      </c>
    </row>
    <row r="14" spans="1:22" x14ac:dyDescent="0.35">
      <c r="A14" t="s">
        <v>869</v>
      </c>
      <c r="B14" t="str" cm="1">
        <f t="array" ref="B14">_xll.FDS(C14,"FG_COMPANY_NAME")</f>
        <v>iShares MSCI France ETF</v>
      </c>
      <c r="C14" t="s">
        <v>865</v>
      </c>
      <c r="D14" t="s">
        <v>621</v>
      </c>
      <c r="E14" t="s">
        <v>865</v>
      </c>
      <c r="F14" s="9">
        <f>HLOOKUP(E14,'Monthly Returns'!$A$1:$AE$136,134,FALSE)</f>
        <v>5.7000000000000002E-2</v>
      </c>
      <c r="G14" s="141" cm="1">
        <f t="array" ref="G14">_xll.FDSZ(C14,"FG_PRICE(0)")</f>
        <v>37.78</v>
      </c>
      <c r="H14" s="141" cm="1">
        <f t="array" ref="H14">_xll.FDSZ(C14,"FG_PRICE_MAVG(0,,,,30)")</f>
        <v>40.386000000000003</v>
      </c>
      <c r="I14" s="141" cm="1">
        <f t="array" ref="I14">_xll.FDSZ(C14,"FG_PRICE_MAVG(0,,,,60)")</f>
        <v>40.542000000000002</v>
      </c>
      <c r="J14" s="141" cm="1">
        <f t="array" ref="J14">_xll.FDSZ(C14,"FG_PRICE_MAVG(0,,,,200)")</f>
        <v>38.716076000000001</v>
      </c>
      <c r="L14">
        <f t="shared" si="0"/>
        <v>0</v>
      </c>
      <c r="M14">
        <f t="shared" si="1"/>
        <v>0</v>
      </c>
      <c r="N14">
        <f t="shared" si="2"/>
        <v>0</v>
      </c>
      <c r="P14">
        <f t="shared" si="3"/>
        <v>0</v>
      </c>
      <c r="R14" t="s">
        <v>845</v>
      </c>
      <c r="S14" s="7" cm="1">
        <f t="array" ref="S14">_xll.FDSZ($R14,"FG_PRICE(0)")</f>
        <v>407.30221999999998</v>
      </c>
      <c r="T14" s="7" cm="1">
        <f t="array" ref="T14">_xll.FDSZ($R14,"FG_PRICE(0)")</f>
        <v>407.30221999999998</v>
      </c>
      <c r="U14" s="7" cm="1">
        <f t="array" ref="U14">_xll.FDSZ($R14,"FG_PRICE(0)")</f>
        <v>407.30221999999998</v>
      </c>
      <c r="V14" s="7" cm="1">
        <f t="array" ref="V14">_xll.FDSZ($R14,"FG_PRICE(0)")</f>
        <v>407.30221999999998</v>
      </c>
    </row>
    <row r="15" spans="1:22" x14ac:dyDescent="0.35">
      <c r="A15" t="s">
        <v>870</v>
      </c>
      <c r="B15" t="str" cm="1">
        <f t="array" ref="B15">_xll.FDS(C15,"FG_COMPANY_NAME")</f>
        <v>iShares MSCI Netherlands ETF</v>
      </c>
      <c r="C15" t="s">
        <v>867</v>
      </c>
      <c r="D15" t="s">
        <v>673</v>
      </c>
      <c r="E15" t="s">
        <v>867</v>
      </c>
      <c r="F15" s="9">
        <f>HLOOKUP(E15,'Monthly Returns'!$A$1:$AE$136,134,FALSE)</f>
        <v>0.254</v>
      </c>
      <c r="G15" s="141" cm="1">
        <f t="array" ref="G15">_xll.FDSZ(C15,"FG_PRICE(0)")</f>
        <v>50.23</v>
      </c>
      <c r="H15" s="141" cm="1">
        <f t="array" ref="H15">_xll.FDSZ(C15,"FG_PRICE_MAVG(0,,,,30)")</f>
        <v>51.262165000000003</v>
      </c>
      <c r="I15" s="141" cm="1">
        <f t="array" ref="I15">_xll.FDSZ(C15,"FG_PRICE_MAVG(0,,,,60)")</f>
        <v>50.131832000000003</v>
      </c>
      <c r="J15" s="141" cm="1">
        <f t="array" ref="J15">_xll.FDSZ(C15,"FG_PRICE_MAVG(0,,,,200)")</f>
        <v>45.278336000000003</v>
      </c>
      <c r="L15">
        <f t="shared" si="0"/>
        <v>0</v>
      </c>
      <c r="M15">
        <f t="shared" si="1"/>
        <v>1</v>
      </c>
      <c r="N15">
        <f t="shared" si="2"/>
        <v>1</v>
      </c>
      <c r="P15">
        <f t="shared" si="3"/>
        <v>2</v>
      </c>
      <c r="R15" t="s">
        <v>845</v>
      </c>
      <c r="S15" s="7" cm="1">
        <f t="array" ref="S15">_xll.FDSZ($R15,"FG_PRICE(0)")</f>
        <v>407.30221999999998</v>
      </c>
      <c r="T15" s="7" cm="1">
        <f t="array" ref="T15">_xll.FDSZ($R15,"FG_PRICE(0)")</f>
        <v>407.30221999999998</v>
      </c>
      <c r="U15" s="7" cm="1">
        <f t="array" ref="U15">_xll.FDSZ($R15,"FG_PRICE(0)")</f>
        <v>407.30221999999998</v>
      </c>
      <c r="V15" s="7" cm="1">
        <f t="array" ref="V15">_xll.FDSZ($R15,"FG_PRICE(0)")</f>
        <v>407.30221999999998</v>
      </c>
    </row>
    <row r="16" spans="1:22" x14ac:dyDescent="0.35">
      <c r="A16" t="s">
        <v>273</v>
      </c>
      <c r="B16" t="str" cm="1">
        <f t="array" ref="B16">_xll.FDS(C16,"FG_COMPANY_NAME")</f>
        <v>iShares MSCI Sweden ETF</v>
      </c>
      <c r="C16" t="s">
        <v>864</v>
      </c>
      <c r="D16" t="s">
        <v>705</v>
      </c>
      <c r="E16" t="s">
        <v>864</v>
      </c>
      <c r="F16" s="9">
        <f>HLOOKUP(E16,'Monthly Returns'!$A$1:$AE$136,134,FALSE)</f>
        <v>0.30299999999999999</v>
      </c>
      <c r="G16" s="141" cm="1">
        <f t="array" ref="G16">_xll.FDSZ(C16,"FG_PRICE(0)")</f>
        <v>40.25</v>
      </c>
      <c r="H16" s="141" cm="1">
        <f t="array" ref="H16">_xll.FDSZ(C16,"FG_PRICE_MAVG(0,,,,30)")</f>
        <v>41.204334000000003</v>
      </c>
      <c r="I16" s="141" cm="1">
        <f t="array" ref="I16">_xll.FDSZ(C16,"FG_PRICE_MAVG(0,,,,60)")</f>
        <v>40.366917000000001</v>
      </c>
      <c r="J16" s="141" cm="1">
        <f t="array" ref="J16">_xll.FDSZ(C16,"FG_PRICE_MAVG(0,,,,200)")</f>
        <v>37.646450000000002</v>
      </c>
      <c r="L16">
        <f t="shared" si="0"/>
        <v>0</v>
      </c>
      <c r="M16">
        <f t="shared" si="1"/>
        <v>0</v>
      </c>
      <c r="N16">
        <f t="shared" si="2"/>
        <v>1</v>
      </c>
      <c r="P16">
        <f t="shared" si="3"/>
        <v>1</v>
      </c>
      <c r="R16" t="s">
        <v>845</v>
      </c>
      <c r="S16" s="7" cm="1">
        <f t="array" ref="S16">_xll.FDSZ($R16,"FG_PRICE(0)")</f>
        <v>407.30221999999998</v>
      </c>
      <c r="T16" s="7" cm="1">
        <f t="array" ref="T16">_xll.FDSZ($R16,"FG_PRICE(0)")</f>
        <v>407.30221999999998</v>
      </c>
      <c r="U16" s="7" cm="1">
        <f t="array" ref="U16">_xll.FDSZ($R16,"FG_PRICE(0)")</f>
        <v>407.30221999999998</v>
      </c>
      <c r="V16" s="7" cm="1">
        <f t="array" ref="V16">_xll.FDSZ($R16,"FG_PRICE(0)")</f>
        <v>407.30221999999998</v>
      </c>
    </row>
    <row r="17" spans="1:22" x14ac:dyDescent="0.35">
      <c r="A17" t="s">
        <v>868</v>
      </c>
      <c r="B17" t="str" cm="1">
        <f t="array" ref="B17">_xll.FDS(C17,"FG_COMPANY_NAME")</f>
        <v>iShares MSCI Italy ETF</v>
      </c>
      <c r="C17" t="s">
        <v>866</v>
      </c>
      <c r="D17" t="s">
        <v>641</v>
      </c>
      <c r="E17" t="s">
        <v>866</v>
      </c>
      <c r="F17" s="9">
        <f>HLOOKUP(E17,'Monthly Returns'!$A$1:$AE$136,134,FALSE)</f>
        <v>0.14699999999999999</v>
      </c>
      <c r="G17" s="141" cm="1">
        <f t="array" ref="G17">_xll.FDSZ(C17,"FG_PRICE(0)")</f>
        <v>35.85</v>
      </c>
      <c r="H17" s="141" cm="1">
        <f t="array" ref="H17">_xll.FDSZ(C17,"FG_PRICE_MAVG(0,,,,30)")</f>
        <v>37.631667999999998</v>
      </c>
      <c r="I17" s="141" cm="1">
        <f t="array" ref="I17">_xll.FDSZ(C17,"FG_PRICE_MAVG(0,,,,60)")</f>
        <v>37.367832</v>
      </c>
      <c r="J17" s="141" cm="1">
        <f t="array" ref="J17">_xll.FDSZ(C17,"FG_PRICE_MAVG(0,,,,200)")</f>
        <v>34.461750000000002</v>
      </c>
      <c r="L17">
        <f t="shared" si="0"/>
        <v>0</v>
      </c>
      <c r="M17">
        <f t="shared" si="1"/>
        <v>0</v>
      </c>
      <c r="N17">
        <f t="shared" si="2"/>
        <v>1</v>
      </c>
      <c r="P17">
        <f t="shared" si="3"/>
        <v>1</v>
      </c>
      <c r="R17" t="s">
        <v>845</v>
      </c>
      <c r="S17" s="7" cm="1">
        <f t="array" ref="S17">_xll.FDSZ($R17,"FG_PRICE(0)")</f>
        <v>407.30221999999998</v>
      </c>
      <c r="T17" s="7" cm="1">
        <f t="array" ref="T17">_xll.FDSZ($R17,"FG_PRICE(0)")</f>
        <v>407.30221999999998</v>
      </c>
      <c r="U17" s="7" cm="1">
        <f t="array" ref="U17">_xll.FDSZ($R17,"FG_PRICE(0)")</f>
        <v>407.30221999999998</v>
      </c>
      <c r="V17" s="7" cm="1">
        <f t="array" ref="V17">_xll.FDSZ($R17,"FG_PRICE(0)")</f>
        <v>407.30221999999998</v>
      </c>
    </row>
    <row r="19" spans="1:22" x14ac:dyDescent="0.35">
      <c r="K19" s="1" t="s">
        <v>906</v>
      </c>
      <c r="L19" s="1">
        <f>SUM(L5:L17)</f>
        <v>3</v>
      </c>
      <c r="M19" s="1">
        <f t="shared" ref="M19:N19" si="4">SUM(M5:M17)</f>
        <v>7</v>
      </c>
      <c r="N19" s="1">
        <f t="shared" si="4"/>
        <v>12</v>
      </c>
    </row>
    <row r="20" spans="1:22" x14ac:dyDescent="0.35">
      <c r="K20" s="1" t="s">
        <v>86</v>
      </c>
      <c r="L20" s="1">
        <f>COUNT(L5:L17)</f>
        <v>13</v>
      </c>
      <c r="M20" s="1">
        <f t="shared" ref="M20:N20" si="5">COUNT(M5:M17)</f>
        <v>13</v>
      </c>
      <c r="N20" s="1">
        <f t="shared" si="5"/>
        <v>13</v>
      </c>
    </row>
    <row r="21" spans="1:22" x14ac:dyDescent="0.35">
      <c r="K21" s="1"/>
      <c r="L21" s="1"/>
      <c r="M21" s="1"/>
      <c r="N21" s="1"/>
    </row>
    <row r="22" spans="1:22" x14ac:dyDescent="0.35">
      <c r="K22" s="1" t="s">
        <v>88</v>
      </c>
      <c r="L22" s="182">
        <f>L19/L20</f>
        <v>0.23076923076923078</v>
      </c>
      <c r="M22" s="182">
        <f t="shared" ref="M22:N22" si="6">M19/M20</f>
        <v>0.53846153846153844</v>
      </c>
      <c r="N22" s="182">
        <f t="shared" si="6"/>
        <v>0.92307692307692313</v>
      </c>
    </row>
    <row r="23" spans="1:22" x14ac:dyDescent="0.35">
      <c r="A23" t="s">
        <v>865</v>
      </c>
      <c r="B23" t="s">
        <v>869</v>
      </c>
      <c r="C23" t="str" cm="1">
        <f t="array" ref="C23">_xll.FDS(A23,"FG_COMPANY_NAME")</f>
        <v>iShares MSCI France ETF</v>
      </c>
      <c r="D23" t="s">
        <v>865</v>
      </c>
    </row>
    <row r="24" spans="1:22" x14ac:dyDescent="0.35">
      <c r="A24" t="s">
        <v>867</v>
      </c>
      <c r="B24" t="s">
        <v>870</v>
      </c>
      <c r="C24" t="str" cm="1">
        <f t="array" ref="C24">_xll.FDS(A24,"FG_COMPANY_NAME")</f>
        <v>iShares MSCI Netherlands ETF</v>
      </c>
      <c r="D24" t="s">
        <v>867</v>
      </c>
    </row>
    <row r="25" spans="1:22" x14ac:dyDescent="0.35">
      <c r="A25" t="s">
        <v>864</v>
      </c>
      <c r="B25" t="s">
        <v>273</v>
      </c>
      <c r="C25" t="str" cm="1">
        <f t="array" ref="C25">_xll.FDS(A25,"FG_COMPANY_NAME")</f>
        <v>iShares MSCI Sweden ETF</v>
      </c>
      <c r="D25" t="s">
        <v>864</v>
      </c>
    </row>
    <row r="26" spans="1:22" x14ac:dyDescent="0.35">
      <c r="A26" t="s">
        <v>866</v>
      </c>
      <c r="B26" t="s">
        <v>868</v>
      </c>
      <c r="C26" t="str" cm="1">
        <f t="array" ref="C26">_xll.FDS(A26,"FG_COMPANY_NAME")</f>
        <v>iShares MSCI Italy ETF</v>
      </c>
      <c r="D26" t="s">
        <v>866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topLeftCell="H1" workbookViewId="0">
      <selection activeCell="R5" sqref="R5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784</v>
      </c>
      <c r="C2" t="s">
        <v>785</v>
      </c>
      <c r="D2" t="s">
        <v>786</v>
      </c>
      <c r="E2" t="s">
        <v>787</v>
      </c>
      <c r="F2" t="s">
        <v>788</v>
      </c>
      <c r="G2" t="s">
        <v>789</v>
      </c>
      <c r="H2" t="s">
        <v>790</v>
      </c>
      <c r="I2" t="s">
        <v>791</v>
      </c>
      <c r="J2" t="s">
        <v>792</v>
      </c>
      <c r="S2" t="s">
        <v>793</v>
      </c>
    </row>
    <row r="3" spans="1:20" x14ac:dyDescent="0.35">
      <c r="A3" t="s">
        <v>794</v>
      </c>
      <c r="B3" t="s">
        <v>795</v>
      </c>
      <c r="C3" cm="1">
        <f t="array" ref="C3">_xll.FDS($A3,"FG_PRICE(0)")</f>
        <v>106.51</v>
      </c>
      <c r="D3" cm="1">
        <f t="array" ref="D3">_xll.FDS($A3,"FG_PRICE_MAVG(0,,,,30)")</f>
        <v>110.97467</v>
      </c>
      <c r="E3" s="47" cm="1">
        <f t="array" ref="E3">_xll.FDS($A3,"FG_PRICE_CHANGE(0,-1AM)")</f>
        <v>-9.4918422841604304</v>
      </c>
      <c r="F3" s="47" cm="1">
        <f t="array" ref="F3">_xll.FDS($A3,"FG_PRICE_CHANGE(0,-3AM)")</f>
        <v>-2.7572354606044001</v>
      </c>
      <c r="G3" s="47" cm="1">
        <f t="array" ref="G3">_xll.FDS($A3,"FG_PRICE_CHANGE(0,-6AM)")</f>
        <v>-21.7758519388954</v>
      </c>
      <c r="H3" s="47" cm="1">
        <f t="array" ref="H3">_xll.FDS($A3,"FG_PRICE_CHANGE(0,-1AY)")</f>
        <v>-5.4085257548845398</v>
      </c>
      <c r="I3" s="47" cm="1">
        <f t="array" ref="I3">_xll.FDS($A3,"FG_PRICE(0)/MAX(FG_PRICE(0,-1AY))")</f>
        <v>0.73883185349611502</v>
      </c>
      <c r="J3" cm="1">
        <f t="array" ref="J3">_xll.FDS($A3,"MAX(FG_PRICE(0,-5AY))")</f>
        <v>219.77</v>
      </c>
      <c r="P3" t="s">
        <v>430</v>
      </c>
      <c r="Q3" t="s">
        <v>432</v>
      </c>
      <c r="R3" t="s">
        <v>430</v>
      </c>
      <c r="S3">
        <f>IF(E3&lt;$C$19, 1, IF(E3&gt;$C$20,-1,0))</f>
        <v>1</v>
      </c>
      <c r="T3">
        <f>S3</f>
        <v>1</v>
      </c>
    </row>
    <row r="4" spans="1:20" x14ac:dyDescent="0.35">
      <c r="A4" t="s">
        <v>796</v>
      </c>
      <c r="B4" t="s">
        <v>797</v>
      </c>
      <c r="C4" cm="1">
        <f t="array" ref="C4">_xll.FDS($A4,"FG_PRICE(0)")</f>
        <v>4.3905000000000003</v>
      </c>
      <c r="D4" cm="1">
        <f t="array" ref="D4">_xll.FDS($A4,"FG_PRICE_MAVG(0,,,,30)")</f>
        <v>4.6506834000000001</v>
      </c>
      <c r="E4" s="47" cm="1">
        <f t="array" ref="E4">_xll.FDS($A4,"FG_PRICE_CHANGE(0,-1AM)")</f>
        <v>-9.9476976720336303</v>
      </c>
      <c r="F4" s="47" cm="1">
        <f t="array" ref="F4">_xll.FDS($A4,"FG_PRICE_CHANGE(0,-3AM)")</f>
        <v>9.6665417759460599</v>
      </c>
      <c r="G4" s="47" cm="1">
        <f t="array" ref="G4">_xll.FDS($A4,"FG_PRICE_CHANGE(0,-6AM)")</f>
        <v>12.2029133657041</v>
      </c>
      <c r="H4" s="47" cm="1">
        <f t="array" ref="H4">_xll.FDS($A4,"FG_PRICE_CHANGE(0,-1AY)")</f>
        <v>18.008332213412199</v>
      </c>
      <c r="I4" s="47" cm="1">
        <f t="array" ref="I4">_xll.FDS($A4,"FG_PRICE(0)/MAX(FG_PRICE(0,-1AY))")</f>
        <v>0.85768704825161202</v>
      </c>
      <c r="J4" cm="1">
        <f t="array" ref="J4">_xll.FDS($A4,"MAX(FG_PRICE(0,-5AY))")</f>
        <v>5.1189999999999998</v>
      </c>
      <c r="P4" t="s">
        <v>27</v>
      </c>
      <c r="Q4" t="s">
        <v>433</v>
      </c>
      <c r="R4" t="s">
        <v>27</v>
      </c>
      <c r="S4">
        <f>IF(E4&lt;$C$19, 1, IF(E4&gt;$C$20,-1,0))</f>
        <v>1</v>
      </c>
      <c r="T4">
        <f t="shared" ref="T4:T5" si="0">S4</f>
        <v>1</v>
      </c>
    </row>
    <row r="5" spans="1:20" x14ac:dyDescent="0.35">
      <c r="A5" t="s">
        <v>798</v>
      </c>
      <c r="B5" t="s">
        <v>457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16.832222071030099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434</v>
      </c>
      <c r="R5" t="s">
        <v>35</v>
      </c>
      <c r="S5">
        <f>IF(E9&lt;$C$19, 1, IF(E9&gt;$C$20,-1,0))</f>
        <v>1</v>
      </c>
      <c r="T5">
        <f t="shared" si="0"/>
        <v>1</v>
      </c>
    </row>
    <row r="6" spans="1:20" x14ac:dyDescent="0.35">
      <c r="A6" t="s">
        <v>799</v>
      </c>
      <c r="B6" t="s">
        <v>800</v>
      </c>
      <c r="C6" cm="1">
        <f t="array" ref="C6">_xll.FDS($A6,"FG_PRICE(0)")</f>
        <v>5.5350000000000001</v>
      </c>
      <c r="D6" cm="1">
        <f t="array" ref="D6">_xll.FDS($A6,"FG_PRICE_MAVG(0,,,,30)")</f>
        <v>6.3088329999999999</v>
      </c>
      <c r="E6" s="47" cm="1">
        <f t="array" ref="E6">_xll.FDS($A6,"FG_PRICE_CHANGE(0,-1AM)")</f>
        <v>-20.956801142449098</v>
      </c>
      <c r="F6" s="47" cm="1">
        <f t="array" ref="F6">_xll.FDS($A6,"FG_PRICE_CHANGE(0,-3AM)")</f>
        <v>-1.2048192771084301</v>
      </c>
      <c r="G6" s="47" cm="1">
        <f t="array" ref="G6">_xll.FDS($A6,"FG_PRICE_CHANGE(0,-6AM)")</f>
        <v>-12.351543942992899</v>
      </c>
      <c r="H6" s="47" cm="1">
        <f t="array" ref="H6">_xll.FDS($A6,"FG_PRICE_CHANGE(0,-1AY)")</f>
        <v>-15.592832634388101</v>
      </c>
      <c r="I6" s="47" cm="1">
        <f t="array" ref="I6">_xll.FDS($A6,"FG_PRICE(0)/MAX(FG_PRICE(0,-1AY))")</f>
        <v>0.72804998355803996</v>
      </c>
      <c r="J6" cm="1">
        <f t="array" ref="J6">_xll.FDS($A6,"MAX(FG_PRICE(0,-5AY))")</f>
        <v>14.2525</v>
      </c>
      <c r="P6" t="s">
        <v>30</v>
      </c>
      <c r="Q6" t="s">
        <v>435</v>
      </c>
      <c r="R6" t="s">
        <v>30</v>
      </c>
    </row>
    <row r="7" spans="1:20" x14ac:dyDescent="0.35">
      <c r="A7" t="s">
        <v>801</v>
      </c>
      <c r="B7" t="s">
        <v>802</v>
      </c>
      <c r="C7" cm="1">
        <f t="array" ref="C7">_xll.FDS($A7,"FG_PRICE(0)")</f>
        <v>3976</v>
      </c>
      <c r="D7" cm="1">
        <f t="array" ref="D7">_xll.FDS($A7,"FG_PRICE_MAVG(0,,,,30)")</f>
        <v>3933.7665999999999</v>
      </c>
      <c r="E7" s="47" cm="1">
        <f t="array" ref="E7">_xll.FDS($A7,"FG_PRICE_CHANGE(0,-1AM)")</f>
        <v>0.63275120222727699</v>
      </c>
      <c r="F7" s="47" cm="1">
        <f t="array" ref="F7">_xll.FDS($A7,"FG_PRICE_CHANGE(0,-3AM)")</f>
        <v>-6.5789473684210504</v>
      </c>
      <c r="G7" s="47" cm="1">
        <f t="array" ref="G7">_xll.FDS($A7,"FG_PRICE_CHANGE(0,-6AM)")</f>
        <v>8.7229969920699997</v>
      </c>
      <c r="H7" s="47" cm="1">
        <f t="array" ref="H7">_xll.FDS($A7,"FG_PRICE_CHANGE(0,-1AY)")</f>
        <v>5.99840042655293</v>
      </c>
      <c r="I7" s="47" cm="1">
        <f t="array" ref="I7">_xll.FDS($A7,"FG_PRICE(0)/MAX(FG_PRICE(0,-1AY))")</f>
        <v>0.86831185848438497</v>
      </c>
      <c r="J7" cm="1">
        <f t="array" ref="J7">_xll.FDS($A7,"MAX(FG_PRICE(0,-5AY))")</f>
        <v>8163</v>
      </c>
      <c r="P7" t="s">
        <v>23</v>
      </c>
      <c r="Q7" t="s">
        <v>436</v>
      </c>
      <c r="R7" t="s">
        <v>23</v>
      </c>
    </row>
    <row r="8" spans="1:20" x14ac:dyDescent="0.35">
      <c r="A8" t="s">
        <v>803</v>
      </c>
      <c r="B8" t="s">
        <v>804</v>
      </c>
      <c r="C8" cm="1">
        <f t="array" ref="C8">_xll.FDS($A8,"FG_PRICE(0)")</f>
        <v>1008</v>
      </c>
      <c r="D8" cm="1">
        <f t="array" ref="D8">_xll.FDS($A8,"FG_PRICE_MAVG(0,,,,30)")</f>
        <v>1012.7</v>
      </c>
      <c r="E8" s="47" cm="1">
        <f t="array" ref="E8">_xll.FDS($A8,"FG_PRICE_CHANGE(0,-1AM)")</f>
        <v>-4.9056603773584904</v>
      </c>
      <c r="F8" s="47" cm="1">
        <f t="array" ref="F8">_xll.FDS($A8,"FG_PRICE_CHANGE(0,-3AM)")</f>
        <v>9.5652173913043406</v>
      </c>
      <c r="G8" s="47" cm="1">
        <f t="array" ref="G8">_xll.FDS($A8,"FG_PRICE_CHANGE(0,-6AM)")</f>
        <v>0.29850746268655898</v>
      </c>
      <c r="H8" s="47" cm="1">
        <f t="array" ref="H8">_xll.FDS($A8,"FG_PRICE_CHANGE(0,-1AY)")</f>
        <v>8.3870967741935605</v>
      </c>
      <c r="I8" s="47" cm="1">
        <f t="array" ref="I8">_xll.FDS($A8,"FG_PRICE(0)/MAX(FG_PRICE(0,-1AY))")</f>
        <v>0.94293732460243196</v>
      </c>
      <c r="J8" cm="1">
        <f t="array" ref="J8">_xll.FDS($A8,"MAX(FG_PRICE(0,-5AY))")</f>
        <v>1272.5899999999999</v>
      </c>
      <c r="P8" t="s">
        <v>29</v>
      </c>
      <c r="Q8" t="s">
        <v>437</v>
      </c>
      <c r="R8" t="s">
        <v>29</v>
      </c>
    </row>
    <row r="9" spans="1:20" x14ac:dyDescent="0.35">
      <c r="A9" t="s">
        <v>805</v>
      </c>
      <c r="B9" t="s">
        <v>806</v>
      </c>
      <c r="C9" cm="1">
        <f t="array" ref="C9">_xll.FDS($A9,"FG_PRICE(0)")</f>
        <v>16960</v>
      </c>
      <c r="D9" cm="1">
        <f t="array" ref="D9">_xll.FDS($A9,"FG_PRICE_MAVG(0,,,,30)")</f>
        <v>18525.333999999999</v>
      </c>
      <c r="E9" s="47" cm="1">
        <f t="array" ref="E9">_xll.FDS($A9,"FG_PRICE_CHANGE(0,-1AM)")</f>
        <v>-15.4747072015948</v>
      </c>
      <c r="F9" s="47" cm="1">
        <f t="array" ref="F9">_xll.FDS($A9,"FG_PRICE_CHANGE(0,-3AM)")</f>
        <v>2.60133091349062</v>
      </c>
      <c r="G9" s="47" cm="1">
        <f t="array" ref="G9">_xll.FDS($A9,"FG_PRICE_CHANGE(0,-6AM)")</f>
        <v>3.3831149039926802</v>
      </c>
      <c r="H9" s="47" cm="1">
        <f t="array" ref="H9">_xll.FDS($A9,"FG_PRICE_CHANGE(0,-1AY)")</f>
        <v>-14.5807101485772</v>
      </c>
      <c r="I9" s="47" cm="1">
        <f t="array" ref="I9">_xll.FDS($A9,"FG_PRICE(0)/MAX(FG_PRICE(0,-1AY))")</f>
        <v>0.758666964884813</v>
      </c>
      <c r="J9" cm="1">
        <f t="array" ref="J9">_xll.FDS($A9,"MAX(FG_PRICE(0,-5AY))")</f>
        <v>48241</v>
      </c>
      <c r="P9" t="s">
        <v>33</v>
      </c>
      <c r="Q9" t="s">
        <v>438</v>
      </c>
      <c r="R9" t="s">
        <v>33</v>
      </c>
      <c r="S9">
        <f>IF(E7&lt;$C$19, 1, IF(E7&gt;$C$20,-1,0))</f>
        <v>0</v>
      </c>
      <c r="T9">
        <f t="shared" ref="T9" si="1">S9</f>
        <v>0</v>
      </c>
    </row>
    <row r="10" spans="1:20" x14ac:dyDescent="0.35">
      <c r="A10" t="s">
        <v>807</v>
      </c>
      <c r="B10" t="s">
        <v>808</v>
      </c>
      <c r="C10" cm="1">
        <f t="array" ref="C10">_xll.FDS($A10,"FG_PRICE(0)")</f>
        <v>950</v>
      </c>
      <c r="D10" cm="1">
        <f t="array" ref="D10">_xll.FDS($A10,"FG_PRICE_MAVG(0,,,,30)")</f>
        <v>957.36663999999996</v>
      </c>
      <c r="E10" s="47" cm="1">
        <f t="array" ref="E10">_xll.FDS($A10,"FG_PRICE_CHANGE(0,-1AM)")</f>
        <v>-3.5532994923857899</v>
      </c>
      <c r="F10" s="47" cm="1">
        <f t="array" ref="F10">_xll.FDS($A10,"FG_PRICE_CHANGE(0,-3AM)")</f>
        <v>-7.3170731707316996</v>
      </c>
      <c r="G10" s="47" cm="1">
        <f t="array" ref="G10">_xll.FDS($A10,"FG_PRICE_CHANGE(0,-6AM)")</f>
        <v>-17.3913043478261</v>
      </c>
      <c r="H10" s="47" cm="1">
        <f t="array" ref="H10">_xll.FDS($A10,"FG_PRICE_CHANGE(0,-1AY)")</f>
        <v>-28.732183045761399</v>
      </c>
      <c r="I10" s="47" cm="1">
        <f t="array" ref="I10">_xll.FDS($A10,"FG_PRICE(0)/MAX(FG_PRICE(0,-1AY))")</f>
        <v>0.70895522388059695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809</v>
      </c>
      <c r="C11" cm="1">
        <f t="array" ref="C11">_xll.FDS($A11,"FG_PRICE(0)")</f>
        <v>598.4</v>
      </c>
      <c r="D11" cm="1">
        <f t="array" ref="D11">_xll.FDS($A11,"FG_PRICE_MAVG(0,,,,30)")</f>
        <v>553.99663999999996</v>
      </c>
      <c r="E11" s="47" cm="1">
        <f t="array" ref="E11">_xll.FDS($A11,"FG_PRICE_CHANGE(0,-1AM)")</f>
        <v>8.1120144534778706</v>
      </c>
      <c r="F11" s="47" cm="1">
        <f t="array" ref="F11">_xll.FDS($A11,"FG_PRICE_CHANGE(0,-3AM)")</f>
        <v>-8.2911877394636004</v>
      </c>
      <c r="G11" s="47" cm="1">
        <f t="array" ref="G11">_xll.FDS($A11,"FG_PRICE_CHANGE(0,-6AM)")</f>
        <v>-3.8560411311054001</v>
      </c>
      <c r="H11" s="47" cm="1">
        <f t="array" ref="H11">_xll.FDS($A11,"FG_PRICE_CHANGE(0,-1AY)")</f>
        <v>-4.8346055979643703</v>
      </c>
      <c r="I11" s="47" cm="1">
        <f t="array" ref="I11">_xll.FDS($A11,"FG_PRICE(0)/MAX(FG_PRICE(0,-1AY))")</f>
        <v>0.78386167146974095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810</v>
      </c>
      <c r="B12" t="s">
        <v>811</v>
      </c>
      <c r="C12" cm="1">
        <f t="array" ref="C12">_xll.FDS($A12,"FG_PRICE(0)")</f>
        <v>0.93317925999999995</v>
      </c>
      <c r="D12" cm="1">
        <f t="array" ref="D12">_xll.FDS($A12,"FG_PRICE_MAVG(0,,,,30)")</f>
        <v>0.95566519999999999</v>
      </c>
      <c r="E12" s="47" cm="1">
        <f t="array" ref="E12">_xll.FDS($A12,"FG_PRICE_CHANGE(0,-1AM)")</f>
        <v>-2.9745430609733301</v>
      </c>
      <c r="F12" s="47" cm="1">
        <f t="array" ref="F12">_xll.FDS($A12,"FG_PRICE_CHANGE(0,-3AM)")</f>
        <v>-2.69630039608451</v>
      </c>
      <c r="G12" s="47" cm="1">
        <f t="array" ref="G12">_xll.FDS($A12,"FG_PRICE_CHANGE(0,-6AM)")</f>
        <v>-4.4917352094253502</v>
      </c>
      <c r="H12" s="47" cm="1">
        <f t="array" ref="H12">_xll.FDS($A12,"FG_PRICE_CHANGE(0,-1AY)")</f>
        <v>-7.49632831959957</v>
      </c>
      <c r="I12" s="47" cm="1">
        <f t="array" ref="I12">_xll.FDS($A12,"FG_PRICE(0)/MAX(FG_PRICE(0,-1AY))")</f>
        <v>0.89728775000000005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1, IF(E3&gt;$C$20,-1,0))</f>
        <v>1</v>
      </c>
      <c r="T13">
        <f t="shared" ref="T13:T23" si="2">S13</f>
        <v>1</v>
      </c>
    </row>
    <row r="14" spans="1:20" x14ac:dyDescent="0.35">
      <c r="P14" t="s">
        <v>22</v>
      </c>
      <c r="Q14" t="s">
        <v>439</v>
      </c>
      <c r="R14" t="s">
        <v>22</v>
      </c>
    </row>
    <row r="15" spans="1:20" x14ac:dyDescent="0.35">
      <c r="P15" t="s">
        <v>28</v>
      </c>
      <c r="Q15" t="s">
        <v>440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1, IF(E5&gt;$C$20,-1,0))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441</v>
      </c>
      <c r="R18" t="s">
        <v>31</v>
      </c>
    </row>
    <row r="19" spans="2:20" x14ac:dyDescent="0.35">
      <c r="B19" t="s">
        <v>813</v>
      </c>
      <c r="C19" s="53">
        <v>-5</v>
      </c>
      <c r="P19" s="1" t="s">
        <v>744</v>
      </c>
      <c r="Q19" s="1" t="s">
        <v>745</v>
      </c>
      <c r="R19" s="1" t="s">
        <v>744</v>
      </c>
    </row>
    <row r="20" spans="2:20" x14ac:dyDescent="0.35">
      <c r="B20" t="s">
        <v>814</v>
      </c>
      <c r="C20" s="53">
        <v>10</v>
      </c>
      <c r="P20" t="s">
        <v>25</v>
      </c>
      <c r="Q20" t="s">
        <v>442</v>
      </c>
      <c r="R20" t="s">
        <v>25</v>
      </c>
    </row>
    <row r="21" spans="2:20" x14ac:dyDescent="0.35">
      <c r="P21" t="s">
        <v>34</v>
      </c>
      <c r="Q21" t="s">
        <v>443</v>
      </c>
      <c r="R21" t="s">
        <v>34</v>
      </c>
      <c r="S21" s="1"/>
    </row>
    <row r="22" spans="2:20" x14ac:dyDescent="0.35">
      <c r="P22" t="s">
        <v>37</v>
      </c>
      <c r="Q22" t="s">
        <v>444</v>
      </c>
      <c r="R22" t="s">
        <v>37</v>
      </c>
    </row>
    <row r="23" spans="2:20" x14ac:dyDescent="0.35">
      <c r="P23" t="s">
        <v>36</v>
      </c>
      <c r="Q23" t="s">
        <v>445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431</v>
      </c>
      <c r="Q24" t="s">
        <v>446</v>
      </c>
      <c r="R24" t="s">
        <v>431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447</v>
      </c>
      <c r="R30" t="s">
        <v>48</v>
      </c>
    </row>
    <row r="31" spans="2:20" x14ac:dyDescent="0.35">
      <c r="P31" t="s">
        <v>51</v>
      </c>
      <c r="Q31" t="s">
        <v>448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Y127"/>
  <sheetViews>
    <sheetView topLeftCell="A121" workbookViewId="0">
      <selection activeCell="N127" sqref="N127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_xll.FDS(B1,"JULIAN(FMA_DIV_YLD(LTMA,-10AY,0,AM,""PORTAGG"",""MEANR"").dates)")</f>
        <v>41817</v>
      </c>
      <c r="B2" s="3" cm="1">
        <f t="array" ref="B2:B122">_xll.FDS(B1,"FMA_PE(LTMA,-10AY,0,AM,""PORTAGG"",""MEANR"")")</f>
        <v>17.960306670865702</v>
      </c>
      <c r="C2" s="3" cm="1">
        <f t="array" ref="C2:C122">_xll.FDS(C1,"FMA_PE(LTMA,-10AY,0,AM,""PORTAGG"",""MEANR"")")</f>
        <v>15.1866167320918</v>
      </c>
      <c r="D2" s="3" cm="1">
        <f t="array" ref="D2:D122">_xll.FDS(D1,"FMA_PE(LTMA,-10AY,0,AM,""PORTAGG"",""MEANR"")")</f>
        <v>16.2650253834498</v>
      </c>
      <c r="E2" s="3" cm="1">
        <f t="array" ref="E2:E122">_xll.FDS(E1,"FMA_PE(LTMA,-10AY,0,AM,""PORTAGG"",""MEANR"")")</f>
        <v>14.596727570736601</v>
      </c>
      <c r="F2" s="3" cm="1">
        <f t="array" ref="F2:F122">_xll.FDS(F1,"FMA_PE(LTMA,-10AY,0,AM,""PORTAGG"",""MEANR"")")</f>
        <v>15.2732560155619</v>
      </c>
      <c r="G2" s="3" cm="1">
        <f t="array" ref="G2:G122">_xll.FDS(G1,"FMA_PE(LTMA,-10AY,0,AM,""PORTAGG"",""MEANR"")")</f>
        <v>17.1255364192644</v>
      </c>
      <c r="H2" s="3" cm="1">
        <f t="array" ref="H2:H122">_xll.FDS(H1,"FMA_PE(LTMA,-10AY,0,AM,""PORTAGG"",""MEANR"")")</f>
        <v>14.3476904055075</v>
      </c>
      <c r="I2" s="3" cm="1">
        <f t="array" ref="I2:I122">_xll.FDS(I1,"FMA_PE(LTMA,-10AY,0,AM,""PORTAGG"",""MEANR"")")</f>
        <v>19.015673638113501</v>
      </c>
      <c r="J2" s="3" cm="1">
        <f t="array" ref="J2:J122">_xll.FDS(J1,"FMA_PE(LTMA,-10AY,0,AM,""PORTAGG"",""MEANR"")")</f>
        <v>16.3928473764384</v>
      </c>
      <c r="K2" s="3" cm="1">
        <f t="array" ref="K2:K122">_xll.FDS(K1,"FMA_PE(LTMA,-10AY,0,AM,""PORTAGG"",""MEANR"")")</f>
        <v>15.6779284495105</v>
      </c>
      <c r="L2" s="3" cm="1">
        <f t="array" ref="L2:L122">_xll.FDS(L1,"FMA_PE(LTMA,-10AY,0,AM,""PORTAGG"",""MEANR"")")</f>
        <v>16.646803352470599</v>
      </c>
      <c r="M2" s="3" cm="1">
        <f t="array" ref="M2:M122">_xll.FDS(M1,"FMA_PE(LTMA,-10AY,0,AM,""PORTAGG"",""MEANR"")")</f>
        <v>15.746742725181599</v>
      </c>
      <c r="N2" s="3" cm="1">
        <f t="array" ref="N2:N122">_xll.FDS(N1,"FMA_PE(LTMA,-10AY,0,AM,""PORTAGG"",""MEANR"")")</f>
        <v>17.0289464901368</v>
      </c>
    </row>
    <row r="3" spans="1:14" x14ac:dyDescent="0.35">
      <c r="A3" s="2">
        <v>41848</v>
      </c>
      <c r="B3" s="3">
        <v>18.1215551860966</v>
      </c>
      <c r="C3" s="3">
        <v>15.4496322609043</v>
      </c>
      <c r="D3" s="3">
        <v>16.3904611012419</v>
      </c>
      <c r="E3" s="3">
        <v>14.3352565519638</v>
      </c>
      <c r="F3" s="3">
        <v>15.2961851183302</v>
      </c>
      <c r="G3" s="3">
        <v>17.2370581344769</v>
      </c>
      <c r="H3" s="3">
        <v>14.4127443675764</v>
      </c>
      <c r="I3" s="3">
        <v>19.151007719494501</v>
      </c>
      <c r="J3" s="3">
        <v>16.401757801933702</v>
      </c>
      <c r="K3" s="3">
        <v>15.4378203446007</v>
      </c>
      <c r="L3" s="3">
        <v>16.4316904607368</v>
      </c>
      <c r="M3" s="3">
        <v>16.061178021636302</v>
      </c>
      <c r="N3" s="3">
        <v>17.213942865256801</v>
      </c>
    </row>
    <row r="4" spans="1:14" x14ac:dyDescent="0.35">
      <c r="A4" s="2">
        <v>41879</v>
      </c>
      <c r="B4" s="3">
        <v>18.105006134849599</v>
      </c>
      <c r="C4" s="3">
        <v>15.4822843573409</v>
      </c>
      <c r="D4" s="3">
        <v>16.4447408386952</v>
      </c>
      <c r="E4" s="3">
        <v>14.1502404912362</v>
      </c>
      <c r="F4" s="3">
        <v>15.0388786468174</v>
      </c>
      <c r="G4" s="3">
        <v>17.3162319225498</v>
      </c>
      <c r="H4" s="3">
        <v>14.2627490341747</v>
      </c>
      <c r="I4" s="3">
        <v>19.420331271159299</v>
      </c>
      <c r="J4" s="3">
        <v>16.482424651592002</v>
      </c>
      <c r="K4" s="3">
        <v>15.3991090658538</v>
      </c>
      <c r="L4" s="3">
        <v>16.572226403301599</v>
      </c>
      <c r="M4" s="3">
        <v>15.798898285524199</v>
      </c>
      <c r="N4" s="3">
        <v>17.480019932781101</v>
      </c>
    </row>
    <row r="5" spans="1:14" x14ac:dyDescent="0.35">
      <c r="A5" s="2">
        <v>41908</v>
      </c>
      <c r="B5" s="3">
        <v>17.904143439210401</v>
      </c>
      <c r="C5" s="3">
        <v>14.718470095515499</v>
      </c>
      <c r="D5" s="3">
        <v>15.9895560942524</v>
      </c>
      <c r="E5" s="3">
        <v>14.064598256027301</v>
      </c>
      <c r="F5" s="3">
        <v>15.428607525540301</v>
      </c>
      <c r="G5" s="3">
        <v>17.2698775866963</v>
      </c>
      <c r="H5" s="3">
        <v>13.962348114274301</v>
      </c>
      <c r="I5" s="3">
        <v>19.329719137003899</v>
      </c>
      <c r="J5" s="3">
        <v>16.433304869852901</v>
      </c>
      <c r="K5" s="3">
        <v>15.3731192448609</v>
      </c>
      <c r="L5" s="3">
        <v>16.758782740630501</v>
      </c>
      <c r="M5" s="3">
        <v>15.9975096250154</v>
      </c>
      <c r="N5" s="3">
        <v>17.859914773193399</v>
      </c>
    </row>
    <row r="6" spans="1:14" x14ac:dyDescent="0.35">
      <c r="A6" s="2">
        <v>41940</v>
      </c>
      <c r="B6" s="3">
        <v>18.2491863053381</v>
      </c>
      <c r="C6" s="3">
        <v>15.212628194446101</v>
      </c>
      <c r="D6" s="3">
        <v>15.710236239841599</v>
      </c>
      <c r="E6" s="3">
        <v>13.4806375085185</v>
      </c>
      <c r="F6" s="3">
        <v>14.595203464629099</v>
      </c>
      <c r="G6" s="3">
        <v>17.064161552257701</v>
      </c>
      <c r="H6" s="3">
        <v>13.6170235587688</v>
      </c>
      <c r="I6" s="3">
        <v>19.476613424990099</v>
      </c>
      <c r="J6" s="3">
        <v>16.520087735200299</v>
      </c>
      <c r="K6" s="3">
        <v>14.658375418670801</v>
      </c>
      <c r="L6" s="3">
        <v>16.191529700735501</v>
      </c>
      <c r="M6" s="3">
        <v>15.9956546587917</v>
      </c>
      <c r="N6" s="3">
        <v>16.9241722384374</v>
      </c>
    </row>
    <row r="7" spans="1:14" x14ac:dyDescent="0.35">
      <c r="A7" s="2">
        <v>41971</v>
      </c>
      <c r="B7" s="3">
        <v>18.477094103880201</v>
      </c>
      <c r="C7" s="3">
        <v>14.615939965479599</v>
      </c>
      <c r="D7" s="3">
        <v>15.7189486163917</v>
      </c>
      <c r="E7" s="3">
        <v>14.504061143369499</v>
      </c>
      <c r="F7" s="3">
        <v>15.858901001157699</v>
      </c>
      <c r="G7" s="3">
        <v>17.862116831129999</v>
      </c>
      <c r="H7" s="3">
        <v>14.0070217222602</v>
      </c>
      <c r="I7" s="3">
        <v>20.533290580680401</v>
      </c>
      <c r="J7" s="3">
        <v>17.1148636188273</v>
      </c>
      <c r="K7" s="3">
        <v>15.4478417961018</v>
      </c>
      <c r="L7" s="3">
        <v>18.026546406532599</v>
      </c>
      <c r="M7" s="3">
        <v>17.320846920387702</v>
      </c>
      <c r="N7" s="3">
        <v>18.1616559059125</v>
      </c>
    </row>
    <row r="8" spans="1:14" x14ac:dyDescent="0.35">
      <c r="A8" s="2">
        <v>41999</v>
      </c>
      <c r="B8" s="3">
        <v>19.135174035517</v>
      </c>
      <c r="C8" s="3">
        <v>14.5478656383555</v>
      </c>
      <c r="D8" s="3">
        <v>15.602338836546901</v>
      </c>
      <c r="E8" s="3">
        <v>14.4741141790598</v>
      </c>
      <c r="F8" s="3">
        <v>16.191712338601398</v>
      </c>
      <c r="G8" s="3">
        <v>17.3627595471822</v>
      </c>
      <c r="H8" s="3">
        <v>13.8644898471586</v>
      </c>
      <c r="I8" s="3">
        <v>20.475069244301199</v>
      </c>
      <c r="J8" s="3">
        <v>17.523051124746502</v>
      </c>
      <c r="K8" s="3">
        <v>15.123375607069899</v>
      </c>
      <c r="L8" s="3">
        <v>17.6644900500192</v>
      </c>
      <c r="M8" s="3">
        <v>17.629642756686799</v>
      </c>
      <c r="N8" s="3">
        <v>18.571848842250599</v>
      </c>
    </row>
    <row r="9" spans="1:14" x14ac:dyDescent="0.35">
      <c r="A9" s="2">
        <v>42032</v>
      </c>
      <c r="B9" s="3">
        <v>20.0829081486078</v>
      </c>
      <c r="C9" s="3">
        <v>15.1848649680582</v>
      </c>
      <c r="D9" s="3">
        <v>15.706513341761401</v>
      </c>
      <c r="E9" s="3">
        <v>15.5496760305263</v>
      </c>
      <c r="F9" s="3">
        <v>15.715664294823</v>
      </c>
      <c r="G9" s="3">
        <v>16.558327348051399</v>
      </c>
      <c r="H9" s="3">
        <v>14.3382241588239</v>
      </c>
      <c r="I9" s="3">
        <v>19.418161746544801</v>
      </c>
      <c r="J9" s="3">
        <v>16.810258243278099</v>
      </c>
      <c r="K9" s="3">
        <v>16.188952901764001</v>
      </c>
      <c r="L9" s="3">
        <v>18.699258303437201</v>
      </c>
      <c r="M9" s="3">
        <v>18.640126662165201</v>
      </c>
      <c r="N9" s="3">
        <v>21.903605342453002</v>
      </c>
    </row>
    <row r="10" spans="1:14" x14ac:dyDescent="0.35">
      <c r="A10" s="2">
        <v>42062</v>
      </c>
      <c r="B10" s="3">
        <v>20.533732203332399</v>
      </c>
      <c r="C10" s="3">
        <v>16.215341310102101</v>
      </c>
      <c r="D10" s="3">
        <v>17.032916962246901</v>
      </c>
      <c r="E10" s="3">
        <v>16.487684505982099</v>
      </c>
      <c r="F10" s="3">
        <v>16.932120306701499</v>
      </c>
      <c r="G10" s="3">
        <v>17.992704968647601</v>
      </c>
      <c r="H10" s="3">
        <v>15.183116674161599</v>
      </c>
      <c r="I10" s="3">
        <v>20.792752309655299</v>
      </c>
      <c r="J10" s="3">
        <v>17.591037300020002</v>
      </c>
      <c r="K10" s="3">
        <v>17.559098843139299</v>
      </c>
      <c r="L10" s="3">
        <v>20.1223054586507</v>
      </c>
      <c r="M10" s="3">
        <v>20.302825439712102</v>
      </c>
      <c r="N10" s="3">
        <v>45.366068148585697</v>
      </c>
    </row>
    <row r="11" spans="1:14" x14ac:dyDescent="0.35">
      <c r="A11" s="2">
        <v>42090</v>
      </c>
      <c r="B11" s="3">
        <v>20.200670756020902</v>
      </c>
      <c r="C11" s="3">
        <v>16.270496002211601</v>
      </c>
      <c r="D11" s="3">
        <v>17.0235714352198</v>
      </c>
      <c r="E11" s="3">
        <v>16.507154637431501</v>
      </c>
      <c r="F11" s="3">
        <v>16.872566343318599</v>
      </c>
      <c r="G11" s="3">
        <v>18.005705759152399</v>
      </c>
      <c r="H11" s="3">
        <v>15.2523439769646</v>
      </c>
      <c r="I11" s="3">
        <v>20.4998593963006</v>
      </c>
      <c r="J11" s="3">
        <v>17.494488374599001</v>
      </c>
      <c r="K11" s="3">
        <v>17.539941174134299</v>
      </c>
      <c r="L11" s="3">
        <v>19.9157582397055</v>
      </c>
      <c r="M11" s="3">
        <v>19.9884372154015</v>
      </c>
      <c r="N11" s="3">
        <v>42.768775951939404</v>
      </c>
    </row>
    <row r="12" spans="1:14" x14ac:dyDescent="0.35">
      <c r="A12" s="2">
        <v>42122</v>
      </c>
      <c r="B12" s="3">
        <v>20.055742880435499</v>
      </c>
      <c r="C12" s="3">
        <v>16.474064911411698</v>
      </c>
      <c r="D12" s="3">
        <v>17.343117272792899</v>
      </c>
      <c r="E12" s="3">
        <v>16.373523270003201</v>
      </c>
      <c r="F12" s="3">
        <v>17.002809747294499</v>
      </c>
      <c r="G12" s="3">
        <v>18.167672276892901</v>
      </c>
      <c r="H12" s="3">
        <v>15.632415433709401</v>
      </c>
      <c r="I12" s="3">
        <v>20.495338800768099</v>
      </c>
      <c r="J12" s="3">
        <v>17.5881007271073</v>
      </c>
      <c r="K12" s="3">
        <v>17.5957913935368</v>
      </c>
      <c r="L12" s="3">
        <v>19.8183341998011</v>
      </c>
      <c r="M12" s="3">
        <v>19.482171316696199</v>
      </c>
      <c r="N12" s="3">
        <v>39.9080046393751</v>
      </c>
    </row>
    <row r="13" spans="1:14" x14ac:dyDescent="0.35">
      <c r="A13" s="2">
        <v>42152</v>
      </c>
      <c r="B13" s="3">
        <v>19.976643157719401</v>
      </c>
      <c r="C13" s="3">
        <v>16.184581903380401</v>
      </c>
      <c r="D13" s="3">
        <v>17.243934275987701</v>
      </c>
      <c r="E13" s="3">
        <v>16.058472271999701</v>
      </c>
      <c r="F13" s="3">
        <v>17.2226749517889</v>
      </c>
      <c r="G13" s="3">
        <v>18.182167136535401</v>
      </c>
      <c r="H13" s="3">
        <v>15.7889609436138</v>
      </c>
      <c r="I13" s="3">
        <v>20.3229104393772</v>
      </c>
      <c r="J13" s="3">
        <v>17.559386695594299</v>
      </c>
      <c r="K13" s="3">
        <v>17.5615036171762</v>
      </c>
      <c r="L13" s="3">
        <v>19.605787586664398</v>
      </c>
      <c r="M13" s="3">
        <v>19.418921051532401</v>
      </c>
      <c r="N13" s="3">
        <v>37.191501744409699</v>
      </c>
    </row>
    <row r="14" spans="1:14" x14ac:dyDescent="0.35">
      <c r="A14" s="2">
        <v>42181</v>
      </c>
      <c r="B14" s="3">
        <v>19.649687823684499</v>
      </c>
      <c r="C14" s="3">
        <v>15.987243121963299</v>
      </c>
      <c r="D14" s="3">
        <v>17.182983845766302</v>
      </c>
      <c r="E14" s="3">
        <v>15.775482783216599</v>
      </c>
      <c r="F14" s="3">
        <v>16.956451939157301</v>
      </c>
      <c r="G14" s="3">
        <v>17.897615630091501</v>
      </c>
      <c r="H14" s="3">
        <v>15.6923925093541</v>
      </c>
      <c r="I14" s="3">
        <v>20.0829378723056</v>
      </c>
      <c r="J14" s="3">
        <v>17.484466481276002</v>
      </c>
      <c r="K14" s="3">
        <v>17.3969752417282</v>
      </c>
      <c r="L14" s="3">
        <v>19.2686697328413</v>
      </c>
      <c r="M14" s="3">
        <v>18.840706368308702</v>
      </c>
      <c r="N14" s="3">
        <v>34.410407534298301</v>
      </c>
    </row>
    <row r="15" spans="1:14" x14ac:dyDescent="0.35">
      <c r="A15" s="2">
        <v>42213</v>
      </c>
      <c r="B15" s="3">
        <v>19.724220850550701</v>
      </c>
      <c r="C15" s="3">
        <v>15.9854914252138</v>
      </c>
      <c r="D15" s="3">
        <v>16.715013874382301</v>
      </c>
      <c r="E15" s="3">
        <v>15.3316115376727</v>
      </c>
      <c r="F15" s="3">
        <v>16.671297480139</v>
      </c>
      <c r="G15" s="3">
        <v>18.098266167553401</v>
      </c>
      <c r="H15" s="3">
        <v>15.5519418817328</v>
      </c>
      <c r="I15" s="3">
        <v>20.2834744209352</v>
      </c>
      <c r="J15" s="3">
        <v>17.473770655046899</v>
      </c>
      <c r="K15" s="3">
        <v>17.137642012379899</v>
      </c>
      <c r="L15" s="3">
        <v>18.908232529148801</v>
      </c>
      <c r="M15" s="3">
        <v>18.382372881456199</v>
      </c>
      <c r="N15" s="3">
        <v>31.242837150602401</v>
      </c>
    </row>
    <row r="16" spans="1:14" x14ac:dyDescent="0.35">
      <c r="A16" s="2">
        <v>42244</v>
      </c>
      <c r="B16" s="3">
        <v>19.2539410452504</v>
      </c>
      <c r="C16" s="3">
        <v>15.614702105569499</v>
      </c>
      <c r="D16" s="3">
        <v>16.6395060560288</v>
      </c>
      <c r="E16" s="3">
        <v>14.4727773031348</v>
      </c>
      <c r="F16" s="3">
        <v>16.022688123939702</v>
      </c>
      <c r="G16" s="3">
        <v>17.371847139995001</v>
      </c>
      <c r="H16" s="3">
        <v>15.1453950613454</v>
      </c>
      <c r="I16" s="3">
        <v>19.6136027137307</v>
      </c>
      <c r="J16" s="3">
        <v>16.914317804327698</v>
      </c>
      <c r="K16" s="3">
        <v>16.201884990392301</v>
      </c>
      <c r="L16" s="3">
        <v>17.585487873507901</v>
      </c>
      <c r="M16" s="3">
        <v>17.585668459674601</v>
      </c>
      <c r="N16" s="3">
        <v>28.1855295965427</v>
      </c>
    </row>
    <row r="17" spans="1:14" x14ac:dyDescent="0.35">
      <c r="A17" s="2">
        <v>42275</v>
      </c>
      <c r="B17" s="3">
        <v>18.8898802758935</v>
      </c>
      <c r="C17" s="3">
        <v>15.2368940936126</v>
      </c>
      <c r="D17" s="3">
        <v>16.024514866659</v>
      </c>
      <c r="E17" s="3">
        <v>13.5001959049359</v>
      </c>
      <c r="F17" s="3">
        <v>15.012319366297101</v>
      </c>
      <c r="G17" s="3">
        <v>16.7649993478922</v>
      </c>
      <c r="H17" s="3">
        <v>14.7433309870007</v>
      </c>
      <c r="I17" s="3">
        <v>18.7199923154411</v>
      </c>
      <c r="J17" s="3">
        <v>16.226850487193701</v>
      </c>
      <c r="K17" s="3">
        <v>15.329294188019</v>
      </c>
      <c r="L17" s="3">
        <v>16.478765414725</v>
      </c>
      <c r="M17" s="3">
        <v>16.287813802043299</v>
      </c>
      <c r="N17" s="3">
        <v>24.630246012663299</v>
      </c>
    </row>
    <row r="18" spans="1:14" x14ac:dyDescent="0.35">
      <c r="A18" s="2">
        <v>42305</v>
      </c>
      <c r="B18" s="3">
        <v>19.527031542403702</v>
      </c>
      <c r="C18" s="3">
        <v>15.8366239065172</v>
      </c>
      <c r="D18" s="3">
        <v>16.9609519302381</v>
      </c>
      <c r="E18" s="3">
        <v>14.5328134109938</v>
      </c>
      <c r="F18" s="3">
        <v>15.7985945062323</v>
      </c>
      <c r="G18" s="3">
        <v>17.810210484499901</v>
      </c>
      <c r="H18" s="3">
        <v>15.860765286844</v>
      </c>
      <c r="I18" s="3">
        <v>20.4189102703026</v>
      </c>
      <c r="J18" s="3">
        <v>17.5029596885784</v>
      </c>
      <c r="K18" s="3">
        <v>16.389860007610299</v>
      </c>
      <c r="L18" s="3">
        <v>17.634730008389202</v>
      </c>
      <c r="M18" s="3">
        <v>17.237205575751901</v>
      </c>
      <c r="N18" s="3">
        <v>23.5531492117385</v>
      </c>
    </row>
    <row r="19" spans="1:14" x14ac:dyDescent="0.35">
      <c r="A19" s="2">
        <v>42335</v>
      </c>
      <c r="B19" s="3">
        <v>19.5938339966836</v>
      </c>
      <c r="C19" s="3">
        <v>15.5527377319771</v>
      </c>
      <c r="D19" s="3">
        <v>16.627963915991899</v>
      </c>
      <c r="E19" s="3">
        <v>14.9352418338507</v>
      </c>
      <c r="F19" s="3">
        <v>16.2670470739019</v>
      </c>
      <c r="G19" s="3">
        <v>17.613757822283901</v>
      </c>
      <c r="H19" s="3">
        <v>15.9742211220741</v>
      </c>
      <c r="I19" s="3">
        <v>20.4328732407483</v>
      </c>
      <c r="J19" s="3">
        <v>17.496254850499401</v>
      </c>
      <c r="K19" s="3">
        <v>16.3796450807112</v>
      </c>
      <c r="L19" s="3">
        <v>18.251771665007599</v>
      </c>
      <c r="M19" s="3">
        <v>16.906220085457001</v>
      </c>
      <c r="N19" s="3">
        <v>21.698499375556199</v>
      </c>
    </row>
    <row r="20" spans="1:14" x14ac:dyDescent="0.35">
      <c r="A20" s="2">
        <v>42366</v>
      </c>
      <c r="B20" s="3">
        <v>19.750384698090102</v>
      </c>
      <c r="C20" s="3">
        <v>15.7275479571249</v>
      </c>
      <c r="D20" s="3">
        <v>16.494293065997901</v>
      </c>
      <c r="E20" s="3">
        <v>13.9035266323691</v>
      </c>
      <c r="F20" s="3">
        <v>15.6478952289697</v>
      </c>
      <c r="G20" s="3">
        <v>17.3935208048145</v>
      </c>
      <c r="H20" s="3">
        <v>15.7471989535684</v>
      </c>
      <c r="I20" s="3">
        <v>20.222933265872499</v>
      </c>
      <c r="J20" s="3">
        <v>17.2269315558638</v>
      </c>
      <c r="K20" s="3">
        <v>15.355091683804099</v>
      </c>
      <c r="L20" s="3">
        <v>17.116650589130298</v>
      </c>
      <c r="M20" s="3">
        <v>15.9152585557447</v>
      </c>
      <c r="N20" s="3">
        <v>18.154981364960701</v>
      </c>
    </row>
    <row r="21" spans="1:14" x14ac:dyDescent="0.35">
      <c r="A21" s="2">
        <v>42397</v>
      </c>
      <c r="B21" s="3">
        <v>19.0872812444902</v>
      </c>
      <c r="C21" s="3">
        <v>15.105581226619799</v>
      </c>
      <c r="D21" s="3">
        <v>15.244070997783901</v>
      </c>
      <c r="E21" s="3">
        <v>12.651904523282001</v>
      </c>
      <c r="F21" s="3">
        <v>14.215161450233801</v>
      </c>
      <c r="G21" s="3">
        <v>16.5494606385118</v>
      </c>
      <c r="H21" s="3">
        <v>14.9670336694555</v>
      </c>
      <c r="I21" s="3">
        <v>18.418655514211501</v>
      </c>
      <c r="J21" s="3">
        <v>15.8540396881997</v>
      </c>
      <c r="K21" s="3">
        <v>14.3949941287144</v>
      </c>
      <c r="L21" s="3">
        <v>15.8940359849444</v>
      </c>
      <c r="M21" s="3">
        <v>14.340386456174301</v>
      </c>
      <c r="N21" s="3">
        <v>14.8728815190318</v>
      </c>
    </row>
    <row r="22" spans="1:14" x14ac:dyDescent="0.35">
      <c r="A22" s="2">
        <v>42426</v>
      </c>
      <c r="B22" s="3">
        <v>19.290308050580801</v>
      </c>
      <c r="C22" s="3">
        <v>14.937202735664201</v>
      </c>
      <c r="D22" s="3">
        <v>15.6168821012362</v>
      </c>
      <c r="E22" s="3">
        <v>12.6511839848056</v>
      </c>
      <c r="F22" s="3">
        <v>13.958170248406301</v>
      </c>
      <c r="G22" s="3">
        <v>16.607338295033902</v>
      </c>
      <c r="H22" s="3">
        <v>15.4662677386287</v>
      </c>
      <c r="I22" s="3">
        <v>18.330561353136499</v>
      </c>
      <c r="J22" s="3">
        <v>16.2966838906097</v>
      </c>
      <c r="K22" s="3">
        <v>15.013481845584399</v>
      </c>
      <c r="L22" s="3">
        <v>16.2192761305052</v>
      </c>
      <c r="M22" s="3">
        <v>15.5362511309696</v>
      </c>
      <c r="N22" s="3">
        <v>15.2901698920908</v>
      </c>
    </row>
    <row r="23" spans="1:14" x14ac:dyDescent="0.35">
      <c r="A23" s="2">
        <v>42457</v>
      </c>
      <c r="B23" s="3">
        <v>19.2428302603712</v>
      </c>
      <c r="C23" s="3">
        <v>15.1555903863835</v>
      </c>
      <c r="D23" s="3">
        <v>15.9949402377187</v>
      </c>
      <c r="E23" s="3">
        <v>12.7375432947509</v>
      </c>
      <c r="F23" s="3">
        <v>13.914750265513099</v>
      </c>
      <c r="G23" s="3">
        <v>16.600023477292499</v>
      </c>
      <c r="H23" s="3">
        <v>15.679564195017401</v>
      </c>
      <c r="I23" s="3">
        <v>18.303635506785099</v>
      </c>
      <c r="J23" s="3">
        <v>16.188193427520002</v>
      </c>
      <c r="K23" s="3">
        <v>15.092498459409899</v>
      </c>
      <c r="L23" s="3">
        <v>16.379172680574602</v>
      </c>
      <c r="M23" s="3">
        <v>15.502680027198201</v>
      </c>
      <c r="N23" s="3">
        <v>15.3142109768179</v>
      </c>
    </row>
    <row r="24" spans="1:14" x14ac:dyDescent="0.35">
      <c r="A24" s="2">
        <v>42488</v>
      </c>
      <c r="B24" s="3">
        <v>19.419865273572299</v>
      </c>
      <c r="C24" s="3">
        <v>15.4051805238571</v>
      </c>
      <c r="D24" s="3">
        <v>16.379550484400301</v>
      </c>
      <c r="E24" s="3">
        <v>13.001442045478401</v>
      </c>
      <c r="F24" s="3">
        <v>13.805513713531701</v>
      </c>
      <c r="G24" s="3">
        <v>16.892388654401898</v>
      </c>
      <c r="H24" s="3">
        <v>16.022649700859599</v>
      </c>
      <c r="I24" s="3">
        <v>18.344109179780801</v>
      </c>
      <c r="J24" s="3">
        <v>16.445215307047398</v>
      </c>
      <c r="K24" s="3">
        <v>15.303036926493</v>
      </c>
      <c r="L24" s="3">
        <v>16.351464241133499</v>
      </c>
      <c r="M24" s="3">
        <v>15.778109913900099</v>
      </c>
      <c r="N24" s="3">
        <v>15.398409898280701</v>
      </c>
    </row>
    <row r="25" spans="1:14" x14ac:dyDescent="0.35">
      <c r="A25" s="2">
        <v>42517</v>
      </c>
      <c r="B25" s="3">
        <v>19.711368730456801</v>
      </c>
      <c r="C25" s="3">
        <v>15.7921363274939</v>
      </c>
      <c r="D25" s="3">
        <v>16.650831562832199</v>
      </c>
      <c r="E25" s="3">
        <v>12.958123375089301</v>
      </c>
      <c r="F25" s="3">
        <v>14.006767703962399</v>
      </c>
      <c r="G25" s="3">
        <v>17.177554430754402</v>
      </c>
      <c r="H25" s="3">
        <v>16.058774723559399</v>
      </c>
      <c r="I25" s="3">
        <v>18.610943273468902</v>
      </c>
      <c r="J25" s="3">
        <v>16.750527525768302</v>
      </c>
      <c r="K25" s="3">
        <v>15.2619188509632</v>
      </c>
      <c r="L25" s="3">
        <v>16.3849644431134</v>
      </c>
      <c r="M25" s="3">
        <v>15.6146234712481</v>
      </c>
      <c r="N25" s="3">
        <v>15.5467365638152</v>
      </c>
    </row>
    <row r="26" spans="1:14" x14ac:dyDescent="0.35">
      <c r="A26" s="2">
        <v>42549</v>
      </c>
      <c r="B26" s="3">
        <v>19.419472202961799</v>
      </c>
      <c r="C26" s="3">
        <v>15.533161186565801</v>
      </c>
      <c r="D26" s="3">
        <v>16.649725945834799</v>
      </c>
      <c r="E26" s="3">
        <v>12.498675700708199</v>
      </c>
      <c r="F26" s="3">
        <v>13.5279216116996</v>
      </c>
      <c r="G26" s="3">
        <v>16.819137617778502</v>
      </c>
      <c r="H26" s="3">
        <v>15.7886264504255</v>
      </c>
      <c r="I26" s="3">
        <v>18.3242562138647</v>
      </c>
      <c r="J26" s="3">
        <v>16.627437262051401</v>
      </c>
      <c r="K26" s="3">
        <v>14.5598112980887</v>
      </c>
      <c r="L26" s="3">
        <v>15.476194792550301</v>
      </c>
      <c r="M26" s="3">
        <v>15.102459386537699</v>
      </c>
      <c r="N26" s="3">
        <v>14.1743482486369</v>
      </c>
    </row>
    <row r="27" spans="1:14" x14ac:dyDescent="0.35">
      <c r="A27" s="2">
        <v>42579</v>
      </c>
      <c r="B27" s="3">
        <v>20.4848001334618</v>
      </c>
      <c r="C27" s="3">
        <v>16.4619395646519</v>
      </c>
      <c r="D27" s="3">
        <v>17.176960433115699</v>
      </c>
      <c r="E27" s="3">
        <v>13.056752225748401</v>
      </c>
      <c r="F27" s="3">
        <v>14.002295852337999</v>
      </c>
      <c r="G27" s="3">
        <v>17.4100851925885</v>
      </c>
      <c r="H27" s="3">
        <v>16.636898762043</v>
      </c>
      <c r="I27" s="3">
        <v>19.337327765370901</v>
      </c>
      <c r="J27" s="3">
        <v>17.341715310123099</v>
      </c>
      <c r="K27" s="3">
        <v>15.060230253227701</v>
      </c>
      <c r="L27" s="3">
        <v>16.0766224387162</v>
      </c>
      <c r="M27" s="3">
        <v>15.792146588823901</v>
      </c>
      <c r="N27" s="3">
        <v>14.5822767339127</v>
      </c>
    </row>
    <row r="28" spans="1:14" x14ac:dyDescent="0.35">
      <c r="A28" s="2">
        <v>42608</v>
      </c>
      <c r="B28" s="3">
        <v>20.7805426923717</v>
      </c>
      <c r="C28" s="3">
        <v>16.687379090146901</v>
      </c>
      <c r="D28" s="3">
        <v>17.486478567012199</v>
      </c>
      <c r="E28" s="3">
        <v>13.3854191212356</v>
      </c>
      <c r="F28" s="3">
        <v>13.9603365984447</v>
      </c>
      <c r="G28" s="3">
        <v>17.852950161165801</v>
      </c>
      <c r="H28" s="3">
        <v>16.955903091619899</v>
      </c>
      <c r="I28" s="3">
        <v>19.5341477318184</v>
      </c>
      <c r="J28" s="3">
        <v>17.516870573197899</v>
      </c>
      <c r="K28" s="3">
        <v>14.9344542492125</v>
      </c>
      <c r="L28" s="3">
        <v>16.143297624822001</v>
      </c>
      <c r="M28" s="3">
        <v>16.031855197288301</v>
      </c>
      <c r="N28" s="3">
        <v>15.065896229452999</v>
      </c>
    </row>
    <row r="29" spans="1:14" x14ac:dyDescent="0.35">
      <c r="A29" s="2">
        <v>42641</v>
      </c>
      <c r="B29" s="3">
        <v>20.812161241408798</v>
      </c>
      <c r="C29" s="3">
        <v>16.643856002890502</v>
      </c>
      <c r="D29" s="3">
        <v>17.854203953124301</v>
      </c>
      <c r="E29" s="3">
        <v>13.533819350139</v>
      </c>
      <c r="F29" s="3">
        <v>14.2420005238139</v>
      </c>
      <c r="G29" s="3">
        <v>18.088803378154001</v>
      </c>
      <c r="H29" s="3">
        <v>16.951757016012301</v>
      </c>
      <c r="I29" s="3">
        <v>19.962437081669599</v>
      </c>
      <c r="J29" s="3">
        <v>17.7586808901792</v>
      </c>
      <c r="K29" s="3">
        <v>14.845198302682601</v>
      </c>
      <c r="L29" s="3">
        <v>16.0494492460377</v>
      </c>
      <c r="M29" s="3">
        <v>16.344024486311898</v>
      </c>
      <c r="N29" s="3">
        <v>14.567268843252499</v>
      </c>
    </row>
    <row r="30" spans="1:14" x14ac:dyDescent="0.35">
      <c r="A30" s="2">
        <v>42671</v>
      </c>
      <c r="B30" s="3">
        <v>20.074968448573401</v>
      </c>
      <c r="C30" s="3">
        <v>16.6421835543836</v>
      </c>
      <c r="D30" s="3">
        <v>18.1845228225861</v>
      </c>
      <c r="E30" s="3">
        <v>13.806691506845601</v>
      </c>
      <c r="F30" s="3">
        <v>14.7716916195493</v>
      </c>
      <c r="G30" s="3">
        <v>17.694370168878699</v>
      </c>
      <c r="H30" s="3">
        <v>16.818454106194601</v>
      </c>
      <c r="I30" s="3">
        <v>19.7606111521239</v>
      </c>
      <c r="J30" s="3">
        <v>17.536680551118501</v>
      </c>
      <c r="K30" s="3">
        <v>15.0584470495502</v>
      </c>
      <c r="L30" s="3">
        <v>15.87174931831</v>
      </c>
      <c r="M30" s="3">
        <v>17.430161745743501</v>
      </c>
      <c r="N30" s="3">
        <v>15.172722251874299</v>
      </c>
    </row>
    <row r="31" spans="1:14" x14ac:dyDescent="0.35">
      <c r="A31" s="2">
        <v>42702</v>
      </c>
      <c r="B31" s="3">
        <v>20.088094613932</v>
      </c>
      <c r="C31" s="3">
        <v>17.2600237963001</v>
      </c>
      <c r="D31" s="3">
        <v>18.772521198505999</v>
      </c>
      <c r="E31" s="3">
        <v>13.644152027143299</v>
      </c>
      <c r="F31" s="3">
        <v>15.660778673016599</v>
      </c>
      <c r="G31" s="3">
        <v>17.4120952434169</v>
      </c>
      <c r="H31" s="3">
        <v>16.4179257118622</v>
      </c>
      <c r="I31" s="3">
        <v>20.062778099520699</v>
      </c>
      <c r="J31" s="3">
        <v>18.269117714608001</v>
      </c>
      <c r="K31" s="3">
        <v>14.799321178259</v>
      </c>
      <c r="L31" s="3">
        <v>15.5300726045514</v>
      </c>
      <c r="M31" s="3">
        <v>17.2831496947272</v>
      </c>
      <c r="N31" s="3">
        <v>14.3854395886438</v>
      </c>
    </row>
    <row r="32" spans="1:14" x14ac:dyDescent="0.35">
      <c r="A32" s="2">
        <v>42732</v>
      </c>
      <c r="B32" s="3">
        <v>19.995063383352999</v>
      </c>
      <c r="C32" s="3">
        <v>17.7470498779387</v>
      </c>
      <c r="D32" s="3">
        <v>19.406371387993801</v>
      </c>
      <c r="E32" s="3">
        <v>14.778504366909299</v>
      </c>
      <c r="F32" s="3">
        <v>16.477734664663998</v>
      </c>
      <c r="G32" s="3">
        <v>18.207893965145701</v>
      </c>
      <c r="H32" s="3">
        <v>17.09589747555</v>
      </c>
      <c r="I32" s="3">
        <v>20.545724969854099</v>
      </c>
      <c r="J32" s="3">
        <v>18.868508940549901</v>
      </c>
      <c r="K32" s="3">
        <v>15.7093420467691</v>
      </c>
      <c r="L32" s="3">
        <v>16.330053580922701</v>
      </c>
      <c r="M32" s="3">
        <v>18.2944564243145</v>
      </c>
      <c r="N32" s="3">
        <v>27.577455085669399</v>
      </c>
    </row>
    <row r="33" spans="1:14" x14ac:dyDescent="0.35">
      <c r="A33" s="2">
        <v>42762</v>
      </c>
      <c r="B33" s="3">
        <v>20.6890630841297</v>
      </c>
      <c r="C33" s="3">
        <v>17.760105024807501</v>
      </c>
      <c r="D33" s="3">
        <v>19.8875178302108</v>
      </c>
      <c r="E33" s="3">
        <v>15.1569157937766</v>
      </c>
      <c r="F33" s="3">
        <v>16.680787568282799</v>
      </c>
      <c r="G33" s="3">
        <v>18.5772824353765</v>
      </c>
      <c r="H33" s="3">
        <v>17.132392470544598</v>
      </c>
      <c r="I33" s="3">
        <v>21.3319746049565</v>
      </c>
      <c r="J33" s="3">
        <v>19.092349035553799</v>
      </c>
      <c r="K33" s="3">
        <v>15.6889412314576</v>
      </c>
      <c r="L33" s="3">
        <v>16.343632951166398</v>
      </c>
      <c r="M33" s="3">
        <v>18.230600077397099</v>
      </c>
      <c r="N33" s="3">
        <v>27.348865556719598</v>
      </c>
    </row>
    <row r="34" spans="1:14" x14ac:dyDescent="0.35">
      <c r="A34" s="2">
        <v>42794</v>
      </c>
      <c r="B34" s="3">
        <v>19.702135868045701</v>
      </c>
      <c r="C34" s="3">
        <v>17.525706890154002</v>
      </c>
      <c r="D34" s="3">
        <v>19.393517621704099</v>
      </c>
      <c r="E34" s="3">
        <v>14.9651402877224</v>
      </c>
      <c r="F34" s="3">
        <v>15.947556963740899</v>
      </c>
      <c r="G34" s="3">
        <v>19.6747100975888</v>
      </c>
      <c r="H34" s="3">
        <v>17.373121319835398</v>
      </c>
      <c r="I34" s="3">
        <v>21.714130688017899</v>
      </c>
      <c r="J34" s="3">
        <v>19.4949236055791</v>
      </c>
      <c r="K34" s="3">
        <v>15.5832062176459</v>
      </c>
      <c r="L34" s="3">
        <v>16.402686545474001</v>
      </c>
      <c r="M34" s="3">
        <v>17.441194835249402</v>
      </c>
      <c r="N34" s="3">
        <v>85.968927292375596</v>
      </c>
    </row>
    <row r="35" spans="1:14" x14ac:dyDescent="0.35">
      <c r="A35" s="2">
        <v>42822</v>
      </c>
      <c r="B35" s="3">
        <v>19.708271012537001</v>
      </c>
      <c r="C35" s="3">
        <v>17.375143603067901</v>
      </c>
      <c r="D35" s="3">
        <v>19.160818520180399</v>
      </c>
      <c r="E35" s="3">
        <v>14.9435330667801</v>
      </c>
      <c r="F35" s="3">
        <v>15.796729447250399</v>
      </c>
      <c r="G35" s="3">
        <v>19.498400842296501</v>
      </c>
      <c r="H35" s="3">
        <v>17.154540050984998</v>
      </c>
      <c r="I35" s="3">
        <v>21.648121982513</v>
      </c>
      <c r="J35" s="3">
        <v>19.351326534960201</v>
      </c>
      <c r="K35" s="3">
        <v>15.637920192890199</v>
      </c>
      <c r="L35" s="3">
        <v>16.483840753111402</v>
      </c>
      <c r="M35" s="3">
        <v>17.586911432801099</v>
      </c>
      <c r="N35" s="3">
        <v>79.533770882874904</v>
      </c>
    </row>
    <row r="36" spans="1:14" x14ac:dyDescent="0.35">
      <c r="A36" s="2">
        <v>42853</v>
      </c>
      <c r="B36" s="3">
        <v>19.949183352916499</v>
      </c>
      <c r="C36" s="3">
        <v>17.303101606005601</v>
      </c>
      <c r="D36" s="3">
        <v>18.806202010281599</v>
      </c>
      <c r="E36" s="3">
        <v>14.9052500055754</v>
      </c>
      <c r="F36" s="3">
        <v>15.5963855462278</v>
      </c>
      <c r="G36" s="3">
        <v>19.497331714533399</v>
      </c>
      <c r="H36" s="3">
        <v>16.867587027069899</v>
      </c>
      <c r="I36" s="3">
        <v>21.7013956552269</v>
      </c>
      <c r="J36" s="3">
        <v>19.2294920728576</v>
      </c>
      <c r="K36" s="3">
        <v>15.7677768365969</v>
      </c>
      <c r="L36" s="3">
        <v>16.653630195624402</v>
      </c>
      <c r="M36" s="3">
        <v>17.6333708179951</v>
      </c>
      <c r="N36" s="3">
        <v>72.232071774623407</v>
      </c>
    </row>
    <row r="37" spans="1:14" x14ac:dyDescent="0.35">
      <c r="A37" s="2">
        <v>42881</v>
      </c>
      <c r="B37" s="3">
        <v>20.018662549414</v>
      </c>
      <c r="C37" s="3">
        <v>16.9521872566133</v>
      </c>
      <c r="D37" s="3">
        <v>18.582898109176799</v>
      </c>
      <c r="E37" s="3">
        <v>14.781198421535199</v>
      </c>
      <c r="F37" s="3">
        <v>15.643490033175</v>
      </c>
      <c r="G37" s="3">
        <v>19.538625454505599</v>
      </c>
      <c r="H37" s="3">
        <v>16.813623085605101</v>
      </c>
      <c r="I37" s="3">
        <v>21.968066775267499</v>
      </c>
      <c r="J37" s="3">
        <v>19.1914525240663</v>
      </c>
      <c r="K37" s="3">
        <v>15.805845667153999</v>
      </c>
      <c r="L37" s="3">
        <v>16.727256760788901</v>
      </c>
      <c r="M37" s="3">
        <v>18.090570105625101</v>
      </c>
      <c r="N37" s="3">
        <v>65.791575678426398</v>
      </c>
    </row>
    <row r="38" spans="1:14" x14ac:dyDescent="0.35">
      <c r="A38" s="2">
        <v>42914</v>
      </c>
      <c r="B38" s="3">
        <v>20.184527834018901</v>
      </c>
      <c r="C38" s="3">
        <v>16.8020469308921</v>
      </c>
      <c r="D38" s="3">
        <v>18.144559540461</v>
      </c>
      <c r="E38" s="3">
        <v>14.659568870432199</v>
      </c>
      <c r="F38" s="3">
        <v>15.5831472454186</v>
      </c>
      <c r="G38" s="3">
        <v>19.487546231317399</v>
      </c>
      <c r="H38" s="3">
        <v>16.475925068707198</v>
      </c>
      <c r="I38" s="3">
        <v>21.8561540786161</v>
      </c>
      <c r="J38" s="3">
        <v>19.156388521330101</v>
      </c>
      <c r="K38" s="3">
        <v>15.6921175787291</v>
      </c>
      <c r="L38" s="3">
        <v>16.602083328140999</v>
      </c>
      <c r="M38" s="3">
        <v>17.627780582364601</v>
      </c>
      <c r="N38" s="3">
        <v>57.983657171185101</v>
      </c>
    </row>
    <row r="39" spans="1:14" x14ac:dyDescent="0.35">
      <c r="A39" s="2">
        <v>42944</v>
      </c>
      <c r="B39" s="3">
        <v>20.2788784152449</v>
      </c>
      <c r="C39" s="3">
        <v>16.787572453852501</v>
      </c>
      <c r="D39" s="3">
        <v>17.9837102668751</v>
      </c>
      <c r="E39" s="3">
        <v>14.3072250456737</v>
      </c>
      <c r="F39" s="3">
        <v>15.42324775254</v>
      </c>
      <c r="G39" s="3">
        <v>19.2997632097881</v>
      </c>
      <c r="H39" s="3">
        <v>16.399312272327599</v>
      </c>
      <c r="I39" s="3">
        <v>22.1489490097429</v>
      </c>
      <c r="J39" s="3">
        <v>19.1828759477783</v>
      </c>
      <c r="K39" s="3">
        <v>15.543249406636701</v>
      </c>
      <c r="L39" s="3">
        <v>16.709613940805301</v>
      </c>
      <c r="M39" s="3">
        <v>17.324067000065501</v>
      </c>
      <c r="N39" s="3">
        <v>51.1501572746172</v>
      </c>
    </row>
    <row r="40" spans="1:14" x14ac:dyDescent="0.35">
      <c r="A40" s="2">
        <v>42975</v>
      </c>
      <c r="B40" s="3">
        <v>20.702447020673301</v>
      </c>
      <c r="C40" s="3">
        <v>16.662412546027898</v>
      </c>
      <c r="D40" s="3">
        <v>17.598283887380202</v>
      </c>
      <c r="E40" s="3">
        <v>14.123902038428399</v>
      </c>
      <c r="F40" s="3">
        <v>14.9160641970185</v>
      </c>
      <c r="G40" s="3">
        <v>19.0885695638908</v>
      </c>
      <c r="H40" s="3">
        <v>16.1075215813025</v>
      </c>
      <c r="I40" s="3">
        <v>21.932079900061101</v>
      </c>
      <c r="J40" s="3">
        <v>18.950177580018</v>
      </c>
      <c r="K40" s="3">
        <v>15.430447523423799</v>
      </c>
      <c r="L40" s="3">
        <v>16.512258134940101</v>
      </c>
      <c r="M40" s="3">
        <v>16.780051314009199</v>
      </c>
      <c r="N40" s="3">
        <v>43.793985135411397</v>
      </c>
    </row>
    <row r="41" spans="1:14" x14ac:dyDescent="0.35">
      <c r="A41" s="2">
        <v>43006</v>
      </c>
      <c r="B41" s="3">
        <v>20.615949003739001</v>
      </c>
      <c r="C41" s="3">
        <v>16.300887405561902</v>
      </c>
      <c r="D41" s="3">
        <v>17.6288641337079</v>
      </c>
      <c r="E41" s="3">
        <v>14.514087072363299</v>
      </c>
      <c r="F41" s="3">
        <v>15.0656593724804</v>
      </c>
      <c r="G41" s="3">
        <v>19.3618901336433</v>
      </c>
      <c r="H41" s="3">
        <v>15.775240536499799</v>
      </c>
      <c r="I41" s="3">
        <v>22.174878041065501</v>
      </c>
      <c r="J41" s="3">
        <v>19.2692803368464</v>
      </c>
      <c r="K41" s="3">
        <v>15.8405563503979</v>
      </c>
      <c r="L41" s="3">
        <v>16.9038827451073</v>
      </c>
      <c r="M41" s="3">
        <v>17.604947909850999</v>
      </c>
      <c r="N41" s="3">
        <v>36.8335321987106</v>
      </c>
    </row>
    <row r="42" spans="1:14" x14ac:dyDescent="0.35">
      <c r="A42" s="2">
        <v>43035</v>
      </c>
      <c r="B42" s="3">
        <v>21.273881692024599</v>
      </c>
      <c r="C42" s="3">
        <v>16.629462206132001</v>
      </c>
      <c r="D42" s="3">
        <v>17.573076258281901</v>
      </c>
      <c r="E42" s="3">
        <v>15.159184375997899</v>
      </c>
      <c r="F42" s="3">
        <v>15.521122583380601</v>
      </c>
      <c r="G42" s="3">
        <v>20.136078103029998</v>
      </c>
      <c r="H42" s="3">
        <v>15.635141326990601</v>
      </c>
      <c r="I42" s="3">
        <v>22.776154264742502</v>
      </c>
      <c r="J42" s="3">
        <v>19.651942196867299</v>
      </c>
      <c r="K42" s="3">
        <v>16.279360565361699</v>
      </c>
      <c r="L42" s="3">
        <v>17.269601362452399</v>
      </c>
      <c r="M42" s="3">
        <v>18.563745983751101</v>
      </c>
      <c r="N42" s="3">
        <v>30.270561998868001</v>
      </c>
    </row>
    <row r="43" spans="1:14" x14ac:dyDescent="0.35">
      <c r="A43" s="2">
        <v>43067</v>
      </c>
      <c r="B43" s="3">
        <v>21.381726754687701</v>
      </c>
      <c r="C43" s="3">
        <v>16.656397316315701</v>
      </c>
      <c r="D43" s="3">
        <v>17.249779709686699</v>
      </c>
      <c r="E43" s="3">
        <v>15.282200696970399</v>
      </c>
      <c r="F43" s="3">
        <v>15.9044439456265</v>
      </c>
      <c r="G43" s="3">
        <v>20.4532793036296</v>
      </c>
      <c r="H43" s="3">
        <v>15.2706022224601</v>
      </c>
      <c r="I43" s="3">
        <v>23.377268782586398</v>
      </c>
      <c r="J43" s="3">
        <v>19.887150277508599</v>
      </c>
      <c r="K43" s="3">
        <v>16.087849078277699</v>
      </c>
      <c r="L43" s="3">
        <v>17.287615991072901</v>
      </c>
      <c r="M43" s="3">
        <v>18.142493607670499</v>
      </c>
      <c r="N43" s="3">
        <v>22.726246436445301</v>
      </c>
    </row>
    <row r="44" spans="1:14" x14ac:dyDescent="0.35">
      <c r="A44" s="2">
        <v>43097</v>
      </c>
      <c r="B44" s="3">
        <v>22.383274768678501</v>
      </c>
      <c r="C44" s="3">
        <v>16.873242895666301</v>
      </c>
      <c r="D44" s="3">
        <v>17.2291432051986</v>
      </c>
      <c r="E44" s="3">
        <v>15.357186193554901</v>
      </c>
      <c r="F44" s="3">
        <v>16.384073070352599</v>
      </c>
      <c r="G44" s="3">
        <v>20.767782342485901</v>
      </c>
      <c r="H44" s="3">
        <v>15.3922323163988</v>
      </c>
      <c r="I44" s="3">
        <v>23.6889723356534</v>
      </c>
      <c r="J44" s="3">
        <v>20.342409274398101</v>
      </c>
      <c r="K44" s="3">
        <v>16.031394285988402</v>
      </c>
      <c r="L44" s="3">
        <v>17.3066721530781</v>
      </c>
      <c r="M44" s="3">
        <v>18.022976378668702</v>
      </c>
      <c r="N44" s="3">
        <v>15.915578419147201</v>
      </c>
    </row>
    <row r="45" spans="1:14" x14ac:dyDescent="0.35">
      <c r="A45" s="2">
        <v>43126</v>
      </c>
      <c r="B45" s="3">
        <v>22.049625333821702</v>
      </c>
      <c r="C45" s="3">
        <v>16.8083737695171</v>
      </c>
      <c r="D45" s="3">
        <v>17.1053973104326</v>
      </c>
      <c r="E45" s="3">
        <v>15.5625769581742</v>
      </c>
      <c r="F45" s="3">
        <v>16.791673731079602</v>
      </c>
      <c r="G45" s="3">
        <v>22.2579310036866</v>
      </c>
      <c r="H45" s="3">
        <v>15.6340012196857</v>
      </c>
      <c r="I45" s="3">
        <v>25.491867614769799</v>
      </c>
      <c r="J45" s="3">
        <v>21.453518208633799</v>
      </c>
      <c r="K45" s="3">
        <v>16.607592605887401</v>
      </c>
      <c r="L45" s="3">
        <v>17.524026269134598</v>
      </c>
      <c r="M45" s="3">
        <v>18.426780040026301</v>
      </c>
      <c r="N45" s="3">
        <v>15.931655200244499</v>
      </c>
    </row>
    <row r="46" spans="1:14" x14ac:dyDescent="0.35">
      <c r="A46" s="2">
        <v>43159</v>
      </c>
      <c r="B46" s="3">
        <v>22.6915007290246</v>
      </c>
      <c r="C46" s="3">
        <v>16.5525904197488</v>
      </c>
      <c r="D46" s="3">
        <v>15.8440303406712</v>
      </c>
      <c r="E46" s="3">
        <v>14.256136240863601</v>
      </c>
      <c r="F46" s="3">
        <v>14.493257454053801</v>
      </c>
      <c r="G46" s="3">
        <v>21.230279326180401</v>
      </c>
      <c r="H46" s="3">
        <v>13.910784195916699</v>
      </c>
      <c r="I46" s="3">
        <v>24.1192849747836</v>
      </c>
      <c r="J46" s="3">
        <v>19.796141513328202</v>
      </c>
      <c r="K46" s="3">
        <v>15.621428269554601</v>
      </c>
      <c r="L46" s="3">
        <v>16.665918448253802</v>
      </c>
      <c r="M46" s="3">
        <v>16.991315291522799</v>
      </c>
      <c r="N46" s="3">
        <v>14.2133860010366</v>
      </c>
    </row>
    <row r="47" spans="1:14" x14ac:dyDescent="0.35">
      <c r="A47" s="2">
        <v>43187</v>
      </c>
      <c r="B47" s="3">
        <v>22.444129212815</v>
      </c>
      <c r="C47" s="3">
        <v>16.298973547932199</v>
      </c>
      <c r="D47" s="3">
        <v>15.645903257625401</v>
      </c>
      <c r="E47" s="3">
        <v>14.0591021250198</v>
      </c>
      <c r="F47" s="3">
        <v>14.254883788713199</v>
      </c>
      <c r="G47" s="3">
        <v>20.741199284960398</v>
      </c>
      <c r="H47" s="3">
        <v>13.893896069304301</v>
      </c>
      <c r="I47" s="3">
        <v>23.564276496499801</v>
      </c>
      <c r="J47" s="3">
        <v>19.397854491575</v>
      </c>
      <c r="K47" s="3">
        <v>15.4507525004458</v>
      </c>
      <c r="L47" s="3">
        <v>16.5526231315194</v>
      </c>
      <c r="M47" s="3">
        <v>16.780394482028999</v>
      </c>
      <c r="N47" s="3">
        <v>14.0754769652074</v>
      </c>
    </row>
    <row r="48" spans="1:14" x14ac:dyDescent="0.35">
      <c r="A48" s="2">
        <v>43217</v>
      </c>
      <c r="B48" s="3">
        <v>22.266475355018098</v>
      </c>
      <c r="C48" s="3">
        <v>16.277084815913</v>
      </c>
      <c r="D48" s="3">
        <v>15.630743940345701</v>
      </c>
      <c r="E48" s="3">
        <v>14.1565295055017</v>
      </c>
      <c r="F48" s="3">
        <v>14.3063805276655</v>
      </c>
      <c r="G48" s="3">
        <v>20.337062096157101</v>
      </c>
      <c r="H48" s="3">
        <v>14.049700333515901</v>
      </c>
      <c r="I48" s="3">
        <v>23.243382750010799</v>
      </c>
      <c r="J48" s="3">
        <v>19.152642205807499</v>
      </c>
      <c r="K48" s="3">
        <v>15.594338334906601</v>
      </c>
      <c r="L48" s="3">
        <v>16.590227529807201</v>
      </c>
      <c r="M48" s="3">
        <v>16.830024806450499</v>
      </c>
      <c r="N48" s="3">
        <v>14.1811937174317</v>
      </c>
    </row>
    <row r="49" spans="1:14" x14ac:dyDescent="0.35">
      <c r="A49" s="2">
        <v>43245</v>
      </c>
      <c r="B49" s="3">
        <v>22.388654072534301</v>
      </c>
      <c r="C49" s="3">
        <v>16.239052514505001</v>
      </c>
      <c r="D49" s="3">
        <v>15.514966641215301</v>
      </c>
      <c r="E49" s="3">
        <v>14.1462469085437</v>
      </c>
      <c r="F49" s="3">
        <v>14.179086034397599</v>
      </c>
      <c r="G49" s="3">
        <v>19.9247140924011</v>
      </c>
      <c r="H49" s="3">
        <v>14.031655388303101</v>
      </c>
      <c r="I49" s="3">
        <v>23.212039935254101</v>
      </c>
      <c r="J49" s="3">
        <v>18.951352631013801</v>
      </c>
      <c r="K49" s="3">
        <v>15.5509828623392</v>
      </c>
      <c r="L49" s="3">
        <v>16.712467864896201</v>
      </c>
      <c r="M49" s="3">
        <v>16.7210733583433</v>
      </c>
      <c r="N49" s="3">
        <v>13.639176041730501</v>
      </c>
    </row>
    <row r="50" spans="1:14" x14ac:dyDescent="0.35">
      <c r="A50" s="2">
        <v>43279</v>
      </c>
      <c r="B50" s="3">
        <v>22.928362835523401</v>
      </c>
      <c r="C50" s="3">
        <v>16.294907183035502</v>
      </c>
      <c r="D50" s="3">
        <v>15.4453524580268</v>
      </c>
      <c r="E50" s="3">
        <v>13.8235806117347</v>
      </c>
      <c r="F50" s="3">
        <v>13.9033393239296</v>
      </c>
      <c r="G50" s="3">
        <v>19.147670852596001</v>
      </c>
      <c r="H50" s="3">
        <v>13.8196633568247</v>
      </c>
      <c r="I50" s="3">
        <v>22.970065858720702</v>
      </c>
      <c r="J50" s="3">
        <v>18.616255910736299</v>
      </c>
      <c r="K50" s="3">
        <v>15.117222877435401</v>
      </c>
      <c r="L50" s="3">
        <v>16.444479456520501</v>
      </c>
      <c r="M50" s="3">
        <v>16.351504087056099</v>
      </c>
      <c r="N50" s="3">
        <v>13.2477328502885</v>
      </c>
    </row>
    <row r="51" spans="1:14" x14ac:dyDescent="0.35">
      <c r="A51" s="2">
        <v>43308</v>
      </c>
      <c r="B51" s="3">
        <v>22.962122380079101</v>
      </c>
      <c r="C51" s="3">
        <v>16.3664375721876</v>
      </c>
      <c r="D51" s="3">
        <v>15.5014086612429</v>
      </c>
      <c r="E51" s="3">
        <v>14.223454063265001</v>
      </c>
      <c r="F51" s="3">
        <v>13.9870392098219</v>
      </c>
      <c r="G51" s="3">
        <v>19.357277205761701</v>
      </c>
      <c r="H51" s="3">
        <v>13.895111326733501</v>
      </c>
      <c r="I51" s="3">
        <v>23.079857056324901</v>
      </c>
      <c r="J51" s="3">
        <v>18.6682207451327</v>
      </c>
      <c r="K51" s="3">
        <v>15.3473106547823</v>
      </c>
      <c r="L51" s="3">
        <v>16.868121240514899</v>
      </c>
      <c r="M51" s="3">
        <v>16.624381962799301</v>
      </c>
      <c r="N51" s="3">
        <v>13.280805771565801</v>
      </c>
    </row>
    <row r="52" spans="1:14" x14ac:dyDescent="0.35">
      <c r="A52" s="2">
        <v>43340</v>
      </c>
      <c r="B52" s="3">
        <v>23.5254090043749</v>
      </c>
      <c r="C52" s="3">
        <v>16.3600516798402</v>
      </c>
      <c r="D52" s="3">
        <v>15.327029817449899</v>
      </c>
      <c r="E52" s="3">
        <v>14.1229086470462</v>
      </c>
      <c r="F52" s="3">
        <v>13.6639756069486</v>
      </c>
      <c r="G52" s="3">
        <v>18.9030897306829</v>
      </c>
      <c r="H52" s="3">
        <v>13.6980708629214</v>
      </c>
      <c r="I52" s="3">
        <v>23.3102764210423</v>
      </c>
      <c r="J52" s="3">
        <v>18.7065684233451</v>
      </c>
      <c r="K52" s="3">
        <v>15.17606112166</v>
      </c>
      <c r="L52" s="3">
        <v>16.666576905376999</v>
      </c>
      <c r="M52" s="3">
        <v>16.884237255167399</v>
      </c>
      <c r="N52" s="3">
        <v>12.616365777744299</v>
      </c>
    </row>
    <row r="53" spans="1:14" x14ac:dyDescent="0.35">
      <c r="A53" s="2">
        <v>43371</v>
      </c>
      <c r="B53" s="3">
        <v>23.554413501985898</v>
      </c>
      <c r="C53" s="3">
        <v>16.077010528992499</v>
      </c>
      <c r="D53" s="3">
        <v>15.038116760119999</v>
      </c>
      <c r="E53" s="3">
        <v>13.90480165962</v>
      </c>
      <c r="F53" s="3">
        <v>13.980353886776101</v>
      </c>
      <c r="G53" s="3">
        <v>18.587269952306698</v>
      </c>
      <c r="H53" s="3">
        <v>13.625078866389501</v>
      </c>
      <c r="I53" s="3">
        <v>23.2714903030339</v>
      </c>
      <c r="J53" s="3">
        <v>18.596762697053499</v>
      </c>
      <c r="K53" s="3">
        <v>15.103440315128299</v>
      </c>
      <c r="L53" s="3">
        <v>16.292242665657799</v>
      </c>
      <c r="M53" s="3">
        <v>16.930242746771</v>
      </c>
      <c r="N53" s="3">
        <v>12.333076822305999</v>
      </c>
    </row>
    <row r="54" spans="1:14" x14ac:dyDescent="0.35">
      <c r="A54" s="2">
        <v>43399</v>
      </c>
      <c r="B54" s="3">
        <v>22.152770553601101</v>
      </c>
      <c r="C54" s="3">
        <v>14.906488844542499</v>
      </c>
      <c r="D54" s="3">
        <v>14.039981153860699</v>
      </c>
      <c r="E54" s="3">
        <v>13.0385689251633</v>
      </c>
      <c r="F54" s="3">
        <v>12.5601466172745</v>
      </c>
      <c r="G54" s="3">
        <v>17.492504930414999</v>
      </c>
      <c r="H54" s="3">
        <v>12.6539028754221</v>
      </c>
      <c r="I54" s="3">
        <v>20.981212347148599</v>
      </c>
      <c r="J54" s="3">
        <v>17.077289874446201</v>
      </c>
      <c r="K54" s="3">
        <v>13.901818037007599</v>
      </c>
      <c r="L54" s="3">
        <v>15.236951736153699</v>
      </c>
      <c r="M54" s="3">
        <v>14.8901571378867</v>
      </c>
      <c r="N54" s="3">
        <v>11.3108001361022</v>
      </c>
    </row>
    <row r="55" spans="1:14" x14ac:dyDescent="0.35">
      <c r="A55" s="2">
        <v>43432</v>
      </c>
      <c r="B55" s="3">
        <v>22.4364979380737</v>
      </c>
      <c r="C55" s="3">
        <v>15.0033656528376</v>
      </c>
      <c r="D55" s="3">
        <v>14.043277842517201</v>
      </c>
      <c r="E55" s="3">
        <v>12.945803094782899</v>
      </c>
      <c r="F55" s="3">
        <v>12.7409304588056</v>
      </c>
      <c r="G55" s="3">
        <v>17.533881712028499</v>
      </c>
      <c r="H55" s="3">
        <v>12.5957458687338</v>
      </c>
      <c r="I55" s="3">
        <v>20.685349478066801</v>
      </c>
      <c r="J55" s="3">
        <v>17.190153762362002</v>
      </c>
      <c r="K55" s="3">
        <v>13.720294076599499</v>
      </c>
      <c r="L55" s="3">
        <v>15.4184339472699</v>
      </c>
      <c r="M55" s="3">
        <v>14.8307876630702</v>
      </c>
      <c r="N55" s="3">
        <v>11.1850469063044</v>
      </c>
    </row>
    <row r="56" spans="1:14" x14ac:dyDescent="0.35">
      <c r="A56" s="2">
        <v>43462</v>
      </c>
      <c r="B56" s="3">
        <v>22.924821706547501</v>
      </c>
      <c r="C56" s="3">
        <v>14.661089371458299</v>
      </c>
      <c r="D56" s="3">
        <v>13.1506051245164</v>
      </c>
      <c r="E56" s="3">
        <v>12.031992284151601</v>
      </c>
      <c r="F56" s="3">
        <v>11.505685463203401</v>
      </c>
      <c r="G56" s="3">
        <v>16.249928615144398</v>
      </c>
      <c r="H56" s="3">
        <v>11.978381731003701</v>
      </c>
      <c r="I56" s="3">
        <v>18.639662312282699</v>
      </c>
      <c r="J56" s="3">
        <v>15.3994994148198</v>
      </c>
      <c r="K56" s="3">
        <v>12.8117959428372</v>
      </c>
      <c r="L56" s="3">
        <v>14.134725994966599</v>
      </c>
      <c r="M56" s="3">
        <v>13.801462512548801</v>
      </c>
      <c r="N56" s="3">
        <v>10.420962917875499</v>
      </c>
    </row>
    <row r="57" spans="1:14" x14ac:dyDescent="0.35">
      <c r="A57" s="2">
        <v>43493</v>
      </c>
      <c r="B57" s="3">
        <v>23.522570914491201</v>
      </c>
      <c r="C57" s="3">
        <v>15.375861580342599</v>
      </c>
      <c r="D57" s="3">
        <v>14.3633202007008</v>
      </c>
      <c r="E57" s="3">
        <v>12.9064115293175</v>
      </c>
      <c r="F57" s="3">
        <v>12.029479021284301</v>
      </c>
      <c r="G57" s="3">
        <v>17.387307693644399</v>
      </c>
      <c r="H57" s="3">
        <v>12.192648875903201</v>
      </c>
      <c r="I57" s="3">
        <v>19.7912055667868</v>
      </c>
      <c r="J57" s="3">
        <v>16.3417810595753</v>
      </c>
      <c r="K57" s="3">
        <v>13.4761874743701</v>
      </c>
      <c r="L57" s="3">
        <v>15.131031978567099</v>
      </c>
      <c r="M57" s="3">
        <v>15.9736771707489</v>
      </c>
      <c r="N57" s="3">
        <v>11.037642995464401</v>
      </c>
    </row>
    <row r="58" spans="1:14" x14ac:dyDescent="0.35">
      <c r="A58" s="2">
        <v>43524</v>
      </c>
      <c r="B58" s="3">
        <v>24.181576055078398</v>
      </c>
      <c r="C58" s="3">
        <v>15.9106076548454</v>
      </c>
      <c r="D58" s="3">
        <v>14.725206183424801</v>
      </c>
      <c r="E58" s="3">
        <v>13.2194048887983</v>
      </c>
      <c r="F58" s="3">
        <v>12.683518082045699</v>
      </c>
      <c r="G58" s="3">
        <v>18.353632933802398</v>
      </c>
      <c r="H58" s="3">
        <v>12.9344829141285</v>
      </c>
      <c r="I58" s="3">
        <v>20.8978946598702</v>
      </c>
      <c r="J58" s="3">
        <v>17.110139692055501</v>
      </c>
      <c r="K58" s="3">
        <v>14.5731947255995</v>
      </c>
      <c r="L58" s="3">
        <v>16.1413693740359</v>
      </c>
      <c r="M58" s="3">
        <v>18.159541093615498</v>
      </c>
      <c r="N58" s="3">
        <v>11.3132451904946</v>
      </c>
    </row>
    <row r="59" spans="1:14" x14ac:dyDescent="0.35">
      <c r="A59" s="2">
        <v>43552</v>
      </c>
      <c r="B59" s="3">
        <v>24.136496382593901</v>
      </c>
      <c r="C59" s="3">
        <v>15.864627565202699</v>
      </c>
      <c r="D59" s="3">
        <v>14.725012497144901</v>
      </c>
      <c r="E59" s="3">
        <v>13.1498961121251</v>
      </c>
      <c r="F59" s="3">
        <v>12.671466388238899</v>
      </c>
      <c r="G59" s="3">
        <v>18.248405710456002</v>
      </c>
      <c r="H59" s="3">
        <v>12.9354645003288</v>
      </c>
      <c r="I59" s="3">
        <v>20.9920423363588</v>
      </c>
      <c r="J59" s="3">
        <v>17.109878768291502</v>
      </c>
      <c r="K59" s="3">
        <v>14.5123113224696</v>
      </c>
      <c r="L59" s="3">
        <v>16.115539424169299</v>
      </c>
      <c r="M59" s="3">
        <v>17.866774202222398</v>
      </c>
      <c r="N59" s="3">
        <v>11.2987680829662</v>
      </c>
    </row>
    <row r="60" spans="1:14" x14ac:dyDescent="0.35">
      <c r="A60" s="2">
        <v>43581</v>
      </c>
      <c r="B60" s="3">
        <v>24.192150964945402</v>
      </c>
      <c r="C60" s="3">
        <v>15.922305153878201</v>
      </c>
      <c r="D60" s="3">
        <v>14.652872928544999</v>
      </c>
      <c r="E60" s="3">
        <v>13.403477466833801</v>
      </c>
      <c r="F60" s="3">
        <v>12.778366949311399</v>
      </c>
      <c r="G60" s="3">
        <v>18.290804645380401</v>
      </c>
      <c r="H60" s="3">
        <v>13.0001250357299</v>
      </c>
      <c r="I60" s="3">
        <v>21.459794636825301</v>
      </c>
      <c r="J60" s="3">
        <v>17.305794639778199</v>
      </c>
      <c r="K60" s="3">
        <v>14.6781481223226</v>
      </c>
      <c r="L60" s="3">
        <v>16.313457154666501</v>
      </c>
      <c r="M60" s="3">
        <v>17.972438528292301</v>
      </c>
      <c r="N60" s="3">
        <v>11.3367884322787</v>
      </c>
    </row>
    <row r="61" spans="1:14" x14ac:dyDescent="0.35">
      <c r="A61" s="2">
        <v>43613</v>
      </c>
      <c r="B61" s="3">
        <v>24.362912282663899</v>
      </c>
      <c r="C61" s="3">
        <v>16.007602769706999</v>
      </c>
      <c r="D61" s="3">
        <v>14.4685849301509</v>
      </c>
      <c r="E61" s="3">
        <v>13.1891223738597</v>
      </c>
      <c r="F61" s="3">
        <v>12.7035798948341</v>
      </c>
      <c r="G61" s="3">
        <v>18.147529557830499</v>
      </c>
      <c r="H61" s="3">
        <v>12.850567580309701</v>
      </c>
      <c r="I61" s="3">
        <v>20.9688632271641</v>
      </c>
      <c r="J61" s="3">
        <v>16.9967297261562</v>
      </c>
      <c r="K61" s="3">
        <v>14.433572187735599</v>
      </c>
      <c r="L61" s="3">
        <v>16.093526462957399</v>
      </c>
      <c r="M61" s="3">
        <v>17.254966916663101</v>
      </c>
      <c r="N61" s="3">
        <v>10.969473609423</v>
      </c>
    </row>
    <row r="62" spans="1:14" x14ac:dyDescent="0.35">
      <c r="A62" s="2">
        <v>43644</v>
      </c>
      <c r="B62" s="3">
        <v>24.684811192637401</v>
      </c>
      <c r="C62" s="3">
        <v>16.258609830816301</v>
      </c>
      <c r="D62" s="3">
        <v>14.4933225115679</v>
      </c>
      <c r="E62" s="3">
        <v>13.433027933572699</v>
      </c>
      <c r="F62" s="3">
        <v>12.8569130440768</v>
      </c>
      <c r="G62" s="3">
        <v>18.3689302500905</v>
      </c>
      <c r="H62" s="3">
        <v>13.051374320423999</v>
      </c>
      <c r="I62" s="3">
        <v>21.605389697149999</v>
      </c>
      <c r="J62" s="3">
        <v>17.403973650432398</v>
      </c>
      <c r="K62" s="3">
        <v>14.6838894979361</v>
      </c>
      <c r="L62" s="3">
        <v>16.3913612047219</v>
      </c>
      <c r="M62" s="3">
        <v>17.149501751945198</v>
      </c>
      <c r="N62" s="3">
        <v>11.109141201789599</v>
      </c>
    </row>
    <row r="63" spans="1:14" x14ac:dyDescent="0.35">
      <c r="A63" s="2">
        <v>43672</v>
      </c>
      <c r="B63" s="3">
        <v>25.209220493953701</v>
      </c>
      <c r="C63" s="3">
        <v>16.464363964217998</v>
      </c>
      <c r="D63" s="3">
        <v>14.5303190889753</v>
      </c>
      <c r="E63" s="3">
        <v>13.6674042358793</v>
      </c>
      <c r="F63" s="3">
        <v>13.0178773542043</v>
      </c>
      <c r="G63" s="3">
        <v>18.338674055182199</v>
      </c>
      <c r="H63" s="3">
        <v>13.1404600147309</v>
      </c>
      <c r="I63" s="3">
        <v>22.253871582527498</v>
      </c>
      <c r="J63" s="3">
        <v>17.799570483597499</v>
      </c>
      <c r="K63" s="3">
        <v>14.9554047587309</v>
      </c>
      <c r="L63" s="3">
        <v>16.768439817493402</v>
      </c>
      <c r="M63" s="3">
        <v>16.959031323243199</v>
      </c>
      <c r="N63" s="3">
        <v>11.2984827660761</v>
      </c>
    </row>
    <row r="64" spans="1:14" x14ac:dyDescent="0.35">
      <c r="A64" s="2">
        <v>43705</v>
      </c>
      <c r="B64" s="3">
        <v>27.678470524321199</v>
      </c>
      <c r="C64" s="3">
        <v>16.231283925881499</v>
      </c>
      <c r="D64" s="3">
        <v>14.342512284851299</v>
      </c>
      <c r="E64" s="3">
        <v>13.4218182489643</v>
      </c>
      <c r="F64" s="3">
        <v>12.726093336647599</v>
      </c>
      <c r="G64" s="3">
        <v>18.1500259788642</v>
      </c>
      <c r="H64" s="3">
        <v>12.7182661745922</v>
      </c>
      <c r="I64" s="3">
        <v>21.631288650440499</v>
      </c>
      <c r="J64" s="3">
        <v>17.374137890679801</v>
      </c>
      <c r="K64" s="3">
        <v>14.5744054787222</v>
      </c>
      <c r="L64" s="3">
        <v>16.395390089781401</v>
      </c>
      <c r="M64" s="3">
        <v>15.663553558525701</v>
      </c>
      <c r="N64" s="3">
        <v>10.9695793839209</v>
      </c>
    </row>
    <row r="65" spans="1:14" x14ac:dyDescent="0.35">
      <c r="A65" s="2">
        <v>43735</v>
      </c>
      <c r="B65" s="3">
        <v>28.3667682013023</v>
      </c>
      <c r="C65" s="3">
        <v>16.861401268534301</v>
      </c>
      <c r="D65" s="3">
        <v>14.6756535592106</v>
      </c>
      <c r="E65" s="3">
        <v>14.0483642067835</v>
      </c>
      <c r="F65" s="3">
        <v>13.501323209725999</v>
      </c>
      <c r="G65" s="3">
        <v>18.417292738605699</v>
      </c>
      <c r="H65" s="3">
        <v>13.1973419010802</v>
      </c>
      <c r="I65" s="3">
        <v>21.950209189108602</v>
      </c>
      <c r="J65" s="3">
        <v>17.7948497713015</v>
      </c>
      <c r="K65" s="3">
        <v>15.122583486672101</v>
      </c>
      <c r="L65" s="3">
        <v>17.043682883513998</v>
      </c>
      <c r="M65" s="3">
        <v>16.5404088383934</v>
      </c>
      <c r="N65" s="3">
        <v>11.311892064974099</v>
      </c>
    </row>
    <row r="66" spans="1:14" x14ac:dyDescent="0.35">
      <c r="A66" s="2">
        <v>43766</v>
      </c>
      <c r="B66" s="3">
        <v>28.623347083136402</v>
      </c>
      <c r="C66" s="3">
        <v>17.339144658511799</v>
      </c>
      <c r="D66" s="3">
        <v>14.6747050294496</v>
      </c>
      <c r="E66" s="3">
        <v>14.7890644786817</v>
      </c>
      <c r="F66" s="3">
        <v>13.9611179471289</v>
      </c>
      <c r="G66" s="3">
        <v>18.652006758250099</v>
      </c>
      <c r="H66" s="3">
        <v>13.331748965872601</v>
      </c>
      <c r="I66" s="3">
        <v>22.991804498838899</v>
      </c>
      <c r="J66" s="3">
        <v>18.331121681953299</v>
      </c>
      <c r="K66" s="3">
        <v>15.588046187668199</v>
      </c>
      <c r="L66" s="3">
        <v>17.3977656962217</v>
      </c>
      <c r="M66" s="3">
        <v>17.040819237605501</v>
      </c>
      <c r="N66" s="3">
        <v>11.661836248954</v>
      </c>
    </row>
    <row r="67" spans="1:14" x14ac:dyDescent="0.35">
      <c r="A67" s="2">
        <v>43796</v>
      </c>
      <c r="B67" s="3">
        <v>30.6718305405671</v>
      </c>
      <c r="C67" s="3">
        <v>17.7744269292984</v>
      </c>
      <c r="D67" s="3">
        <v>15.1585124651921</v>
      </c>
      <c r="E67" s="3">
        <v>15.280095150258701</v>
      </c>
      <c r="F67" s="3">
        <v>14.790672291721</v>
      </c>
      <c r="G67" s="3">
        <v>19.102929793480001</v>
      </c>
      <c r="H67" s="3">
        <v>13.6515337990513</v>
      </c>
      <c r="I67" s="3">
        <v>24.2519364723533</v>
      </c>
      <c r="J67" s="3">
        <v>19.14879162315</v>
      </c>
      <c r="K67" s="3">
        <v>16.137836031059098</v>
      </c>
      <c r="L67" s="3">
        <v>18.093815197542401</v>
      </c>
      <c r="M67" s="3">
        <v>15.9801715072724</v>
      </c>
      <c r="N67" s="3">
        <v>12.0199661032522</v>
      </c>
    </row>
    <row r="68" spans="1:14" x14ac:dyDescent="0.35">
      <c r="A68" s="2">
        <v>43826</v>
      </c>
      <c r="B68" s="3">
        <v>32.649818047243301</v>
      </c>
      <c r="C68" s="3">
        <v>18.0649118716929</v>
      </c>
      <c r="D68" s="3">
        <v>15.3465759618884</v>
      </c>
      <c r="E68" s="3">
        <v>15.5547283472162</v>
      </c>
      <c r="F68" s="3">
        <v>15.37172446624</v>
      </c>
      <c r="G68" s="3">
        <v>19.7716261654978</v>
      </c>
      <c r="H68" s="3">
        <v>14.229309588032301</v>
      </c>
      <c r="I68" s="3">
        <v>25.534095665505902</v>
      </c>
      <c r="J68" s="3">
        <v>19.904822482926999</v>
      </c>
      <c r="K68" s="3">
        <v>16.622265830343999</v>
      </c>
      <c r="L68" s="3">
        <v>18.788398176672398</v>
      </c>
      <c r="M68" s="3">
        <v>16.4809561895831</v>
      </c>
      <c r="N68" s="3">
        <v>12.236921607506901</v>
      </c>
    </row>
    <row r="69" spans="1:14" x14ac:dyDescent="0.35">
      <c r="A69" s="2">
        <v>43858</v>
      </c>
      <c r="B69" s="3">
        <v>32.582926906619697</v>
      </c>
      <c r="C69" s="3">
        <v>18.425574203299501</v>
      </c>
      <c r="D69" s="3">
        <v>15.5922033416158</v>
      </c>
      <c r="E69" s="3">
        <v>15.4520328279102</v>
      </c>
      <c r="F69" s="3">
        <v>15.0764066823579</v>
      </c>
      <c r="G69" s="3">
        <v>19.971084275047499</v>
      </c>
      <c r="H69" s="3">
        <v>13.9900459815579</v>
      </c>
      <c r="I69" s="3">
        <v>26.139867969127199</v>
      </c>
      <c r="J69" s="3">
        <v>20.0311131668123</v>
      </c>
      <c r="K69" s="3">
        <v>16.344430458986999</v>
      </c>
      <c r="L69" s="3">
        <v>18.59896089623</v>
      </c>
      <c r="M69" s="3">
        <v>14.1048481736897</v>
      </c>
      <c r="N69" s="3">
        <v>12.358825494118999</v>
      </c>
    </row>
    <row r="70" spans="1:14" x14ac:dyDescent="0.35">
      <c r="A70" s="2">
        <v>43889</v>
      </c>
      <c r="B70" s="3">
        <v>31.1164202842496</v>
      </c>
      <c r="C70" s="3">
        <v>16.9463800934025</v>
      </c>
      <c r="D70" s="3">
        <v>14.3479619341519</v>
      </c>
      <c r="E70" s="3">
        <v>14.037558798980401</v>
      </c>
      <c r="F70" s="3">
        <v>13.977459534720699</v>
      </c>
      <c r="G70" s="3">
        <v>18.010310827640598</v>
      </c>
      <c r="H70" s="3">
        <v>12.3303979979974</v>
      </c>
      <c r="I70" s="3">
        <v>23.803653116887201</v>
      </c>
      <c r="J70" s="3">
        <v>17.904501153957099</v>
      </c>
      <c r="K70" s="3">
        <v>14.6441363459583</v>
      </c>
      <c r="L70" s="3">
        <v>17.336755859298499</v>
      </c>
      <c r="M70" s="3">
        <v>13.003641439933</v>
      </c>
      <c r="N70" s="3">
        <v>11.3567081312941</v>
      </c>
    </row>
    <row r="71" spans="1:14" x14ac:dyDescent="0.35">
      <c r="A71" s="2">
        <v>43917</v>
      </c>
      <c r="B71" s="3">
        <v>30.330586266632601</v>
      </c>
      <c r="C71" s="3">
        <v>16.158329910868598</v>
      </c>
      <c r="D71" s="3">
        <v>14.0306383280526</v>
      </c>
      <c r="E71" s="3">
        <v>13.738110960962899</v>
      </c>
      <c r="F71" s="3">
        <v>13.8489007305841</v>
      </c>
      <c r="G71" s="3">
        <v>17.656942754025899</v>
      </c>
      <c r="H71" s="3">
        <v>12.2222757799427</v>
      </c>
      <c r="I71" s="3">
        <v>23.360727749194002</v>
      </c>
      <c r="J71" s="3">
        <v>17.517803540549401</v>
      </c>
      <c r="K71" s="3">
        <v>14.3441610195966</v>
      </c>
      <c r="L71" s="3">
        <v>16.7781881219891</v>
      </c>
      <c r="M71" s="3">
        <v>12.8749563991943</v>
      </c>
      <c r="N71" s="3">
        <v>11.073265252706699</v>
      </c>
    </row>
    <row r="72" spans="1:14" x14ac:dyDescent="0.35">
      <c r="A72" s="2">
        <v>43949</v>
      </c>
      <c r="B72" s="3">
        <v>31.764286343631301</v>
      </c>
      <c r="C72" s="3">
        <v>17.062048852153001</v>
      </c>
      <c r="D72" s="3">
        <v>15.498548013447</v>
      </c>
      <c r="E72" s="3">
        <v>14.831811119660101</v>
      </c>
      <c r="F72" s="3">
        <v>14.2532331191907</v>
      </c>
      <c r="G72" s="3">
        <v>18.649879438207599</v>
      </c>
      <c r="H72" s="3">
        <v>13.552982219674</v>
      </c>
      <c r="I72" s="3">
        <v>24.648968037669</v>
      </c>
      <c r="J72" s="3">
        <v>19.115257749712399</v>
      </c>
      <c r="K72" s="3">
        <v>15.716245328805201</v>
      </c>
      <c r="L72" s="3">
        <v>17.799502495465099</v>
      </c>
      <c r="M72" s="3">
        <v>14.5412273424442</v>
      </c>
      <c r="N72" s="3">
        <v>12.391970606302699</v>
      </c>
    </row>
    <row r="73" spans="1:14" x14ac:dyDescent="0.35">
      <c r="A73" s="2">
        <v>43979</v>
      </c>
      <c r="B73" s="3">
        <v>32.752382371143</v>
      </c>
      <c r="C73" s="3">
        <v>18.1061063880069</v>
      </c>
      <c r="D73" s="3">
        <v>17.219208333961301</v>
      </c>
      <c r="E73" s="3">
        <v>16.279270558535401</v>
      </c>
      <c r="F73" s="3">
        <v>15.4929090570526</v>
      </c>
      <c r="G73" s="3">
        <v>19.172651367757801</v>
      </c>
      <c r="H73" s="3">
        <v>14.6701007143871</v>
      </c>
      <c r="I73" s="3">
        <v>26.276550389354799</v>
      </c>
      <c r="J73" s="3">
        <v>20.372061531234401</v>
      </c>
      <c r="K73" s="3">
        <v>16.952720696127699</v>
      </c>
      <c r="L73" s="3">
        <v>18.589883243590499</v>
      </c>
      <c r="M73" s="3">
        <v>15.9981396480163</v>
      </c>
      <c r="N73" s="3">
        <v>14.450367845411501</v>
      </c>
    </row>
    <row r="74" spans="1:14" x14ac:dyDescent="0.35">
      <c r="A74" s="2">
        <v>44008</v>
      </c>
      <c r="B74" s="3">
        <v>32.402352566887302</v>
      </c>
      <c r="C74" s="3">
        <v>18.387988240997899</v>
      </c>
      <c r="D74" s="3">
        <v>17.108307038247101</v>
      </c>
      <c r="E74" s="3">
        <v>17.306714000473502</v>
      </c>
      <c r="F74" s="3">
        <v>16.973903748218799</v>
      </c>
      <c r="G74" s="3">
        <v>19.4727075203472</v>
      </c>
      <c r="H74" s="3">
        <v>15.064536058809599</v>
      </c>
      <c r="I74" s="3">
        <v>27.149267897302099</v>
      </c>
      <c r="J74" s="3">
        <v>20.815424107501499</v>
      </c>
      <c r="K74" s="3">
        <v>18.290488303762299</v>
      </c>
      <c r="L74" s="3">
        <v>19.428603331772202</v>
      </c>
      <c r="M74" s="3">
        <v>17.173794513555499</v>
      </c>
      <c r="N74" s="3">
        <v>16.130415748497299</v>
      </c>
    </row>
    <row r="75" spans="1:14" x14ac:dyDescent="0.35">
      <c r="A75" s="2">
        <v>44040</v>
      </c>
      <c r="B75" s="3">
        <v>33.492826669261902</v>
      </c>
      <c r="C75" s="3">
        <v>19.1276369136665</v>
      </c>
      <c r="D75" s="3">
        <v>17.813838939606899</v>
      </c>
      <c r="E75" s="3">
        <v>18.900457130214299</v>
      </c>
      <c r="F75" s="3">
        <v>17.7756653342717</v>
      </c>
      <c r="G75" s="3">
        <v>20.1690948364988</v>
      </c>
      <c r="H75" s="3">
        <v>15.7255977510655</v>
      </c>
      <c r="I75" s="3">
        <v>28.668165658972601</v>
      </c>
      <c r="J75" s="3">
        <v>22.066757271677702</v>
      </c>
      <c r="K75" s="3">
        <v>20.361493494003899</v>
      </c>
      <c r="L75" s="3">
        <v>20.427161181199502</v>
      </c>
      <c r="M75" s="3">
        <v>17.2257256408604</v>
      </c>
      <c r="N75" s="3">
        <v>17.718917249984699</v>
      </c>
    </row>
    <row r="76" spans="1:14" x14ac:dyDescent="0.35">
      <c r="A76" s="2">
        <v>44071</v>
      </c>
      <c r="B76" s="3">
        <v>34.506560286679402</v>
      </c>
      <c r="C76" s="3">
        <v>19.824234159003801</v>
      </c>
      <c r="D76" s="3">
        <v>18.395789437747801</v>
      </c>
      <c r="E76" s="3">
        <v>19.977484048461001</v>
      </c>
      <c r="F76" s="3">
        <v>18.6932055325946</v>
      </c>
      <c r="G76" s="3">
        <v>20.618525742278699</v>
      </c>
      <c r="H76" s="3">
        <v>16.560330716532299</v>
      </c>
      <c r="I76" s="3">
        <v>31.223250627968799</v>
      </c>
      <c r="J76" s="3">
        <v>23.653867916559701</v>
      </c>
      <c r="K76" s="3">
        <v>22.6072366656098</v>
      </c>
      <c r="L76" s="3">
        <v>21.27776599445</v>
      </c>
      <c r="M76" s="3">
        <v>17.293614035079202</v>
      </c>
      <c r="N76" s="3">
        <v>17.8040005475175</v>
      </c>
    </row>
    <row r="77" spans="1:14" x14ac:dyDescent="0.35">
      <c r="A77" s="2">
        <v>44102</v>
      </c>
      <c r="B77" s="3">
        <v>33.8189932885928</v>
      </c>
      <c r="C77" s="3">
        <v>19.401615936212298</v>
      </c>
      <c r="D77" s="3">
        <v>18.404787120016799</v>
      </c>
      <c r="E77" s="3">
        <v>20.485731485623202</v>
      </c>
      <c r="F77" s="3">
        <v>20.2736435427326</v>
      </c>
      <c r="G77" s="3">
        <v>20.8082020788042</v>
      </c>
      <c r="H77" s="3">
        <v>16.824122612807901</v>
      </c>
      <c r="I77" s="3">
        <v>30.6852353000913</v>
      </c>
      <c r="J77" s="3">
        <v>23.450128252646699</v>
      </c>
      <c r="K77" s="3">
        <v>23.1539119819932</v>
      </c>
      <c r="L77" s="3">
        <v>21.786425293452702</v>
      </c>
      <c r="M77" s="3">
        <v>18.240312461223802</v>
      </c>
      <c r="N77" s="3">
        <v>18.170405952386002</v>
      </c>
    </row>
    <row r="78" spans="1:14" x14ac:dyDescent="0.35">
      <c r="A78" s="2">
        <v>44132</v>
      </c>
      <c r="B78" s="3">
        <v>35.370017787115501</v>
      </c>
      <c r="C78" s="3">
        <v>19.8853986525734</v>
      </c>
      <c r="D78" s="3">
        <v>18.0097558602458</v>
      </c>
      <c r="E78" s="3">
        <v>18.5968624987479</v>
      </c>
      <c r="F78" s="3">
        <v>20.5288948943601</v>
      </c>
      <c r="G78" s="3">
        <v>19.8244362905827</v>
      </c>
      <c r="H78" s="3">
        <v>15.921915464608199</v>
      </c>
      <c r="I78" s="3">
        <v>30.605771043207099</v>
      </c>
      <c r="J78" s="3">
        <v>23.107911564125601</v>
      </c>
      <c r="K78" s="3">
        <v>22.862033922236002</v>
      </c>
      <c r="L78" s="3">
        <v>21.6679527432082</v>
      </c>
      <c r="M78" s="3">
        <v>15.328865664417499</v>
      </c>
      <c r="N78" s="3">
        <v>17.905690796752602</v>
      </c>
    </row>
    <row r="79" spans="1:14" x14ac:dyDescent="0.35">
      <c r="A79" s="2">
        <v>44162</v>
      </c>
      <c r="B79" s="3">
        <v>35.317192153772403</v>
      </c>
      <c r="C79" s="3">
        <v>22.223644297359701</v>
      </c>
      <c r="D79" s="3">
        <v>19.968334639063801</v>
      </c>
      <c r="E79" s="3">
        <v>21.779267319593401</v>
      </c>
      <c r="F79" s="3">
        <v>22.786798562914299</v>
      </c>
      <c r="G79" s="3">
        <v>21.3947244321635</v>
      </c>
      <c r="H79" s="3">
        <v>18.642886900966101</v>
      </c>
      <c r="I79" s="3">
        <v>33.047506532497401</v>
      </c>
      <c r="J79" s="3">
        <v>25.377006440910002</v>
      </c>
      <c r="K79" s="3">
        <v>28.156052576449401</v>
      </c>
      <c r="L79" s="3">
        <v>25.2124997430295</v>
      </c>
      <c r="M79" s="3">
        <v>17.300579881031901</v>
      </c>
      <c r="N79" s="3">
        <v>22.070954228170201</v>
      </c>
    </row>
    <row r="80" spans="1:14" x14ac:dyDescent="0.35">
      <c r="A80" s="2">
        <v>44193</v>
      </c>
      <c r="B80" s="3">
        <v>37.866143611023503</v>
      </c>
      <c r="C80" s="3">
        <v>23.0543925745209</v>
      </c>
      <c r="D80" s="3">
        <v>20.553451552036901</v>
      </c>
      <c r="E80" s="3">
        <v>22.0803923775381</v>
      </c>
      <c r="F80" s="3">
        <v>23.289969223357101</v>
      </c>
      <c r="G80" s="3">
        <v>21.784247220469901</v>
      </c>
      <c r="H80" s="3">
        <v>19.6370717925479</v>
      </c>
      <c r="I80" s="3">
        <v>35.024043749751399</v>
      </c>
      <c r="J80" s="3">
        <v>27.208807413160201</v>
      </c>
      <c r="K80" s="3">
        <v>28.940101211102899</v>
      </c>
      <c r="L80" s="3">
        <v>27.288208240188901</v>
      </c>
      <c r="M80" s="3">
        <v>17.7003175263117</v>
      </c>
      <c r="N80" s="3">
        <v>23.373023481388401</v>
      </c>
    </row>
    <row r="81" spans="1:14" x14ac:dyDescent="0.35">
      <c r="A81" s="2">
        <v>44224</v>
      </c>
      <c r="B81" s="3">
        <v>37.037338908988097</v>
      </c>
      <c r="C81" s="3">
        <v>22.669572808325501</v>
      </c>
      <c r="D81" s="3">
        <v>20.5185184567958</v>
      </c>
      <c r="E81" s="3">
        <v>21.130912822593501</v>
      </c>
      <c r="F81" s="3">
        <v>23.409847916781999</v>
      </c>
      <c r="G81" s="3">
        <v>21.534176077460099</v>
      </c>
      <c r="H81" s="3">
        <v>19.425258642532199</v>
      </c>
      <c r="I81" s="3">
        <v>34.900689940957299</v>
      </c>
      <c r="J81" s="3">
        <v>26.8664242513535</v>
      </c>
      <c r="K81" s="3">
        <v>27.875899373049901</v>
      </c>
      <c r="L81" s="3">
        <v>27.5105058853445</v>
      </c>
      <c r="M81" s="3">
        <v>18.534358298746099</v>
      </c>
      <c r="N81" s="3">
        <v>20.469248626870002</v>
      </c>
    </row>
    <row r="82" spans="1:14" x14ac:dyDescent="0.35">
      <c r="A82" s="2">
        <v>44253</v>
      </c>
      <c r="B82" s="3">
        <v>34.343740925786598</v>
      </c>
      <c r="C82" s="3">
        <v>21.803472996914799</v>
      </c>
      <c r="D82" s="3">
        <v>19.9904739717302</v>
      </c>
      <c r="E82" s="3">
        <v>20.295086301686101</v>
      </c>
      <c r="F82" s="3">
        <v>21.677099362618801</v>
      </c>
      <c r="G82" s="3">
        <v>20.482314389170899</v>
      </c>
      <c r="H82" s="3">
        <v>18.808343681970999</v>
      </c>
      <c r="I82" s="3">
        <v>32.945700769931399</v>
      </c>
      <c r="J82" s="3">
        <v>26.293169399915101</v>
      </c>
      <c r="K82" s="3">
        <v>27.0710572154549</v>
      </c>
      <c r="L82" s="3">
        <v>28.983305238102801</v>
      </c>
      <c r="M82" s="3">
        <v>17.9459081411852</v>
      </c>
      <c r="N82" s="3">
        <v>20.352573516655301</v>
      </c>
    </row>
    <row r="83" spans="1:14" x14ac:dyDescent="0.35">
      <c r="A83" s="2">
        <v>44281</v>
      </c>
      <c r="B83" s="3">
        <v>34.383329221032398</v>
      </c>
      <c r="C83" s="3">
        <v>21.398570464910801</v>
      </c>
      <c r="D83" s="3">
        <v>19.650003408836699</v>
      </c>
      <c r="E83" s="3">
        <v>20.059631231353599</v>
      </c>
      <c r="F83" s="3">
        <v>21.428133720016199</v>
      </c>
      <c r="G83" s="3">
        <v>20.4682490884232</v>
      </c>
      <c r="H83" s="3">
        <v>18.363047787594201</v>
      </c>
      <c r="I83" s="3">
        <v>32.575904838136402</v>
      </c>
      <c r="J83" s="3">
        <v>26.076306568480199</v>
      </c>
      <c r="K83" s="3">
        <v>26.409933450214801</v>
      </c>
      <c r="L83" s="3">
        <v>28.624076890717301</v>
      </c>
      <c r="M83" s="3">
        <v>18.453483224505199</v>
      </c>
      <c r="N83" s="3">
        <v>19.862734581653299</v>
      </c>
    </row>
    <row r="84" spans="1:14" x14ac:dyDescent="0.35">
      <c r="A84" s="2">
        <v>44314</v>
      </c>
      <c r="B84" s="3">
        <v>34.544974194201302</v>
      </c>
      <c r="C84" s="3">
        <v>21.072615785582901</v>
      </c>
      <c r="D84" s="3">
        <v>19.3272123206374</v>
      </c>
      <c r="E84" s="3">
        <v>19.500268988418799</v>
      </c>
      <c r="F84" s="3">
        <v>20.805654003707801</v>
      </c>
      <c r="G84" s="3">
        <v>20.182860148882899</v>
      </c>
      <c r="H84" s="3">
        <v>17.726680627593701</v>
      </c>
      <c r="I84" s="3">
        <v>32.497013344027998</v>
      </c>
      <c r="J84" s="3">
        <v>25.7203226526062</v>
      </c>
      <c r="K84" s="3">
        <v>25.611898696666</v>
      </c>
      <c r="L84" s="3">
        <v>28.031795364351101</v>
      </c>
      <c r="M84" s="3">
        <v>18.2823759908038</v>
      </c>
      <c r="N84" s="3">
        <v>19.208057740788501</v>
      </c>
    </row>
    <row r="85" spans="1:14" x14ac:dyDescent="0.35">
      <c r="A85" s="2">
        <v>44344</v>
      </c>
      <c r="B85" s="3">
        <v>34.852357173854898</v>
      </c>
      <c r="C85" s="3">
        <v>20.740873165551701</v>
      </c>
      <c r="D85" s="3">
        <v>18.835578146848</v>
      </c>
      <c r="E85" s="3">
        <v>18.879386113349302</v>
      </c>
      <c r="F85" s="3">
        <v>20.359431791471401</v>
      </c>
      <c r="G85" s="3">
        <v>20.622709259313599</v>
      </c>
      <c r="H85" s="3">
        <v>17.1742917334659</v>
      </c>
      <c r="I85" s="3">
        <v>31.5157306079637</v>
      </c>
      <c r="J85" s="3">
        <v>25.117579799322499</v>
      </c>
      <c r="K85" s="3">
        <v>24.709766162256098</v>
      </c>
      <c r="L85" s="3">
        <v>27.118992173099201</v>
      </c>
      <c r="M85" s="3">
        <v>18.048485846694099</v>
      </c>
      <c r="N85" s="3">
        <v>18.636459448785001</v>
      </c>
    </row>
    <row r="86" spans="1:14" x14ac:dyDescent="0.35">
      <c r="A86" s="2">
        <v>44375</v>
      </c>
      <c r="B86" s="3">
        <v>35.958528137091903</v>
      </c>
      <c r="C86" s="3">
        <v>20.1601180098829</v>
      </c>
      <c r="D86" s="3">
        <v>18.496398297200098</v>
      </c>
      <c r="E86" s="3">
        <v>18.3873594059265</v>
      </c>
      <c r="F86" s="3">
        <v>19.901786805759599</v>
      </c>
      <c r="G86" s="3">
        <v>20.940757487034901</v>
      </c>
      <c r="H86" s="3">
        <v>16.474581265280801</v>
      </c>
      <c r="I86" s="3">
        <v>31.8694763697887</v>
      </c>
      <c r="J86" s="3">
        <v>24.8489104811995</v>
      </c>
      <c r="K86" s="3">
        <v>23.756786475759899</v>
      </c>
      <c r="L86" s="3">
        <v>26.6572471870832</v>
      </c>
      <c r="M86" s="3">
        <v>18.146365985135301</v>
      </c>
      <c r="N86" s="3">
        <v>18.065928160677799</v>
      </c>
    </row>
    <row r="87" spans="1:14" x14ac:dyDescent="0.35">
      <c r="A87" s="2">
        <v>44405</v>
      </c>
      <c r="B87" s="3">
        <v>36.386001594175099</v>
      </c>
      <c r="C87" s="3">
        <v>19.202012165956098</v>
      </c>
      <c r="D87" s="3">
        <v>17.811859168955799</v>
      </c>
      <c r="E87" s="3">
        <v>17.636532367424</v>
      </c>
      <c r="F87" s="3">
        <v>19.128924043379499</v>
      </c>
      <c r="G87" s="3">
        <v>20.869041164752101</v>
      </c>
      <c r="H87" s="3">
        <v>15.5837810667946</v>
      </c>
      <c r="I87" s="3">
        <v>31.635802472244301</v>
      </c>
      <c r="J87" s="3">
        <v>24.295734720315799</v>
      </c>
      <c r="K87" s="3">
        <v>22.571824981683999</v>
      </c>
      <c r="L87" s="3">
        <v>26.258351019411801</v>
      </c>
      <c r="M87" s="3">
        <v>17.8401441448299</v>
      </c>
      <c r="N87" s="3">
        <v>17.366292793069999</v>
      </c>
    </row>
    <row r="88" spans="1:14" x14ac:dyDescent="0.35">
      <c r="A88" s="2">
        <v>44435</v>
      </c>
      <c r="B88" s="3">
        <v>37.922882961744698</v>
      </c>
      <c r="C88" s="3">
        <v>19.109966525423101</v>
      </c>
      <c r="D88" s="3">
        <v>17.269850977919699</v>
      </c>
      <c r="E88" s="3">
        <v>16.9936260460474</v>
      </c>
      <c r="F88" s="3">
        <v>18.3007115165668</v>
      </c>
      <c r="G88" s="3">
        <v>21.230427356721201</v>
      </c>
      <c r="H88" s="3">
        <v>14.8130755698662</v>
      </c>
      <c r="I88" s="3">
        <v>31.593722136865399</v>
      </c>
      <c r="J88" s="3">
        <v>24.0129849878474</v>
      </c>
      <c r="K88" s="3">
        <v>21.1628647537208</v>
      </c>
      <c r="L88" s="3">
        <v>26.0662196061201</v>
      </c>
      <c r="M88" s="3">
        <v>17.811737824492202</v>
      </c>
      <c r="N88" s="3">
        <v>15.788278203871201</v>
      </c>
    </row>
    <row r="89" spans="1:14" x14ac:dyDescent="0.35">
      <c r="A89" s="2">
        <v>44467</v>
      </c>
      <c r="B89" s="3">
        <v>38.740993745802399</v>
      </c>
      <c r="C89" s="3">
        <v>18.438847867794301</v>
      </c>
      <c r="D89" s="3">
        <v>16.460641527900801</v>
      </c>
      <c r="E89" s="3">
        <v>15.960602140612499</v>
      </c>
      <c r="F89" s="3">
        <v>18.494670101606001</v>
      </c>
      <c r="G89" s="3">
        <v>19.9261891696618</v>
      </c>
      <c r="H89" s="3">
        <v>13.935887129514599</v>
      </c>
      <c r="I89" s="3">
        <v>30.351006423598101</v>
      </c>
      <c r="J89" s="3">
        <v>23.0912091267124</v>
      </c>
      <c r="K89" s="3">
        <v>19.646437030284002</v>
      </c>
      <c r="L89" s="3">
        <v>24.522982409869002</v>
      </c>
      <c r="M89" s="3">
        <v>17.185785887168901</v>
      </c>
      <c r="N89" s="3">
        <v>14.732708848387301</v>
      </c>
    </row>
    <row r="90" spans="1:14" x14ac:dyDescent="0.35">
      <c r="A90" s="2">
        <v>44497</v>
      </c>
      <c r="B90" s="3">
        <v>38.738595253525098</v>
      </c>
      <c r="C90" s="3">
        <v>18.841850546132601</v>
      </c>
      <c r="D90" s="3">
        <v>16.7591900130924</v>
      </c>
      <c r="E90" s="3">
        <v>15.730851319593601</v>
      </c>
      <c r="F90" s="3">
        <v>17.501289232768499</v>
      </c>
      <c r="G90" s="3">
        <v>20.700917339080299</v>
      </c>
      <c r="H90" s="3">
        <v>13.6810017938783</v>
      </c>
      <c r="I90" s="3">
        <v>31.227135691475201</v>
      </c>
      <c r="J90" s="3">
        <v>23.308183706434502</v>
      </c>
      <c r="K90" s="3">
        <v>18.948347546314299</v>
      </c>
      <c r="L90" s="3">
        <v>24.7269668315583</v>
      </c>
      <c r="M90" s="3">
        <v>16.7611147800969</v>
      </c>
      <c r="N90" s="3">
        <v>14.255307229000501</v>
      </c>
    </row>
    <row r="91" spans="1:14" x14ac:dyDescent="0.35">
      <c r="A91" s="2">
        <v>44526</v>
      </c>
      <c r="B91" s="3">
        <v>37.687644036327697</v>
      </c>
      <c r="C91" s="3">
        <v>17.668962420503899</v>
      </c>
      <c r="D91" s="3">
        <v>15.9383858565328</v>
      </c>
      <c r="E91" s="3">
        <v>14.326653939516</v>
      </c>
      <c r="F91" s="3">
        <v>16.871634164869601</v>
      </c>
      <c r="G91" s="3">
        <v>20.414135954597398</v>
      </c>
      <c r="H91" s="3">
        <v>12.532333768564801</v>
      </c>
      <c r="I91" s="3">
        <v>31.464374647446601</v>
      </c>
      <c r="J91" s="3">
        <v>22.826410534390501</v>
      </c>
      <c r="K91" s="3">
        <v>17.3750006491248</v>
      </c>
      <c r="L91" s="3">
        <v>22.956033261362801</v>
      </c>
      <c r="M91" s="3">
        <v>16.403468182585701</v>
      </c>
      <c r="N91" s="3">
        <v>12.7672599545387</v>
      </c>
    </row>
    <row r="92" spans="1:14" x14ac:dyDescent="0.35">
      <c r="A92" s="2">
        <v>44558</v>
      </c>
      <c r="B92" s="3">
        <v>39.013245895530098</v>
      </c>
      <c r="C92" s="3">
        <v>17.795404473149301</v>
      </c>
      <c r="D92" s="3">
        <v>15.4684541383698</v>
      </c>
      <c r="E92" s="3">
        <v>14.282450132765</v>
      </c>
      <c r="F92" s="3">
        <v>16.295396436087898</v>
      </c>
      <c r="G92" s="3">
        <v>21.7445151286515</v>
      </c>
      <c r="H92" s="3">
        <v>12.3802735524177</v>
      </c>
      <c r="I92" s="3">
        <v>32.2542267718528</v>
      </c>
      <c r="J92" s="3">
        <v>23.368478373045502</v>
      </c>
      <c r="K92" s="3">
        <v>17.344179294888399</v>
      </c>
      <c r="L92" s="3">
        <v>22.883422163916499</v>
      </c>
      <c r="M92" s="3">
        <v>17.017142007542098</v>
      </c>
      <c r="N92" s="3">
        <v>12.190567250967501</v>
      </c>
    </row>
    <row r="93" spans="1:14" x14ac:dyDescent="0.35">
      <c r="A93" s="2">
        <v>44589</v>
      </c>
      <c r="B93" s="3">
        <v>35.9252840202751</v>
      </c>
      <c r="C93" s="3">
        <v>16.5087695489396</v>
      </c>
      <c r="D93" s="3">
        <v>15.016336140132999</v>
      </c>
      <c r="E93" s="3">
        <v>13.4795741608987</v>
      </c>
      <c r="F93" s="3">
        <v>14.9729035588058</v>
      </c>
      <c r="G93" s="3">
        <v>19.837087521728701</v>
      </c>
      <c r="H93" s="3">
        <v>12.517728778985299</v>
      </c>
      <c r="I93" s="3">
        <v>27.8008877138336</v>
      </c>
      <c r="J93" s="3">
        <v>21.3974826070577</v>
      </c>
      <c r="K93" s="3">
        <v>16.207050618984798</v>
      </c>
      <c r="L93" s="3">
        <v>20.1757932498599</v>
      </c>
      <c r="M93" s="3">
        <v>12.085244065704501</v>
      </c>
      <c r="N93" s="3">
        <v>11.7300894184922</v>
      </c>
    </row>
    <row r="94" spans="1:14" x14ac:dyDescent="0.35">
      <c r="A94" s="2">
        <v>44620</v>
      </c>
      <c r="B94" s="3">
        <v>35.2856899235504</v>
      </c>
      <c r="C94" s="3">
        <v>15.6714131906656</v>
      </c>
      <c r="D94" s="3">
        <v>15.248970840991699</v>
      </c>
      <c r="E94" s="3">
        <v>12.5328882361799</v>
      </c>
      <c r="F94" s="3">
        <v>14.753576483141</v>
      </c>
      <c r="G94" s="3">
        <v>18.497536832784998</v>
      </c>
      <c r="H94" s="3">
        <v>12.549792914583399</v>
      </c>
      <c r="I94" s="3">
        <v>26.702801825499801</v>
      </c>
      <c r="J94" s="3">
        <v>20.718447861519401</v>
      </c>
      <c r="K94" s="3">
        <v>15.4793464797258</v>
      </c>
      <c r="L94" s="3">
        <v>18.3316789033893</v>
      </c>
      <c r="M94" s="3">
        <v>11.712367883385999</v>
      </c>
      <c r="N94" s="3">
        <v>10.6475829192046</v>
      </c>
    </row>
    <row r="95" spans="1:14" x14ac:dyDescent="0.35">
      <c r="A95" s="2">
        <v>44648</v>
      </c>
      <c r="B95" s="3">
        <v>34.868296388056201</v>
      </c>
      <c r="C95" s="3">
        <v>15.8136033505358</v>
      </c>
      <c r="D95" s="3">
        <v>15.0858266768516</v>
      </c>
      <c r="E95" s="3">
        <v>12.4509198602289</v>
      </c>
      <c r="F95" s="3">
        <v>14.6789198330136</v>
      </c>
      <c r="G95" s="3">
        <v>18.557451744809001</v>
      </c>
      <c r="H95" s="3">
        <v>12.3526536024706</v>
      </c>
      <c r="I95" s="3">
        <v>26.903789602020598</v>
      </c>
      <c r="J95" s="3">
        <v>20.7699573676528</v>
      </c>
      <c r="K95" s="3">
        <v>15.239764005706</v>
      </c>
      <c r="L95" s="3">
        <v>18.506768478207601</v>
      </c>
      <c r="M95" s="3">
        <v>12.0694549349992</v>
      </c>
      <c r="N95" s="3">
        <v>10.536994602525899</v>
      </c>
    </row>
    <row r="96" spans="1:14" x14ac:dyDescent="0.35">
      <c r="A96" s="2">
        <v>44679</v>
      </c>
      <c r="B96" s="3">
        <v>34.5265592880477</v>
      </c>
      <c r="C96" s="3">
        <v>15.388202185291</v>
      </c>
      <c r="D96" s="3">
        <v>14.6727818678111</v>
      </c>
      <c r="E96" s="3">
        <v>12.2566687573895</v>
      </c>
      <c r="F96" s="3">
        <v>14.3710677823238</v>
      </c>
      <c r="G96" s="3">
        <v>18.490773880762699</v>
      </c>
      <c r="H96" s="3">
        <v>12.019596672893099</v>
      </c>
      <c r="I96" s="3">
        <v>26.048941437429001</v>
      </c>
      <c r="J96" s="3">
        <v>20.2135642692974</v>
      </c>
      <c r="K96" s="3">
        <v>14.8664483629712</v>
      </c>
      <c r="L96" s="3">
        <v>18.2773655002146</v>
      </c>
      <c r="M96" s="3">
        <v>12.2456442166109</v>
      </c>
      <c r="N96" s="3">
        <v>10.374733296446101</v>
      </c>
    </row>
    <row r="97" spans="1:14" x14ac:dyDescent="0.35">
      <c r="A97" s="2">
        <v>44708</v>
      </c>
      <c r="B97" s="3">
        <v>33.673016809890797</v>
      </c>
      <c r="C97" s="3">
        <v>15.064743470367601</v>
      </c>
      <c r="D97" s="3">
        <v>14.3362577197463</v>
      </c>
      <c r="E97" s="3">
        <v>12.131858299762399</v>
      </c>
      <c r="F97" s="3">
        <v>14.1735912872714</v>
      </c>
      <c r="G97" s="3">
        <v>18.252104237485501</v>
      </c>
      <c r="H97" s="3">
        <v>11.7889356226987</v>
      </c>
      <c r="I97" s="3">
        <v>25.411366297786198</v>
      </c>
      <c r="J97" s="3">
        <v>19.8217811952963</v>
      </c>
      <c r="K97" s="3">
        <v>14.441173356958799</v>
      </c>
      <c r="L97" s="3">
        <v>18.509684899321599</v>
      </c>
      <c r="M97" s="3">
        <v>13.734336479672001</v>
      </c>
      <c r="N97" s="3">
        <v>10.131362727942101</v>
      </c>
    </row>
    <row r="98" spans="1:14" x14ac:dyDescent="0.35">
      <c r="A98" s="2">
        <v>44740</v>
      </c>
      <c r="B98" s="3">
        <v>33.110115592263099</v>
      </c>
      <c r="C98" s="3">
        <v>14.2757085135539</v>
      </c>
      <c r="D98" s="3">
        <v>13.558180329549399</v>
      </c>
      <c r="E98" s="3">
        <v>11.578547560083701</v>
      </c>
      <c r="F98" s="3">
        <v>13.9869372750357</v>
      </c>
      <c r="G98" s="3">
        <v>17.622857589119501</v>
      </c>
      <c r="H98" s="3">
        <v>11.339981403747499</v>
      </c>
      <c r="I98" s="3">
        <v>24.2006172726988</v>
      </c>
      <c r="J98" s="3">
        <v>18.845862847626002</v>
      </c>
      <c r="K98" s="3">
        <v>13.7459079498169</v>
      </c>
      <c r="L98" s="3">
        <v>18.2256160596035</v>
      </c>
      <c r="M98" s="3">
        <v>13.4867666113835</v>
      </c>
      <c r="N98" s="3">
        <v>9.4867258121305493</v>
      </c>
    </row>
    <row r="99" spans="1:14" x14ac:dyDescent="0.35">
      <c r="A99" s="2">
        <v>44770</v>
      </c>
      <c r="B99" s="3">
        <v>32.9720414517544</v>
      </c>
      <c r="C99" s="3">
        <v>14.4772238447155</v>
      </c>
      <c r="D99" s="3">
        <v>13.285518635771499</v>
      </c>
      <c r="E99" s="3">
        <v>11.4416208338797</v>
      </c>
      <c r="F99" s="3">
        <v>13.977985350761999</v>
      </c>
      <c r="G99" s="3">
        <v>18.241234751384301</v>
      </c>
      <c r="H99" s="3">
        <v>10.9877283063263</v>
      </c>
      <c r="I99" s="3">
        <v>25.223523743542401</v>
      </c>
      <c r="J99" s="3">
        <v>19.204677578193799</v>
      </c>
      <c r="K99" s="3">
        <v>13.389220887148801</v>
      </c>
      <c r="L99" s="3">
        <v>19.558321163246401</v>
      </c>
      <c r="M99" s="3">
        <v>14.574611412156599</v>
      </c>
      <c r="N99" s="3">
        <v>8.9892448483596894</v>
      </c>
    </row>
    <row r="100" spans="1:14" x14ac:dyDescent="0.35">
      <c r="A100" s="2">
        <v>44799</v>
      </c>
      <c r="B100" s="3">
        <v>34.767674069606301</v>
      </c>
      <c r="C100" s="3">
        <v>14.6102212533448</v>
      </c>
      <c r="D100" s="3">
        <v>13.091495403271299</v>
      </c>
      <c r="E100" s="3">
        <v>10.7798534425797</v>
      </c>
      <c r="F100" s="3">
        <v>13.956533696912199</v>
      </c>
      <c r="G100" s="3">
        <v>17.999495094741501</v>
      </c>
      <c r="H100" s="3">
        <v>10.5408336070185</v>
      </c>
      <c r="I100" s="3">
        <v>25.2338284187733</v>
      </c>
      <c r="J100" s="3">
        <v>18.9991269056082</v>
      </c>
      <c r="K100" s="3">
        <v>12.728279107515201</v>
      </c>
      <c r="L100" s="3">
        <v>18.994785856889301</v>
      </c>
      <c r="M100" s="3">
        <v>14.623104260284</v>
      </c>
      <c r="N100" s="3">
        <v>8.4318568569455508</v>
      </c>
    </row>
    <row r="101" spans="1:14" x14ac:dyDescent="0.35">
      <c r="A101" s="2">
        <v>44832</v>
      </c>
      <c r="B101" s="3">
        <v>31.9355970458491</v>
      </c>
      <c r="C101" s="3">
        <v>13.218457794355301</v>
      </c>
      <c r="D101" s="3">
        <v>12.2748241951872</v>
      </c>
      <c r="E101" s="3">
        <v>10.1771837089636</v>
      </c>
      <c r="F101" s="3">
        <v>13.078488998230499</v>
      </c>
      <c r="G101" s="3">
        <v>16.942439238794201</v>
      </c>
      <c r="H101" s="3">
        <v>9.4330607104455897</v>
      </c>
      <c r="I101" s="3">
        <v>23.432784433336099</v>
      </c>
      <c r="J101" s="3">
        <v>17.713127753504398</v>
      </c>
      <c r="K101" s="3">
        <v>11.5248361638719</v>
      </c>
      <c r="L101" s="3">
        <v>17.301963493775499</v>
      </c>
      <c r="M101" s="3">
        <v>14.3901772232482</v>
      </c>
      <c r="N101" s="3">
        <v>8.0451518868989407</v>
      </c>
    </row>
    <row r="102" spans="1:14" x14ac:dyDescent="0.35">
      <c r="A102" s="2">
        <v>44862</v>
      </c>
      <c r="B102" s="3">
        <v>31.160339972881101</v>
      </c>
      <c r="C102" s="3">
        <v>13.446978581985601</v>
      </c>
      <c r="D102" s="3">
        <v>12.5532228767837</v>
      </c>
      <c r="E102" s="3">
        <v>10.509548552705001</v>
      </c>
      <c r="F102" s="3">
        <v>13.116298607359701</v>
      </c>
      <c r="G102" s="3">
        <v>17.823564031827601</v>
      </c>
      <c r="H102" s="3">
        <v>9.5592018457338099</v>
      </c>
      <c r="I102" s="3">
        <v>23.541200829446101</v>
      </c>
      <c r="J102" s="3">
        <v>18.2029673079963</v>
      </c>
      <c r="K102" s="3">
        <v>11.8384112510001</v>
      </c>
      <c r="L102" s="3">
        <v>18.108690077509799</v>
      </c>
      <c r="M102" s="3">
        <v>13.484803231000599</v>
      </c>
      <c r="N102" s="3">
        <v>8.1181221994557902</v>
      </c>
    </row>
    <row r="103" spans="1:14" x14ac:dyDescent="0.35">
      <c r="A103" s="2">
        <v>44893</v>
      </c>
      <c r="B103" s="3">
        <v>29.856510636163598</v>
      </c>
      <c r="C103" s="3">
        <v>14.318339921351001</v>
      </c>
      <c r="D103" s="3">
        <v>12.667933368747001</v>
      </c>
      <c r="E103" s="3">
        <v>11.0655705118181</v>
      </c>
      <c r="F103" s="3">
        <v>13.615631328789499</v>
      </c>
      <c r="G103" s="3">
        <v>19.718529233209601</v>
      </c>
      <c r="H103" s="3">
        <v>9.8157532932015492</v>
      </c>
      <c r="I103" s="3">
        <v>23.3376557832058</v>
      </c>
      <c r="J103" s="3">
        <v>18.197629872158501</v>
      </c>
      <c r="K103" s="3">
        <v>12.116957347350301</v>
      </c>
      <c r="L103" s="3">
        <v>18.595460972903201</v>
      </c>
      <c r="M103" s="3">
        <v>14.272491472967999</v>
      </c>
      <c r="N103" s="3">
        <v>8.0346422856208797</v>
      </c>
    </row>
    <row r="104" spans="1:14" x14ac:dyDescent="0.35">
      <c r="A104" s="2">
        <v>44923</v>
      </c>
      <c r="B104" s="3">
        <v>29.318165816821999</v>
      </c>
      <c r="C104" s="3">
        <v>14.161701988893199</v>
      </c>
      <c r="D104" s="3">
        <v>12.012425856938201</v>
      </c>
      <c r="E104" s="3">
        <v>10.4477842887676</v>
      </c>
      <c r="F104" s="3">
        <v>12.880464249964101</v>
      </c>
      <c r="G104" s="3">
        <v>20.162173671078101</v>
      </c>
      <c r="H104" s="3">
        <v>9.6370709633985996</v>
      </c>
      <c r="I104" s="3">
        <v>22.213905239655499</v>
      </c>
      <c r="J104" s="3">
        <v>17.177026196292299</v>
      </c>
      <c r="K104" s="3">
        <v>11.5854721906601</v>
      </c>
      <c r="L104" s="3">
        <v>17.667791481400599</v>
      </c>
      <c r="M104" s="3">
        <v>15.561173995788099</v>
      </c>
      <c r="N104" s="3">
        <v>7.4167917250338302</v>
      </c>
    </row>
    <row r="105" spans="1:14" x14ac:dyDescent="0.35">
      <c r="A105" s="2">
        <v>44953</v>
      </c>
      <c r="B105" s="3">
        <v>29.913517302316901</v>
      </c>
      <c r="C105" s="3">
        <v>14.9598157496564</v>
      </c>
      <c r="D105" s="3">
        <v>12.886890557934301</v>
      </c>
      <c r="E105" s="3">
        <v>11.4600910640014</v>
      </c>
      <c r="F105" s="3">
        <v>13.4952020611622</v>
      </c>
      <c r="G105" s="3">
        <v>21.145645125801298</v>
      </c>
      <c r="H105" s="3">
        <v>10.1496892327098</v>
      </c>
      <c r="I105" s="3">
        <v>25.234562926582001</v>
      </c>
      <c r="J105" s="3">
        <v>18.499890730200001</v>
      </c>
      <c r="K105" s="3">
        <v>12.878282808689301</v>
      </c>
      <c r="L105" s="3">
        <v>19.580126769127599</v>
      </c>
      <c r="M105" s="3">
        <v>24.9405947206644</v>
      </c>
      <c r="N105" s="3">
        <v>8.1357125415070204</v>
      </c>
    </row>
    <row r="106" spans="1:14" x14ac:dyDescent="0.35">
      <c r="A106" s="2">
        <v>44985</v>
      </c>
      <c r="B106" s="3">
        <v>29.610772854311499</v>
      </c>
      <c r="C106" s="3">
        <v>14.2663938470017</v>
      </c>
      <c r="D106" s="3">
        <v>12.5722768144174</v>
      </c>
      <c r="E106" s="3">
        <v>11.346329334536801</v>
      </c>
      <c r="F106" s="3">
        <v>13.654422394789799</v>
      </c>
      <c r="G106" s="3">
        <v>20.699820024403699</v>
      </c>
      <c r="H106" s="3">
        <v>10.2542852962988</v>
      </c>
      <c r="I106" s="3">
        <v>25.242663292715701</v>
      </c>
      <c r="J106" s="3">
        <v>18.0557703168231</v>
      </c>
      <c r="K106" s="3">
        <v>12.9007030112978</v>
      </c>
      <c r="L106" s="3">
        <v>20.653168537949501</v>
      </c>
      <c r="M106" s="3">
        <v>25.302727544302801</v>
      </c>
      <c r="N106" s="3">
        <v>8.2291258731889592</v>
      </c>
    </row>
    <row r="107" spans="1:14" x14ac:dyDescent="0.35">
      <c r="A107" s="2">
        <v>45013</v>
      </c>
      <c r="B107" s="3">
        <v>28.9576701482729</v>
      </c>
      <c r="C107" s="3">
        <v>14.167415328225699</v>
      </c>
      <c r="D107" s="3">
        <v>12.563203905957099</v>
      </c>
      <c r="E107" s="3">
        <v>11.2954359387968</v>
      </c>
      <c r="F107" s="3">
        <v>13.5943726642691</v>
      </c>
      <c r="G107" s="3">
        <v>20.346448763168699</v>
      </c>
      <c r="H107" s="3">
        <v>10.1836330690066</v>
      </c>
      <c r="I107" s="3">
        <v>25.383956730827201</v>
      </c>
      <c r="J107" s="3">
        <v>18.050066329999499</v>
      </c>
      <c r="K107" s="3">
        <v>12.8795370699921</v>
      </c>
      <c r="L107" s="3">
        <v>20.2281362976121</v>
      </c>
      <c r="M107" s="3">
        <v>24.072763443460101</v>
      </c>
      <c r="N107" s="3">
        <v>8.2459862334506795</v>
      </c>
    </row>
    <row r="108" spans="1:14" x14ac:dyDescent="0.35">
      <c r="A108" s="2">
        <v>45044</v>
      </c>
      <c r="B108" s="3">
        <v>28.5523055121322</v>
      </c>
      <c r="C108" s="3">
        <v>14.3273091999696</v>
      </c>
      <c r="D108" s="3">
        <v>12.8217551200811</v>
      </c>
      <c r="E108" s="3">
        <v>11.4300404391818</v>
      </c>
      <c r="F108" s="3">
        <v>13.756685204465001</v>
      </c>
      <c r="G108" s="3">
        <v>20.3020936492928</v>
      </c>
      <c r="H108" s="3">
        <v>10.4410805323432</v>
      </c>
      <c r="I108" s="3">
        <v>25.6688300089147</v>
      </c>
      <c r="J108" s="3">
        <v>18.331645349611499</v>
      </c>
      <c r="K108" s="3">
        <v>13.230801469363801</v>
      </c>
      <c r="L108" s="3">
        <v>19.862134105143198</v>
      </c>
      <c r="M108" s="3">
        <v>23.063524935267001</v>
      </c>
      <c r="N108" s="3">
        <v>8.3778542953427309</v>
      </c>
    </row>
    <row r="109" spans="1:14" x14ac:dyDescent="0.35">
      <c r="A109" s="2">
        <v>45072</v>
      </c>
      <c r="B109" s="3">
        <v>28.015046681685</v>
      </c>
      <c r="C109" s="3">
        <v>14.2076625511532</v>
      </c>
      <c r="D109" s="3">
        <v>12.8251301945017</v>
      </c>
      <c r="E109" s="3">
        <v>11.2915354973394</v>
      </c>
      <c r="F109" s="3">
        <v>14.047185405430101</v>
      </c>
      <c r="G109" s="3">
        <v>19.934896206884101</v>
      </c>
      <c r="H109" s="3">
        <v>10.2670102572405</v>
      </c>
      <c r="I109" s="3">
        <v>26.3439779815786</v>
      </c>
      <c r="J109" s="3">
        <v>18.440090088924901</v>
      </c>
      <c r="K109" s="3">
        <v>13.106316547344701</v>
      </c>
      <c r="L109" s="3">
        <v>19.621247380049201</v>
      </c>
      <c r="M109" s="3">
        <v>21.9684265191982</v>
      </c>
      <c r="N109" s="3">
        <v>8.2071572421250991</v>
      </c>
    </row>
    <row r="110" spans="1:14" x14ac:dyDescent="0.35">
      <c r="A110" s="2">
        <v>45105</v>
      </c>
      <c r="B110" s="3">
        <v>25.993663484419201</v>
      </c>
      <c r="C110" s="3">
        <v>14.5570315321048</v>
      </c>
      <c r="D110" s="3">
        <v>12.9252591339195</v>
      </c>
      <c r="E110" s="3">
        <v>11.235613407566399</v>
      </c>
      <c r="F110" s="3">
        <v>14.6038899492215</v>
      </c>
      <c r="G110" s="3">
        <v>19.228573107915199</v>
      </c>
      <c r="H110" s="3">
        <v>10.2880170627562</v>
      </c>
      <c r="I110" s="3">
        <v>27.055386132463202</v>
      </c>
      <c r="J110" s="3">
        <v>18.9549987966586</v>
      </c>
      <c r="K110" s="3">
        <v>13.220778946529</v>
      </c>
      <c r="L110" s="3">
        <v>19.174876274347799</v>
      </c>
      <c r="M110" s="3">
        <v>20.6676326664643</v>
      </c>
      <c r="N110" s="3">
        <v>8.4973652540802806</v>
      </c>
    </row>
    <row r="111" spans="1:14" x14ac:dyDescent="0.35">
      <c r="A111" s="2">
        <v>45135</v>
      </c>
      <c r="B111" s="3">
        <v>25.392214711417299</v>
      </c>
      <c r="C111" s="3">
        <v>15.1005216213547</v>
      </c>
      <c r="D111" s="3">
        <v>13.519238728193001</v>
      </c>
      <c r="E111" s="3">
        <v>11.446204624663601</v>
      </c>
      <c r="F111" s="3">
        <v>14.659680573186</v>
      </c>
      <c r="G111" s="3">
        <v>19.299522860366299</v>
      </c>
      <c r="H111" s="3">
        <v>10.6564179813602</v>
      </c>
      <c r="I111" s="3">
        <v>27.133102178159302</v>
      </c>
      <c r="J111" s="3">
        <v>19.678586983225699</v>
      </c>
      <c r="K111" s="3">
        <v>13.450559935524399</v>
      </c>
      <c r="L111" s="3">
        <v>19.307807359437898</v>
      </c>
      <c r="M111" s="3">
        <v>19.510978397131801</v>
      </c>
      <c r="N111" s="3">
        <v>8.5317956199533302</v>
      </c>
    </row>
    <row r="112" spans="1:14" x14ac:dyDescent="0.35">
      <c r="A112" s="2">
        <v>45166</v>
      </c>
      <c r="B112" s="3">
        <v>24.1798908283643</v>
      </c>
      <c r="C112" s="3">
        <v>14.8940677023209</v>
      </c>
      <c r="D112" s="3">
        <v>13.343733187787601</v>
      </c>
      <c r="E112" s="3">
        <v>11.178087540600799</v>
      </c>
      <c r="F112" s="3">
        <v>14.6442041324055</v>
      </c>
      <c r="G112" s="3">
        <v>18.769951865055599</v>
      </c>
      <c r="H112" s="3">
        <v>10.3426821120384</v>
      </c>
      <c r="I112" s="3">
        <v>26.2879146946139</v>
      </c>
      <c r="J112" s="3">
        <v>19.3089651218082</v>
      </c>
      <c r="K112" s="3">
        <v>13.258439693072299</v>
      </c>
      <c r="L112" s="3">
        <v>17.7938832202714</v>
      </c>
      <c r="M112" s="3">
        <v>17.776137166826</v>
      </c>
      <c r="N112" s="3">
        <v>8.2933311682074695</v>
      </c>
    </row>
    <row r="113" spans="1:25" x14ac:dyDescent="0.35">
      <c r="A113" s="2">
        <v>45197</v>
      </c>
      <c r="B113" s="3">
        <v>23.6712833173912</v>
      </c>
      <c r="C113" s="3">
        <v>14.710555691544499</v>
      </c>
      <c r="D113" s="3">
        <v>13.3286476025322</v>
      </c>
      <c r="E113" s="3">
        <v>11.012607834269</v>
      </c>
      <c r="F113" s="3">
        <v>14.8928593245332</v>
      </c>
      <c r="G113" s="3">
        <v>18.361414545216299</v>
      </c>
      <c r="H113" s="3">
        <v>10.596580164484299</v>
      </c>
      <c r="I113" s="3">
        <v>25.932053480945999</v>
      </c>
      <c r="J113" s="3">
        <v>19.082059067741</v>
      </c>
      <c r="K113" s="3">
        <v>12.956726100870499</v>
      </c>
      <c r="L113" s="3">
        <v>16.639822249533101</v>
      </c>
      <c r="M113" s="3">
        <v>16.582964884412501</v>
      </c>
      <c r="N113" s="3">
        <v>8.2381879396722493</v>
      </c>
    </row>
    <row r="114" spans="1:25" x14ac:dyDescent="0.35">
      <c r="A114" s="2">
        <v>45226</v>
      </c>
      <c r="B114" s="3">
        <v>22.327443799857299</v>
      </c>
      <c r="C114" s="3">
        <v>14.453775921194801</v>
      </c>
      <c r="D114" s="3">
        <v>12.9051369837269</v>
      </c>
      <c r="E114" s="3">
        <v>10.6118195575951</v>
      </c>
      <c r="F114" s="3">
        <v>14.5037108399096</v>
      </c>
      <c r="G114" s="3">
        <v>17.470179891078399</v>
      </c>
      <c r="H114" s="3">
        <v>10.241069082234601</v>
      </c>
      <c r="I114" s="3">
        <v>24.977640165103502</v>
      </c>
      <c r="J114" s="3">
        <v>18.561031386025899</v>
      </c>
      <c r="K114" s="3">
        <v>12.493802496267801</v>
      </c>
      <c r="L114" s="3">
        <v>15.7191842540295</v>
      </c>
      <c r="M114" s="3">
        <v>15.6655839433443</v>
      </c>
      <c r="N114" s="3">
        <v>7.9001782094870796</v>
      </c>
    </row>
    <row r="115" spans="1:25" x14ac:dyDescent="0.35">
      <c r="A115" s="2">
        <v>45258</v>
      </c>
      <c r="B115" s="3">
        <v>22.103108627287799</v>
      </c>
      <c r="C115" s="3">
        <v>15.1239464332466</v>
      </c>
      <c r="D115" s="3">
        <v>13.7379377077722</v>
      </c>
      <c r="E115" s="3">
        <v>11.4461114387727</v>
      </c>
      <c r="F115" s="3">
        <v>15.230184920549</v>
      </c>
      <c r="G115" s="3">
        <v>17.885187094254501</v>
      </c>
      <c r="H115" s="3">
        <v>10.8009486254906</v>
      </c>
      <c r="I115" s="3">
        <v>27.727626119080298</v>
      </c>
      <c r="J115" s="3">
        <v>20.381856765428999</v>
      </c>
      <c r="K115" s="3">
        <v>13.3149702595161</v>
      </c>
      <c r="L115" s="3">
        <v>16.399462475544802</v>
      </c>
      <c r="M115" s="3">
        <v>15.9703258991829</v>
      </c>
      <c r="N115" s="3">
        <v>8.2691490446610594</v>
      </c>
    </row>
    <row r="116" spans="1:25" x14ac:dyDescent="0.35">
      <c r="A116" s="2">
        <v>45288</v>
      </c>
      <c r="B116" s="3">
        <v>24.089060046294101</v>
      </c>
      <c r="C116" s="3">
        <v>16.652399080252899</v>
      </c>
      <c r="D116" s="3">
        <v>14.581425997068999</v>
      </c>
      <c r="E116" s="3">
        <v>11.922218584120101</v>
      </c>
      <c r="F116" s="3">
        <v>15.261262624320899</v>
      </c>
      <c r="G116" s="3">
        <v>18.354470289825901</v>
      </c>
      <c r="H116" s="3">
        <v>11.3106048116134</v>
      </c>
      <c r="I116" s="3">
        <v>29.276778936503099</v>
      </c>
      <c r="J116" s="3">
        <v>21.765184512295601</v>
      </c>
      <c r="K116" s="3">
        <v>14.0655639005272</v>
      </c>
      <c r="L116" s="3">
        <v>16.682714972702399</v>
      </c>
      <c r="M116" s="3">
        <v>17.964573326437002</v>
      </c>
      <c r="N116" s="3">
        <v>8.8491003581060692</v>
      </c>
    </row>
    <row r="117" spans="1:25" x14ac:dyDescent="0.35">
      <c r="A117" s="2">
        <v>45317</v>
      </c>
      <c r="B117" s="3">
        <v>23.423596294797299</v>
      </c>
      <c r="C117" s="3">
        <v>16.395950503892202</v>
      </c>
      <c r="D117" s="3">
        <v>14.711992799303999</v>
      </c>
      <c r="E117" s="3">
        <v>12.0961878972339</v>
      </c>
      <c r="F117" s="3">
        <v>16.148132290964799</v>
      </c>
      <c r="G117" s="3">
        <v>18.672512951670299</v>
      </c>
      <c r="H117" s="3">
        <v>11.3663186587574</v>
      </c>
      <c r="I117" s="3">
        <v>29.868875086076802</v>
      </c>
      <c r="J117" s="3">
        <v>22.276742549684801</v>
      </c>
      <c r="K117" s="3">
        <v>14.477433963943501</v>
      </c>
      <c r="L117" s="3">
        <v>17.387109209587599</v>
      </c>
      <c r="M117" s="3">
        <v>15.378847553283199</v>
      </c>
      <c r="N117" s="3">
        <v>9.0165700155623707</v>
      </c>
    </row>
    <row r="118" spans="1:25" x14ac:dyDescent="0.35">
      <c r="A118" s="2">
        <v>45350</v>
      </c>
      <c r="B118" s="3">
        <v>23.381496228269899</v>
      </c>
      <c r="C118" s="3">
        <v>16.5073920627961</v>
      </c>
      <c r="D118" s="3">
        <v>14.791315562097401</v>
      </c>
      <c r="E118" s="3">
        <v>12.465932640467001</v>
      </c>
      <c r="F118" s="3">
        <v>17.000154642482698</v>
      </c>
      <c r="G118" s="3">
        <v>19.161113246565002</v>
      </c>
      <c r="H118" s="3">
        <v>11.4234030305992</v>
      </c>
      <c r="I118" s="3">
        <v>30.044626510965699</v>
      </c>
      <c r="J118" s="3">
        <v>22.665781846874001</v>
      </c>
      <c r="K118" s="3">
        <v>15.544087825340799</v>
      </c>
      <c r="L118" s="3">
        <v>18.480947190332301</v>
      </c>
      <c r="M118" s="3">
        <v>15.7421361957438</v>
      </c>
      <c r="N118" s="3">
        <v>9.2863584746036807</v>
      </c>
    </row>
    <row r="119" spans="1:25" x14ac:dyDescent="0.35">
      <c r="A119" s="2">
        <v>45379</v>
      </c>
      <c r="B119" s="3">
        <v>24.046323792606199</v>
      </c>
      <c r="C119" s="3">
        <v>16.675701586452298</v>
      </c>
      <c r="D119" s="3">
        <v>14.9673308316518</v>
      </c>
      <c r="E119" s="3">
        <v>12.6076054798641</v>
      </c>
      <c r="F119" s="3">
        <v>17.007559094760001</v>
      </c>
      <c r="G119" s="3">
        <v>19.168285254004999</v>
      </c>
      <c r="H119" s="3">
        <v>11.5365399738271</v>
      </c>
      <c r="I119" s="3">
        <v>30.075168302661201</v>
      </c>
      <c r="J119" s="3">
        <v>22.767510740284099</v>
      </c>
      <c r="K119" s="3">
        <v>15.5309918003758</v>
      </c>
      <c r="L119" s="3">
        <v>18.459306897973502</v>
      </c>
      <c r="M119" s="3">
        <v>15.9085794415529</v>
      </c>
      <c r="N119" s="3">
        <v>9.4824930999873605</v>
      </c>
    </row>
    <row r="120" spans="1:25" x14ac:dyDescent="0.35">
      <c r="A120" s="2">
        <v>45408</v>
      </c>
      <c r="B120" s="3">
        <v>24.221086949592699</v>
      </c>
      <c r="C120" s="3">
        <v>16.544060353134299</v>
      </c>
      <c r="D120" s="3">
        <v>14.897522031650601</v>
      </c>
      <c r="E120" s="3">
        <v>12.5418628268524</v>
      </c>
      <c r="F120" s="3">
        <v>16.746954971385399</v>
      </c>
      <c r="G120" s="3">
        <v>18.821903394913999</v>
      </c>
      <c r="H120" s="3">
        <v>11.603835926472099</v>
      </c>
      <c r="I120" s="3">
        <v>29.547408116470201</v>
      </c>
      <c r="J120" s="3">
        <v>22.432767981225101</v>
      </c>
      <c r="K120" s="3">
        <v>15.455419387189099</v>
      </c>
      <c r="L120" s="3">
        <v>18.183864843943699</v>
      </c>
      <c r="M120" s="3">
        <v>15.906981620981099</v>
      </c>
      <c r="N120" s="3">
        <v>9.4560969899052001</v>
      </c>
    </row>
    <row r="121" spans="1:25" x14ac:dyDescent="0.35">
      <c r="A121" s="2">
        <v>45440</v>
      </c>
      <c r="B121" s="3">
        <v>24.422862056019898</v>
      </c>
      <c r="C121" s="3">
        <v>16.744580963048399</v>
      </c>
      <c r="D121" s="3">
        <v>14.9638368579452</v>
      </c>
      <c r="E121" s="3">
        <v>12.559407670461701</v>
      </c>
      <c r="F121" s="3">
        <v>16.813074113542299</v>
      </c>
      <c r="G121" s="3">
        <v>18.8118601023662</v>
      </c>
      <c r="H121" s="3">
        <v>11.7171094497798</v>
      </c>
      <c r="I121" s="3">
        <v>29.7826604652331</v>
      </c>
      <c r="J121" s="3">
        <v>22.550780214975099</v>
      </c>
      <c r="K121" s="3">
        <v>15.3938828167758</v>
      </c>
      <c r="L121" s="3">
        <v>18.3496530714527</v>
      </c>
      <c r="M121" s="3">
        <v>16.094173343227499</v>
      </c>
      <c r="N121" s="3">
        <v>9.5823290983443297</v>
      </c>
    </row>
    <row r="122" spans="1:25" x14ac:dyDescent="0.35">
      <c r="A122" s="2">
        <v>45469</v>
      </c>
      <c r="B122" s="3">
        <v>24.484284562592901</v>
      </c>
      <c r="C122" s="3">
        <v>16.828001704799401</v>
      </c>
      <c r="D122" s="3">
        <v>14.8380790477111</v>
      </c>
      <c r="E122" s="3">
        <v>12.439191109751</v>
      </c>
      <c r="F122" s="3">
        <v>16.766902849014599</v>
      </c>
      <c r="G122" s="3">
        <v>18.802639862115502</v>
      </c>
      <c r="H122" s="3">
        <v>11.6614111481866</v>
      </c>
      <c r="I122" s="3">
        <v>30.1310192570343</v>
      </c>
      <c r="J122" s="3">
        <v>22.817985806256001</v>
      </c>
      <c r="K122" s="3">
        <v>14.9926750359257</v>
      </c>
      <c r="L122" s="3">
        <v>18.285049448217201</v>
      </c>
      <c r="M122" s="3">
        <v>16.032050994233099</v>
      </c>
      <c r="N122" s="3">
        <v>9.4338976076983894</v>
      </c>
    </row>
    <row r="124" spans="1:25" x14ac:dyDescent="0.35">
      <c r="A124" s="2" t="s">
        <v>91</v>
      </c>
      <c r="B124" s="3" cm="1">
        <f t="array" ref="B124">MIN(_xlfn._xlws.FILTER(B1:B122, ISNUMBER(B1:B122)))</f>
        <v>17.904143439210401</v>
      </c>
      <c r="C124" s="3" cm="1">
        <f t="array" ref="C124">MIN(_xlfn._xlws.FILTER(C1:C122, ISNUMBER(C1:C122)))</f>
        <v>13.218457794355301</v>
      </c>
      <c r="D124" s="3" cm="1">
        <f t="array" ref="D124">MIN(_xlfn._xlws.FILTER(D1:D122, ISNUMBER(D1:D122)))</f>
        <v>12.012425856938201</v>
      </c>
      <c r="E124" s="3" cm="1">
        <f t="array" ref="E124">MIN(_xlfn._xlws.FILTER(E1:E122, ISNUMBER(E1:E122)))</f>
        <v>10.1771837089636</v>
      </c>
      <c r="F124" s="3" cm="1">
        <f t="array" ref="F124">MIN(_xlfn._xlws.FILTER(F1:F122, ISNUMBER(F1:F122)))</f>
        <v>11.505685463203401</v>
      </c>
      <c r="G124" s="3" cm="1">
        <f t="array" ref="G124">MIN(_xlfn._xlws.FILTER(G1:G122, ISNUMBER(G1:G122)))</f>
        <v>16.249928615144398</v>
      </c>
      <c r="H124" s="3" cm="1">
        <f t="array" ref="H124">MIN(_xlfn._xlws.FILTER(H1:H122, ISNUMBER(H1:H122)))</f>
        <v>9.4330607104455897</v>
      </c>
      <c r="I124" s="3" cm="1">
        <f t="array" ref="I124">MIN(_xlfn._xlws.FILTER(I1:I122, ISNUMBER(I1:I122)))</f>
        <v>18.303635506785099</v>
      </c>
      <c r="J124" s="3" cm="1">
        <f t="array" ref="J124">MIN(_xlfn._xlws.FILTER(J1:J122, ISNUMBER(J1:J122)))</f>
        <v>15.3994994148198</v>
      </c>
      <c r="K124" s="3" cm="1">
        <f t="array" ref="K124">MIN(_xlfn._xlws.FILTER(K1:K122, ISNUMBER(K1:K122)))</f>
        <v>11.5248361638719</v>
      </c>
      <c r="L124" s="3" cm="1">
        <f t="array" ref="L124">MIN(_xlfn._xlws.FILTER(L1:L122, ISNUMBER(L1:L122)))</f>
        <v>14.134725994966599</v>
      </c>
      <c r="M124" s="3" cm="1">
        <f t="array" ref="M124">MIN(_xlfn._xlws.FILTER(M1:M122, ISNUMBER(M1:M122)))</f>
        <v>11.712367883385999</v>
      </c>
      <c r="N124" s="3" cm="1">
        <f t="array" ref="N124">MIN(_xlfn._xlws.FILTER(N1:N122, ISNUMBER(N1:N122)))</f>
        <v>7.4167917250338302</v>
      </c>
    </row>
    <row r="125" spans="1:25" x14ac:dyDescent="0.35">
      <c r="A125" s="2" t="s">
        <v>92</v>
      </c>
      <c r="B125" s="3" cm="1">
        <f t="array" ref="B125">MAX(_xlfn._xlws.FILTER(B1:B122, ISNUMBER(B1:B122)))</f>
        <v>39.013245895530098</v>
      </c>
      <c r="C125" s="3" cm="1">
        <f t="array" ref="C125">MAX(_xlfn._xlws.FILTER(C1:C122, ISNUMBER(C1:C122)))</f>
        <v>23.0543925745209</v>
      </c>
      <c r="D125" s="3" cm="1">
        <f t="array" ref="D125">MAX(_xlfn._xlws.FILTER(D1:D122, ISNUMBER(D1:D122)))</f>
        <v>20.553451552036901</v>
      </c>
      <c r="E125" s="3" cm="1">
        <f t="array" ref="E125">MAX(_xlfn._xlws.FILTER(E1:E122, ISNUMBER(E1:E122)))</f>
        <v>22.0803923775381</v>
      </c>
      <c r="F125" s="3" cm="1">
        <f t="array" ref="F125">MAX(_xlfn._xlws.FILTER(F1:F122, ISNUMBER(F1:F122)))</f>
        <v>23.409847916781999</v>
      </c>
      <c r="G125" s="3" cm="1">
        <f t="array" ref="G125">MAX(_xlfn._xlws.FILTER(G1:G122, ISNUMBER(G1:G122)))</f>
        <v>22.2579310036866</v>
      </c>
      <c r="H125" s="3" cm="1">
        <f t="array" ref="H125">MAX(_xlfn._xlws.FILTER(H1:H122, ISNUMBER(H1:H122)))</f>
        <v>19.6370717925479</v>
      </c>
      <c r="I125" s="3" cm="1">
        <f t="array" ref="I125">MAX(_xlfn._xlws.FILTER(I1:I122, ISNUMBER(I1:I122)))</f>
        <v>35.024043749751399</v>
      </c>
      <c r="J125" s="3" cm="1">
        <f t="array" ref="J125">MAX(_xlfn._xlws.FILTER(J1:J122, ISNUMBER(J1:J122)))</f>
        <v>27.208807413160201</v>
      </c>
      <c r="K125" s="3" cm="1">
        <f t="array" ref="K125">MAX(_xlfn._xlws.FILTER(K1:K122, ISNUMBER(K1:K122)))</f>
        <v>28.940101211102899</v>
      </c>
      <c r="L125" s="3" cm="1">
        <f t="array" ref="L125">MAX(_xlfn._xlws.FILTER(L1:L122, ISNUMBER(L1:L122)))</f>
        <v>28.983305238102801</v>
      </c>
      <c r="M125" s="3" cm="1">
        <f t="array" ref="M125">MAX(_xlfn._xlws.FILTER(M1:M122, ISNUMBER(M1:M122)))</f>
        <v>25.302727544302801</v>
      </c>
      <c r="N125" s="3" cm="1">
        <f t="array" ref="N125">MAX(_xlfn._xlws.FILTER(N1:N122, ISNUMBER(N1:N122)))</f>
        <v>85.968927292375596</v>
      </c>
    </row>
    <row r="127" spans="1:25" x14ac:dyDescent="0.35">
      <c r="A127" s="2" t="s">
        <v>93</v>
      </c>
      <c r="B127" s="9" cm="1">
        <f t="array" ref="B127">_xlfn.PERCENTRANK.EXC(_xlfn._xlws.FILTER(B1:B122, ISNUMBER(B1:B122)),B121)</f>
        <v>0.57299999999999995</v>
      </c>
      <c r="C127" s="9" cm="1">
        <f t="array" ref="C127">_xlfn.PERCENTRANK.EXC(_xlfn._xlws.FILTER(C1:C122, ISNUMBER(C1:C122)),C121)</f>
        <v>0.67200000000000004</v>
      </c>
      <c r="D127" s="9" cm="1">
        <f t="array" ref="D127">_xlfn.PERCENTRANK.EXC(_xlfn._xlws.FILTER(D1:D122, ISNUMBER(D1:D122)),D121)</f>
        <v>0.33600000000000002</v>
      </c>
      <c r="E127" s="9" cm="1">
        <f t="array" ref="E127">_xlfn.PERCENTRANK.EXC(_xlfn._xlws.FILTER(E1:E122, ISNUMBER(E1:E122)),E121)</f>
        <v>0.245</v>
      </c>
      <c r="F127" s="9" cm="1">
        <f t="array" ref="F127">_xlfn.PERCENTRANK.EXC(_xlfn._xlws.FILTER(F1:F122, ISNUMBER(F1:F122)),F121)</f>
        <v>0.78600000000000003</v>
      </c>
      <c r="G127" s="9" cm="1">
        <f t="array" ref="G127">_xlfn.PERCENTRANK.EXC(_xlfn._xlws.FILTER(G1:G122, ISNUMBER(G1:G122)),G121)</f>
        <v>0.54</v>
      </c>
      <c r="H127" s="9" cm="1">
        <f t="array" ref="H127">_xlfn.PERCENTRANK.EXC(_xlfn._xlws.FILTER(H1:H122, ISNUMBER(H1:H122)),H121)</f>
        <v>0.20399999999999999</v>
      </c>
      <c r="I127" s="9" cm="1">
        <f t="array" ref="I127">_xlfn.PERCENTRANK.EXC(_xlfn._xlws.FILTER(I1:I122, ISNUMBER(I1:I122)),I121)</f>
        <v>0.81899999999999995</v>
      </c>
      <c r="J127" s="9" cm="1">
        <f t="array" ref="J127">_xlfn.PERCENTRANK.EXC(_xlfn._xlws.FILTER(J1:J122, ISNUMBER(J1:J122)),J121)</f>
        <v>0.82699999999999996</v>
      </c>
      <c r="K127" s="9" cm="1">
        <f t="array" ref="K127">_xlfn.PERCENTRANK.EXC(_xlfn._xlws.FILTER(K1:K122, ISNUMBER(K1:K122)),K121)</f>
        <v>0.48299999999999998</v>
      </c>
      <c r="L127" s="9" cm="1">
        <f t="array" ref="L127">_xlfn.PERCENTRANK.EXC(_xlfn._xlws.FILTER(L1:L122, ISNUMBER(L1:L122)),L121)</f>
        <v>0.63100000000000001</v>
      </c>
      <c r="M127" s="9" cm="1">
        <f t="array" ref="M127">_xlfn.PERCENTRANK.EXC(_xlfn._xlws.FILTER(M1:M122, ISNUMBER(M1:M122)),M121)</f>
        <v>0.377</v>
      </c>
      <c r="N127" s="9" cm="1">
        <f t="array" ref="N127">_xlfn.PERCENTRANK.EXC(_xlfn._xlws.FILTER(N1:N122, ISNUMBER(N1:N122)),N121)</f>
        <v>0.20399999999999999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Y127"/>
  <sheetViews>
    <sheetView workbookViewId="0">
      <selection activeCell="I3" sqref="I3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41817</v>
      </c>
      <c r="B2" s="3" cm="1">
        <f t="array" ref="B2:B122">_xll.FDS(B1,"FMA_PE(NTMA,-10AY,0,AM,""PORTAGG"",""MEANR"")")</f>
        <v>17.1967139382451</v>
      </c>
      <c r="C2" s="3" cm="1">
        <f t="array" ref="C2:C122">_xll.FDS(C1,"FMA_PE(NTMA,-10AY,0,AM,""PORTAGG"",""MEANR"")")</f>
        <v>14.3817396963275</v>
      </c>
      <c r="D2" s="3" cm="1">
        <f t="array" ref="D2:D122">_xll.FDS(D1,"FMA_PE(NTMA,-10AY,0,AM,""PORTAGG"",""MEANR"")")</f>
        <v>14.9890406598692</v>
      </c>
      <c r="E2" s="3" cm="1">
        <f t="array" ref="E2:E122">_xll.FDS(E1,"FMA_PE(NTMA,-10AY,0,AM,""PORTAGG"",""MEANR"")")</f>
        <v>13.1361091612011</v>
      </c>
      <c r="F2" s="3" cm="1">
        <f t="array" ref="F2:F122">_xll.FDS(F1,"FMA_PE(NTMA,-10AY,0,AM,""PORTAGG"",""MEANR"")")</f>
        <v>13.677642315134101</v>
      </c>
      <c r="G2" s="3" cm="1">
        <f t="array" ref="G2:G122">_xll.FDS(G1,"FMA_PE(NTMA,-10AY,0,AM,""PORTAGG"",""MEANR"")")</f>
        <v>16.082042496085499</v>
      </c>
      <c r="H2" s="3" cm="1">
        <f t="array" ref="H2:H122">_xll.FDS(H1,"FMA_PE(NTMA,-10AY,0,AM,""PORTAGG"",""MEANR"")")</f>
        <v>13.606049910796701</v>
      </c>
      <c r="I2" s="3" cm="1">
        <f t="array" ref="I2:I122">_xll.FDS(I1,"FMA_PE(NTMA,-10AY,0,AM,""PORTAGG"",""MEANR"")")</f>
        <v>17.4271803958638</v>
      </c>
      <c r="J2" s="3" cm="1">
        <f t="array" ref="J2:J122">_xll.FDS(J1,"FMA_PE(NTMA,-10AY,0,AM,""PORTAGG"",""MEANR"")")</f>
        <v>15.3620119206919</v>
      </c>
      <c r="K2" s="3" cm="1">
        <f t="array" ref="K2:K122">_xll.FDS(K1,"FMA_PE(NTMA,-10AY,0,AM,""PORTAGG"",""MEANR"")")</f>
        <v>13.9745747198545</v>
      </c>
      <c r="L2" s="3" cm="1">
        <f t="array" ref="L2:L122">_xll.FDS(L1,"FMA_PE(NTMA,-10AY,0,AM,""PORTAGG"",""MEANR"")")</f>
        <v>14.239938799721999</v>
      </c>
      <c r="M2" s="3" cm="1">
        <f t="array" ref="M2:M122">_xll.FDS(M1,"FMA_PE(NTMA,-10AY,0,AM,""PORTAGG"",""MEANR"")")</f>
        <v>15.5303178945298</v>
      </c>
      <c r="N2" s="3" cm="1">
        <f t="array" ref="N2:N122">_xll.FDS(N1,"FMA_PE(NTMA,-10AY,0,AM,""PORTAGG"",""MEANR"")")</f>
        <v>13.9565837343679</v>
      </c>
    </row>
    <row r="3" spans="1:14" x14ac:dyDescent="0.35">
      <c r="A3" s="2">
        <v>41848</v>
      </c>
      <c r="B3" s="3">
        <v>17.447891721163799</v>
      </c>
      <c r="C3" s="3">
        <v>14.8718073989985</v>
      </c>
      <c r="D3" s="3">
        <v>15.18108187164</v>
      </c>
      <c r="E3" s="3">
        <v>12.7541059038952</v>
      </c>
      <c r="F3" s="3">
        <v>13.9073496600542</v>
      </c>
      <c r="G3" s="3">
        <v>16.051431485420999</v>
      </c>
      <c r="H3" s="3">
        <v>13.701271810864601</v>
      </c>
      <c r="I3" s="3">
        <v>17.562070843778201</v>
      </c>
      <c r="J3" s="3">
        <v>15.2777456846935</v>
      </c>
      <c r="K3" s="3">
        <v>13.630406003076001</v>
      </c>
      <c r="L3" s="3">
        <v>14.0732518050867</v>
      </c>
      <c r="M3" s="3">
        <v>15.627532673042699</v>
      </c>
      <c r="N3" s="3">
        <v>13.9643040105165</v>
      </c>
    </row>
    <row r="4" spans="1:14" x14ac:dyDescent="0.35">
      <c r="A4" s="2">
        <v>41879</v>
      </c>
      <c r="B4" s="3">
        <v>17.515907351089801</v>
      </c>
      <c r="C4" s="3">
        <v>14.9011965294481</v>
      </c>
      <c r="D4" s="3">
        <v>15.172292501048499</v>
      </c>
      <c r="E4" s="3">
        <v>12.5675146244619</v>
      </c>
      <c r="F4" s="3">
        <v>13.615434875586599</v>
      </c>
      <c r="G4" s="3">
        <v>16.0709531400096</v>
      </c>
      <c r="H4" s="3">
        <v>13.509124252747</v>
      </c>
      <c r="I4" s="3">
        <v>17.828524063359399</v>
      </c>
      <c r="J4" s="3">
        <v>15.314779173368301</v>
      </c>
      <c r="K4" s="3">
        <v>13.619046702611101</v>
      </c>
      <c r="L4" s="3">
        <v>14.408658668729901</v>
      </c>
      <c r="M4" s="3">
        <v>14.691613905872901</v>
      </c>
      <c r="N4" s="3">
        <v>13.7250709569735</v>
      </c>
    </row>
    <row r="5" spans="1:14" x14ac:dyDescent="0.35">
      <c r="A5" s="2">
        <v>41908</v>
      </c>
      <c r="B5" s="3">
        <v>17.1408424546592</v>
      </c>
      <c r="C5" s="3">
        <v>13.9043161430432</v>
      </c>
      <c r="D5" s="3">
        <v>14.5606650456939</v>
      </c>
      <c r="E5" s="3">
        <v>12.509559707222</v>
      </c>
      <c r="F5" s="3">
        <v>14.110884482092899</v>
      </c>
      <c r="G5" s="3">
        <v>15.955430022902901</v>
      </c>
      <c r="H5" s="3">
        <v>13.1154853356456</v>
      </c>
      <c r="I5" s="3">
        <v>17.4832505886197</v>
      </c>
      <c r="J5" s="3">
        <v>15.0996256442277</v>
      </c>
      <c r="K5" s="3">
        <v>13.5612155928874</v>
      </c>
      <c r="L5" s="3">
        <v>14.6043634602116</v>
      </c>
      <c r="M5" s="3">
        <v>14.6050360839399</v>
      </c>
      <c r="N5" s="3">
        <v>13.731167184919601</v>
      </c>
    </row>
    <row r="6" spans="1:14" x14ac:dyDescent="0.35">
      <c r="A6" s="2">
        <v>41940</v>
      </c>
      <c r="B6" s="3">
        <v>17.464486928099401</v>
      </c>
      <c r="C6" s="3">
        <v>14.4664510568079</v>
      </c>
      <c r="D6" s="3">
        <v>14.277147440511399</v>
      </c>
      <c r="E6" s="3">
        <v>11.971549642202801</v>
      </c>
      <c r="F6" s="3">
        <v>13.133030798444301</v>
      </c>
      <c r="G6" s="3">
        <v>15.6546200678793</v>
      </c>
      <c r="H6" s="3">
        <v>12.9309815100391</v>
      </c>
      <c r="I6" s="3">
        <v>17.457393337366302</v>
      </c>
      <c r="J6" s="3">
        <v>15.2298156856194</v>
      </c>
      <c r="K6" s="3">
        <v>12.8545623088732</v>
      </c>
      <c r="L6" s="3">
        <v>14.091249374403599</v>
      </c>
      <c r="M6" s="3">
        <v>14.3337511694805</v>
      </c>
      <c r="N6" s="3">
        <v>12.5721160672281</v>
      </c>
    </row>
    <row r="7" spans="1:14" x14ac:dyDescent="0.35">
      <c r="A7" s="2">
        <v>41971</v>
      </c>
      <c r="B7" s="3">
        <v>17.725164154936401</v>
      </c>
      <c r="C7" s="3">
        <v>13.978788736638901</v>
      </c>
      <c r="D7" s="3">
        <v>14.683387528230501</v>
      </c>
      <c r="E7" s="3">
        <v>13.0889943655129</v>
      </c>
      <c r="F7" s="3">
        <v>14.4804093238916</v>
      </c>
      <c r="G7" s="3">
        <v>16.373898871413701</v>
      </c>
      <c r="H7" s="3">
        <v>13.5634694393154</v>
      </c>
      <c r="I7" s="3">
        <v>18.308665206578102</v>
      </c>
      <c r="J7" s="3">
        <v>15.845579727634201</v>
      </c>
      <c r="K7" s="3">
        <v>13.8444256314468</v>
      </c>
      <c r="L7" s="3">
        <v>15.2708740916053</v>
      </c>
      <c r="M7" s="3">
        <v>15.6989876845885</v>
      </c>
      <c r="N7" s="3">
        <v>13.001229169060499</v>
      </c>
    </row>
    <row r="8" spans="1:14" x14ac:dyDescent="0.35">
      <c r="A8" s="2">
        <v>41999</v>
      </c>
      <c r="B8" s="3">
        <v>18.195451601293701</v>
      </c>
      <c r="C8" s="3">
        <v>14.3533535242629</v>
      </c>
      <c r="D8" s="3">
        <v>15.4116897729477</v>
      </c>
      <c r="E8" s="3">
        <v>13.0047754445657</v>
      </c>
      <c r="F8" s="3">
        <v>14.533472192518699</v>
      </c>
      <c r="G8" s="3">
        <v>15.833227224787301</v>
      </c>
      <c r="H8" s="3">
        <v>13.853960125344701</v>
      </c>
      <c r="I8" s="3">
        <v>17.958339907237001</v>
      </c>
      <c r="J8" s="3">
        <v>16.206779925166298</v>
      </c>
      <c r="K8" s="3">
        <v>13.802425349279501</v>
      </c>
      <c r="L8" s="3">
        <v>14.8835903560663</v>
      </c>
      <c r="M8" s="3">
        <v>15.7046229483106</v>
      </c>
      <c r="N8" s="3">
        <v>12.5626614558153</v>
      </c>
    </row>
    <row r="9" spans="1:14" x14ac:dyDescent="0.35">
      <c r="A9" s="2">
        <v>42032</v>
      </c>
      <c r="B9" s="3">
        <v>19.169748387611001</v>
      </c>
      <c r="C9" s="3">
        <v>15.223645215435599</v>
      </c>
      <c r="D9" s="3">
        <v>16.248343658396799</v>
      </c>
      <c r="E9" s="3">
        <v>14.0128643904707</v>
      </c>
      <c r="F9" s="3">
        <v>14.1742394438476</v>
      </c>
      <c r="G9" s="3">
        <v>16.192486492722601</v>
      </c>
      <c r="H9" s="3">
        <v>15.140084591946801</v>
      </c>
      <c r="I9" s="3">
        <v>16.811354372377998</v>
      </c>
      <c r="J9" s="3">
        <v>16.042693834745801</v>
      </c>
      <c r="K9" s="3">
        <v>15.2892106027747</v>
      </c>
      <c r="L9" s="3">
        <v>15.713623587823401</v>
      </c>
      <c r="M9" s="3">
        <v>16.542487619868101</v>
      </c>
      <c r="N9" s="3">
        <v>13.888537703071799</v>
      </c>
    </row>
    <row r="10" spans="1:14" x14ac:dyDescent="0.35">
      <c r="A10" s="2">
        <v>42062</v>
      </c>
      <c r="B10" s="3">
        <v>19.300625418747899</v>
      </c>
      <c r="C10" s="3">
        <v>16.320292432707301</v>
      </c>
      <c r="D10" s="3">
        <v>17.500357880049499</v>
      </c>
      <c r="E10" s="3">
        <v>14.8213749994138</v>
      </c>
      <c r="F10" s="3">
        <v>15.101562261266899</v>
      </c>
      <c r="G10" s="3">
        <v>17.628133814780799</v>
      </c>
      <c r="H10" s="3">
        <v>15.7673388929755</v>
      </c>
      <c r="I10" s="3">
        <v>18.0987091619455</v>
      </c>
      <c r="J10" s="3">
        <v>16.900731634440199</v>
      </c>
      <c r="K10" s="3">
        <v>16.380690403267899</v>
      </c>
      <c r="L10" s="3">
        <v>16.924455546412901</v>
      </c>
      <c r="M10" s="3">
        <v>17.393614041026598</v>
      </c>
      <c r="N10" s="3">
        <v>15.551223659237801</v>
      </c>
    </row>
    <row r="11" spans="1:14" x14ac:dyDescent="0.35">
      <c r="A11" s="2">
        <v>42090</v>
      </c>
      <c r="B11" s="3">
        <v>18.104393129632701</v>
      </c>
      <c r="C11" s="3">
        <v>16.335547760344401</v>
      </c>
      <c r="D11" s="3">
        <v>16.909658081967201</v>
      </c>
      <c r="E11" s="3">
        <v>15.3290308983866</v>
      </c>
      <c r="F11" s="3">
        <v>15.3433500462714</v>
      </c>
      <c r="G11" s="3">
        <v>17.627552240631999</v>
      </c>
      <c r="H11" s="3">
        <v>15.5444133060368</v>
      </c>
      <c r="I11" s="3">
        <v>17.605947102359899</v>
      </c>
      <c r="J11" s="3">
        <v>16.487161652557401</v>
      </c>
      <c r="K11" s="3">
        <v>16.476633721981202</v>
      </c>
      <c r="L11" s="3">
        <v>17.036920140244199</v>
      </c>
      <c r="M11" s="3">
        <v>16.954559753963199</v>
      </c>
      <c r="N11" s="3">
        <v>15.661661168781601</v>
      </c>
    </row>
    <row r="12" spans="1:14" x14ac:dyDescent="0.35">
      <c r="A12" s="2">
        <v>42122</v>
      </c>
      <c r="B12" s="3">
        <v>18.152043785009202</v>
      </c>
      <c r="C12" s="3">
        <v>16.725098253109898</v>
      </c>
      <c r="D12" s="3">
        <v>17.429905547239098</v>
      </c>
      <c r="E12" s="3">
        <v>15.0427373220893</v>
      </c>
      <c r="F12" s="3">
        <v>15.9937775567253</v>
      </c>
      <c r="G12" s="3">
        <v>18.0174468833786</v>
      </c>
      <c r="H12" s="3">
        <v>16.247481826078101</v>
      </c>
      <c r="I12" s="3">
        <v>18.2313617506728</v>
      </c>
      <c r="J12" s="3">
        <v>16.803944322326501</v>
      </c>
      <c r="K12" s="3">
        <v>16.6811454200977</v>
      </c>
      <c r="L12" s="3">
        <v>17.403797359739801</v>
      </c>
      <c r="M12" s="3">
        <v>16.404587092336801</v>
      </c>
      <c r="N12" s="3">
        <v>15.956249597078401</v>
      </c>
    </row>
    <row r="13" spans="1:14" x14ac:dyDescent="0.35">
      <c r="A13" s="2">
        <v>42152</v>
      </c>
      <c r="B13" s="3">
        <v>18.223560438752301</v>
      </c>
      <c r="C13" s="3">
        <v>15.796050392952701</v>
      </c>
      <c r="D13" s="3">
        <v>16.649902899120001</v>
      </c>
      <c r="E13" s="3">
        <v>14.4128465478144</v>
      </c>
      <c r="F13" s="3">
        <v>16.463196891746499</v>
      </c>
      <c r="G13" s="3">
        <v>17.907047465532798</v>
      </c>
      <c r="H13" s="3">
        <v>16.1327737062824</v>
      </c>
      <c r="I13" s="3">
        <v>18.130537750904701</v>
      </c>
      <c r="J13" s="3">
        <v>16.654835620620599</v>
      </c>
      <c r="K13" s="3">
        <v>16.4982002184389</v>
      </c>
      <c r="L13" s="3">
        <v>17.280407680137699</v>
      </c>
      <c r="M13" s="3">
        <v>16.714969689929202</v>
      </c>
      <c r="N13" s="3">
        <v>15.9015225865459</v>
      </c>
    </row>
    <row r="14" spans="1:14" x14ac:dyDescent="0.35">
      <c r="A14" s="2">
        <v>42181</v>
      </c>
      <c r="B14" s="3">
        <v>17.768057403183601</v>
      </c>
      <c r="C14" s="3">
        <v>15.3132454893494</v>
      </c>
      <c r="D14" s="3">
        <v>16.1806781809928</v>
      </c>
      <c r="E14" s="3">
        <v>14.031354747149599</v>
      </c>
      <c r="F14" s="3">
        <v>15.7864572920246</v>
      </c>
      <c r="G14" s="3">
        <v>17.189865905725998</v>
      </c>
      <c r="H14" s="3">
        <v>15.5215753531369</v>
      </c>
      <c r="I14" s="3">
        <v>17.832079913245099</v>
      </c>
      <c r="J14" s="3">
        <v>16.4037494531471</v>
      </c>
      <c r="K14" s="3">
        <v>16.087115585993899</v>
      </c>
      <c r="L14" s="3">
        <v>16.922336439798698</v>
      </c>
      <c r="M14" s="3">
        <v>16.028233849607801</v>
      </c>
      <c r="N14" s="3">
        <v>15.595077236739799</v>
      </c>
    </row>
    <row r="15" spans="1:14" x14ac:dyDescent="0.35">
      <c r="A15" s="2">
        <v>42213</v>
      </c>
      <c r="B15" s="3">
        <v>18.123452546754599</v>
      </c>
      <c r="C15" s="3">
        <v>15.3598978074525</v>
      </c>
      <c r="D15" s="3">
        <v>15.1931056979987</v>
      </c>
      <c r="E15" s="3">
        <v>13.535154688110699</v>
      </c>
      <c r="F15" s="3">
        <v>15.2514741778889</v>
      </c>
      <c r="G15" s="3">
        <v>17.489342799434599</v>
      </c>
      <c r="H15" s="3">
        <v>15.080042321575601</v>
      </c>
      <c r="I15" s="3">
        <v>18.370748621874299</v>
      </c>
      <c r="J15" s="3">
        <v>16.333487543922502</v>
      </c>
      <c r="K15" s="3">
        <v>15.610960980538101</v>
      </c>
      <c r="L15" s="3">
        <v>16.619889689155499</v>
      </c>
      <c r="M15" s="3">
        <v>15.726131981264899</v>
      </c>
      <c r="N15" s="3">
        <v>15.118696809809499</v>
      </c>
    </row>
    <row r="16" spans="1:14" x14ac:dyDescent="0.35">
      <c r="A16" s="2">
        <v>42244</v>
      </c>
      <c r="B16" s="3">
        <v>17.597221231647399</v>
      </c>
      <c r="C16" s="3">
        <v>14.7220544771883</v>
      </c>
      <c r="D16" s="3">
        <v>14.9472886737369</v>
      </c>
      <c r="E16" s="3">
        <v>12.5149363846906</v>
      </c>
      <c r="F16" s="3">
        <v>14.341985669785499</v>
      </c>
      <c r="G16" s="3">
        <v>16.495629018499599</v>
      </c>
      <c r="H16" s="3">
        <v>14.3473149702538</v>
      </c>
      <c r="I16" s="3">
        <v>17.501845382699099</v>
      </c>
      <c r="J16" s="3">
        <v>15.4793400021232</v>
      </c>
      <c r="K16" s="3">
        <v>14.403516811162699</v>
      </c>
      <c r="L16" s="3">
        <v>15.030517699761701</v>
      </c>
      <c r="M16" s="3">
        <v>14.9965770666275</v>
      </c>
      <c r="N16" s="3">
        <v>14.442306978073701</v>
      </c>
    </row>
    <row r="17" spans="1:14" x14ac:dyDescent="0.35">
      <c r="A17" s="2">
        <v>42275</v>
      </c>
      <c r="B17" s="3">
        <v>17.224031245946001</v>
      </c>
      <c r="C17" s="3">
        <v>14.4025064404502</v>
      </c>
      <c r="D17" s="3">
        <v>14.078720957935399</v>
      </c>
      <c r="E17" s="3">
        <v>11.5505902271259</v>
      </c>
      <c r="F17" s="3">
        <v>13.1944862322788</v>
      </c>
      <c r="G17" s="3">
        <v>15.7031052939675</v>
      </c>
      <c r="H17" s="3">
        <v>13.9953689735731</v>
      </c>
      <c r="I17" s="3">
        <v>16.466168159684301</v>
      </c>
      <c r="J17" s="3">
        <v>14.650956905521401</v>
      </c>
      <c r="K17" s="3">
        <v>13.6002140884976</v>
      </c>
      <c r="L17" s="3">
        <v>14.129832841936</v>
      </c>
      <c r="M17" s="3">
        <v>13.8287317549284</v>
      </c>
      <c r="N17" s="3">
        <v>13.560980790977499</v>
      </c>
    </row>
    <row r="18" spans="1:14" x14ac:dyDescent="0.35">
      <c r="A18" s="2">
        <v>42305</v>
      </c>
      <c r="B18" s="3">
        <v>18.0983018589381</v>
      </c>
      <c r="C18" s="3">
        <v>15.2682594465017</v>
      </c>
      <c r="D18" s="3">
        <v>15.1028343499492</v>
      </c>
      <c r="E18" s="3">
        <v>13.290098725285301</v>
      </c>
      <c r="F18" s="3">
        <v>14.282641812006201</v>
      </c>
      <c r="G18" s="3">
        <v>16.9798118711632</v>
      </c>
      <c r="H18" s="3">
        <v>15.373236758085</v>
      </c>
      <c r="I18" s="3">
        <v>18.633931609332802</v>
      </c>
      <c r="J18" s="3">
        <v>16.367809037614599</v>
      </c>
      <c r="K18" s="3">
        <v>15.1162199543607</v>
      </c>
      <c r="L18" s="3">
        <v>15.8372694195526</v>
      </c>
      <c r="M18" s="3">
        <v>15.483410315682001</v>
      </c>
      <c r="N18" s="3">
        <v>14.877926885722699</v>
      </c>
    </row>
    <row r="19" spans="1:14" x14ac:dyDescent="0.35">
      <c r="A19" s="2">
        <v>42335</v>
      </c>
      <c r="B19" s="3">
        <v>18.137960769750698</v>
      </c>
      <c r="C19" s="3">
        <v>15.110869179371599</v>
      </c>
      <c r="D19" s="3">
        <v>14.5163637920177</v>
      </c>
      <c r="E19" s="3">
        <v>14.057270350769899</v>
      </c>
      <c r="F19" s="3">
        <v>14.708083691978199</v>
      </c>
      <c r="G19" s="3">
        <v>16.989310425897798</v>
      </c>
      <c r="H19" s="3">
        <v>15.4114620864583</v>
      </c>
      <c r="I19" s="3">
        <v>18.713744725675301</v>
      </c>
      <c r="J19" s="3">
        <v>16.345395989343299</v>
      </c>
      <c r="K19" s="3">
        <v>15.3275994586794</v>
      </c>
      <c r="L19" s="3">
        <v>16.5384330968825</v>
      </c>
      <c r="M19" s="3">
        <v>15.564188975817499</v>
      </c>
      <c r="N19" s="3">
        <v>15.040050304735299</v>
      </c>
    </row>
    <row r="20" spans="1:14" x14ac:dyDescent="0.35">
      <c r="A20" s="2">
        <v>42366</v>
      </c>
      <c r="B20" s="3">
        <v>18.170273138904601</v>
      </c>
      <c r="C20" s="3">
        <v>15.4320971981375</v>
      </c>
      <c r="D20" s="3">
        <v>14.5377506287718</v>
      </c>
      <c r="E20" s="3">
        <v>13.235782587061101</v>
      </c>
      <c r="F20" s="3">
        <v>13.939286218331301</v>
      </c>
      <c r="G20" s="3">
        <v>16.867626862307599</v>
      </c>
      <c r="H20" s="3">
        <v>15.300930211106699</v>
      </c>
      <c r="I20" s="3">
        <v>18.450241516786502</v>
      </c>
      <c r="J20" s="3">
        <v>16.0681780258511</v>
      </c>
      <c r="K20" s="3">
        <v>14.493071421489001</v>
      </c>
      <c r="L20" s="3">
        <v>15.541435810302699</v>
      </c>
      <c r="M20" s="3">
        <v>14.8361228575839</v>
      </c>
      <c r="N20" s="3">
        <v>14.092635392224899</v>
      </c>
    </row>
    <row r="21" spans="1:14" x14ac:dyDescent="0.35">
      <c r="A21" s="2">
        <v>42397</v>
      </c>
      <c r="B21" s="3">
        <v>17.387492130762599</v>
      </c>
      <c r="C21" s="3">
        <v>15.1120343231712</v>
      </c>
      <c r="D21" s="3">
        <v>14.117667015283001</v>
      </c>
      <c r="E21" s="3">
        <v>12.114550861606901</v>
      </c>
      <c r="F21" s="3">
        <v>12.6458247911252</v>
      </c>
      <c r="G21" s="3">
        <v>15.926079988410301</v>
      </c>
      <c r="H21" s="3">
        <v>15.174905316354501</v>
      </c>
      <c r="I21" s="3">
        <v>16.940807682858399</v>
      </c>
      <c r="J21" s="3">
        <v>15.116593038112301</v>
      </c>
      <c r="K21" s="3">
        <v>13.9536374449081</v>
      </c>
      <c r="L21" s="3">
        <v>14.6103799808108</v>
      </c>
      <c r="M21" s="3">
        <v>14.2761879950436</v>
      </c>
      <c r="N21" s="3">
        <v>12.6022151403417</v>
      </c>
    </row>
    <row r="22" spans="1:14" x14ac:dyDescent="0.35">
      <c r="A22" s="2">
        <v>42426</v>
      </c>
      <c r="B22" s="3">
        <v>17.556685182503202</v>
      </c>
      <c r="C22" s="3">
        <v>15.077202287216</v>
      </c>
      <c r="D22" s="3">
        <v>14.839457177930999</v>
      </c>
      <c r="E22" s="3">
        <v>12.149438144862099</v>
      </c>
      <c r="F22" s="3">
        <v>12.368059138657401</v>
      </c>
      <c r="G22" s="3">
        <v>16.322451728857502</v>
      </c>
      <c r="H22" s="3">
        <v>15.5831509287384</v>
      </c>
      <c r="I22" s="3">
        <v>17.0070253303169</v>
      </c>
      <c r="J22" s="3">
        <v>15.5099438140132</v>
      </c>
      <c r="K22" s="3">
        <v>14.089952151827999</v>
      </c>
      <c r="L22" s="3">
        <v>14.735441091953501</v>
      </c>
      <c r="M22" s="3">
        <v>15.1124638352433</v>
      </c>
      <c r="N22" s="3">
        <v>12.8578699581264</v>
      </c>
    </row>
    <row r="23" spans="1:14" x14ac:dyDescent="0.35">
      <c r="A23" s="2">
        <v>42457</v>
      </c>
      <c r="B23" s="3">
        <v>18.005557037813698</v>
      </c>
      <c r="C23" s="3">
        <v>15.754721574130199</v>
      </c>
      <c r="D23" s="3">
        <v>15.9197175949172</v>
      </c>
      <c r="E23" s="3">
        <v>12.550257503552301</v>
      </c>
      <c r="F23" s="3">
        <v>13.1469477047607</v>
      </c>
      <c r="G23" s="3">
        <v>16.279157818077302</v>
      </c>
      <c r="H23" s="3">
        <v>15.915466801444101</v>
      </c>
      <c r="I23" s="3">
        <v>17.5544551278449</v>
      </c>
      <c r="J23" s="3">
        <v>15.516736353630501</v>
      </c>
      <c r="K23" s="3">
        <v>14.151138195306499</v>
      </c>
      <c r="L23" s="3">
        <v>15.2356838952172</v>
      </c>
      <c r="M23" s="3">
        <v>14.809828630697501</v>
      </c>
      <c r="N23" s="3">
        <v>13.1901897933305</v>
      </c>
    </row>
    <row r="24" spans="1:14" x14ac:dyDescent="0.35">
      <c r="A24" s="2">
        <v>42488</v>
      </c>
      <c r="B24" s="3">
        <v>18.754701491284798</v>
      </c>
      <c r="C24" s="3">
        <v>16.100375286751198</v>
      </c>
      <c r="D24" s="3">
        <v>16.6182854696386</v>
      </c>
      <c r="E24" s="3">
        <v>13.140887290920601</v>
      </c>
      <c r="F24" s="3">
        <v>12.8935440920697</v>
      </c>
      <c r="G24" s="3">
        <v>16.9400579886195</v>
      </c>
      <c r="H24" s="3">
        <v>16.440063265757399</v>
      </c>
      <c r="I24" s="3">
        <v>17.560525224948499</v>
      </c>
      <c r="J24" s="3">
        <v>16.500463546018398</v>
      </c>
      <c r="K24" s="3">
        <v>14.856221773323</v>
      </c>
      <c r="L24" s="3">
        <v>15.2640262289036</v>
      </c>
      <c r="M24" s="3">
        <v>15.6288560099109</v>
      </c>
      <c r="N24" s="3">
        <v>13.7176985273419</v>
      </c>
    </row>
    <row r="25" spans="1:14" x14ac:dyDescent="0.35">
      <c r="A25" s="2">
        <v>42517</v>
      </c>
      <c r="B25" s="3">
        <v>19.331173304404999</v>
      </c>
      <c r="C25" s="3">
        <v>16.5798765196975</v>
      </c>
      <c r="D25" s="3">
        <v>16.6590359121926</v>
      </c>
      <c r="E25" s="3">
        <v>12.7593261998522</v>
      </c>
      <c r="F25" s="3">
        <v>13.357139434541599</v>
      </c>
      <c r="G25" s="3">
        <v>17.2976131951892</v>
      </c>
      <c r="H25" s="3">
        <v>16.030355452273898</v>
      </c>
      <c r="I25" s="3">
        <v>18.0088908096734</v>
      </c>
      <c r="J25" s="3">
        <v>16.630250009147701</v>
      </c>
      <c r="K25" s="3">
        <v>14.5972036241849</v>
      </c>
      <c r="L25" s="3">
        <v>15.3805035896872</v>
      </c>
      <c r="M25" s="3">
        <v>15.094183369829899</v>
      </c>
      <c r="N25" s="3">
        <v>13.781501328934301</v>
      </c>
    </row>
    <row r="26" spans="1:14" x14ac:dyDescent="0.35">
      <c r="A26" s="2">
        <v>42549</v>
      </c>
      <c r="B26" s="3">
        <v>18.511494026319699</v>
      </c>
      <c r="C26" s="3">
        <v>15.5667735174324</v>
      </c>
      <c r="D26" s="3">
        <v>16.082335525503598</v>
      </c>
      <c r="E26" s="3">
        <v>11.669220527267299</v>
      </c>
      <c r="F26" s="3">
        <v>12.3271055452251</v>
      </c>
      <c r="G26" s="3">
        <v>16.188097506976</v>
      </c>
      <c r="H26" s="3">
        <v>15.1073058149085</v>
      </c>
      <c r="I26" s="3">
        <v>17.1183092934264</v>
      </c>
      <c r="J26" s="3">
        <v>16.004443328682399</v>
      </c>
      <c r="K26" s="3">
        <v>13.1117937533636</v>
      </c>
      <c r="L26" s="3">
        <v>13.554206824300699</v>
      </c>
      <c r="M26" s="3">
        <v>14.0052329536308</v>
      </c>
      <c r="N26" s="3">
        <v>11.368680331818201</v>
      </c>
    </row>
    <row r="27" spans="1:14" x14ac:dyDescent="0.35">
      <c r="A27" s="2">
        <v>42579</v>
      </c>
      <c r="B27" s="3">
        <v>20.189841365765002</v>
      </c>
      <c r="C27" s="3">
        <v>16.8032941136258</v>
      </c>
      <c r="D27" s="3">
        <v>16.420811041387701</v>
      </c>
      <c r="E27" s="3">
        <v>12.6573656724056</v>
      </c>
      <c r="F27" s="3">
        <v>13.262431240216101</v>
      </c>
      <c r="G27" s="3">
        <v>17.008866671176701</v>
      </c>
      <c r="H27" s="3">
        <v>16.084395250622201</v>
      </c>
      <c r="I27" s="3">
        <v>18.654162417867401</v>
      </c>
      <c r="J27" s="3">
        <v>16.926008939079601</v>
      </c>
      <c r="K27" s="3">
        <v>14.088242289993699</v>
      </c>
      <c r="L27" s="3">
        <v>14.7010815102227</v>
      </c>
      <c r="M27" s="3">
        <v>15.179965119636799</v>
      </c>
      <c r="N27" s="3">
        <v>12.208121502533301</v>
      </c>
    </row>
    <row r="28" spans="1:14" x14ac:dyDescent="0.35">
      <c r="A28" s="2">
        <v>42608</v>
      </c>
      <c r="B28" s="3">
        <v>20.425623103699099</v>
      </c>
      <c r="C28" s="3">
        <v>16.7436373869721</v>
      </c>
      <c r="D28" s="3">
        <v>16.316274317669802</v>
      </c>
      <c r="E28" s="3">
        <v>12.944933949685201</v>
      </c>
      <c r="F28" s="3">
        <v>13.088839342113999</v>
      </c>
      <c r="G28" s="3">
        <v>17.315083125937399</v>
      </c>
      <c r="H28" s="3">
        <v>16.127938229516001</v>
      </c>
      <c r="I28" s="3">
        <v>18.583055283831399</v>
      </c>
      <c r="J28" s="3">
        <v>16.789886143735099</v>
      </c>
      <c r="K28" s="3">
        <v>13.971425108289599</v>
      </c>
      <c r="L28" s="3">
        <v>14.922976271556699</v>
      </c>
      <c r="M28" s="3">
        <v>15.442615255348301</v>
      </c>
      <c r="N28" s="3">
        <v>12.5575035375855</v>
      </c>
    </row>
    <row r="29" spans="1:14" x14ac:dyDescent="0.35">
      <c r="A29" s="2">
        <v>42641</v>
      </c>
      <c r="B29" s="3">
        <v>20.096050550391201</v>
      </c>
      <c r="C29" s="3">
        <v>16.204217625042801</v>
      </c>
      <c r="D29" s="3">
        <v>16.0930465070427</v>
      </c>
      <c r="E29" s="3">
        <v>12.799553127412899</v>
      </c>
      <c r="F29" s="3">
        <v>13.4169380657465</v>
      </c>
      <c r="G29" s="3">
        <v>17.241082671180401</v>
      </c>
      <c r="H29" s="3">
        <v>15.605201247297099</v>
      </c>
      <c r="I29" s="3">
        <v>18.6846576624765</v>
      </c>
      <c r="J29" s="3">
        <v>16.686990026448601</v>
      </c>
      <c r="K29" s="3">
        <v>13.8216793857239</v>
      </c>
      <c r="L29" s="3">
        <v>14.833644728826201</v>
      </c>
      <c r="M29" s="3">
        <v>15.4981612720195</v>
      </c>
      <c r="N29" s="3">
        <v>11.6602316125029</v>
      </c>
    </row>
    <row r="30" spans="1:14" x14ac:dyDescent="0.35">
      <c r="A30" s="2">
        <v>42671</v>
      </c>
      <c r="B30" s="3">
        <v>18.989790301662801</v>
      </c>
      <c r="C30" s="3">
        <v>15.6544092944133</v>
      </c>
      <c r="D30" s="3">
        <v>15.8475075306213</v>
      </c>
      <c r="E30" s="3">
        <v>12.964666242100799</v>
      </c>
      <c r="F30" s="3">
        <v>13.837764406297101</v>
      </c>
      <c r="G30" s="3">
        <v>16.605156929664499</v>
      </c>
      <c r="H30" s="3">
        <v>14.984503184646901</v>
      </c>
      <c r="I30" s="3">
        <v>18.179631471741001</v>
      </c>
      <c r="J30" s="3">
        <v>16.2198885352384</v>
      </c>
      <c r="K30" s="3">
        <v>14.064234859670799</v>
      </c>
      <c r="L30" s="3">
        <v>14.7948942973229</v>
      </c>
      <c r="M30" s="3">
        <v>16.2347847568305</v>
      </c>
      <c r="N30" s="3">
        <v>12.2404668822241</v>
      </c>
    </row>
    <row r="31" spans="1:14" x14ac:dyDescent="0.35">
      <c r="A31" s="2">
        <v>42702</v>
      </c>
      <c r="B31" s="3">
        <v>18.801583888899501</v>
      </c>
      <c r="C31" s="3">
        <v>15.955382543173901</v>
      </c>
      <c r="D31" s="3">
        <v>15.9135565436249</v>
      </c>
      <c r="E31" s="3">
        <v>12.723560761481099</v>
      </c>
      <c r="F31" s="3">
        <v>14.4921946282251</v>
      </c>
      <c r="G31" s="3">
        <v>16.210378144409201</v>
      </c>
      <c r="H31" s="3">
        <v>14.257761682623901</v>
      </c>
      <c r="I31" s="3">
        <v>18.224864385653301</v>
      </c>
      <c r="J31" s="3">
        <v>16.7134458665167</v>
      </c>
      <c r="K31" s="3">
        <v>13.680601698497901</v>
      </c>
      <c r="L31" s="3">
        <v>14.530825589630901</v>
      </c>
      <c r="M31" s="3">
        <v>16.071436055374502</v>
      </c>
      <c r="N31" s="3">
        <v>11.3702756545499</v>
      </c>
    </row>
    <row r="32" spans="1:14" x14ac:dyDescent="0.35">
      <c r="A32" s="2">
        <v>42732</v>
      </c>
      <c r="B32" s="3">
        <v>18.516109641663299</v>
      </c>
      <c r="C32" s="3">
        <v>15.8327073198167</v>
      </c>
      <c r="D32" s="3">
        <v>15.8621050172347</v>
      </c>
      <c r="E32" s="3">
        <v>13.642897174180201</v>
      </c>
      <c r="F32" s="3">
        <v>14.810868131716299</v>
      </c>
      <c r="G32" s="3">
        <v>16.777305558352001</v>
      </c>
      <c r="H32" s="3">
        <v>14.3252451373352</v>
      </c>
      <c r="I32" s="3">
        <v>18.2920330198058</v>
      </c>
      <c r="J32" s="3">
        <v>16.903087763392001</v>
      </c>
      <c r="K32" s="3">
        <v>14.521896446299699</v>
      </c>
      <c r="L32" s="3">
        <v>15.0764403616131</v>
      </c>
      <c r="M32" s="3">
        <v>16.524514356487</v>
      </c>
      <c r="N32" s="3">
        <v>13.6393051003572</v>
      </c>
    </row>
    <row r="33" spans="1:14" x14ac:dyDescent="0.35">
      <c r="A33" s="2">
        <v>42762</v>
      </c>
      <c r="B33" s="3">
        <v>19.194875225990799</v>
      </c>
      <c r="C33" s="3">
        <v>15.823793351226699</v>
      </c>
      <c r="D33" s="3">
        <v>16.167178844355</v>
      </c>
      <c r="E33" s="3">
        <v>13.950952794594</v>
      </c>
      <c r="F33" s="3">
        <v>14.7509543435014</v>
      </c>
      <c r="G33" s="3">
        <v>17.208593225508899</v>
      </c>
      <c r="H33" s="3">
        <v>14.3254374262404</v>
      </c>
      <c r="I33" s="3">
        <v>19.326498152341198</v>
      </c>
      <c r="J33" s="3">
        <v>17.183195450038799</v>
      </c>
      <c r="K33" s="3">
        <v>14.4162397548059</v>
      </c>
      <c r="L33" s="3">
        <v>15.1461186354191</v>
      </c>
      <c r="M33" s="3">
        <v>16.3948013417411</v>
      </c>
      <c r="N33" s="3">
        <v>13.0825952970425</v>
      </c>
    </row>
    <row r="34" spans="1:14" x14ac:dyDescent="0.35">
      <c r="A34" s="2">
        <v>42794</v>
      </c>
      <c r="B34" s="3">
        <v>18.345623529023399</v>
      </c>
      <c r="C34" s="3">
        <v>15.759947664808299</v>
      </c>
      <c r="D34" s="3">
        <v>15.817264823506999</v>
      </c>
      <c r="E34" s="3">
        <v>13.686296320478201</v>
      </c>
      <c r="F34" s="3">
        <v>14.1099273732975</v>
      </c>
      <c r="G34" s="3">
        <v>17.543801645900899</v>
      </c>
      <c r="H34" s="3">
        <v>14.387426044860099</v>
      </c>
      <c r="I34" s="3">
        <v>20.041470703903801</v>
      </c>
      <c r="J34" s="3">
        <v>17.658470304804698</v>
      </c>
      <c r="K34" s="3">
        <v>14.1974243755866</v>
      </c>
      <c r="L34" s="3">
        <v>15.4775278626066</v>
      </c>
      <c r="M34" s="3">
        <v>16.3898648505327</v>
      </c>
      <c r="N34" s="3">
        <v>12.7903887811697</v>
      </c>
    </row>
    <row r="35" spans="1:14" x14ac:dyDescent="0.35">
      <c r="A35" s="2">
        <v>42822</v>
      </c>
      <c r="B35" s="3">
        <v>18.671502819266198</v>
      </c>
      <c r="C35" s="3">
        <v>15.743036114316</v>
      </c>
      <c r="D35" s="3">
        <v>15.961779604618</v>
      </c>
      <c r="E35" s="3">
        <v>13.9328310080189</v>
      </c>
      <c r="F35" s="3">
        <v>14.0232815149812</v>
      </c>
      <c r="G35" s="3">
        <v>17.398261037564701</v>
      </c>
      <c r="H35" s="3">
        <v>14.4569844497295</v>
      </c>
      <c r="I35" s="3">
        <v>20.067907304334099</v>
      </c>
      <c r="J35" s="3">
        <v>17.495667826845398</v>
      </c>
      <c r="K35" s="3">
        <v>14.7543122372716</v>
      </c>
      <c r="L35" s="3">
        <v>15.9560803204899</v>
      </c>
      <c r="M35" s="3">
        <v>17.0851941028595</v>
      </c>
      <c r="N35" s="3">
        <v>13.623729048688601</v>
      </c>
    </row>
    <row r="36" spans="1:14" x14ac:dyDescent="0.35">
      <c r="A36" s="2">
        <v>42853</v>
      </c>
      <c r="B36" s="3">
        <v>19.535671110391799</v>
      </c>
      <c r="C36" s="3">
        <v>15.964150867551201</v>
      </c>
      <c r="D36" s="3">
        <v>15.6903318404951</v>
      </c>
      <c r="E36" s="3">
        <v>13.9737694644847</v>
      </c>
      <c r="F36" s="3">
        <v>13.851733909173801</v>
      </c>
      <c r="G36" s="3">
        <v>17.821473120202299</v>
      </c>
      <c r="H36" s="3">
        <v>14.3108472927418</v>
      </c>
      <c r="I36" s="3">
        <v>20.361000657249299</v>
      </c>
      <c r="J36" s="3">
        <v>17.445156431584898</v>
      </c>
      <c r="K36" s="3">
        <v>15.211280112837001</v>
      </c>
      <c r="L36" s="3">
        <v>16.345623831759301</v>
      </c>
      <c r="M36" s="3">
        <v>17.090100577415001</v>
      </c>
      <c r="N36" s="3">
        <v>13.3991037145028</v>
      </c>
    </row>
    <row r="37" spans="1:14" x14ac:dyDescent="0.35">
      <c r="A37" s="2">
        <v>42881</v>
      </c>
      <c r="B37" s="3">
        <v>19.571460769237198</v>
      </c>
      <c r="C37" s="3">
        <v>15.3746191871798</v>
      </c>
      <c r="D37" s="3">
        <v>15.732657480677601</v>
      </c>
      <c r="E37" s="3">
        <v>13.752088725552399</v>
      </c>
      <c r="F37" s="3">
        <v>14.266143892528101</v>
      </c>
      <c r="G37" s="3">
        <v>18.0706202636987</v>
      </c>
      <c r="H37" s="3">
        <v>14.7786969487001</v>
      </c>
      <c r="I37" s="3">
        <v>20.949603082561101</v>
      </c>
      <c r="J37" s="3">
        <v>17.533398846944099</v>
      </c>
      <c r="K37" s="3">
        <v>15.235447872678</v>
      </c>
      <c r="L37" s="3">
        <v>16.3547968889701</v>
      </c>
      <c r="M37" s="3">
        <v>18.0171480827448</v>
      </c>
      <c r="N37" s="3">
        <v>13.548496763555899</v>
      </c>
    </row>
    <row r="38" spans="1:14" x14ac:dyDescent="0.35">
      <c r="A38" s="2">
        <v>42914</v>
      </c>
      <c r="B38" s="3">
        <v>19.727897531161599</v>
      </c>
      <c r="C38" s="3">
        <v>15.4467917508971</v>
      </c>
      <c r="D38" s="3">
        <v>15.377612631707899</v>
      </c>
      <c r="E38" s="3">
        <v>13.607220105366499</v>
      </c>
      <c r="F38" s="3">
        <v>14.3388151853298</v>
      </c>
      <c r="G38" s="3">
        <v>18.011001703630999</v>
      </c>
      <c r="H38" s="3">
        <v>14.504693972699799</v>
      </c>
      <c r="I38" s="3">
        <v>20.487871859874399</v>
      </c>
      <c r="J38" s="3">
        <v>17.552557582764599</v>
      </c>
      <c r="K38" s="3">
        <v>14.8974876219555</v>
      </c>
      <c r="L38" s="3">
        <v>15.9004501710517</v>
      </c>
      <c r="M38" s="3">
        <v>16.729348757750302</v>
      </c>
      <c r="N38" s="3">
        <v>13.3260478098238</v>
      </c>
    </row>
    <row r="39" spans="1:14" x14ac:dyDescent="0.35">
      <c r="A39" s="2">
        <v>42944</v>
      </c>
      <c r="B39" s="3">
        <v>19.526182673248599</v>
      </c>
      <c r="C39" s="3">
        <v>15.636684897693801</v>
      </c>
      <c r="D39" s="3">
        <v>15.573930387869201</v>
      </c>
      <c r="E39" s="3">
        <v>13.0703813084586</v>
      </c>
      <c r="F39" s="3">
        <v>14.1975512215718</v>
      </c>
      <c r="G39" s="3">
        <v>17.736568334633901</v>
      </c>
      <c r="H39" s="3">
        <v>14.712735056583201</v>
      </c>
      <c r="I39" s="3">
        <v>20.7942796579655</v>
      </c>
      <c r="J39" s="3">
        <v>17.659584787592198</v>
      </c>
      <c r="K39" s="3">
        <v>14.6070460869743</v>
      </c>
      <c r="L39" s="3">
        <v>15.9790912658229</v>
      </c>
      <c r="M39" s="3">
        <v>16.168600239714099</v>
      </c>
      <c r="N39" s="3">
        <v>13.4349831159478</v>
      </c>
    </row>
    <row r="40" spans="1:14" x14ac:dyDescent="0.35">
      <c r="A40" s="2">
        <v>42975</v>
      </c>
      <c r="B40" s="3">
        <v>20.0251230096051</v>
      </c>
      <c r="C40" s="3">
        <v>15.674097070656201</v>
      </c>
      <c r="D40" s="3">
        <v>15.4243364216047</v>
      </c>
      <c r="E40" s="3">
        <v>12.9814411915204</v>
      </c>
      <c r="F40" s="3">
        <v>13.6310352489811</v>
      </c>
      <c r="G40" s="3">
        <v>17.419013422473402</v>
      </c>
      <c r="H40" s="3">
        <v>14.5630859535617</v>
      </c>
      <c r="I40" s="3">
        <v>20.210129356995498</v>
      </c>
      <c r="J40" s="3">
        <v>17.3234410626692</v>
      </c>
      <c r="K40" s="3">
        <v>14.4239917701341</v>
      </c>
      <c r="L40" s="3">
        <v>15.598559636170499</v>
      </c>
      <c r="M40" s="3">
        <v>15.677044006704399</v>
      </c>
      <c r="N40" s="3">
        <v>13.257915966323599</v>
      </c>
    </row>
    <row r="41" spans="1:14" x14ac:dyDescent="0.35">
      <c r="A41" s="2">
        <v>43006</v>
      </c>
      <c r="B41" s="3">
        <v>19.8009329413137</v>
      </c>
      <c r="C41" s="3">
        <v>15.396495626811801</v>
      </c>
      <c r="D41" s="3">
        <v>15.7400209859771</v>
      </c>
      <c r="E41" s="3">
        <v>13.543681072239</v>
      </c>
      <c r="F41" s="3">
        <v>14.030810769518</v>
      </c>
      <c r="G41" s="3">
        <v>17.663270670969499</v>
      </c>
      <c r="H41" s="3">
        <v>14.4564845846064</v>
      </c>
      <c r="I41" s="3">
        <v>20.220340551791601</v>
      </c>
      <c r="J41" s="3">
        <v>17.667046883964002</v>
      </c>
      <c r="K41" s="3">
        <v>15.020013053002099</v>
      </c>
      <c r="L41" s="3">
        <v>15.8835822538319</v>
      </c>
      <c r="M41" s="3">
        <v>16.669712892341099</v>
      </c>
      <c r="N41" s="3">
        <v>13.540847414068001</v>
      </c>
    </row>
    <row r="42" spans="1:14" x14ac:dyDescent="0.35">
      <c r="A42" s="2">
        <v>43035</v>
      </c>
      <c r="B42" s="3">
        <v>20.372359561344901</v>
      </c>
      <c r="C42" s="3">
        <v>15.7763962109535</v>
      </c>
      <c r="D42" s="3">
        <v>15.8883441224396</v>
      </c>
      <c r="E42" s="3">
        <v>14.048184761066301</v>
      </c>
      <c r="F42" s="3">
        <v>14.6644285977656</v>
      </c>
      <c r="G42" s="3">
        <v>17.805690257749202</v>
      </c>
      <c r="H42" s="3">
        <v>14.490782578503</v>
      </c>
      <c r="I42" s="3">
        <v>20.7484258693142</v>
      </c>
      <c r="J42" s="3">
        <v>18.004798490693901</v>
      </c>
      <c r="K42" s="3">
        <v>15.378269150774001</v>
      </c>
      <c r="L42" s="3">
        <v>16.256597185170801</v>
      </c>
      <c r="M42" s="3">
        <v>17.320738781628201</v>
      </c>
      <c r="N42" s="3">
        <v>13.5765474854277</v>
      </c>
    </row>
    <row r="43" spans="1:14" x14ac:dyDescent="0.35">
      <c r="A43" s="2">
        <v>43067</v>
      </c>
      <c r="B43" s="3">
        <v>20.1149823699634</v>
      </c>
      <c r="C43" s="3">
        <v>15.904831681359299</v>
      </c>
      <c r="D43" s="3">
        <v>15.835882097656</v>
      </c>
      <c r="E43" s="3">
        <v>13.845701943053999</v>
      </c>
      <c r="F43" s="3">
        <v>14.587761944017499</v>
      </c>
      <c r="G43" s="3">
        <v>17.750000663731502</v>
      </c>
      <c r="H43" s="3">
        <v>14.3047893034294</v>
      </c>
      <c r="I43" s="3">
        <v>21.102075664867101</v>
      </c>
      <c r="J43" s="3">
        <v>18.117833388290499</v>
      </c>
      <c r="K43" s="3">
        <v>15.0418138289398</v>
      </c>
      <c r="L43" s="3">
        <v>16.040687917929802</v>
      </c>
      <c r="M43" s="3">
        <v>16.678655196850599</v>
      </c>
      <c r="N43" s="3">
        <v>13.172425057697</v>
      </c>
    </row>
    <row r="44" spans="1:14" x14ac:dyDescent="0.35">
      <c r="A44" s="2">
        <v>43097</v>
      </c>
      <c r="B44" s="3">
        <v>20.926484339195198</v>
      </c>
      <c r="C44" s="3">
        <v>16.072868114129601</v>
      </c>
      <c r="D44" s="3">
        <v>15.937463387394899</v>
      </c>
      <c r="E44" s="3">
        <v>13.8152653236458</v>
      </c>
      <c r="F44" s="3">
        <v>14.741158700388199</v>
      </c>
      <c r="G44" s="3">
        <v>17.721807000518801</v>
      </c>
      <c r="H44" s="3">
        <v>14.6200229675334</v>
      </c>
      <c r="I44" s="3">
        <v>20.9500434620772</v>
      </c>
      <c r="J44" s="3">
        <v>18.245036114521</v>
      </c>
      <c r="K44" s="3">
        <v>14.849923085256799</v>
      </c>
      <c r="L44" s="3">
        <v>15.979751644366299</v>
      </c>
      <c r="M44" s="3">
        <v>16.240206426716199</v>
      </c>
      <c r="N44" s="3">
        <v>13.099227772513</v>
      </c>
    </row>
    <row r="45" spans="1:14" x14ac:dyDescent="0.35">
      <c r="A45" s="2">
        <v>43126</v>
      </c>
      <c r="B45" s="3">
        <v>20.571632576232499</v>
      </c>
      <c r="C45" s="3">
        <v>15.825534674446001</v>
      </c>
      <c r="D45" s="3">
        <v>15.494546975873799</v>
      </c>
      <c r="E45" s="3">
        <v>14.0254595617577</v>
      </c>
      <c r="F45" s="3">
        <v>15.129532392133299</v>
      </c>
      <c r="G45" s="3">
        <v>17.920254159191</v>
      </c>
      <c r="H45" s="3">
        <v>14.6387740817537</v>
      </c>
      <c r="I45" s="3">
        <v>22.122789293918402</v>
      </c>
      <c r="J45" s="3">
        <v>18.454811483150198</v>
      </c>
      <c r="K45" s="3">
        <v>15.3227740976272</v>
      </c>
      <c r="L45" s="3">
        <v>16.3819912514202</v>
      </c>
      <c r="M45" s="3">
        <v>16.6833353702567</v>
      </c>
      <c r="N45" s="3">
        <v>13.462837678326601</v>
      </c>
    </row>
    <row r="46" spans="1:14" x14ac:dyDescent="0.35">
      <c r="A46" s="2">
        <v>43159</v>
      </c>
      <c r="B46" s="3">
        <v>20.8462380710614</v>
      </c>
      <c r="C46" s="3">
        <v>15.559774051457699</v>
      </c>
      <c r="D46" s="3">
        <v>14.4316732396112</v>
      </c>
      <c r="E46" s="3">
        <v>13.1139166925308</v>
      </c>
      <c r="F46" s="3">
        <v>13.262246295658899</v>
      </c>
      <c r="G46" s="3">
        <v>16.558212276686099</v>
      </c>
      <c r="H46" s="3">
        <v>13.116669102772001</v>
      </c>
      <c r="I46" s="3">
        <v>20.780915318045199</v>
      </c>
      <c r="J46" s="3">
        <v>16.877882067462401</v>
      </c>
      <c r="K46" s="3">
        <v>14.642622239218699</v>
      </c>
      <c r="L46" s="3">
        <v>15.613550224402401</v>
      </c>
      <c r="M46" s="3">
        <v>16.389267383932701</v>
      </c>
      <c r="N46" s="3">
        <v>12.511362753940199</v>
      </c>
    </row>
    <row r="47" spans="1:14" x14ac:dyDescent="0.35">
      <c r="A47" s="2">
        <v>43187</v>
      </c>
      <c r="B47" s="3">
        <v>20.147496529139701</v>
      </c>
      <c r="C47" s="3">
        <v>14.782516099578601</v>
      </c>
      <c r="D47" s="3">
        <v>13.9688954604551</v>
      </c>
      <c r="E47" s="3">
        <v>12.5806156947913</v>
      </c>
      <c r="F47" s="3">
        <v>12.6682711327033</v>
      </c>
      <c r="G47" s="3">
        <v>16.096831652586499</v>
      </c>
      <c r="H47" s="3">
        <v>13.2337698897246</v>
      </c>
      <c r="I47" s="3">
        <v>19.420287002416</v>
      </c>
      <c r="J47" s="3">
        <v>16.115482674123999</v>
      </c>
      <c r="K47" s="3">
        <v>14.121930666787501</v>
      </c>
      <c r="L47" s="3">
        <v>15.341638907571699</v>
      </c>
      <c r="M47" s="3">
        <v>15.592140530920201</v>
      </c>
      <c r="N47" s="3">
        <v>12.4050394791236</v>
      </c>
    </row>
    <row r="48" spans="1:14" x14ac:dyDescent="0.35">
      <c r="A48" s="2">
        <v>43217</v>
      </c>
      <c r="B48" s="3">
        <v>19.9113535617366</v>
      </c>
      <c r="C48" s="3">
        <v>15.114586430601101</v>
      </c>
      <c r="D48" s="3">
        <v>14.222455732604301</v>
      </c>
      <c r="E48" s="3">
        <v>13.1752751880771</v>
      </c>
      <c r="F48" s="3">
        <v>13.250043244442599</v>
      </c>
      <c r="G48" s="3">
        <v>16.147131038019499</v>
      </c>
      <c r="H48" s="3">
        <v>13.8111767484273</v>
      </c>
      <c r="I48" s="3">
        <v>19.496332881482999</v>
      </c>
      <c r="J48" s="3">
        <v>16.2202375877396</v>
      </c>
      <c r="K48" s="3">
        <v>14.782047139732899</v>
      </c>
      <c r="L48" s="3">
        <v>15.677400198192</v>
      </c>
      <c r="M48" s="3">
        <v>15.9748155896869</v>
      </c>
      <c r="N48" s="3">
        <v>13.027850490567801</v>
      </c>
    </row>
    <row r="49" spans="1:14" x14ac:dyDescent="0.35">
      <c r="A49" s="2">
        <v>43245</v>
      </c>
      <c r="B49" s="3">
        <v>20.430895281563402</v>
      </c>
      <c r="C49" s="3">
        <v>15.254972277061301</v>
      </c>
      <c r="D49" s="3">
        <v>14.153889958105699</v>
      </c>
      <c r="E49" s="3">
        <v>13.2782878689112</v>
      </c>
      <c r="F49" s="3">
        <v>13.118619992775599</v>
      </c>
      <c r="G49" s="3">
        <v>16.007548754668999</v>
      </c>
      <c r="H49" s="3">
        <v>13.735938952783499</v>
      </c>
      <c r="I49" s="3">
        <v>20.078991194066401</v>
      </c>
      <c r="J49" s="3">
        <v>16.286433787531099</v>
      </c>
      <c r="K49" s="3">
        <v>14.7040720812829</v>
      </c>
      <c r="L49" s="3">
        <v>15.9930823957064</v>
      </c>
      <c r="M49" s="3">
        <v>15.7591945336442</v>
      </c>
      <c r="N49" s="3">
        <v>11.778886222645999</v>
      </c>
    </row>
    <row r="50" spans="1:14" x14ac:dyDescent="0.35">
      <c r="A50" s="2">
        <v>43279</v>
      </c>
      <c r="B50" s="3">
        <v>21.325161401090099</v>
      </c>
      <c r="C50" s="3">
        <v>15.5099107740284</v>
      </c>
      <c r="D50" s="3">
        <v>14.1418150162215</v>
      </c>
      <c r="E50" s="3">
        <v>12.6012549307765</v>
      </c>
      <c r="F50" s="3">
        <v>12.762206772906699</v>
      </c>
      <c r="G50" s="3">
        <v>15.315186968487801</v>
      </c>
      <c r="H50" s="3">
        <v>13.2311073181351</v>
      </c>
      <c r="I50" s="3">
        <v>20.066035069384402</v>
      </c>
      <c r="J50" s="3">
        <v>16.114039993055702</v>
      </c>
      <c r="K50" s="3">
        <v>13.8635512570652</v>
      </c>
      <c r="L50" s="3">
        <v>15.3814160858803</v>
      </c>
      <c r="M50" s="3">
        <v>15.0983192476923</v>
      </c>
      <c r="N50" s="3">
        <v>11.285421218537</v>
      </c>
    </row>
    <row r="51" spans="1:14" x14ac:dyDescent="0.35">
      <c r="A51" s="2">
        <v>43308</v>
      </c>
      <c r="B51" s="3">
        <v>21.162953913898399</v>
      </c>
      <c r="C51" s="3">
        <v>15.6759553130813</v>
      </c>
      <c r="D51" s="3">
        <v>14.1865297614449</v>
      </c>
      <c r="E51" s="3">
        <v>13.2768399613465</v>
      </c>
      <c r="F51" s="3">
        <v>13.0674705273985</v>
      </c>
      <c r="G51" s="3">
        <v>16.358453265245998</v>
      </c>
      <c r="H51" s="3">
        <v>13.253871360350301</v>
      </c>
      <c r="I51" s="3">
        <v>20.460585093366799</v>
      </c>
      <c r="J51" s="3">
        <v>16.521598266072299</v>
      </c>
      <c r="K51" s="3">
        <v>14.2527946614026</v>
      </c>
      <c r="L51" s="3">
        <v>16.070430194522501</v>
      </c>
      <c r="M51" s="3">
        <v>15.615132520972599</v>
      </c>
      <c r="N51" s="3">
        <v>11.590095834428</v>
      </c>
    </row>
    <row r="52" spans="1:14" x14ac:dyDescent="0.35">
      <c r="A52" s="2">
        <v>43340</v>
      </c>
      <c r="B52" s="3">
        <v>21.8098190412374</v>
      </c>
      <c r="C52" s="3">
        <v>15.691296515145201</v>
      </c>
      <c r="D52" s="3">
        <v>13.925019263652</v>
      </c>
      <c r="E52" s="3">
        <v>13.0040225224941</v>
      </c>
      <c r="F52" s="3">
        <v>12.707664275762401</v>
      </c>
      <c r="G52" s="3">
        <v>16.141821580929001</v>
      </c>
      <c r="H52" s="3">
        <v>12.9027840177377</v>
      </c>
      <c r="I52" s="3">
        <v>20.9248347140596</v>
      </c>
      <c r="J52" s="3">
        <v>16.801369897622799</v>
      </c>
      <c r="K52" s="3">
        <v>14.0012270086228</v>
      </c>
      <c r="L52" s="3">
        <v>15.592276613914599</v>
      </c>
      <c r="M52" s="3">
        <v>15.977488556983801</v>
      </c>
      <c r="N52" s="3">
        <v>10.7824541436127</v>
      </c>
    </row>
    <row r="53" spans="1:14" x14ac:dyDescent="0.35">
      <c r="A53" s="2">
        <v>43371</v>
      </c>
      <c r="B53" s="3">
        <v>21.4693190006079</v>
      </c>
      <c r="C53" s="3">
        <v>15.3018169312989</v>
      </c>
      <c r="D53" s="3">
        <v>13.5635404959644</v>
      </c>
      <c r="E53" s="3">
        <v>12.6567280375032</v>
      </c>
      <c r="F53" s="3">
        <v>13.333064435246801</v>
      </c>
      <c r="G53" s="3">
        <v>16.067665549875699</v>
      </c>
      <c r="H53" s="3">
        <v>12.7726243200956</v>
      </c>
      <c r="I53" s="3">
        <v>20.879251081967901</v>
      </c>
      <c r="J53" s="3">
        <v>16.779291449582299</v>
      </c>
      <c r="K53" s="3">
        <v>13.859144718823099</v>
      </c>
      <c r="L53" s="3">
        <v>14.944329408064799</v>
      </c>
      <c r="M53" s="3">
        <v>15.880855913814599</v>
      </c>
      <c r="N53" s="3">
        <v>10.616831307497799</v>
      </c>
    </row>
    <row r="54" spans="1:14" x14ac:dyDescent="0.35">
      <c r="A54" s="2">
        <v>43399</v>
      </c>
      <c r="B54" s="3">
        <v>19.619626257141402</v>
      </c>
      <c r="C54" s="3">
        <v>13.873551572367299</v>
      </c>
      <c r="D54" s="3">
        <v>12.428995998694001</v>
      </c>
      <c r="E54" s="3">
        <v>11.670187331541999</v>
      </c>
      <c r="F54" s="3">
        <v>11.653360445233</v>
      </c>
      <c r="G54" s="3">
        <v>15.1076594589004</v>
      </c>
      <c r="H54" s="3">
        <v>11.578120299786701</v>
      </c>
      <c r="I54" s="3">
        <v>18.511370267478299</v>
      </c>
      <c r="J54" s="3">
        <v>15.175338212088599</v>
      </c>
      <c r="K54" s="3">
        <v>12.5029569648839</v>
      </c>
      <c r="L54" s="3">
        <v>13.7349906754253</v>
      </c>
      <c r="M54" s="3">
        <v>13.917139311949301</v>
      </c>
      <c r="N54" s="3">
        <v>9.5971437989314392</v>
      </c>
    </row>
    <row r="55" spans="1:14" x14ac:dyDescent="0.35">
      <c r="A55" s="2">
        <v>43432</v>
      </c>
      <c r="B55" s="3">
        <v>19.7240318340309</v>
      </c>
      <c r="C55" s="3">
        <v>14.2034482721015</v>
      </c>
      <c r="D55" s="3">
        <v>12.6485977138657</v>
      </c>
      <c r="E55" s="3">
        <v>11.5805604804443</v>
      </c>
      <c r="F55" s="3">
        <v>12.1493577388653</v>
      </c>
      <c r="G55" s="3">
        <v>15.4449828195498</v>
      </c>
      <c r="H55" s="3">
        <v>11.7394929801213</v>
      </c>
      <c r="I55" s="3">
        <v>18.7319258819136</v>
      </c>
      <c r="J55" s="3">
        <v>15.662264394687</v>
      </c>
      <c r="K55" s="3">
        <v>12.473837076528</v>
      </c>
      <c r="L55" s="3">
        <v>14.141356200369</v>
      </c>
      <c r="M55" s="3">
        <v>14.058001763635099</v>
      </c>
      <c r="N55" s="3">
        <v>9.6270466934493797</v>
      </c>
    </row>
    <row r="56" spans="1:14" x14ac:dyDescent="0.35">
      <c r="A56" s="2">
        <v>43462</v>
      </c>
      <c r="B56" s="3">
        <v>20.0278637880904</v>
      </c>
      <c r="C56" s="3">
        <v>13.982035670277901</v>
      </c>
      <c r="D56" s="3">
        <v>12.030595302331101</v>
      </c>
      <c r="E56" s="3">
        <v>10.9309261627994</v>
      </c>
      <c r="F56" s="3">
        <v>11.1053605202922</v>
      </c>
      <c r="G56" s="3">
        <v>14.515017605219599</v>
      </c>
      <c r="H56" s="3">
        <v>11.406171436187201</v>
      </c>
      <c r="I56" s="3">
        <v>17.1033334043296</v>
      </c>
      <c r="J56" s="3">
        <v>14.284479178170599</v>
      </c>
      <c r="K56" s="3">
        <v>11.763282073841101</v>
      </c>
      <c r="L56" s="3">
        <v>12.970359478390399</v>
      </c>
      <c r="M56" s="3">
        <v>13.3263765362382</v>
      </c>
      <c r="N56" s="3">
        <v>9.1487076196164097</v>
      </c>
    </row>
    <row r="57" spans="1:14" x14ac:dyDescent="0.35">
      <c r="A57" s="2">
        <v>43493</v>
      </c>
      <c r="B57" s="3">
        <v>20.6381433670307</v>
      </c>
      <c r="C57" s="3">
        <v>14.7576024478234</v>
      </c>
      <c r="D57" s="3">
        <v>13.516479234796501</v>
      </c>
      <c r="E57" s="3">
        <v>11.814046226335799</v>
      </c>
      <c r="F57" s="3">
        <v>11.8052757548549</v>
      </c>
      <c r="G57" s="3">
        <v>15.3806929991974</v>
      </c>
      <c r="H57" s="3">
        <v>11.777253817734801</v>
      </c>
      <c r="I57" s="3">
        <v>18.4224088615026</v>
      </c>
      <c r="J57" s="3">
        <v>15.3641861254762</v>
      </c>
      <c r="K57" s="3">
        <v>12.596618303204499</v>
      </c>
      <c r="L57" s="3">
        <v>13.953594051500099</v>
      </c>
      <c r="M57" s="3">
        <v>13.885310433192</v>
      </c>
      <c r="N57" s="3">
        <v>9.8421853030016404</v>
      </c>
    </row>
    <row r="58" spans="1:14" x14ac:dyDescent="0.35">
      <c r="A58" s="2">
        <v>43524</v>
      </c>
      <c r="B58" s="3">
        <v>21.570719669068399</v>
      </c>
      <c r="C58" s="3">
        <v>15.3518467142567</v>
      </c>
      <c r="D58" s="3">
        <v>14.1221263560808</v>
      </c>
      <c r="E58" s="3">
        <v>12.110553041979401</v>
      </c>
      <c r="F58" s="3">
        <v>12.4615144830221</v>
      </c>
      <c r="G58" s="3">
        <v>16.338073948078801</v>
      </c>
      <c r="H58" s="3">
        <v>12.399630052562401</v>
      </c>
      <c r="I58" s="3">
        <v>19.671921142110399</v>
      </c>
      <c r="J58" s="3">
        <v>16.2188096213021</v>
      </c>
      <c r="K58" s="3">
        <v>13.4777878618813</v>
      </c>
      <c r="L58" s="3">
        <v>14.8504332804713</v>
      </c>
      <c r="M58" s="3">
        <v>14.7869103765623</v>
      </c>
      <c r="N58" s="3">
        <v>10.579188236159</v>
      </c>
    </row>
    <row r="59" spans="1:14" x14ac:dyDescent="0.35">
      <c r="A59" s="2">
        <v>43552</v>
      </c>
      <c r="B59" s="3">
        <v>22.161496825731501</v>
      </c>
      <c r="C59" s="3">
        <v>15.280463478553299</v>
      </c>
      <c r="D59" s="3">
        <v>14.1568543223035</v>
      </c>
      <c r="E59" s="3">
        <v>12.075130169359401</v>
      </c>
      <c r="F59" s="3">
        <v>12.403600239620101</v>
      </c>
      <c r="G59" s="3">
        <v>16.453381968332</v>
      </c>
      <c r="H59" s="3">
        <v>12.4851157516733</v>
      </c>
      <c r="I59" s="3">
        <v>20.169372651022101</v>
      </c>
      <c r="J59" s="3">
        <v>16.319333685172101</v>
      </c>
      <c r="K59" s="3">
        <v>13.464155971041601</v>
      </c>
      <c r="L59" s="3">
        <v>15.0068824538918</v>
      </c>
      <c r="M59" s="3">
        <v>14.761212702999099</v>
      </c>
      <c r="N59" s="3">
        <v>10.692857969202199</v>
      </c>
    </row>
    <row r="60" spans="1:14" x14ac:dyDescent="0.35">
      <c r="A60" s="2">
        <v>43581</v>
      </c>
      <c r="B60" s="3">
        <v>22.656241883512799</v>
      </c>
      <c r="C60" s="3">
        <v>15.543007785613099</v>
      </c>
      <c r="D60" s="3">
        <v>13.9518569273026</v>
      </c>
      <c r="E60" s="3">
        <v>12.996511226302999</v>
      </c>
      <c r="F60" s="3">
        <v>12.7370376328623</v>
      </c>
      <c r="G60" s="3">
        <v>16.909582008761799</v>
      </c>
      <c r="H60" s="3">
        <v>12.661174008425199</v>
      </c>
      <c r="I60" s="3">
        <v>21.407128373124699</v>
      </c>
      <c r="J60" s="3">
        <v>16.902202174316798</v>
      </c>
      <c r="K60" s="3">
        <v>14.099702078520201</v>
      </c>
      <c r="L60" s="3">
        <v>15.681772093142101</v>
      </c>
      <c r="M60" s="3">
        <v>15.889131138921501</v>
      </c>
      <c r="N60" s="3">
        <v>10.864354512141601</v>
      </c>
    </row>
    <row r="61" spans="1:14" x14ac:dyDescent="0.35">
      <c r="A61" s="2">
        <v>43613</v>
      </c>
      <c r="B61" s="3">
        <v>23.1219465712838</v>
      </c>
      <c r="C61" s="3">
        <v>15.7299025069166</v>
      </c>
      <c r="D61" s="3">
        <v>13.5483717126199</v>
      </c>
      <c r="E61" s="3">
        <v>12.334145697943899</v>
      </c>
      <c r="F61" s="3">
        <v>12.4401869056161</v>
      </c>
      <c r="G61" s="3">
        <v>16.691779823273102</v>
      </c>
      <c r="H61" s="3">
        <v>12.205243005658399</v>
      </c>
      <c r="I61" s="3">
        <v>19.768361179017099</v>
      </c>
      <c r="J61" s="3">
        <v>15.980306473446101</v>
      </c>
      <c r="K61" s="3">
        <v>13.4252287593379</v>
      </c>
      <c r="L61" s="3">
        <v>15.028433526046699</v>
      </c>
      <c r="M61" s="3">
        <v>14.628402463934799</v>
      </c>
      <c r="N61" s="3">
        <v>10.0334876738824</v>
      </c>
    </row>
    <row r="62" spans="1:14" x14ac:dyDescent="0.35">
      <c r="A62" s="2">
        <v>43644</v>
      </c>
      <c r="B62" s="3">
        <v>23.720287317614201</v>
      </c>
      <c r="C62" s="3">
        <v>16.1962504917731</v>
      </c>
      <c r="D62" s="3">
        <v>13.6844987120702</v>
      </c>
      <c r="E62" s="3">
        <v>12.751191384801301</v>
      </c>
      <c r="F62" s="3">
        <v>12.719721601451701</v>
      </c>
      <c r="G62" s="3">
        <v>17.176886787076299</v>
      </c>
      <c r="H62" s="3">
        <v>12.587925071526</v>
      </c>
      <c r="I62" s="3">
        <v>20.811870735508801</v>
      </c>
      <c r="J62" s="3">
        <v>16.733424257917001</v>
      </c>
      <c r="K62" s="3">
        <v>13.9078203954288</v>
      </c>
      <c r="L62" s="3">
        <v>15.4834378485148</v>
      </c>
      <c r="M62" s="3">
        <v>15.0017797984324</v>
      </c>
      <c r="N62" s="3">
        <v>10.463988994371499</v>
      </c>
    </row>
    <row r="63" spans="1:14" x14ac:dyDescent="0.35">
      <c r="A63" s="2">
        <v>43672</v>
      </c>
      <c r="B63" s="3">
        <v>24.455051715669502</v>
      </c>
      <c r="C63" s="3">
        <v>16.388720713714601</v>
      </c>
      <c r="D63" s="3">
        <v>13.741239514338</v>
      </c>
      <c r="E63" s="3">
        <v>13.0103525290126</v>
      </c>
      <c r="F63" s="3">
        <v>12.912706986610299</v>
      </c>
      <c r="G63" s="3">
        <v>17.099839459551902</v>
      </c>
      <c r="H63" s="3">
        <v>12.640869707677901</v>
      </c>
      <c r="I63" s="3">
        <v>21.531458450903699</v>
      </c>
      <c r="J63" s="3">
        <v>17.214526635738402</v>
      </c>
      <c r="K63" s="3">
        <v>14.210611540927999</v>
      </c>
      <c r="L63" s="3">
        <v>15.98423343854</v>
      </c>
      <c r="M63" s="3">
        <v>15.058358586777199</v>
      </c>
      <c r="N63" s="3">
        <v>10.758513118256801</v>
      </c>
    </row>
    <row r="64" spans="1:14" x14ac:dyDescent="0.35">
      <c r="A64" s="2">
        <v>43705</v>
      </c>
      <c r="B64" s="3">
        <v>25.385065961414</v>
      </c>
      <c r="C64" s="3">
        <v>15.920396792365899</v>
      </c>
      <c r="D64" s="3">
        <v>13.515574013276799</v>
      </c>
      <c r="E64" s="3">
        <v>12.3804932779144</v>
      </c>
      <c r="F64" s="3">
        <v>12.3786729870112</v>
      </c>
      <c r="G64" s="3">
        <v>16.772683390640498</v>
      </c>
      <c r="H64" s="3">
        <v>11.891111988874</v>
      </c>
      <c r="I64" s="3">
        <v>20.194891352869099</v>
      </c>
      <c r="J64" s="3">
        <v>16.3584663945072</v>
      </c>
      <c r="K64" s="3">
        <v>13.5176127892728</v>
      </c>
      <c r="L64" s="3">
        <v>15.2283692108983</v>
      </c>
      <c r="M64" s="3">
        <v>13.533232863944701</v>
      </c>
      <c r="N64" s="3">
        <v>10.294642700413601</v>
      </c>
    </row>
    <row r="65" spans="1:14" x14ac:dyDescent="0.35">
      <c r="A65" s="2">
        <v>43735</v>
      </c>
      <c r="B65" s="3">
        <v>25.272523486364101</v>
      </c>
      <c r="C65" s="3">
        <v>16.744993420495501</v>
      </c>
      <c r="D65" s="3">
        <v>13.9521812334812</v>
      </c>
      <c r="E65" s="3">
        <v>13.015560921491</v>
      </c>
      <c r="F65" s="3">
        <v>13.313704838274401</v>
      </c>
      <c r="G65" s="3">
        <v>17.1095214315649</v>
      </c>
      <c r="H65" s="3">
        <v>12.4869752746618</v>
      </c>
      <c r="I65" s="3">
        <v>20.276499144472201</v>
      </c>
      <c r="J65" s="3">
        <v>16.721889237336701</v>
      </c>
      <c r="K65" s="3">
        <v>14.130046188343201</v>
      </c>
      <c r="L65" s="3">
        <v>16.184677901640999</v>
      </c>
      <c r="M65" s="3">
        <v>15.068986398175401</v>
      </c>
      <c r="N65" s="3">
        <v>10.779550435768</v>
      </c>
    </row>
    <row r="66" spans="1:14" x14ac:dyDescent="0.35">
      <c r="A66" s="2">
        <v>43766</v>
      </c>
      <c r="B66" s="3">
        <v>24.6994036467398</v>
      </c>
      <c r="C66" s="3">
        <v>17.020958147163601</v>
      </c>
      <c r="D66" s="3">
        <v>13.8557688641043</v>
      </c>
      <c r="E66" s="3">
        <v>13.6079918950416</v>
      </c>
      <c r="F66" s="3">
        <v>13.720185676944</v>
      </c>
      <c r="G66" s="3">
        <v>17.268315216820699</v>
      </c>
      <c r="H66" s="3">
        <v>12.66220815534</v>
      </c>
      <c r="I66" s="3">
        <v>21.179242178870101</v>
      </c>
      <c r="J66" s="3">
        <v>17.182479802503199</v>
      </c>
      <c r="K66" s="3">
        <v>14.4504167692316</v>
      </c>
      <c r="L66" s="3">
        <v>16.274235450039999</v>
      </c>
      <c r="M66" s="3">
        <v>15.9469884978664</v>
      </c>
      <c r="N66" s="3">
        <v>11.0760152843444</v>
      </c>
    </row>
    <row r="67" spans="1:14" x14ac:dyDescent="0.35">
      <c r="A67" s="2">
        <v>43796</v>
      </c>
      <c r="B67" s="3">
        <v>25.569469355029302</v>
      </c>
      <c r="C67" s="3">
        <v>17.420519221687201</v>
      </c>
      <c r="D67" s="3">
        <v>14.4573252736743</v>
      </c>
      <c r="E67" s="3">
        <v>14.1510919036298</v>
      </c>
      <c r="F67" s="3">
        <v>14.307633640335499</v>
      </c>
      <c r="G67" s="3">
        <v>17.601780254849501</v>
      </c>
      <c r="H67" s="3">
        <v>13.114180080602299</v>
      </c>
      <c r="I67" s="3">
        <v>22.1225216618421</v>
      </c>
      <c r="J67" s="3">
        <v>17.792281397834799</v>
      </c>
      <c r="K67" s="3">
        <v>14.8108168167262</v>
      </c>
      <c r="L67" s="3">
        <v>16.764542615478099</v>
      </c>
      <c r="M67" s="3">
        <v>15.708725704109201</v>
      </c>
      <c r="N67" s="3">
        <v>11.355849471257001</v>
      </c>
    </row>
    <row r="68" spans="1:14" x14ac:dyDescent="0.35">
      <c r="A68" s="2">
        <v>43826</v>
      </c>
      <c r="B68" s="3">
        <v>26.0858022951486</v>
      </c>
      <c r="C68" s="3">
        <v>17.493343828842502</v>
      </c>
      <c r="D68" s="3">
        <v>14.5184963575003</v>
      </c>
      <c r="E68" s="3">
        <v>14.1887287403125</v>
      </c>
      <c r="F68" s="3">
        <v>14.633284944253599</v>
      </c>
      <c r="G68" s="3">
        <v>17.9720331604032</v>
      </c>
      <c r="H68" s="3">
        <v>13.590350588969899</v>
      </c>
      <c r="I68" s="3">
        <v>22.864363824304299</v>
      </c>
      <c r="J68" s="3">
        <v>18.227378145262001</v>
      </c>
      <c r="K68" s="3">
        <v>15.0434682522783</v>
      </c>
      <c r="L68" s="3">
        <v>17.1821495250251</v>
      </c>
      <c r="M68" s="3">
        <v>16.385705784989799</v>
      </c>
      <c r="N68" s="3">
        <v>11.5142226201628</v>
      </c>
    </row>
    <row r="69" spans="1:14" x14ac:dyDescent="0.35">
      <c r="A69" s="2">
        <v>43858</v>
      </c>
      <c r="B69" s="3">
        <v>26.124027370051898</v>
      </c>
      <c r="C69" s="3">
        <v>17.8626913435745</v>
      </c>
      <c r="D69" s="3">
        <v>14.635118504379999</v>
      </c>
      <c r="E69" s="3">
        <v>14.1313842721996</v>
      </c>
      <c r="F69" s="3">
        <v>14.270910897068299</v>
      </c>
      <c r="G69" s="3">
        <v>18.037040547915598</v>
      </c>
      <c r="H69" s="3">
        <v>13.2472348286091</v>
      </c>
      <c r="I69" s="3">
        <v>23.348799865950902</v>
      </c>
      <c r="J69" s="3">
        <v>18.327342486739798</v>
      </c>
      <c r="K69" s="3">
        <v>14.793759693494501</v>
      </c>
      <c r="L69" s="3">
        <v>17.084580885469901</v>
      </c>
      <c r="M69" s="3">
        <v>16.251158026972998</v>
      </c>
      <c r="N69" s="3">
        <v>11.565504980891101</v>
      </c>
    </row>
    <row r="70" spans="1:14" x14ac:dyDescent="0.35">
      <c r="A70" s="2">
        <v>43889</v>
      </c>
      <c r="B70" s="3">
        <v>25.9075376731227</v>
      </c>
      <c r="C70" s="3">
        <v>16.474077348146</v>
      </c>
      <c r="D70" s="3">
        <v>13.713008542723699</v>
      </c>
      <c r="E70" s="3">
        <v>12.690723718662101</v>
      </c>
      <c r="F70" s="3">
        <v>12.986079900839799</v>
      </c>
      <c r="G70" s="3">
        <v>16.481213972625</v>
      </c>
      <c r="H70" s="3">
        <v>11.868003885510101</v>
      </c>
      <c r="I70" s="3">
        <v>21.363400255165601</v>
      </c>
      <c r="J70" s="3">
        <v>16.576346301768599</v>
      </c>
      <c r="K70" s="3">
        <v>13.4531981354815</v>
      </c>
      <c r="L70" s="3">
        <v>15.652215115504999</v>
      </c>
      <c r="M70" s="3">
        <v>15.0630381290316</v>
      </c>
      <c r="N70" s="3">
        <v>10.5432842641668</v>
      </c>
    </row>
    <row r="71" spans="1:14" x14ac:dyDescent="0.35">
      <c r="A71" s="2">
        <v>43917</v>
      </c>
      <c r="B71" s="3">
        <v>24.064006929166499</v>
      </c>
      <c r="C71" s="3">
        <v>13.2649161217124</v>
      </c>
      <c r="D71" s="3">
        <v>12.340421600591799</v>
      </c>
      <c r="E71" s="3">
        <v>11.572129881241301</v>
      </c>
      <c r="F71" s="3">
        <v>12.666355781546301</v>
      </c>
      <c r="G71" s="3">
        <v>15.3945458553283</v>
      </c>
      <c r="H71" s="3">
        <v>11.3526142832942</v>
      </c>
      <c r="I71" s="3">
        <v>19.9634009432814</v>
      </c>
      <c r="J71" s="3">
        <v>15.1716266482048</v>
      </c>
      <c r="K71" s="3">
        <v>12.3962681448673</v>
      </c>
      <c r="L71" s="3">
        <v>13.7338412928161</v>
      </c>
      <c r="M71" s="3">
        <v>13.5306074789682</v>
      </c>
      <c r="N71" s="3">
        <v>9.4438765415497201</v>
      </c>
    </row>
    <row r="72" spans="1:14" x14ac:dyDescent="0.35">
      <c r="A72" s="2">
        <v>43949</v>
      </c>
      <c r="B72" s="3">
        <v>29.759918862289201</v>
      </c>
      <c r="C72" s="3">
        <v>16.6378716021893</v>
      </c>
      <c r="D72" s="3">
        <v>16.350239320350202</v>
      </c>
      <c r="E72" s="3">
        <v>14.708506975431099</v>
      </c>
      <c r="F72" s="3">
        <v>13.8706116603031</v>
      </c>
      <c r="G72" s="3">
        <v>18.5744256372713</v>
      </c>
      <c r="H72" s="3">
        <v>14.8314860720547</v>
      </c>
      <c r="I72" s="3">
        <v>24.142786153080799</v>
      </c>
      <c r="J72" s="3">
        <v>19.832532538970799</v>
      </c>
      <c r="K72" s="3">
        <v>16.152834826805599</v>
      </c>
      <c r="L72" s="3">
        <v>17.166112932140098</v>
      </c>
      <c r="M72" s="3">
        <v>16.977287856377501</v>
      </c>
      <c r="N72" s="3">
        <v>12.9661229028756</v>
      </c>
    </row>
    <row r="73" spans="1:14" x14ac:dyDescent="0.35">
      <c r="A73" s="2">
        <v>43979</v>
      </c>
      <c r="B73" s="3">
        <v>31.4978954616492</v>
      </c>
      <c r="C73" s="3">
        <v>18.807496679417401</v>
      </c>
      <c r="D73" s="3">
        <v>18.655439716201599</v>
      </c>
      <c r="E73" s="3">
        <v>16.855007973539799</v>
      </c>
      <c r="F73" s="3">
        <v>16.2381651614551</v>
      </c>
      <c r="G73" s="3">
        <v>19.152013727513999</v>
      </c>
      <c r="H73" s="3">
        <v>16.1436799749623</v>
      </c>
      <c r="I73" s="3">
        <v>26.978775155912199</v>
      </c>
      <c r="J73" s="3">
        <v>21.557590469381399</v>
      </c>
      <c r="K73" s="3">
        <v>17.781502730648899</v>
      </c>
      <c r="L73" s="3">
        <v>18.545437198559998</v>
      </c>
      <c r="M73" s="3">
        <v>18.8737734959862</v>
      </c>
      <c r="N73" s="3">
        <v>16.025441240899099</v>
      </c>
    </row>
    <row r="74" spans="1:14" x14ac:dyDescent="0.35">
      <c r="A74" s="2">
        <v>44008</v>
      </c>
      <c r="B74" s="3">
        <v>30.42766345727</v>
      </c>
      <c r="C74" s="3">
        <v>18.823478961166099</v>
      </c>
      <c r="D74" s="3">
        <v>17.364011557392601</v>
      </c>
      <c r="E74" s="3">
        <v>17.3644500058966</v>
      </c>
      <c r="F74" s="3">
        <v>17.850933566575801</v>
      </c>
      <c r="G74" s="3">
        <v>19.2339199768474</v>
      </c>
      <c r="H74" s="3">
        <v>15.8076456505569</v>
      </c>
      <c r="I74" s="3">
        <v>27.5830899963908</v>
      </c>
      <c r="J74" s="3">
        <v>21.113926024296699</v>
      </c>
      <c r="K74" s="3">
        <v>18.629253782420001</v>
      </c>
      <c r="L74" s="3">
        <v>19.400091377086401</v>
      </c>
      <c r="M74" s="3">
        <v>19.260716645246699</v>
      </c>
      <c r="N74" s="3">
        <v>17.1626935860264</v>
      </c>
    </row>
    <row r="75" spans="1:14" x14ac:dyDescent="0.35">
      <c r="A75" s="2">
        <v>44040</v>
      </c>
      <c r="B75" s="3">
        <v>31.708570375865101</v>
      </c>
      <c r="C75" s="3">
        <v>19.3362267983603</v>
      </c>
      <c r="D75" s="3">
        <v>17.496080616789602</v>
      </c>
      <c r="E75" s="3">
        <v>18.133359716112398</v>
      </c>
      <c r="F75" s="3">
        <v>17.830490223597799</v>
      </c>
      <c r="G75" s="3">
        <v>19.7212842483321</v>
      </c>
      <c r="H75" s="3">
        <v>15.7017417074386</v>
      </c>
      <c r="I75" s="3">
        <v>28.655030142003799</v>
      </c>
      <c r="J75" s="3">
        <v>21.899817143372498</v>
      </c>
      <c r="K75" s="3">
        <v>19.359676302340802</v>
      </c>
      <c r="L75" s="3">
        <v>20.040095716886</v>
      </c>
      <c r="M75" s="3">
        <v>18.716625962941301</v>
      </c>
      <c r="N75" s="3">
        <v>17.367293396753599</v>
      </c>
    </row>
    <row r="76" spans="1:14" x14ac:dyDescent="0.35">
      <c r="A76" s="2">
        <v>44071</v>
      </c>
      <c r="B76" s="3">
        <v>33.440045843150898</v>
      </c>
      <c r="C76" s="3">
        <v>19.5936908184514</v>
      </c>
      <c r="D76" s="3">
        <v>17.406633844715099</v>
      </c>
      <c r="E76" s="3">
        <v>17.878953695464102</v>
      </c>
      <c r="F76" s="3">
        <v>17.970435888917901</v>
      </c>
      <c r="G76" s="3">
        <v>19.480240576516898</v>
      </c>
      <c r="H76" s="3">
        <v>15.335029835533</v>
      </c>
      <c r="I76" s="3">
        <v>31.297892552357698</v>
      </c>
      <c r="J76" s="3">
        <v>22.959390756405298</v>
      </c>
      <c r="K76" s="3">
        <v>19.538119752845699</v>
      </c>
      <c r="L76" s="3">
        <v>19.846733058513099</v>
      </c>
      <c r="M76" s="3">
        <v>18.240243005214001</v>
      </c>
      <c r="N76" s="3">
        <v>15.9079809952002</v>
      </c>
    </row>
    <row r="77" spans="1:14" x14ac:dyDescent="0.35">
      <c r="A77" s="2">
        <v>44102</v>
      </c>
      <c r="B77" s="3">
        <v>32.127303881637602</v>
      </c>
      <c r="C77" s="3">
        <v>18.419334015495402</v>
      </c>
      <c r="D77" s="3">
        <v>16.368434367953299</v>
      </c>
      <c r="E77" s="3">
        <v>17.027561844354398</v>
      </c>
      <c r="F77" s="3">
        <v>18.470300896796701</v>
      </c>
      <c r="G77" s="3">
        <v>19.091496250556201</v>
      </c>
      <c r="H77" s="3">
        <v>14.523590333153299</v>
      </c>
      <c r="I77" s="3">
        <v>29.091470279206401</v>
      </c>
      <c r="J77" s="3">
        <v>21.462548214793301</v>
      </c>
      <c r="K77" s="3">
        <v>18.1902202718965</v>
      </c>
      <c r="L77" s="3">
        <v>19.251243817973599</v>
      </c>
      <c r="M77" s="3">
        <v>18.405241141464</v>
      </c>
      <c r="N77" s="3">
        <v>14.849989630526</v>
      </c>
    </row>
    <row r="78" spans="1:14" x14ac:dyDescent="0.35">
      <c r="A78" s="2">
        <v>44132</v>
      </c>
      <c r="B78" s="3">
        <v>33.1059694968069</v>
      </c>
      <c r="C78" s="3">
        <v>18.200443524049799</v>
      </c>
      <c r="D78" s="3">
        <v>15.2120973644556</v>
      </c>
      <c r="E78" s="3">
        <v>14.661731507924999</v>
      </c>
      <c r="F78" s="3">
        <v>17.507084925523301</v>
      </c>
      <c r="G78" s="3">
        <v>17.650172067737401</v>
      </c>
      <c r="H78" s="3">
        <v>13.118393441498601</v>
      </c>
      <c r="I78" s="3">
        <v>27.9046564223428</v>
      </c>
      <c r="J78" s="3">
        <v>20.365588946944101</v>
      </c>
      <c r="K78" s="3">
        <v>16.571032549755</v>
      </c>
      <c r="L78" s="3">
        <v>18.6689337934544</v>
      </c>
      <c r="M78" s="3">
        <v>16.324666249394301</v>
      </c>
      <c r="N78" s="3">
        <v>13.1999643536896</v>
      </c>
    </row>
    <row r="79" spans="1:14" x14ac:dyDescent="0.35">
      <c r="A79" s="2">
        <v>44162</v>
      </c>
      <c r="B79" s="3">
        <v>32.1588818109295</v>
      </c>
      <c r="C79" s="3">
        <v>19.607374173209799</v>
      </c>
      <c r="D79" s="3">
        <v>16.308155510449598</v>
      </c>
      <c r="E79" s="3">
        <v>16.1996170361077</v>
      </c>
      <c r="F79" s="3">
        <v>18.813793185178199</v>
      </c>
      <c r="G79" s="3">
        <v>18.8436571141205</v>
      </c>
      <c r="H79" s="3">
        <v>14.6359822290463</v>
      </c>
      <c r="I79" s="3">
        <v>29.6785103816682</v>
      </c>
      <c r="J79" s="3">
        <v>21.917789415285402</v>
      </c>
      <c r="K79" s="3">
        <v>19.215015231612401</v>
      </c>
      <c r="L79" s="3">
        <v>20.734021447467999</v>
      </c>
      <c r="M79" s="3">
        <v>17.574103209837599</v>
      </c>
      <c r="N79" s="3">
        <v>15.123910768472101</v>
      </c>
    </row>
    <row r="80" spans="1:14" x14ac:dyDescent="0.35">
      <c r="A80" s="2">
        <v>44193</v>
      </c>
      <c r="B80" s="3">
        <v>34.303926796561797</v>
      </c>
      <c r="C80" s="3">
        <v>19.171104557122199</v>
      </c>
      <c r="D80" s="3">
        <v>15.9690187778503</v>
      </c>
      <c r="E80" s="3">
        <v>16.149166836562401</v>
      </c>
      <c r="F80" s="3">
        <v>18.233360947672999</v>
      </c>
      <c r="G80" s="3">
        <v>18.687788812570801</v>
      </c>
      <c r="H80" s="3">
        <v>14.4442344170005</v>
      </c>
      <c r="I80" s="3">
        <v>30.045278253801602</v>
      </c>
      <c r="J80" s="3">
        <v>22.3688398361436</v>
      </c>
      <c r="K80" s="3">
        <v>18.151669785793601</v>
      </c>
      <c r="L80" s="3">
        <v>20.653439956673701</v>
      </c>
      <c r="M80" s="3">
        <v>17.274113985031299</v>
      </c>
      <c r="N80" s="3">
        <v>14.852494357443399</v>
      </c>
    </row>
    <row r="81" spans="1:14" x14ac:dyDescent="0.35">
      <c r="A81" s="2">
        <v>44224</v>
      </c>
      <c r="B81" s="3">
        <v>33.567521028808798</v>
      </c>
      <c r="C81" s="3">
        <v>18.694096740597899</v>
      </c>
      <c r="D81" s="3">
        <v>15.7219865116355</v>
      </c>
      <c r="E81" s="3">
        <v>15.616531330344801</v>
      </c>
      <c r="F81" s="3">
        <v>18.383537130575299</v>
      </c>
      <c r="G81" s="3">
        <v>18.842489393714299</v>
      </c>
      <c r="H81" s="3">
        <v>13.944533993021301</v>
      </c>
      <c r="I81" s="3">
        <v>29.569403391120801</v>
      </c>
      <c r="J81" s="3">
        <v>21.774169900103399</v>
      </c>
      <c r="K81" s="3">
        <v>17.613047841781899</v>
      </c>
      <c r="L81" s="3">
        <v>21.144504655966902</v>
      </c>
      <c r="M81" s="3">
        <v>18.782748304661599</v>
      </c>
      <c r="N81" s="3">
        <v>13.491304468862699</v>
      </c>
    </row>
    <row r="82" spans="1:14" x14ac:dyDescent="0.35">
      <c r="A82" s="2">
        <v>44253</v>
      </c>
      <c r="B82" s="3">
        <v>31.507983403909002</v>
      </c>
      <c r="C82" s="3">
        <v>17.955050692596402</v>
      </c>
      <c r="D82" s="3">
        <v>15.117728459974501</v>
      </c>
      <c r="E82" s="3">
        <v>15.3083667940233</v>
      </c>
      <c r="F82" s="3">
        <v>17.643021535661699</v>
      </c>
      <c r="G82" s="3">
        <v>18.237486592664901</v>
      </c>
      <c r="H82" s="3">
        <v>13.7601498222767</v>
      </c>
      <c r="I82" s="3">
        <v>27.847622658061901</v>
      </c>
      <c r="J82" s="3">
        <v>21.3859405351436</v>
      </c>
      <c r="K82" s="3">
        <v>17.731265894421799</v>
      </c>
      <c r="L82" s="3">
        <v>21.416699370011202</v>
      </c>
      <c r="M82" s="3">
        <v>18.792617347802601</v>
      </c>
      <c r="N82" s="3">
        <v>13.701980133488</v>
      </c>
    </row>
    <row r="83" spans="1:14" x14ac:dyDescent="0.35">
      <c r="A83" s="2">
        <v>44281</v>
      </c>
      <c r="B83" s="3">
        <v>31.976178130951801</v>
      </c>
      <c r="C83" s="3">
        <v>17.736930570692</v>
      </c>
      <c r="D83" s="3">
        <v>15.370318025223799</v>
      </c>
      <c r="E83" s="3">
        <v>15.9046684397728</v>
      </c>
      <c r="F83" s="3">
        <v>17.814431938113501</v>
      </c>
      <c r="G83" s="3">
        <v>18.797294737943101</v>
      </c>
      <c r="H83" s="3">
        <v>13.636009786967699</v>
      </c>
      <c r="I83" s="3">
        <v>27.777401355630801</v>
      </c>
      <c r="J83" s="3">
        <v>21.952386939480899</v>
      </c>
      <c r="K83" s="3">
        <v>18.128003031858899</v>
      </c>
      <c r="L83" s="3">
        <v>22.289181552451002</v>
      </c>
      <c r="M83" s="3">
        <v>20.327746365187199</v>
      </c>
      <c r="N83" s="3">
        <v>13.929269466026801</v>
      </c>
    </row>
    <row r="84" spans="1:14" x14ac:dyDescent="0.35">
      <c r="A84" s="2">
        <v>44314</v>
      </c>
      <c r="B84" s="3">
        <v>32.321810353766402</v>
      </c>
      <c r="C84" s="3">
        <v>18.059409206013399</v>
      </c>
      <c r="D84" s="3">
        <v>15.6714139201055</v>
      </c>
      <c r="E84" s="3">
        <v>15.433123066378601</v>
      </c>
      <c r="F84" s="3">
        <v>16.855426303487601</v>
      </c>
      <c r="G84" s="3">
        <v>18.401681940531301</v>
      </c>
      <c r="H84" s="3">
        <v>13.303248798707299</v>
      </c>
      <c r="I84" s="3">
        <v>28.6940959316861</v>
      </c>
      <c r="J84" s="3">
        <v>21.978168503231199</v>
      </c>
      <c r="K84" s="3">
        <v>18.226102916479</v>
      </c>
      <c r="L84" s="3">
        <v>22.185852537601999</v>
      </c>
      <c r="M84" s="3">
        <v>19.120892917456999</v>
      </c>
      <c r="N84" s="3">
        <v>13.629831300150199</v>
      </c>
    </row>
    <row r="85" spans="1:14" x14ac:dyDescent="0.35">
      <c r="A85" s="2">
        <v>44344</v>
      </c>
      <c r="B85" s="3">
        <v>32.338134251720902</v>
      </c>
      <c r="C85" s="3">
        <v>18.124185972402099</v>
      </c>
      <c r="D85" s="3">
        <v>15.5262544810534</v>
      </c>
      <c r="E85" s="3">
        <v>14.884180324568501</v>
      </c>
      <c r="F85" s="3">
        <v>16.648284685650101</v>
      </c>
      <c r="G85" s="3">
        <v>19.3911816465349</v>
      </c>
      <c r="H85" s="3">
        <v>13.185292208757399</v>
      </c>
      <c r="I85" s="3">
        <v>26.960067604190002</v>
      </c>
      <c r="J85" s="3">
        <v>21.254111471644698</v>
      </c>
      <c r="K85" s="3">
        <v>17.922927859217801</v>
      </c>
      <c r="L85" s="3">
        <v>21.214509280588501</v>
      </c>
      <c r="M85" s="3">
        <v>18.5256920987005</v>
      </c>
      <c r="N85" s="3">
        <v>13.598274335345099</v>
      </c>
    </row>
    <row r="86" spans="1:14" x14ac:dyDescent="0.35">
      <c r="A86" s="2">
        <v>44375</v>
      </c>
      <c r="B86" s="3">
        <v>33.833790352605902</v>
      </c>
      <c r="C86" s="3">
        <v>17.698269758890302</v>
      </c>
      <c r="D86" s="3">
        <v>15.606838296977999</v>
      </c>
      <c r="E86" s="3">
        <v>14.7508909813521</v>
      </c>
      <c r="F86" s="3">
        <v>16.433373954002299</v>
      </c>
      <c r="G86" s="3">
        <v>19.897965863210398</v>
      </c>
      <c r="H86" s="3">
        <v>12.796905752955301</v>
      </c>
      <c r="I86" s="3">
        <v>28.305447390960701</v>
      </c>
      <c r="J86" s="3">
        <v>21.356470588696499</v>
      </c>
      <c r="K86" s="3">
        <v>17.5654722161058</v>
      </c>
      <c r="L86" s="3">
        <v>21.356373947006499</v>
      </c>
      <c r="M86" s="3">
        <v>18.588488953314901</v>
      </c>
      <c r="N86" s="3">
        <v>13.4541148650836</v>
      </c>
    </row>
    <row r="87" spans="1:14" x14ac:dyDescent="0.35">
      <c r="A87" s="2">
        <v>44405</v>
      </c>
      <c r="B87" s="3">
        <v>33.627739324844299</v>
      </c>
      <c r="C87" s="3">
        <v>16.710685390740601</v>
      </c>
      <c r="D87" s="3">
        <v>15.092062342921601</v>
      </c>
      <c r="E87" s="3">
        <v>14.3459329961925</v>
      </c>
      <c r="F87" s="3">
        <v>15.716259126647699</v>
      </c>
      <c r="G87" s="3">
        <v>19.6315619450287</v>
      </c>
      <c r="H87" s="3">
        <v>12.3018527182608</v>
      </c>
      <c r="I87" s="3">
        <v>28.330146126524301</v>
      </c>
      <c r="J87" s="3">
        <v>21.110754761759502</v>
      </c>
      <c r="K87" s="3">
        <v>16.987972576380599</v>
      </c>
      <c r="L87" s="3">
        <v>21.3838194872875</v>
      </c>
      <c r="M87" s="3">
        <v>18.624630483456301</v>
      </c>
      <c r="N87" s="3">
        <v>13.081929335765</v>
      </c>
    </row>
    <row r="88" spans="1:14" x14ac:dyDescent="0.35">
      <c r="A88" s="2">
        <v>44435</v>
      </c>
      <c r="B88" s="3">
        <v>34.767216585694399</v>
      </c>
      <c r="C88" s="3">
        <v>17.212406582366398</v>
      </c>
      <c r="D88" s="3">
        <v>14.9317314841787</v>
      </c>
      <c r="E88" s="3">
        <v>14.2402664861022</v>
      </c>
      <c r="F88" s="3">
        <v>15.1205359923683</v>
      </c>
      <c r="G88" s="3">
        <v>19.953701835484399</v>
      </c>
      <c r="H88" s="3">
        <v>12.1586100627239</v>
      </c>
      <c r="I88" s="3">
        <v>28.436866401398699</v>
      </c>
      <c r="J88" s="3">
        <v>21.174194536840599</v>
      </c>
      <c r="K88" s="3">
        <v>16.309194643564599</v>
      </c>
      <c r="L88" s="3">
        <v>21.916182578456599</v>
      </c>
      <c r="M88" s="3">
        <v>18.629745099701399</v>
      </c>
      <c r="N88" s="3">
        <v>11.9968823855508</v>
      </c>
    </row>
    <row r="89" spans="1:14" x14ac:dyDescent="0.35">
      <c r="A89" s="2">
        <v>44467</v>
      </c>
      <c r="B89" s="3">
        <v>34.380354219925302</v>
      </c>
      <c r="C89" s="3">
        <v>16.8894684933543</v>
      </c>
      <c r="D89" s="3">
        <v>14.4185531358441</v>
      </c>
      <c r="E89" s="3">
        <v>13.5598904825109</v>
      </c>
      <c r="F89" s="3">
        <v>15.906886267221299</v>
      </c>
      <c r="G89" s="3">
        <v>18.126122834550799</v>
      </c>
      <c r="H89" s="3">
        <v>11.8054140894632</v>
      </c>
      <c r="I89" s="3">
        <v>26.951549295026499</v>
      </c>
      <c r="J89" s="3">
        <v>20.317632688527599</v>
      </c>
      <c r="K89" s="3">
        <v>15.594867283970901</v>
      </c>
      <c r="L89" s="3">
        <v>20.623270819305901</v>
      </c>
      <c r="M89" s="3">
        <v>17.8366283205761</v>
      </c>
      <c r="N89" s="3">
        <v>11.5775501235376</v>
      </c>
    </row>
    <row r="90" spans="1:14" x14ac:dyDescent="0.35">
      <c r="A90" s="2">
        <v>44497</v>
      </c>
      <c r="B90" s="3">
        <v>33.342679027341603</v>
      </c>
      <c r="C90" s="3">
        <v>17.718246841245801</v>
      </c>
      <c r="D90" s="3">
        <v>15.007502758290199</v>
      </c>
      <c r="E90" s="3">
        <v>13.7727711855566</v>
      </c>
      <c r="F90" s="3">
        <v>15.1464412101256</v>
      </c>
      <c r="G90" s="3">
        <v>19.047274033074</v>
      </c>
      <c r="H90" s="3">
        <v>12.2472338100218</v>
      </c>
      <c r="I90" s="3">
        <v>28.604840371164499</v>
      </c>
      <c r="J90" s="3">
        <v>21.104738996857701</v>
      </c>
      <c r="K90" s="3">
        <v>15.724945849223101</v>
      </c>
      <c r="L90" s="3">
        <v>21.262481892513701</v>
      </c>
      <c r="M90" s="3">
        <v>18.337791386737301</v>
      </c>
      <c r="N90" s="3">
        <v>11.7210635513332</v>
      </c>
    </row>
    <row r="91" spans="1:14" x14ac:dyDescent="0.35">
      <c r="A91" s="2">
        <v>44526</v>
      </c>
      <c r="B91" s="3">
        <v>31.618648657824199</v>
      </c>
      <c r="C91" s="3">
        <v>16.911174781327301</v>
      </c>
      <c r="D91" s="3">
        <v>14.534128579926101</v>
      </c>
      <c r="E91" s="3">
        <v>12.984283613373799</v>
      </c>
      <c r="F91" s="3">
        <v>14.830425103506199</v>
      </c>
      <c r="G91" s="3">
        <v>18.689155144724001</v>
      </c>
      <c r="H91" s="3">
        <v>11.606123745836401</v>
      </c>
      <c r="I91" s="3">
        <v>28.8558290214199</v>
      </c>
      <c r="J91" s="3">
        <v>20.835285401556899</v>
      </c>
      <c r="K91" s="3">
        <v>15.1145108309173</v>
      </c>
      <c r="L91" s="3">
        <v>20.2241606212676</v>
      </c>
      <c r="M91" s="3">
        <v>17.891012987023199</v>
      </c>
      <c r="N91" s="3">
        <v>10.981136378192801</v>
      </c>
    </row>
    <row r="92" spans="1:14" x14ac:dyDescent="0.35">
      <c r="A92" s="2">
        <v>44558</v>
      </c>
      <c r="B92" s="3">
        <v>32.150851956927603</v>
      </c>
      <c r="C92" s="3">
        <v>17.443717281095701</v>
      </c>
      <c r="D92" s="3">
        <v>14.449520280613299</v>
      </c>
      <c r="E92" s="3">
        <v>13.4692448395868</v>
      </c>
      <c r="F92" s="3">
        <v>14.6384327838259</v>
      </c>
      <c r="G92" s="3">
        <v>19.900177895757</v>
      </c>
      <c r="H92" s="3">
        <v>12.1608793069177</v>
      </c>
      <c r="I92" s="3">
        <v>29.4804663998334</v>
      </c>
      <c r="J92" s="3">
        <v>21.467277868604999</v>
      </c>
      <c r="K92" s="3">
        <v>15.8595114931945</v>
      </c>
      <c r="L92" s="3">
        <v>20.606523495280602</v>
      </c>
      <c r="M92" s="3">
        <v>18.683923189087</v>
      </c>
      <c r="N92" s="3">
        <v>11.119252251408501</v>
      </c>
    </row>
    <row r="93" spans="1:14" x14ac:dyDescent="0.35">
      <c r="A93" s="2">
        <v>44589</v>
      </c>
      <c r="B93" s="3">
        <v>29.227064470653001</v>
      </c>
      <c r="C93" s="3">
        <v>16.208626177733201</v>
      </c>
      <c r="D93" s="3">
        <v>13.8529167267254</v>
      </c>
      <c r="E93" s="3">
        <v>12.7849182779796</v>
      </c>
      <c r="F93" s="3">
        <v>13.5152167980073</v>
      </c>
      <c r="G93" s="3">
        <v>18.027427061333501</v>
      </c>
      <c r="H93" s="3">
        <v>12.1739906327401</v>
      </c>
      <c r="I93" s="3">
        <v>25.382419333076498</v>
      </c>
      <c r="J93" s="3">
        <v>19.583284548831301</v>
      </c>
      <c r="K93" s="3">
        <v>14.8219614480132</v>
      </c>
      <c r="L93" s="3">
        <v>18.278099487310101</v>
      </c>
      <c r="M93" s="3">
        <v>16.4780354888962</v>
      </c>
      <c r="N93" s="3">
        <v>10.605462200595101</v>
      </c>
    </row>
    <row r="94" spans="1:14" x14ac:dyDescent="0.35">
      <c r="A94" s="2">
        <v>44620</v>
      </c>
      <c r="B94" s="3">
        <v>28.927847849941401</v>
      </c>
      <c r="C94" s="3">
        <v>15.4791782688763</v>
      </c>
      <c r="D94" s="3">
        <v>13.940530285122099</v>
      </c>
      <c r="E94" s="3">
        <v>11.8620758358814</v>
      </c>
      <c r="F94" s="3">
        <v>13.308614401751999</v>
      </c>
      <c r="G94" s="3">
        <v>18.070932109909901</v>
      </c>
      <c r="H94" s="3">
        <v>11.951320163520601</v>
      </c>
      <c r="I94" s="3">
        <v>24.794074969969898</v>
      </c>
      <c r="J94" s="3">
        <v>19.102831815646599</v>
      </c>
      <c r="K94" s="3">
        <v>13.8957966733355</v>
      </c>
      <c r="L94" s="3">
        <v>17.472851575567599</v>
      </c>
      <c r="M94" s="3">
        <v>15.146853319427199</v>
      </c>
      <c r="N94" s="3">
        <v>9.8388811735774304</v>
      </c>
    </row>
    <row r="95" spans="1:14" x14ac:dyDescent="0.35">
      <c r="A95" s="2">
        <v>44648</v>
      </c>
      <c r="B95" s="3">
        <v>28.842097277218301</v>
      </c>
      <c r="C95" s="3">
        <v>16.225810415825801</v>
      </c>
      <c r="D95" s="3">
        <v>13.701440281718099</v>
      </c>
      <c r="E95" s="3">
        <v>11.630793101241901</v>
      </c>
      <c r="F95" s="3">
        <v>13.4772079572625</v>
      </c>
      <c r="G95" s="3">
        <v>18.242826503891301</v>
      </c>
      <c r="H95" s="3">
        <v>11.3447872360482</v>
      </c>
      <c r="I95" s="3">
        <v>25.905771086022199</v>
      </c>
      <c r="J95" s="3">
        <v>19.687000788277999</v>
      </c>
      <c r="K95" s="3">
        <v>13.427134416996999</v>
      </c>
      <c r="L95" s="3">
        <v>18.190545319872101</v>
      </c>
      <c r="M95" s="3">
        <v>15.1680767816586</v>
      </c>
      <c r="N95" s="3">
        <v>9.6108596014975998</v>
      </c>
    </row>
    <row r="96" spans="1:14" x14ac:dyDescent="0.35">
      <c r="A96" s="2">
        <v>44679</v>
      </c>
      <c r="B96" s="3">
        <v>28.539333594273199</v>
      </c>
      <c r="C96" s="3">
        <v>14.8617548828346</v>
      </c>
      <c r="D96" s="3">
        <v>12.8160714490791</v>
      </c>
      <c r="E96" s="3">
        <v>11.1255010859179</v>
      </c>
      <c r="F96" s="3">
        <v>12.850947914251901</v>
      </c>
      <c r="G96" s="3">
        <v>17.825851059075699</v>
      </c>
      <c r="H96" s="3">
        <v>10.6850860072099</v>
      </c>
      <c r="I96" s="3">
        <v>23.165384577252599</v>
      </c>
      <c r="J96" s="3">
        <v>18.105568042080499</v>
      </c>
      <c r="K96" s="3">
        <v>12.8253897965847</v>
      </c>
      <c r="L96" s="3">
        <v>17.124413270807899</v>
      </c>
      <c r="M96" s="3">
        <v>14.470263656771399</v>
      </c>
      <c r="N96" s="3">
        <v>9.3469730657631001</v>
      </c>
    </row>
    <row r="97" spans="1:14" x14ac:dyDescent="0.35">
      <c r="A97" s="2">
        <v>44708</v>
      </c>
      <c r="B97" s="3">
        <v>26.780744768853001</v>
      </c>
      <c r="C97" s="3">
        <v>14.241696053553101</v>
      </c>
      <c r="D97" s="3">
        <v>12.4983161589908</v>
      </c>
      <c r="E97" s="3">
        <v>10.9876829322855</v>
      </c>
      <c r="F97" s="3">
        <v>12.669330913261501</v>
      </c>
      <c r="G97" s="3">
        <v>17.116980505736599</v>
      </c>
      <c r="H97" s="3">
        <v>10.537573762695899</v>
      </c>
      <c r="I97" s="3">
        <v>21.913137356354898</v>
      </c>
      <c r="J97" s="3">
        <v>17.472850826259901</v>
      </c>
      <c r="K97" s="3">
        <v>12.4278904995655</v>
      </c>
      <c r="L97" s="3">
        <v>17.261307815528799</v>
      </c>
      <c r="M97" s="3">
        <v>16.169203798044201</v>
      </c>
      <c r="N97" s="3">
        <v>9.0774400011007401</v>
      </c>
    </row>
    <row r="98" spans="1:14" x14ac:dyDescent="0.35">
      <c r="A98" s="2">
        <v>44740</v>
      </c>
      <c r="B98" s="3">
        <v>25.905957637108099</v>
      </c>
      <c r="C98" s="3">
        <v>12.9977467932447</v>
      </c>
      <c r="D98" s="3">
        <v>11.404403946747101</v>
      </c>
      <c r="E98" s="3">
        <v>10.0589111303581</v>
      </c>
      <c r="F98" s="3">
        <v>12.575853872245</v>
      </c>
      <c r="G98" s="3">
        <v>15.8014426252828</v>
      </c>
      <c r="H98" s="3">
        <v>9.9636996253838408</v>
      </c>
      <c r="I98" s="3">
        <v>20.014760787935199</v>
      </c>
      <c r="J98" s="3">
        <v>15.953054002057501</v>
      </c>
      <c r="K98" s="3">
        <v>11.5200377777343</v>
      </c>
      <c r="L98" s="3">
        <v>16.2647638305226</v>
      </c>
      <c r="M98" s="3">
        <v>14.4741439041099</v>
      </c>
      <c r="N98" s="3">
        <v>8.0131859964367305</v>
      </c>
    </row>
    <row r="99" spans="1:14" x14ac:dyDescent="0.35">
      <c r="A99" s="2">
        <v>44770</v>
      </c>
      <c r="B99" s="3">
        <v>25.886667360730002</v>
      </c>
      <c r="C99" s="3">
        <v>13.746166313364</v>
      </c>
      <c r="D99" s="3">
        <v>11.4487692258854</v>
      </c>
      <c r="E99" s="3">
        <v>10.141368928532801</v>
      </c>
      <c r="F99" s="3">
        <v>12.805426016448999</v>
      </c>
      <c r="G99" s="3">
        <v>16.785055450924599</v>
      </c>
      <c r="H99" s="3">
        <v>9.8074773011859993</v>
      </c>
      <c r="I99" s="3">
        <v>22.385108602270801</v>
      </c>
      <c r="J99" s="3">
        <v>17.1515885509173</v>
      </c>
      <c r="K99" s="3">
        <v>11.5954501756186</v>
      </c>
      <c r="L99" s="3">
        <v>17.865974378668898</v>
      </c>
      <c r="M99" s="3">
        <v>15.215803933427299</v>
      </c>
      <c r="N99" s="3">
        <v>7.6563175578861902</v>
      </c>
    </row>
    <row r="100" spans="1:14" x14ac:dyDescent="0.35">
      <c r="A100" s="2">
        <v>44799</v>
      </c>
      <c r="B100" s="3">
        <v>27.594040650586098</v>
      </c>
      <c r="C100" s="3">
        <v>14.231778232545301</v>
      </c>
      <c r="D100" s="3">
        <v>11.6703099684881</v>
      </c>
      <c r="E100" s="3">
        <v>9.6424788761400198</v>
      </c>
      <c r="F100" s="3">
        <v>12.9708008154631</v>
      </c>
      <c r="G100" s="3">
        <v>16.286018106137899</v>
      </c>
      <c r="H100" s="3">
        <v>9.56632661980907</v>
      </c>
      <c r="I100" s="3">
        <v>22.4622741277032</v>
      </c>
      <c r="J100" s="3">
        <v>17.100365526028501</v>
      </c>
      <c r="K100" s="3">
        <v>11.2848215826281</v>
      </c>
      <c r="L100" s="3">
        <v>16.717259005105301</v>
      </c>
      <c r="M100" s="3">
        <v>14.271908245054</v>
      </c>
      <c r="N100" s="3">
        <v>7.4297650302586504</v>
      </c>
    </row>
    <row r="101" spans="1:14" x14ac:dyDescent="0.35">
      <c r="A101" s="2">
        <v>44832</v>
      </c>
      <c r="B101" s="3">
        <v>24.269062569191401</v>
      </c>
      <c r="C101" s="3">
        <v>12.525543533377901</v>
      </c>
      <c r="D101" s="3">
        <v>10.879771358694001</v>
      </c>
      <c r="E101" s="3">
        <v>9.0504881199934104</v>
      </c>
      <c r="F101" s="3">
        <v>12.0257768358713</v>
      </c>
      <c r="G101" s="3">
        <v>14.9174418926636</v>
      </c>
      <c r="H101" s="3">
        <v>8.4606923822665792</v>
      </c>
      <c r="I101" s="3">
        <v>20.364558680671099</v>
      </c>
      <c r="J101" s="3">
        <v>15.6881805872521</v>
      </c>
      <c r="K101" s="3">
        <v>10.193716857544199</v>
      </c>
      <c r="L101" s="3">
        <v>14.457023445441299</v>
      </c>
      <c r="M101" s="3">
        <v>13.1493643086544</v>
      </c>
      <c r="N101" s="3">
        <v>7.2197963272602603</v>
      </c>
    </row>
    <row r="102" spans="1:14" x14ac:dyDescent="0.35">
      <c r="A102" s="2">
        <v>44862</v>
      </c>
      <c r="B102" s="3">
        <v>23.468016447474401</v>
      </c>
      <c r="C102" s="3">
        <v>13.261584287163901</v>
      </c>
      <c r="D102" s="3">
        <v>11.536900278832</v>
      </c>
      <c r="E102" s="3">
        <v>9.8707439174557106</v>
      </c>
      <c r="F102" s="3">
        <v>12.3067896356833</v>
      </c>
      <c r="G102" s="3">
        <v>15.7281862207067</v>
      </c>
      <c r="H102" s="3">
        <v>8.9990275976749103</v>
      </c>
      <c r="I102" s="3">
        <v>21.3641207465486</v>
      </c>
      <c r="J102" s="3">
        <v>16.810803834187599</v>
      </c>
      <c r="K102" s="3">
        <v>11.215168756182999</v>
      </c>
      <c r="L102" s="3">
        <v>15.1512264680533</v>
      </c>
      <c r="M102" s="3">
        <v>13.237770483772</v>
      </c>
      <c r="N102" s="3">
        <v>7.7856564618099897</v>
      </c>
    </row>
    <row r="103" spans="1:14" x14ac:dyDescent="0.35">
      <c r="A103" s="2">
        <v>44893</v>
      </c>
      <c r="B103" s="3">
        <v>23.064106043942001</v>
      </c>
      <c r="C103" s="3">
        <v>14.505424627852699</v>
      </c>
      <c r="D103" s="3">
        <v>12.075325984848799</v>
      </c>
      <c r="E103" s="3">
        <v>10.723212741113301</v>
      </c>
      <c r="F103" s="3">
        <v>12.9888259019295</v>
      </c>
      <c r="G103" s="3">
        <v>16.814831411743999</v>
      </c>
      <c r="H103" s="3">
        <v>9.7248618746442492</v>
      </c>
      <c r="I103" s="3">
        <v>21.531469410164998</v>
      </c>
      <c r="J103" s="3">
        <v>17.127311499038999</v>
      </c>
      <c r="K103" s="3">
        <v>12.0031617766309</v>
      </c>
      <c r="L103" s="3">
        <v>16.4533127271851</v>
      </c>
      <c r="M103" s="3">
        <v>12.9999326446365</v>
      </c>
      <c r="N103" s="3">
        <v>8.0078517265348097</v>
      </c>
    </row>
    <row r="104" spans="1:14" x14ac:dyDescent="0.35">
      <c r="A104" s="2">
        <v>44923</v>
      </c>
      <c r="B104" s="3">
        <v>23.2583135368704</v>
      </c>
      <c r="C104" s="3">
        <v>14.2920190625985</v>
      </c>
      <c r="D104" s="3">
        <v>11.8548752194559</v>
      </c>
      <c r="E104" s="3">
        <v>10.453397527527001</v>
      </c>
      <c r="F104" s="3">
        <v>12.3167904017408</v>
      </c>
      <c r="G104" s="3">
        <v>16.3349129501661</v>
      </c>
      <c r="H104" s="3">
        <v>9.8902828675927594</v>
      </c>
      <c r="I104" s="3">
        <v>20.385181044697202</v>
      </c>
      <c r="J104" s="3">
        <v>16.399689519339098</v>
      </c>
      <c r="K104" s="3">
        <v>11.8547032767154</v>
      </c>
      <c r="L104" s="3">
        <v>15.3429641723471</v>
      </c>
      <c r="M104" s="3">
        <v>12.729047335569501</v>
      </c>
      <c r="N104" s="3">
        <v>7.6540530590162801</v>
      </c>
    </row>
    <row r="105" spans="1:14" x14ac:dyDescent="0.35">
      <c r="A105" s="2">
        <v>44953</v>
      </c>
      <c r="B105" s="3">
        <v>24.029081940329601</v>
      </c>
      <c r="C105" s="3">
        <v>14.9980664475796</v>
      </c>
      <c r="D105" s="3">
        <v>13.0053244613147</v>
      </c>
      <c r="E105" s="3">
        <v>11.545301353681801</v>
      </c>
      <c r="F105" s="3">
        <v>12.9582729895009</v>
      </c>
      <c r="G105" s="3">
        <v>17.337647712322301</v>
      </c>
      <c r="H105" s="3">
        <v>10.558520494602799</v>
      </c>
      <c r="I105" s="3">
        <v>23.558332530089899</v>
      </c>
      <c r="J105" s="3">
        <v>17.944269384872602</v>
      </c>
      <c r="K105" s="3">
        <v>13.172292265237701</v>
      </c>
      <c r="L105" s="3">
        <v>17.131947211804999</v>
      </c>
      <c r="M105" s="3">
        <v>14.1048421241613</v>
      </c>
      <c r="N105" s="3">
        <v>8.4231740159718491</v>
      </c>
    </row>
    <row r="106" spans="1:14" x14ac:dyDescent="0.35">
      <c r="A106" s="2">
        <v>44985</v>
      </c>
      <c r="B106" s="3">
        <v>24.011013925857</v>
      </c>
      <c r="C106" s="3">
        <v>14.503631790876</v>
      </c>
      <c r="D106" s="3">
        <v>12.6891334632927</v>
      </c>
      <c r="E106" s="3">
        <v>11.539215391434499</v>
      </c>
      <c r="F106" s="3">
        <v>13.080760895330799</v>
      </c>
      <c r="G106" s="3">
        <v>17.041634285392</v>
      </c>
      <c r="H106" s="3">
        <v>10.5158700643212</v>
      </c>
      <c r="I106" s="3">
        <v>23.099717970572101</v>
      </c>
      <c r="J106" s="3">
        <v>17.494295522878001</v>
      </c>
      <c r="K106" s="3">
        <v>13.2122055873261</v>
      </c>
      <c r="L106" s="3">
        <v>16.4807481202809</v>
      </c>
      <c r="M106" s="3">
        <v>14.0983987816113</v>
      </c>
      <c r="N106" s="3">
        <v>8.2584607701660104</v>
      </c>
    </row>
    <row r="107" spans="1:14" x14ac:dyDescent="0.35">
      <c r="A107" s="2">
        <v>45013</v>
      </c>
      <c r="B107" s="3">
        <v>23.1899256984705</v>
      </c>
      <c r="C107" s="3">
        <v>13.9954463081465</v>
      </c>
      <c r="D107" s="3">
        <v>12.458344067550501</v>
      </c>
      <c r="E107" s="3">
        <v>11.0920216592387</v>
      </c>
      <c r="F107" s="3">
        <v>12.9130668056156</v>
      </c>
      <c r="G107" s="3">
        <v>16.707445259757701</v>
      </c>
      <c r="H107" s="3">
        <v>10.063177479151999</v>
      </c>
      <c r="I107" s="3">
        <v>23.934232529889599</v>
      </c>
      <c r="J107" s="3">
        <v>17.416477001193599</v>
      </c>
      <c r="K107" s="3">
        <v>12.862228509555701</v>
      </c>
      <c r="L107" s="3">
        <v>15.9127458808374</v>
      </c>
      <c r="M107" s="3">
        <v>13.1882174581248</v>
      </c>
      <c r="N107" s="3">
        <v>8.2676824796939208</v>
      </c>
    </row>
    <row r="108" spans="1:14" x14ac:dyDescent="0.35">
      <c r="A108" s="2">
        <v>45044</v>
      </c>
      <c r="B108" s="3">
        <v>23.675008341839501</v>
      </c>
      <c r="C108" s="3">
        <v>14.5568008791714</v>
      </c>
      <c r="D108" s="3">
        <v>13.087126759001601</v>
      </c>
      <c r="E108" s="3">
        <v>11.3746518957681</v>
      </c>
      <c r="F108" s="3">
        <v>13.472216397007401</v>
      </c>
      <c r="G108" s="3">
        <v>17.540422422224999</v>
      </c>
      <c r="H108" s="3">
        <v>10.831911789819999</v>
      </c>
      <c r="I108" s="3">
        <v>24.597945599928099</v>
      </c>
      <c r="J108" s="3">
        <v>18.173802447140002</v>
      </c>
      <c r="K108" s="3">
        <v>13.732907996419099</v>
      </c>
      <c r="L108" s="3">
        <v>15.8332249132083</v>
      </c>
      <c r="M108" s="3">
        <v>13.7870870387016</v>
      </c>
      <c r="N108" s="3">
        <v>8.5884361047989408</v>
      </c>
    </row>
    <row r="109" spans="1:14" x14ac:dyDescent="0.35">
      <c r="A109" s="2">
        <v>45072</v>
      </c>
      <c r="B109" s="3">
        <v>23.4845394606897</v>
      </c>
      <c r="C109" s="3">
        <v>14.190273495057699</v>
      </c>
      <c r="D109" s="3">
        <v>12.843402686205399</v>
      </c>
      <c r="E109" s="3">
        <v>10.9150254299427</v>
      </c>
      <c r="F109" s="3">
        <v>14.0905125316794</v>
      </c>
      <c r="G109" s="3">
        <v>17.200557524222301</v>
      </c>
      <c r="H109" s="3">
        <v>10.236786674451</v>
      </c>
      <c r="I109" s="3">
        <v>25.788678894948699</v>
      </c>
      <c r="J109" s="3">
        <v>18.157760367442101</v>
      </c>
      <c r="K109" s="3">
        <v>13.138907797509001</v>
      </c>
      <c r="L109" s="3">
        <v>15.9889947034409</v>
      </c>
      <c r="M109" s="3">
        <v>13.5614768103215</v>
      </c>
      <c r="N109" s="3">
        <v>8.1243631272949592</v>
      </c>
    </row>
    <row r="110" spans="1:14" x14ac:dyDescent="0.35">
      <c r="A110" s="2">
        <v>45105</v>
      </c>
      <c r="B110" s="3">
        <v>20.687936510099199</v>
      </c>
      <c r="C110" s="3">
        <v>14.8646764891669</v>
      </c>
      <c r="D110" s="3">
        <v>12.8081288507558</v>
      </c>
      <c r="E110" s="3">
        <v>10.728303099708</v>
      </c>
      <c r="F110" s="3">
        <v>14.937602955772</v>
      </c>
      <c r="G110" s="3">
        <v>16.329976704890001</v>
      </c>
      <c r="H110" s="3">
        <v>10.249336323992001</v>
      </c>
      <c r="I110" s="3">
        <v>26.419177069169798</v>
      </c>
      <c r="J110" s="3">
        <v>18.819228983648301</v>
      </c>
      <c r="K110" s="3">
        <v>13.1229007008614</v>
      </c>
      <c r="L110" s="3">
        <v>15.698440269303401</v>
      </c>
      <c r="M110" s="3">
        <v>13.411102488489</v>
      </c>
      <c r="N110" s="3">
        <v>8.6292790719073107</v>
      </c>
    </row>
    <row r="111" spans="1:14" x14ac:dyDescent="0.35">
      <c r="A111" s="2">
        <v>45135</v>
      </c>
      <c r="B111" s="3">
        <v>20.964921379109001</v>
      </c>
      <c r="C111" s="3">
        <v>15.649610284942501</v>
      </c>
      <c r="D111" s="3">
        <v>13.493257329192</v>
      </c>
      <c r="E111" s="3">
        <v>11.052093650902099</v>
      </c>
      <c r="F111" s="3">
        <v>14.6849134091894</v>
      </c>
      <c r="G111" s="3">
        <v>16.999793639570701</v>
      </c>
      <c r="H111" s="3">
        <v>10.7778646738848</v>
      </c>
      <c r="I111" s="3">
        <v>25.8894637130551</v>
      </c>
      <c r="J111" s="3">
        <v>19.558860905917101</v>
      </c>
      <c r="K111" s="3">
        <v>13.359925030624501</v>
      </c>
      <c r="L111" s="3">
        <v>16.382268624420298</v>
      </c>
      <c r="M111" s="3">
        <v>13.4419235361669</v>
      </c>
      <c r="N111" s="3">
        <v>8.7589452794074898</v>
      </c>
    </row>
    <row r="112" spans="1:14" x14ac:dyDescent="0.35">
      <c r="A112" s="2">
        <v>45166</v>
      </c>
      <c r="B112" s="3">
        <v>20.0953862252567</v>
      </c>
      <c r="C112" s="3">
        <v>15.1879035151113</v>
      </c>
      <c r="D112" s="3">
        <v>12.938662933848599</v>
      </c>
      <c r="E112" s="3">
        <v>10.571475292770501</v>
      </c>
      <c r="F112" s="3">
        <v>14.3742574632477</v>
      </c>
      <c r="G112" s="3">
        <v>16.4710454404707</v>
      </c>
      <c r="H112" s="3">
        <v>10.1610437936525</v>
      </c>
      <c r="I112" s="3">
        <v>24.044940622497499</v>
      </c>
      <c r="J112" s="3">
        <v>18.563321293752502</v>
      </c>
      <c r="K112" s="3">
        <v>12.928320633516201</v>
      </c>
      <c r="L112" s="3">
        <v>14.681545720283101</v>
      </c>
      <c r="M112" s="3">
        <v>12.738044254199499</v>
      </c>
      <c r="N112" s="3">
        <v>8.3434437162795501</v>
      </c>
    </row>
    <row r="113" spans="1:25" x14ac:dyDescent="0.35">
      <c r="A113" s="2">
        <v>45197</v>
      </c>
      <c r="B113" s="3">
        <v>19.949054018144199</v>
      </c>
      <c r="C113" s="3">
        <v>14.7663289433698</v>
      </c>
      <c r="D113" s="3">
        <v>12.644463326115799</v>
      </c>
      <c r="E113" s="3">
        <v>10.2719468373847</v>
      </c>
      <c r="F113" s="3">
        <v>14.505716751264</v>
      </c>
      <c r="G113" s="3">
        <v>16.102707648478699</v>
      </c>
      <c r="H113" s="3">
        <v>10.418475840858701</v>
      </c>
      <c r="I113" s="3">
        <v>23.165165074278601</v>
      </c>
      <c r="J113" s="3">
        <v>17.888644897918098</v>
      </c>
      <c r="K113" s="3">
        <v>12.433198405888501</v>
      </c>
      <c r="L113" s="3">
        <v>13.492136891103399</v>
      </c>
      <c r="M113" s="3">
        <v>12.792194157516001</v>
      </c>
      <c r="N113" s="3">
        <v>8.2342395701892794</v>
      </c>
    </row>
    <row r="114" spans="1:25" x14ac:dyDescent="0.35">
      <c r="A114" s="2">
        <v>45226</v>
      </c>
      <c r="B114" s="3">
        <v>19.149481409455898</v>
      </c>
      <c r="C114" s="3">
        <v>14.3833890488939</v>
      </c>
      <c r="D114" s="3">
        <v>12.0004294186304</v>
      </c>
      <c r="E114" s="3">
        <v>9.7961473973517403</v>
      </c>
      <c r="F114" s="3">
        <v>13.815307812102899</v>
      </c>
      <c r="G114" s="3">
        <v>15.2777892438395</v>
      </c>
      <c r="H114" s="3">
        <v>9.9211461359575193</v>
      </c>
      <c r="I114" s="3">
        <v>21.9615320829712</v>
      </c>
      <c r="J114" s="3">
        <v>17.047268205137101</v>
      </c>
      <c r="K114" s="3">
        <v>11.956160087933901</v>
      </c>
      <c r="L114" s="3">
        <v>13.1294577249204</v>
      </c>
      <c r="M114" s="3">
        <v>12.391385085972599</v>
      </c>
      <c r="N114" s="3">
        <v>7.7854451322322502</v>
      </c>
    </row>
    <row r="115" spans="1:25" x14ac:dyDescent="0.35">
      <c r="A115" s="2">
        <v>45258</v>
      </c>
      <c r="B115" s="3">
        <v>20.291432340830699</v>
      </c>
      <c r="C115" s="3">
        <v>15.149502174919199</v>
      </c>
      <c r="D115" s="3">
        <v>12.776522283506599</v>
      </c>
      <c r="E115" s="3">
        <v>10.7872464466625</v>
      </c>
      <c r="F115" s="3">
        <v>14.319239673640199</v>
      </c>
      <c r="G115" s="3">
        <v>16.168036648447899</v>
      </c>
      <c r="H115" s="3">
        <v>10.4843512680928</v>
      </c>
      <c r="I115" s="3">
        <v>24.356988662590499</v>
      </c>
      <c r="J115" s="3">
        <v>18.690524594762799</v>
      </c>
      <c r="K115" s="3">
        <v>12.850661049617299</v>
      </c>
      <c r="L115" s="3">
        <v>14.5960866548614</v>
      </c>
      <c r="M115" s="3">
        <v>13.358070696439899</v>
      </c>
      <c r="N115" s="3">
        <v>8.2872329400435891</v>
      </c>
    </row>
    <row r="116" spans="1:25" x14ac:dyDescent="0.35">
      <c r="A116" s="2">
        <v>45288</v>
      </c>
      <c r="B116" s="3">
        <v>22.966878955355099</v>
      </c>
      <c r="C116" s="3">
        <v>16.544506355724199</v>
      </c>
      <c r="D116" s="3">
        <v>13.655428069214601</v>
      </c>
      <c r="E116" s="3">
        <v>11.1335085876965</v>
      </c>
      <c r="F116" s="3">
        <v>14.0158645020216</v>
      </c>
      <c r="G116" s="3">
        <v>16.781862773722299</v>
      </c>
      <c r="H116" s="3">
        <v>10.9659703246106</v>
      </c>
      <c r="I116" s="3">
        <v>25.210456692940301</v>
      </c>
      <c r="J116" s="3">
        <v>19.586478080029</v>
      </c>
      <c r="K116" s="3">
        <v>13.4134009251206</v>
      </c>
      <c r="L116" s="3">
        <v>15.135331312780499</v>
      </c>
      <c r="M116" s="3">
        <v>15.714837647022</v>
      </c>
      <c r="N116" s="3">
        <v>8.8916239549686793</v>
      </c>
    </row>
    <row r="117" spans="1:25" x14ac:dyDescent="0.35">
      <c r="A117" s="2">
        <v>45317</v>
      </c>
      <c r="B117" s="3">
        <v>22.456094414443101</v>
      </c>
      <c r="C117" s="3">
        <v>16.331415484391702</v>
      </c>
      <c r="D117" s="3">
        <v>13.880405274397701</v>
      </c>
      <c r="E117" s="3">
        <v>11.508106743445801</v>
      </c>
      <c r="F117" s="3">
        <v>14.738630496836</v>
      </c>
      <c r="G117" s="3">
        <v>17.243605300480901</v>
      </c>
      <c r="H117" s="3">
        <v>11.0939412923279</v>
      </c>
      <c r="I117" s="3">
        <v>25.939130034974099</v>
      </c>
      <c r="J117" s="3">
        <v>20.033324904928701</v>
      </c>
      <c r="K117" s="3">
        <v>13.730600731457001</v>
      </c>
      <c r="L117" s="3">
        <v>15.7669416123871</v>
      </c>
      <c r="M117" s="3">
        <v>15.4849573842263</v>
      </c>
      <c r="N117" s="3">
        <v>8.9529543342764306</v>
      </c>
    </row>
    <row r="118" spans="1:25" x14ac:dyDescent="0.35">
      <c r="A118" s="2">
        <v>45350</v>
      </c>
      <c r="B118" s="3">
        <v>22.508619029040801</v>
      </c>
      <c r="C118" s="3">
        <v>16.452502249029401</v>
      </c>
      <c r="D118" s="3">
        <v>14.108003386572999</v>
      </c>
      <c r="E118" s="3">
        <v>11.9449781669854</v>
      </c>
      <c r="F118" s="3">
        <v>15.5167871525845</v>
      </c>
      <c r="G118" s="3">
        <v>17.430703889064201</v>
      </c>
      <c r="H118" s="3">
        <v>11.1296865740317</v>
      </c>
      <c r="I118" s="3">
        <v>25.973402799495901</v>
      </c>
      <c r="J118" s="3">
        <v>20.3888907378367</v>
      </c>
      <c r="K118" s="3">
        <v>14.318346961054401</v>
      </c>
      <c r="L118" s="3">
        <v>16.2981876502045</v>
      </c>
      <c r="M118" s="3">
        <v>16.2276443392016</v>
      </c>
      <c r="N118" s="3">
        <v>9.2704450946028807</v>
      </c>
    </row>
    <row r="119" spans="1:25" x14ac:dyDescent="0.35">
      <c r="A119" s="2">
        <v>45379</v>
      </c>
      <c r="B119" s="3">
        <v>25.2815236006387</v>
      </c>
      <c r="C119" s="3">
        <v>16.804182795251702</v>
      </c>
      <c r="D119" s="3">
        <v>14.6370440944886</v>
      </c>
      <c r="E119" s="3">
        <v>12.3924706262758</v>
      </c>
      <c r="F119" s="3">
        <v>15.7891849752</v>
      </c>
      <c r="G119" s="3">
        <v>17.698391688910601</v>
      </c>
      <c r="H119" s="3">
        <v>11.541855115280301</v>
      </c>
      <c r="I119" s="3">
        <v>26.1894573135549</v>
      </c>
      <c r="J119" s="3">
        <v>20.9579180074501</v>
      </c>
      <c r="K119" s="3">
        <v>14.713062026363</v>
      </c>
      <c r="L119" s="3">
        <v>16.377800373601598</v>
      </c>
      <c r="M119" s="3">
        <v>16.421145984415102</v>
      </c>
      <c r="N119" s="3">
        <v>9.8053273808059807</v>
      </c>
    </row>
    <row r="120" spans="1:25" x14ac:dyDescent="0.35">
      <c r="A120" s="2">
        <v>45408</v>
      </c>
      <c r="B120" s="3">
        <v>24.892960116638299</v>
      </c>
      <c r="C120" s="3">
        <v>16.253116231343299</v>
      </c>
      <c r="D120" s="3">
        <v>14.287142256910199</v>
      </c>
      <c r="E120" s="3">
        <v>12.044019727438</v>
      </c>
      <c r="F120" s="3">
        <v>15.1859614489405</v>
      </c>
      <c r="G120" s="3">
        <v>16.797047980153501</v>
      </c>
      <c r="H120" s="3">
        <v>11.591440577421601</v>
      </c>
      <c r="I120" s="3">
        <v>25.1629826121472</v>
      </c>
      <c r="J120" s="3">
        <v>20.103886210703099</v>
      </c>
      <c r="K120" s="3">
        <v>14.527570759712599</v>
      </c>
      <c r="L120" s="3">
        <v>15.7707094085458</v>
      </c>
      <c r="M120" s="3">
        <v>16.040953090152399</v>
      </c>
      <c r="N120" s="3">
        <v>9.5799727957121199</v>
      </c>
    </row>
    <row r="121" spans="1:25" x14ac:dyDescent="0.35">
      <c r="A121" s="2">
        <v>45440</v>
      </c>
      <c r="B121" s="3">
        <v>24.867576789201198</v>
      </c>
      <c r="C121" s="3">
        <v>16.745579126429199</v>
      </c>
      <c r="D121" s="3">
        <v>14.341318430527499</v>
      </c>
      <c r="E121" s="3">
        <v>12.004339181922299</v>
      </c>
      <c r="F121" s="3">
        <v>15.6031289241472</v>
      </c>
      <c r="G121" s="3">
        <v>17.090156216300301</v>
      </c>
      <c r="H121" s="3">
        <v>11.682898989542201</v>
      </c>
      <c r="I121" s="3">
        <v>26.2500698495266</v>
      </c>
      <c r="J121" s="3">
        <v>20.601711154171799</v>
      </c>
      <c r="K121" s="3">
        <v>14.405218892676499</v>
      </c>
      <c r="L121" s="3">
        <v>16.371021090653102</v>
      </c>
      <c r="M121" s="3">
        <v>16.299497867224801</v>
      </c>
      <c r="N121" s="3">
        <v>9.7521336862752204</v>
      </c>
    </row>
    <row r="122" spans="1:25" x14ac:dyDescent="0.35">
      <c r="A122" s="2">
        <v>45469</v>
      </c>
      <c r="B122" s="3">
        <v>24.433932581039599</v>
      </c>
      <c r="C122" s="3">
        <v>16.801995940630899</v>
      </c>
      <c r="D122" s="3">
        <v>13.983749051546701</v>
      </c>
      <c r="E122" s="3">
        <v>11.685160265203701</v>
      </c>
      <c r="F122" s="3">
        <v>15.5521401174445</v>
      </c>
      <c r="G122" s="3">
        <v>17.159235279035901</v>
      </c>
      <c r="H122" s="3">
        <v>11.426774322315101</v>
      </c>
      <c r="I122" s="3">
        <v>26.953095954985301</v>
      </c>
      <c r="J122" s="3">
        <v>21.0940854669369</v>
      </c>
      <c r="K122" s="3">
        <v>13.606036132693299</v>
      </c>
      <c r="L122" s="3">
        <v>16.230112278438501</v>
      </c>
      <c r="M122" s="3">
        <v>15.9192626069432</v>
      </c>
      <c r="N122" s="3">
        <v>9.3187546797063607</v>
      </c>
    </row>
    <row r="124" spans="1:25" x14ac:dyDescent="0.35">
      <c r="A124" s="2" t="s">
        <v>91</v>
      </c>
      <c r="B124" s="3" cm="1">
        <f t="array" ref="B124">MIN(_xlfn._xlws.FILTER(B1:B122, ISNUMBER(B1:B122)))</f>
        <v>17.1408424546592</v>
      </c>
      <c r="C124" s="3" cm="1">
        <f t="array" ref="C124">MIN(_xlfn._xlws.FILTER(C1:C122, ISNUMBER(C1:C122)))</f>
        <v>12.525543533377901</v>
      </c>
      <c r="D124" s="3" cm="1">
        <f t="array" ref="D124">MIN(_xlfn._xlws.FILTER(D1:D122, ISNUMBER(D1:D122)))</f>
        <v>10.879771358694001</v>
      </c>
      <c r="E124" s="3" cm="1">
        <f t="array" ref="E124">MIN(_xlfn._xlws.FILTER(E1:E122, ISNUMBER(E1:E122)))</f>
        <v>9.0504881199934104</v>
      </c>
      <c r="F124" s="3" cm="1">
        <f t="array" ref="F124">MIN(_xlfn._xlws.FILTER(F1:F122, ISNUMBER(F1:F122)))</f>
        <v>11.1053605202922</v>
      </c>
      <c r="G124" s="3" cm="1">
        <f t="array" ref="G124">MIN(_xlfn._xlws.FILTER(G1:G122, ISNUMBER(G1:G122)))</f>
        <v>14.515017605219599</v>
      </c>
      <c r="H124" s="3" cm="1">
        <f t="array" ref="H124">MIN(_xlfn._xlws.FILTER(H1:H122, ISNUMBER(H1:H122)))</f>
        <v>8.4606923822665792</v>
      </c>
      <c r="I124" s="3" cm="1">
        <f t="array" ref="I124">MIN(_xlfn._xlws.FILTER(I1:I122, ISNUMBER(I1:I122)))</f>
        <v>16.466168159684301</v>
      </c>
      <c r="J124" s="3" cm="1">
        <f t="array" ref="J124">MIN(_xlfn._xlws.FILTER(J1:J122, ISNUMBER(J1:J122)))</f>
        <v>14.284479178170599</v>
      </c>
      <c r="K124" s="3" cm="1">
        <f t="array" ref="K124">MIN(_xlfn._xlws.FILTER(K1:K122, ISNUMBER(K1:K122)))</f>
        <v>10.193716857544199</v>
      </c>
      <c r="L124" s="3" cm="1">
        <f t="array" ref="L124">MIN(_xlfn._xlws.FILTER(L1:L122, ISNUMBER(L1:L122)))</f>
        <v>12.970359478390399</v>
      </c>
      <c r="M124" s="3" cm="1">
        <f t="array" ref="M124">MIN(_xlfn._xlws.FILTER(M1:M122, ISNUMBER(M1:M122)))</f>
        <v>12.391385085972599</v>
      </c>
      <c r="N124" s="3" cm="1">
        <f t="array" ref="N124">MIN(_xlfn._xlws.FILTER(N1:N122, ISNUMBER(N1:N122)))</f>
        <v>7.2197963272602603</v>
      </c>
    </row>
    <row r="125" spans="1:25" x14ac:dyDescent="0.35">
      <c r="A125" s="2" t="s">
        <v>92</v>
      </c>
      <c r="B125" s="3" cm="1">
        <f t="array" ref="B125">MAX(_xlfn._xlws.FILTER(B1:B122, ISNUMBER(B1:B122)))</f>
        <v>34.767216585694399</v>
      </c>
      <c r="C125" s="3" cm="1">
        <f t="array" ref="C125">MAX(_xlfn._xlws.FILTER(C1:C122, ISNUMBER(C1:C122)))</f>
        <v>19.607374173209799</v>
      </c>
      <c r="D125" s="3" cm="1">
        <f t="array" ref="D125">MAX(_xlfn._xlws.FILTER(D1:D122, ISNUMBER(D1:D122)))</f>
        <v>18.655439716201599</v>
      </c>
      <c r="E125" s="3" cm="1">
        <f t="array" ref="E125">MAX(_xlfn._xlws.FILTER(E1:E122, ISNUMBER(E1:E122)))</f>
        <v>18.133359716112398</v>
      </c>
      <c r="F125" s="3" cm="1">
        <f t="array" ref="F125">MAX(_xlfn._xlws.FILTER(F1:F122, ISNUMBER(F1:F122)))</f>
        <v>18.813793185178199</v>
      </c>
      <c r="G125" s="3" cm="1">
        <f t="array" ref="G125">MAX(_xlfn._xlws.FILTER(G1:G122, ISNUMBER(G1:G122)))</f>
        <v>19.953701835484399</v>
      </c>
      <c r="H125" s="3" cm="1">
        <f t="array" ref="H125">MAX(_xlfn._xlws.FILTER(H1:H122, ISNUMBER(H1:H122)))</f>
        <v>16.440063265757399</v>
      </c>
      <c r="I125" s="3" cm="1">
        <f t="array" ref="I125">MAX(_xlfn._xlws.FILTER(I1:I122, ISNUMBER(I1:I122)))</f>
        <v>31.297892552357698</v>
      </c>
      <c r="J125" s="3" cm="1">
        <f t="array" ref="J125">MAX(_xlfn._xlws.FILTER(J1:J122, ISNUMBER(J1:J122)))</f>
        <v>22.959390756405298</v>
      </c>
      <c r="K125" s="3" cm="1">
        <f t="array" ref="K125">MAX(_xlfn._xlws.FILTER(K1:K122, ISNUMBER(K1:K122)))</f>
        <v>19.538119752845699</v>
      </c>
      <c r="L125" s="3" cm="1">
        <f t="array" ref="L125">MAX(_xlfn._xlws.FILTER(L1:L122, ISNUMBER(L1:L122)))</f>
        <v>22.289181552451002</v>
      </c>
      <c r="M125" s="3" cm="1">
        <f t="array" ref="M125">MAX(_xlfn._xlws.FILTER(M1:M122, ISNUMBER(M1:M122)))</f>
        <v>20.327746365187199</v>
      </c>
      <c r="N125" s="3" cm="1">
        <f t="array" ref="N125">MAX(_xlfn._xlws.FILTER(N1:N122, ISNUMBER(N1:N122)))</f>
        <v>17.367293396753599</v>
      </c>
    </row>
    <row r="127" spans="1:25" x14ac:dyDescent="0.35">
      <c r="A127" s="2" t="s">
        <v>93</v>
      </c>
      <c r="B127" s="9" cm="1">
        <f t="array" ref="B127">_xlfn.PERCENTRANK.EXC(_xlfn._xlws.FILTER(B1:B122, ISNUMBER(B1:B122)),B122)</f>
        <v>0.66300000000000003</v>
      </c>
      <c r="C127" s="9" cm="1">
        <f t="array" ref="C127">_xlfn.PERCENTRANK.EXC(_xlfn._xlws.FILTER(C1:C122, ISNUMBER(C1:C122)),C122)</f>
        <v>0.78600000000000003</v>
      </c>
      <c r="D127" s="9" cm="1">
        <f t="array" ref="D127">_xlfn.PERCENTRANK.EXC(_xlfn._xlws.FILTER(D1:D122, ISNUMBER(D1:D122)),D122)</f>
        <v>0.34399999999999997</v>
      </c>
      <c r="E127" s="9" cm="1">
        <f t="array" ref="E127">_xlfn.PERCENTRANK.EXC(_xlfn._xlws.FILTER(E1:E122, ISNUMBER(E1:E122)),E122)</f>
        <v>0.245</v>
      </c>
      <c r="F127" s="9" cm="1">
        <f t="array" ref="F127">_xlfn.PERCENTRANK.EXC(_xlfn._xlws.FILTER(F1:F122, ISNUMBER(F1:F122)),F122)</f>
        <v>0.81899999999999995</v>
      </c>
      <c r="G127" s="9" cm="1">
        <f t="array" ref="G127">_xlfn.PERCENTRANK.EXC(_xlfn._xlws.FILTER(G1:G122, ISNUMBER(G1:G122)),G122)</f>
        <v>0.51600000000000001</v>
      </c>
      <c r="H127" s="9" cm="1">
        <f t="array" ref="H127">_xlfn.PERCENTRANK.EXC(_xlfn._xlws.FILTER(H1:H122, ISNUMBER(H1:H122)),H122)</f>
        <v>0.221</v>
      </c>
      <c r="I127" s="9" cm="1">
        <f t="array" ref="I127">_xlfn.PERCENTRANK.EXC(_xlfn._xlws.FILTER(I1:I122, ISNUMBER(I1:I122)),I122)</f>
        <v>0.83599999999999997</v>
      </c>
      <c r="J127" s="9" cm="1">
        <f t="array" ref="J127">_xlfn.PERCENTRANK.EXC(_xlfn._xlws.FILTER(J1:J122, ISNUMBER(J1:J122)),J122)</f>
        <v>0.85199999999999998</v>
      </c>
      <c r="K127" s="9" cm="1">
        <f t="array" ref="K127">_xlfn.PERCENTRANK.EXC(_xlfn._xlws.FILTER(K1:K122, ISNUMBER(K1:K122)),K122)</f>
        <v>0.29499999999999998</v>
      </c>
      <c r="L127" s="9" cm="1">
        <f t="array" ref="L127">_xlfn.PERCENTRANK.EXC(_xlfn._xlws.FILTER(L1:L122, ISNUMBER(L1:L122)),L122)</f>
        <v>0.57299999999999995</v>
      </c>
      <c r="M127" s="9" cm="1">
        <f t="array" ref="M127">_xlfn.PERCENTRANK.EXC(_xlfn._xlws.FILTER(M1:M122, ISNUMBER(M1:M122)),M122)</f>
        <v>0.54900000000000004</v>
      </c>
      <c r="N127" s="9" cm="1">
        <f t="array" ref="N127">_xlfn.PERCENTRANK.EXC(_xlfn._xlws.FILTER(N1:N122, ISNUMBER(N1:N122)),N122)</f>
        <v>0.19600000000000001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28"/>
  <sheetViews>
    <sheetView topLeftCell="A113" workbookViewId="0">
      <selection activeCell="N122" sqref="N12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41817</v>
      </c>
      <c r="B2" s="3" cm="1">
        <f t="array" ref="B2:B122">_xll.FDS(B1,"FMA_DIV_YLD(NTMA,-10AY,0,AM,""PORTAGG"",""MEANR"")")</f>
        <v>4.2689512295523402</v>
      </c>
      <c r="C2" s="3" cm="1">
        <f t="array" ref="C2:C122">_xll.FDS(C1,"FMA_DIV_YLD(NTMA,-10AY,0,AM,""PORTAGG"",""MEANR"")")</f>
        <v>4.7867723478674504</v>
      </c>
      <c r="D2" s="3" cm="1">
        <f t="array" ref="D2:D122">_xll.FDS(D1,"FMA_DIV_YLD(NTMA,-10AY,0,AM,""PORTAGG"",""MEANR"")")</f>
        <v>2.8123616126373499</v>
      </c>
      <c r="E2" s="3" cm="1">
        <f t="array" ref="E2:E122">_xll.FDS(E1,"FMA_DIV_YLD(NTMA,-10AY,0,AM,""PORTAGG"",""MEANR"")")</f>
        <v>3.0253463878679798</v>
      </c>
      <c r="F2" s="3" cm="1">
        <f t="array" ref="F2:F122">_xll.FDS(F1,"FMA_DIV_YLD(NTMA,-10AY,0,AM,""PORTAGG"",""MEANR"")")</f>
        <v>2.0884273549398999</v>
      </c>
      <c r="G2" s="3" cm="1">
        <f t="array" ref="G2:G122">_xll.FDS(G1,"FMA_DIV_YLD(NTMA,-10AY,0,AM,""PORTAGG"",""MEANR"")")</f>
        <v>3.31227278516026</v>
      </c>
      <c r="H2" s="3" cm="1">
        <f t="array" ref="H2:H122">_xll.FDS(H1,"FMA_DIV_YLD(NTMA,-10AY,0,AM,""PORTAGG"",""MEANR"")")</f>
        <v>3.8797291578254001</v>
      </c>
      <c r="I2" s="3" cm="1">
        <f t="array" ref="I2:I122">_xll.FDS(I1,"FMA_DIV_YLD(NTMA,-10AY,0,AM,""PORTAGG"",""MEANR"")")</f>
        <v>1.28128959443663</v>
      </c>
      <c r="J2" s="3" cm="1">
        <f t="array" ref="J2:J122">_xll.FDS(J1,"FMA_DIV_YLD(NTMA,-10AY,0,AM,""PORTAGG"",""MEANR"")")</f>
        <v>2.09616261797429</v>
      </c>
      <c r="K2" s="3" cm="1">
        <f t="array" ref="K2:K122">_xll.FDS(K1,"FMA_DIV_YLD(NTMA,-10AY,0,AM,""PORTAGG"",""MEANR"")")</f>
        <v>3.4409079908034701</v>
      </c>
      <c r="L2" s="3" cm="1">
        <f t="array" ref="L2:L122">_xll.FDS(L1,"FMA_DIV_YLD(NTMA,-10AY,0,AM,""PORTAGG"",""MEANR"")")</f>
        <v>2.8555918897705901</v>
      </c>
      <c r="M2" s="3" cm="1">
        <f t="array" ref="M2:M122">_xll.FDS(M1,"FMA_DIV_YLD(NTMA,-10AY,0,AM,""PORTAGG"",""MEANR"")")</f>
        <v>4.1436683456158603</v>
      </c>
      <c r="N2" s="3" cm="1">
        <f t="array" ref="N2:N122">_xll.FDS(N1,"FMA_DIV_YLD(NTMA,-10AY,0,AM,""PORTAGG"",""MEANR"")")</f>
        <v>3.5383483686093098</v>
      </c>
    </row>
    <row r="3" spans="1:14" x14ac:dyDescent="0.35">
      <c r="A3" s="2">
        <v>41848</v>
      </c>
      <c r="B3" s="3">
        <v>4.42278190243516</v>
      </c>
      <c r="C3" s="3">
        <v>4.6884627888108898</v>
      </c>
      <c r="D3" s="3">
        <v>2.7421929208942402</v>
      </c>
      <c r="E3" s="3">
        <v>3.13377498207503</v>
      </c>
      <c r="F3" s="3">
        <v>2.0487157768408499</v>
      </c>
      <c r="G3" s="3">
        <v>3.34046502855937</v>
      </c>
      <c r="H3" s="3">
        <v>3.8654827557167599</v>
      </c>
      <c r="I3" s="3">
        <v>1.2405493762590201</v>
      </c>
      <c r="J3" s="3">
        <v>2.0967968388711702</v>
      </c>
      <c r="K3" s="3">
        <v>3.5226874718423402</v>
      </c>
      <c r="L3" s="3">
        <v>2.9333147308296001</v>
      </c>
      <c r="M3" s="3">
        <v>4.1590352043512002</v>
      </c>
      <c r="N3" s="3">
        <v>3.4633092936734999</v>
      </c>
    </row>
    <row r="4" spans="1:14" x14ac:dyDescent="0.35">
      <c r="A4" s="2">
        <v>41879</v>
      </c>
      <c r="B4" s="3">
        <v>4.51760987913649</v>
      </c>
      <c r="C4" s="3">
        <v>4.6852151630304197</v>
      </c>
      <c r="D4" s="3">
        <v>2.7611563603114702</v>
      </c>
      <c r="E4" s="3">
        <v>3.1769658900087601</v>
      </c>
      <c r="F4" s="3">
        <v>2.07969490483113</v>
      </c>
      <c r="G4" s="3">
        <v>3.33505110915628</v>
      </c>
      <c r="H4" s="3">
        <v>3.9175641460692998</v>
      </c>
      <c r="I4" s="3">
        <v>1.2172454726717501</v>
      </c>
      <c r="J4" s="3">
        <v>2.0928828873733099</v>
      </c>
      <c r="K4" s="3">
        <v>3.5456119016496999</v>
      </c>
      <c r="L4" s="3">
        <v>2.9923994529369899</v>
      </c>
      <c r="M4" s="3">
        <v>4.2269935023092504</v>
      </c>
      <c r="N4" s="3">
        <v>3.6033953544190198</v>
      </c>
    </row>
    <row r="5" spans="1:14" x14ac:dyDescent="0.35">
      <c r="A5" s="2">
        <v>41908</v>
      </c>
      <c r="B5" s="3">
        <v>4.5717291016015897</v>
      </c>
      <c r="C5" s="3">
        <v>5.0398027740074598</v>
      </c>
      <c r="D5" s="3">
        <v>2.8605059011202401</v>
      </c>
      <c r="E5" s="3">
        <v>3.1829353313770001</v>
      </c>
      <c r="F5" s="3">
        <v>2.0087800782741998</v>
      </c>
      <c r="G5" s="3">
        <v>3.3332329527283</v>
      </c>
      <c r="H5" s="3">
        <v>4.0172238355599301</v>
      </c>
      <c r="I5" s="3">
        <v>1.23977901612741</v>
      </c>
      <c r="J5" s="3">
        <v>2.12250204907716</v>
      </c>
      <c r="K5" s="3">
        <v>3.5756533349762298</v>
      </c>
      <c r="L5" s="3">
        <v>3.00692373312957</v>
      </c>
      <c r="M5" s="3">
        <v>4.2270126681448597</v>
      </c>
      <c r="N5" s="3">
        <v>3.6034078742135001</v>
      </c>
    </row>
    <row r="6" spans="1:14" x14ac:dyDescent="0.35">
      <c r="A6" s="2">
        <v>41940</v>
      </c>
      <c r="B6" s="3">
        <v>4.5377786419691901</v>
      </c>
      <c r="C6" s="3">
        <v>4.8827135213338799</v>
      </c>
      <c r="D6" s="3">
        <v>2.9677246439092499</v>
      </c>
      <c r="E6" s="3">
        <v>3.35737952709799</v>
      </c>
      <c r="F6" s="3">
        <v>2.1597080878820498</v>
      </c>
      <c r="G6" s="3">
        <v>3.3872359556745102</v>
      </c>
      <c r="H6" s="3">
        <v>4.1707558617984803</v>
      </c>
      <c r="I6" s="3">
        <v>1.2397123483917201</v>
      </c>
      <c r="J6" s="3">
        <v>2.1374525933470099</v>
      </c>
      <c r="K6" s="3">
        <v>3.7940546501113599</v>
      </c>
      <c r="L6" s="3">
        <v>3.1807371974483098</v>
      </c>
      <c r="M6" s="3">
        <v>4.27360811637742</v>
      </c>
      <c r="N6" s="3">
        <v>3.9305581972122798</v>
      </c>
    </row>
    <row r="7" spans="1:14" x14ac:dyDescent="0.35">
      <c r="A7" s="2">
        <v>41971</v>
      </c>
      <c r="B7" s="3">
        <v>4.5486185880208101</v>
      </c>
      <c r="C7" s="3">
        <v>5.0572975158295801</v>
      </c>
      <c r="D7" s="3">
        <v>2.9472609885354601</v>
      </c>
      <c r="E7" s="3">
        <v>3.1278909180015302</v>
      </c>
      <c r="F7" s="3">
        <v>1.94863501610075</v>
      </c>
      <c r="G7" s="3">
        <v>3.2012860785725401</v>
      </c>
      <c r="H7" s="3">
        <v>4.0343804736276896</v>
      </c>
      <c r="I7" s="3">
        <v>1.1892147806701601</v>
      </c>
      <c r="J7" s="3">
        <v>2.0700263158159098</v>
      </c>
      <c r="K7" s="3">
        <v>3.5643145231204598</v>
      </c>
      <c r="L7" s="3">
        <v>3.0176448426321798</v>
      </c>
      <c r="M7" s="3">
        <v>4.0805632087961099</v>
      </c>
      <c r="N7" s="3">
        <v>3.8747768154684898</v>
      </c>
    </row>
    <row r="8" spans="1:14" x14ac:dyDescent="0.35">
      <c r="A8" s="2">
        <v>41999</v>
      </c>
      <c r="B8" s="3">
        <v>4.4532055061177003</v>
      </c>
      <c r="C8" s="3">
        <v>4.9885167442505001</v>
      </c>
      <c r="D8" s="3">
        <v>2.9450481258539698</v>
      </c>
      <c r="E8" s="3">
        <v>3.1522328219522202</v>
      </c>
      <c r="F8" s="3">
        <v>1.9397517000776801</v>
      </c>
      <c r="G8" s="3">
        <v>3.2787376614970301</v>
      </c>
      <c r="H8" s="3">
        <v>4.1110020253932804</v>
      </c>
      <c r="I8" s="3">
        <v>1.2060491069155299</v>
      </c>
      <c r="J8" s="3">
        <v>2.0684374143626898</v>
      </c>
      <c r="K8" s="3">
        <v>3.6279729413225001</v>
      </c>
      <c r="L8" s="3">
        <v>3.0661349929476498</v>
      </c>
      <c r="M8" s="3">
        <v>4.0819351447352101</v>
      </c>
      <c r="N8" s="3">
        <v>4.0040158390313803</v>
      </c>
    </row>
    <row r="9" spans="1:14" x14ac:dyDescent="0.35">
      <c r="A9" s="2">
        <v>42032</v>
      </c>
      <c r="B9" s="3">
        <v>4.2629067487849097</v>
      </c>
      <c r="C9" s="3">
        <v>4.8620382676183302</v>
      </c>
      <c r="D9" s="3">
        <v>2.9699050512021801</v>
      </c>
      <c r="E9" s="3">
        <v>2.9411420643491599</v>
      </c>
      <c r="F9" s="3">
        <v>1.9792722476289299</v>
      </c>
      <c r="G9" s="3">
        <v>3.4011518553545499</v>
      </c>
      <c r="H9" s="3">
        <v>4.0055467305015098</v>
      </c>
      <c r="I9" s="3">
        <v>1.2430041377365699</v>
      </c>
      <c r="J9" s="3">
        <v>2.1816045920469298</v>
      </c>
      <c r="K9" s="3">
        <v>3.3617631448119401</v>
      </c>
      <c r="L9" s="3">
        <v>2.9132130305838002</v>
      </c>
      <c r="M9" s="3">
        <v>3.8691853110916199</v>
      </c>
      <c r="N9" s="3">
        <v>3.8173613733866598</v>
      </c>
    </row>
    <row r="10" spans="1:14" x14ac:dyDescent="0.35">
      <c r="A10" s="2">
        <v>42062</v>
      </c>
      <c r="B10" s="3">
        <v>4.2622728581580498</v>
      </c>
      <c r="C10" s="3">
        <v>4.5482874033505203</v>
      </c>
      <c r="D10" s="3">
        <v>2.84975029796081</v>
      </c>
      <c r="E10" s="3">
        <v>2.7817321445467802</v>
      </c>
      <c r="F10" s="3">
        <v>1.87834190262488</v>
      </c>
      <c r="G10" s="3">
        <v>3.1584835698833902</v>
      </c>
      <c r="H10" s="3">
        <v>3.8845579202623099</v>
      </c>
      <c r="I10" s="3">
        <v>1.21346631716943</v>
      </c>
      <c r="J10" s="3">
        <v>2.0987376201391101</v>
      </c>
      <c r="K10" s="3">
        <v>3.12865411889008</v>
      </c>
      <c r="L10" s="3">
        <v>2.71372282178949</v>
      </c>
      <c r="M10" s="3">
        <v>3.5944542145726501</v>
      </c>
      <c r="N10" s="3">
        <v>3.4145751083191298</v>
      </c>
    </row>
    <row r="11" spans="1:14" x14ac:dyDescent="0.35">
      <c r="A11" s="2">
        <v>42090</v>
      </c>
      <c r="B11" s="3">
        <v>4.3996304710816698</v>
      </c>
      <c r="C11" s="3">
        <v>4.5684427082027002</v>
      </c>
      <c r="D11" s="3">
        <v>2.9488040344037301</v>
      </c>
      <c r="E11" s="3">
        <v>2.7015323768703898</v>
      </c>
      <c r="F11" s="3">
        <v>1.86334318932593</v>
      </c>
      <c r="G11" s="3">
        <v>3.14103229440832</v>
      </c>
      <c r="H11" s="3">
        <v>4.0029644938880704</v>
      </c>
      <c r="I11" s="3">
        <v>1.2761080634073101</v>
      </c>
      <c r="J11" s="3">
        <v>2.19605947647737</v>
      </c>
      <c r="K11" s="3">
        <v>3.19378604686373</v>
      </c>
      <c r="L11" s="3">
        <v>2.7023614581936299</v>
      </c>
      <c r="M11" s="3">
        <v>3.6795337160799702</v>
      </c>
      <c r="N11" s="3">
        <v>3.125377393635</v>
      </c>
    </row>
    <row r="12" spans="1:14" x14ac:dyDescent="0.35">
      <c r="A12" s="2">
        <v>42122</v>
      </c>
      <c r="B12" s="3">
        <v>4.5083779598791596</v>
      </c>
      <c r="C12" s="3">
        <v>4.5355374359564404</v>
      </c>
      <c r="D12" s="3">
        <v>2.8129070732444101</v>
      </c>
      <c r="E12" s="3">
        <v>2.7700795200498698</v>
      </c>
      <c r="F12" s="3">
        <v>1.8114470660967401</v>
      </c>
      <c r="G12" s="3">
        <v>3.0574057716771299</v>
      </c>
      <c r="H12" s="3">
        <v>3.8544155755054601</v>
      </c>
      <c r="I12" s="3">
        <v>1.23497721955019</v>
      </c>
      <c r="J12" s="3">
        <v>2.1415170401020198</v>
      </c>
      <c r="K12" s="3">
        <v>3.18687330144606</v>
      </c>
      <c r="L12" s="3">
        <v>2.66701093644489</v>
      </c>
      <c r="M12" s="3">
        <v>3.66727238375401</v>
      </c>
      <c r="N12" s="3">
        <v>3.1233201999257201</v>
      </c>
    </row>
    <row r="13" spans="1:14" x14ac:dyDescent="0.35">
      <c r="A13" s="2">
        <v>42152</v>
      </c>
      <c r="B13" s="3">
        <v>4.4537494644842601</v>
      </c>
      <c r="C13" s="3">
        <v>4.7785172428305396</v>
      </c>
      <c r="D13" s="3">
        <v>2.8814388909453998</v>
      </c>
      <c r="E13" s="3">
        <v>2.8728063851594601</v>
      </c>
      <c r="F13" s="3">
        <v>1.8240870253924499</v>
      </c>
      <c r="G13" s="3">
        <v>3.0718187090566702</v>
      </c>
      <c r="H13" s="3">
        <v>3.8836298020078601</v>
      </c>
      <c r="I13" s="3">
        <v>1.23091209030883</v>
      </c>
      <c r="J13" s="3">
        <v>2.1474633446557001</v>
      </c>
      <c r="K13" s="3">
        <v>3.2206893388143101</v>
      </c>
      <c r="L13" s="3">
        <v>2.7730344411338499</v>
      </c>
      <c r="M13" s="3">
        <v>3.74354328001162</v>
      </c>
      <c r="N13" s="3">
        <v>3.1449338974877201</v>
      </c>
    </row>
    <row r="14" spans="1:14" x14ac:dyDescent="0.35">
      <c r="A14" s="2">
        <v>42181</v>
      </c>
      <c r="B14" s="3">
        <v>4.6530036777984698</v>
      </c>
      <c r="C14" s="3">
        <v>4.8975504316982503</v>
      </c>
      <c r="D14" s="3">
        <v>2.94861272083552</v>
      </c>
      <c r="E14" s="3">
        <v>2.94388490543508</v>
      </c>
      <c r="F14" s="3">
        <v>1.8727507545402999</v>
      </c>
      <c r="G14" s="3">
        <v>3.2109754336471799</v>
      </c>
      <c r="H14" s="3">
        <v>4.05538028785399</v>
      </c>
      <c r="I14" s="3">
        <v>1.2507104426381801</v>
      </c>
      <c r="J14" s="3">
        <v>2.1730121241325699</v>
      </c>
      <c r="K14" s="3">
        <v>3.2772683404201799</v>
      </c>
      <c r="L14" s="3">
        <v>2.8315402024819698</v>
      </c>
      <c r="M14" s="3">
        <v>3.9033222059336801</v>
      </c>
      <c r="N14" s="3">
        <v>3.2064496620164902</v>
      </c>
    </row>
    <row r="15" spans="1:14" x14ac:dyDescent="0.35">
      <c r="A15" s="2">
        <v>42213</v>
      </c>
      <c r="B15" s="3">
        <v>4.6129657735950103</v>
      </c>
      <c r="C15" s="3">
        <v>4.9009573669200996</v>
      </c>
      <c r="D15" s="3">
        <v>3.1630028085653601</v>
      </c>
      <c r="E15" s="3">
        <v>3.0506118653429999</v>
      </c>
      <c r="F15" s="3">
        <v>1.9384965610756399</v>
      </c>
      <c r="G15" s="3">
        <v>3.1618060951957001</v>
      </c>
      <c r="H15" s="3">
        <v>4.2110389508341797</v>
      </c>
      <c r="I15" s="3">
        <v>1.2622801627642899</v>
      </c>
      <c r="J15" s="3">
        <v>2.1992304882318101</v>
      </c>
      <c r="K15" s="3">
        <v>3.3409939760025402</v>
      </c>
      <c r="L15" s="3">
        <v>2.91488070264759</v>
      </c>
      <c r="M15" s="3">
        <v>4.0158507800466401</v>
      </c>
      <c r="N15" s="3">
        <v>3.2328250554239402</v>
      </c>
    </row>
    <row r="16" spans="1:14" x14ac:dyDescent="0.35">
      <c r="A16" s="2">
        <v>42244</v>
      </c>
      <c r="B16" s="3">
        <v>5.0136814029990697</v>
      </c>
      <c r="C16" s="3">
        <v>5.23730062819432</v>
      </c>
      <c r="D16" s="3">
        <v>3.1549287035854601</v>
      </c>
      <c r="E16" s="3">
        <v>3.3155670115314302</v>
      </c>
      <c r="F16" s="3">
        <v>2.0511247933995498</v>
      </c>
      <c r="G16" s="3">
        <v>3.3281903055992599</v>
      </c>
      <c r="H16" s="3">
        <v>4.4033081425491103</v>
      </c>
      <c r="I16" s="3">
        <v>1.3450033420608301</v>
      </c>
      <c r="J16" s="3">
        <v>2.32980610957663</v>
      </c>
      <c r="K16" s="3">
        <v>3.5901584017627299</v>
      </c>
      <c r="L16" s="3">
        <v>3.3973092922989299</v>
      </c>
      <c r="M16" s="3">
        <v>4.2736664567799796</v>
      </c>
      <c r="N16" s="3">
        <v>3.3616160764567602</v>
      </c>
    </row>
    <row r="17" spans="1:14" x14ac:dyDescent="0.35">
      <c r="A17" s="2">
        <v>42275</v>
      </c>
      <c r="B17" s="3">
        <v>5.1594987128163403</v>
      </c>
      <c r="C17" s="3">
        <v>5.4226351266377097</v>
      </c>
      <c r="D17" s="3">
        <v>3.3896331851291102</v>
      </c>
      <c r="E17" s="3">
        <v>3.5493346484997401</v>
      </c>
      <c r="F17" s="3">
        <v>2.2350960236731701</v>
      </c>
      <c r="G17" s="3">
        <v>3.5165748676053998</v>
      </c>
      <c r="H17" s="3">
        <v>4.5763500300372897</v>
      </c>
      <c r="I17" s="3">
        <v>1.4261009182639099</v>
      </c>
      <c r="J17" s="3">
        <v>2.4755127992834201</v>
      </c>
      <c r="K17" s="3">
        <v>3.8481472950343498</v>
      </c>
      <c r="L17" s="3">
        <v>3.6411238021578201</v>
      </c>
      <c r="M17" s="3">
        <v>4.6623806493030697</v>
      </c>
      <c r="N17" s="3">
        <v>3.62704032346599</v>
      </c>
    </row>
    <row r="18" spans="1:14" x14ac:dyDescent="0.35">
      <c r="A18" s="2">
        <v>42305</v>
      </c>
      <c r="B18" s="3">
        <v>4.9090520534411102</v>
      </c>
      <c r="C18" s="3">
        <v>5.1401667412887004</v>
      </c>
      <c r="D18" s="3">
        <v>3.1774817261499702</v>
      </c>
      <c r="E18" s="3">
        <v>3.08775809658554</v>
      </c>
      <c r="F18" s="3">
        <v>2.0649454385333899</v>
      </c>
      <c r="G18" s="3">
        <v>3.2660888918100102</v>
      </c>
      <c r="H18" s="3">
        <v>4.2131835289397097</v>
      </c>
      <c r="I18" s="3">
        <v>1.2610903334580299</v>
      </c>
      <c r="J18" s="3">
        <v>2.2362302068313902</v>
      </c>
      <c r="K18" s="3">
        <v>3.4361160682584999</v>
      </c>
      <c r="L18" s="3">
        <v>3.2553614454134201</v>
      </c>
      <c r="M18" s="3">
        <v>4.1990570509552603</v>
      </c>
      <c r="N18" s="3">
        <v>3.52530888758981</v>
      </c>
    </row>
    <row r="19" spans="1:14" x14ac:dyDescent="0.35">
      <c r="A19" s="2">
        <v>42335</v>
      </c>
      <c r="B19" s="3">
        <v>4.8137217314643896</v>
      </c>
      <c r="C19" s="3">
        <v>5.25630061437879</v>
      </c>
      <c r="D19" s="3">
        <v>3.31381762917627</v>
      </c>
      <c r="E19" s="3">
        <v>2.8826875982688498</v>
      </c>
      <c r="F19" s="3">
        <v>2.0198194904826701</v>
      </c>
      <c r="G19" s="3">
        <v>3.2473612459849499</v>
      </c>
      <c r="H19" s="3">
        <v>4.1896908694027903</v>
      </c>
      <c r="I19" s="3">
        <v>1.27662096760661</v>
      </c>
      <c r="J19" s="3">
        <v>2.2697344956662699</v>
      </c>
      <c r="K19" s="3">
        <v>3.4079172777839299</v>
      </c>
      <c r="L19" s="3">
        <v>3.1019797110299199</v>
      </c>
      <c r="M19" s="3">
        <v>4.1233946905676504</v>
      </c>
      <c r="N19" s="3">
        <v>3.5514159722484999</v>
      </c>
    </row>
    <row r="20" spans="1:14" x14ac:dyDescent="0.35">
      <c r="A20" s="2">
        <v>42366</v>
      </c>
      <c r="B20" s="3">
        <v>4.8062865716246899</v>
      </c>
      <c r="C20" s="3">
        <v>5.2009882635872797</v>
      </c>
      <c r="D20" s="3">
        <v>3.32471471444028</v>
      </c>
      <c r="E20" s="3">
        <v>3.0654029531990701</v>
      </c>
      <c r="F20" s="3">
        <v>2.1169133481056401</v>
      </c>
      <c r="G20" s="3">
        <v>3.2811455690142202</v>
      </c>
      <c r="H20" s="3">
        <v>4.2884226442028197</v>
      </c>
      <c r="I20" s="3">
        <v>1.28941228946054</v>
      </c>
      <c r="J20" s="3">
        <v>2.2997023855925298</v>
      </c>
      <c r="K20" s="3">
        <v>3.6141350538649499</v>
      </c>
      <c r="L20" s="3">
        <v>3.2955835286162198</v>
      </c>
      <c r="M20" s="3">
        <v>4.35775153857203</v>
      </c>
      <c r="N20" s="3">
        <v>3.8487480024602099</v>
      </c>
    </row>
    <row r="21" spans="1:14" x14ac:dyDescent="0.35">
      <c r="A21" s="2">
        <v>42397</v>
      </c>
      <c r="B21" s="3">
        <v>4.8917946485147503</v>
      </c>
      <c r="C21" s="3">
        <v>5.1960129861548996</v>
      </c>
      <c r="D21" s="3">
        <v>3.4320346550426102</v>
      </c>
      <c r="E21" s="3">
        <v>3.4009968181684802</v>
      </c>
      <c r="F21" s="3">
        <v>2.3449663678266401</v>
      </c>
      <c r="G21" s="3">
        <v>3.5220068748830098</v>
      </c>
      <c r="H21" s="3">
        <v>4.5211371485714604</v>
      </c>
      <c r="I21" s="3">
        <v>1.3882353676297401</v>
      </c>
      <c r="J21" s="3">
        <v>2.5124264728534098</v>
      </c>
      <c r="K21" s="3">
        <v>3.85003895637742</v>
      </c>
      <c r="L21" s="3">
        <v>3.32164085642916</v>
      </c>
      <c r="M21" s="3">
        <v>4.56016578788988</v>
      </c>
      <c r="N21" s="3">
        <v>4.5366647106074298</v>
      </c>
    </row>
    <row r="22" spans="1:14" x14ac:dyDescent="0.35">
      <c r="A22" s="2">
        <v>42426</v>
      </c>
      <c r="B22" s="3">
        <v>4.8511650912255204</v>
      </c>
      <c r="C22" s="3">
        <v>5.0519028286952503</v>
      </c>
      <c r="D22" s="3">
        <v>3.3657106028669701</v>
      </c>
      <c r="E22" s="3">
        <v>3.4575395448675801</v>
      </c>
      <c r="F22" s="3">
        <v>2.46253262238801</v>
      </c>
      <c r="G22" s="3">
        <v>3.5391464882419701</v>
      </c>
      <c r="H22" s="3">
        <v>4.5058056586483302</v>
      </c>
      <c r="I22" s="3">
        <v>1.4038081507573701</v>
      </c>
      <c r="J22" s="3">
        <v>2.4518202590146898</v>
      </c>
      <c r="K22" s="3">
        <v>3.8481231472021902</v>
      </c>
      <c r="L22" s="3">
        <v>3.38990219841549</v>
      </c>
      <c r="M22" s="3">
        <v>4.3841795952021601</v>
      </c>
      <c r="N22" s="3">
        <v>4.5390371446940296</v>
      </c>
    </row>
    <row r="23" spans="1:14" x14ac:dyDescent="0.35">
      <c r="A23" s="2">
        <v>42457</v>
      </c>
      <c r="B23" s="3">
        <v>4.6130233293060003</v>
      </c>
      <c r="C23" s="3">
        <v>4.8306422856682802</v>
      </c>
      <c r="D23" s="3">
        <v>3.1703005560008899</v>
      </c>
      <c r="E23" s="3">
        <v>3.3321920394493398</v>
      </c>
      <c r="F23" s="3">
        <v>2.3418898019064001</v>
      </c>
      <c r="G23" s="3">
        <v>3.5637613839826598</v>
      </c>
      <c r="H23" s="3">
        <v>4.41260168775369</v>
      </c>
      <c r="I23" s="3">
        <v>1.35845560292592</v>
      </c>
      <c r="J23" s="3">
        <v>2.4751977345461702</v>
      </c>
      <c r="K23" s="3">
        <v>3.8222478875035502</v>
      </c>
      <c r="L23" s="3">
        <v>3.3177084735624001</v>
      </c>
      <c r="M23" s="3">
        <v>4.4574050480711396</v>
      </c>
      <c r="N23" s="3">
        <v>4.3611359015660804</v>
      </c>
    </row>
    <row r="24" spans="1:14" x14ac:dyDescent="0.35">
      <c r="A24" s="2">
        <v>42488</v>
      </c>
      <c r="B24" s="3">
        <v>4.5893053500848699</v>
      </c>
      <c r="C24" s="3">
        <v>4.6933826566126404</v>
      </c>
      <c r="D24" s="3">
        <v>3.0609787503343102</v>
      </c>
      <c r="E24" s="3">
        <v>3.2013213943526999</v>
      </c>
      <c r="F24" s="3">
        <v>2.3912638950920599</v>
      </c>
      <c r="G24" s="3">
        <v>3.4638280948946001</v>
      </c>
      <c r="H24" s="3">
        <v>4.2218513927858403</v>
      </c>
      <c r="I24" s="3">
        <v>1.3838590967517801</v>
      </c>
      <c r="J24" s="3">
        <v>2.2917987413403398</v>
      </c>
      <c r="K24" s="3">
        <v>3.6337869153612998</v>
      </c>
      <c r="L24" s="3">
        <v>3.28432491202584</v>
      </c>
      <c r="M24" s="3">
        <v>4.2587294954646602</v>
      </c>
      <c r="N24" s="3">
        <v>4.2346395696698798</v>
      </c>
    </row>
    <row r="25" spans="1:14" x14ac:dyDescent="0.35">
      <c r="A25" s="2">
        <v>42517</v>
      </c>
      <c r="B25" s="3">
        <v>4.4475531803026902</v>
      </c>
      <c r="C25" s="3">
        <v>4.5362987598256002</v>
      </c>
      <c r="D25" s="3">
        <v>3.0266124489975699</v>
      </c>
      <c r="E25" s="3">
        <v>3.2707564702792702</v>
      </c>
      <c r="F25" s="3">
        <v>2.3684439177949699</v>
      </c>
      <c r="G25" s="3">
        <v>3.4296613763784101</v>
      </c>
      <c r="H25" s="3">
        <v>4.2638912168929597</v>
      </c>
      <c r="I25" s="3">
        <v>1.34470187579383</v>
      </c>
      <c r="J25" s="3">
        <v>2.26932855728746</v>
      </c>
      <c r="K25" s="3">
        <v>3.6820882209492001</v>
      </c>
      <c r="L25" s="3">
        <v>3.25821120153716</v>
      </c>
      <c r="M25" s="3">
        <v>4.3467577698066702</v>
      </c>
      <c r="N25" s="3">
        <v>4.4658646167713503</v>
      </c>
    </row>
    <row r="26" spans="1:14" x14ac:dyDescent="0.35">
      <c r="A26" s="2">
        <v>42549</v>
      </c>
      <c r="B26" s="3">
        <v>4.5334702678917997</v>
      </c>
      <c r="C26" s="3">
        <v>4.8004456182158499</v>
      </c>
      <c r="D26" s="3">
        <v>3.1240201008911601</v>
      </c>
      <c r="E26" s="3">
        <v>3.57994325869663</v>
      </c>
      <c r="F26" s="3">
        <v>2.59128750251769</v>
      </c>
      <c r="G26" s="3">
        <v>3.6763503559333399</v>
      </c>
      <c r="H26" s="3">
        <v>4.4753730972678296</v>
      </c>
      <c r="I26" s="3">
        <v>1.40292649372153</v>
      </c>
      <c r="J26" s="3">
        <v>2.3513501946614399</v>
      </c>
      <c r="K26" s="3">
        <v>4.0517022196422898</v>
      </c>
      <c r="L26" s="3">
        <v>3.48496862323098</v>
      </c>
      <c r="M26" s="3">
        <v>4.6764791258252796</v>
      </c>
      <c r="N26" s="3">
        <v>5.2248032114025902</v>
      </c>
    </row>
    <row r="27" spans="1:14" x14ac:dyDescent="0.35">
      <c r="A27" s="2">
        <v>42579</v>
      </c>
      <c r="B27" s="3">
        <v>4.15022095574834</v>
      </c>
      <c r="C27" s="3">
        <v>4.4225893927933404</v>
      </c>
      <c r="D27" s="3">
        <v>2.98105359822546</v>
      </c>
      <c r="E27" s="3">
        <v>3.2867301029575802</v>
      </c>
      <c r="F27" s="3">
        <v>2.4087395626224599</v>
      </c>
      <c r="G27" s="3">
        <v>3.5199284086699199</v>
      </c>
      <c r="H27" s="3">
        <v>4.1402436890410899</v>
      </c>
      <c r="I27" s="3">
        <v>1.2932031478080299</v>
      </c>
      <c r="J27" s="3">
        <v>2.2157978030913901</v>
      </c>
      <c r="K27" s="3">
        <v>3.7460881769921501</v>
      </c>
      <c r="L27" s="3">
        <v>3.2131501724043599</v>
      </c>
      <c r="M27" s="3">
        <v>4.3233643994483097</v>
      </c>
      <c r="N27" s="3">
        <v>4.8456784601327803</v>
      </c>
    </row>
    <row r="28" spans="1:14" x14ac:dyDescent="0.35">
      <c r="A28" s="2">
        <v>42608</v>
      </c>
      <c r="B28" s="3">
        <v>4.2146173586719797</v>
      </c>
      <c r="C28" s="3">
        <v>4.4539298539888996</v>
      </c>
      <c r="D28" s="3">
        <v>2.9589098286000399</v>
      </c>
      <c r="E28" s="3">
        <v>3.18279060008877</v>
      </c>
      <c r="F28" s="3">
        <v>2.4441813919170099</v>
      </c>
      <c r="G28" s="3">
        <v>3.4623313584425901</v>
      </c>
      <c r="H28" s="3">
        <v>4.0800272810693796</v>
      </c>
      <c r="I28" s="3">
        <v>1.28464100681007</v>
      </c>
      <c r="J28" s="3">
        <v>2.2217396841002501</v>
      </c>
      <c r="K28" s="3">
        <v>3.73095252396423</v>
      </c>
      <c r="L28" s="3">
        <v>3.13844750914302</v>
      </c>
      <c r="M28" s="3">
        <v>4.2431077758399596</v>
      </c>
      <c r="N28" s="3">
        <v>4.7270365598606299</v>
      </c>
    </row>
    <row r="29" spans="1:14" x14ac:dyDescent="0.35">
      <c r="A29" s="2">
        <v>42641</v>
      </c>
      <c r="B29" s="3">
        <v>4.35631701663453</v>
      </c>
      <c r="C29" s="3">
        <v>4.5616065825913799</v>
      </c>
      <c r="D29" s="3">
        <v>2.9349520851538999</v>
      </c>
      <c r="E29" s="3">
        <v>3.2082064812299</v>
      </c>
      <c r="F29" s="3">
        <v>2.3979687397607901</v>
      </c>
      <c r="G29" s="3">
        <v>3.4704224165227502</v>
      </c>
      <c r="H29" s="3">
        <v>4.1873117604324497</v>
      </c>
      <c r="I29" s="3">
        <v>1.25959814136851</v>
      </c>
      <c r="J29" s="3">
        <v>2.2169070325504601</v>
      </c>
      <c r="K29" s="3">
        <v>3.7412536127417799</v>
      </c>
      <c r="L29" s="3">
        <v>3.1474965322045501</v>
      </c>
      <c r="M29" s="3">
        <v>4.23073020550496</v>
      </c>
      <c r="N29" s="3">
        <v>5.0344194199696704</v>
      </c>
    </row>
    <row r="30" spans="1:14" x14ac:dyDescent="0.35">
      <c r="A30" s="2">
        <v>42671</v>
      </c>
      <c r="B30" s="3">
        <v>4.5768862845268297</v>
      </c>
      <c r="C30" s="3">
        <v>4.6867506255910998</v>
      </c>
      <c r="D30" s="3">
        <v>2.92769418489753</v>
      </c>
      <c r="E30" s="3">
        <v>3.14147322244269</v>
      </c>
      <c r="F30" s="3">
        <v>2.3060109133491999</v>
      </c>
      <c r="G30" s="3">
        <v>3.61367273131737</v>
      </c>
      <c r="H30" s="3">
        <v>4.3188820594707398</v>
      </c>
      <c r="I30" s="3">
        <v>1.28668803878597</v>
      </c>
      <c r="J30" s="3">
        <v>2.2752518190979498</v>
      </c>
      <c r="K30" s="3">
        <v>3.70661878784429</v>
      </c>
      <c r="L30" s="3">
        <v>3.1128471023207198</v>
      </c>
      <c r="M30" s="3">
        <v>4.0881960053030397</v>
      </c>
      <c r="N30" s="3">
        <v>4.7218441826794697</v>
      </c>
    </row>
    <row r="31" spans="1:14" x14ac:dyDescent="0.35">
      <c r="A31" s="2">
        <v>42702</v>
      </c>
      <c r="B31" s="3">
        <v>4.59122011633914</v>
      </c>
      <c r="C31" s="3">
        <v>4.5475849250742701</v>
      </c>
      <c r="D31" s="3">
        <v>2.8822353659580702</v>
      </c>
      <c r="E31" s="3">
        <v>3.2013866963949198</v>
      </c>
      <c r="F31" s="3">
        <v>2.18880281270678</v>
      </c>
      <c r="G31" s="3">
        <v>3.6857053107156901</v>
      </c>
      <c r="H31" s="3">
        <v>4.4183096380384503</v>
      </c>
      <c r="I31" s="3">
        <v>1.28318788827955</v>
      </c>
      <c r="J31" s="3">
        <v>2.2114976646233901</v>
      </c>
      <c r="K31" s="3">
        <v>3.7228947266203498</v>
      </c>
      <c r="L31" s="3">
        <v>3.1356852739778698</v>
      </c>
      <c r="M31" s="3">
        <v>4.0540829775387204</v>
      </c>
      <c r="N31" s="3">
        <v>4.9680296496295604</v>
      </c>
    </row>
    <row r="32" spans="1:14" x14ac:dyDescent="0.35">
      <c r="A32" s="2">
        <v>42732</v>
      </c>
      <c r="B32" s="3">
        <v>4.6270139590376802</v>
      </c>
      <c r="C32" s="3">
        <v>4.5136914353581403</v>
      </c>
      <c r="D32" s="3">
        <v>2.82749458226463</v>
      </c>
      <c r="E32" s="3">
        <v>2.9735382413981899</v>
      </c>
      <c r="F32" s="3">
        <v>2.0977796307207202</v>
      </c>
      <c r="G32" s="3">
        <v>3.5560584783964702</v>
      </c>
      <c r="H32" s="3">
        <v>4.3107371403734698</v>
      </c>
      <c r="I32" s="3">
        <v>1.28471864077028</v>
      </c>
      <c r="J32" s="3">
        <v>2.1771595889789599</v>
      </c>
      <c r="K32" s="3">
        <v>3.48502551065019</v>
      </c>
      <c r="L32" s="3">
        <v>2.9544766529058299</v>
      </c>
      <c r="M32" s="3">
        <v>3.87850273798374</v>
      </c>
      <c r="N32" s="3">
        <v>4.2966917387241699</v>
      </c>
    </row>
    <row r="33" spans="1:14" x14ac:dyDescent="0.35">
      <c r="A33" s="2">
        <v>42762</v>
      </c>
      <c r="B33" s="3">
        <v>4.4793961611348703</v>
      </c>
      <c r="C33" s="3">
        <v>4.5141225654100996</v>
      </c>
      <c r="D33" s="3">
        <v>2.8025202052335301</v>
      </c>
      <c r="E33" s="3">
        <v>2.9053995318107799</v>
      </c>
      <c r="F33" s="3">
        <v>2.1009157386001198</v>
      </c>
      <c r="G33" s="3">
        <v>3.46166022077229</v>
      </c>
      <c r="H33" s="3">
        <v>4.2772885398994704</v>
      </c>
      <c r="I33" s="3">
        <v>1.2325720995023699</v>
      </c>
      <c r="J33" s="3">
        <v>2.1508347199740498</v>
      </c>
      <c r="K33" s="3">
        <v>3.4752757828412801</v>
      </c>
      <c r="L33" s="3">
        <v>2.9548515012710199</v>
      </c>
      <c r="M33" s="3">
        <v>3.69026279021395</v>
      </c>
      <c r="N33" s="3">
        <v>4.35892248650116</v>
      </c>
    </row>
    <row r="34" spans="1:14" x14ac:dyDescent="0.35">
      <c r="A34" s="2">
        <v>42794</v>
      </c>
      <c r="B34" s="3">
        <v>4.6570843286458503</v>
      </c>
      <c r="C34" s="3">
        <v>4.5717486002536001</v>
      </c>
      <c r="D34" s="3">
        <v>2.88074790409572</v>
      </c>
      <c r="E34" s="3">
        <v>2.9545259643792501</v>
      </c>
      <c r="F34" s="3">
        <v>2.1610457871608602</v>
      </c>
      <c r="G34" s="3">
        <v>3.3772564752182999</v>
      </c>
      <c r="H34" s="3">
        <v>4.29897374225063</v>
      </c>
      <c r="I34" s="3">
        <v>1.2241570032387199</v>
      </c>
      <c r="J34" s="3">
        <v>2.10455079975663</v>
      </c>
      <c r="K34" s="3">
        <v>3.51220981378499</v>
      </c>
      <c r="L34" s="3">
        <v>2.8692784126197699</v>
      </c>
      <c r="M34" s="3">
        <v>3.6475444971784001</v>
      </c>
      <c r="N34" s="3">
        <v>4.3102905193014296</v>
      </c>
    </row>
    <row r="35" spans="1:14" x14ac:dyDescent="0.35">
      <c r="A35" s="2">
        <v>42822</v>
      </c>
      <c r="B35" s="3">
        <v>4.6708209406875696</v>
      </c>
      <c r="C35" s="3">
        <v>4.5430469013728398</v>
      </c>
      <c r="D35" s="3">
        <v>2.9032366178429898</v>
      </c>
      <c r="E35" s="3">
        <v>2.9415011986404802</v>
      </c>
      <c r="F35" s="3">
        <v>2.1750502813357002</v>
      </c>
      <c r="G35" s="3">
        <v>3.42141154828643</v>
      </c>
      <c r="H35" s="3">
        <v>4.3115344696564701</v>
      </c>
      <c r="I35" s="3">
        <v>1.2112230087381199</v>
      </c>
      <c r="J35" s="3">
        <v>2.1165444053026099</v>
      </c>
      <c r="K35" s="3">
        <v>3.3910679796508201</v>
      </c>
      <c r="L35" s="3">
        <v>2.7798821947530801</v>
      </c>
      <c r="M35" s="3">
        <v>3.65359504925721</v>
      </c>
      <c r="N35" s="3">
        <v>3.93471224630049</v>
      </c>
    </row>
    <row r="36" spans="1:14" x14ac:dyDescent="0.35">
      <c r="A36" s="2">
        <v>42853</v>
      </c>
      <c r="B36" s="3">
        <v>4.4583105410889097</v>
      </c>
      <c r="C36" s="3">
        <v>4.4846023936154502</v>
      </c>
      <c r="D36" s="3">
        <v>2.9357397887524201</v>
      </c>
      <c r="E36" s="3">
        <v>2.8942566420825999</v>
      </c>
      <c r="F36" s="3">
        <v>2.21407683036057</v>
      </c>
      <c r="G36" s="3">
        <v>3.3511614355480499</v>
      </c>
      <c r="H36" s="3">
        <v>4.3774034409782496</v>
      </c>
      <c r="I36" s="3">
        <v>1.18832593916955</v>
      </c>
      <c r="J36" s="3">
        <v>2.1087945955299801</v>
      </c>
      <c r="K36" s="3">
        <v>3.2620532686089598</v>
      </c>
      <c r="L36" s="3">
        <v>2.7373049631073099</v>
      </c>
      <c r="M36" s="3">
        <v>3.5413525378406199</v>
      </c>
      <c r="N36" s="3">
        <v>3.9193364196563198</v>
      </c>
    </row>
    <row r="37" spans="1:14" x14ac:dyDescent="0.35">
      <c r="A37" s="2">
        <v>42881</v>
      </c>
      <c r="B37" s="3">
        <v>4.4432215904413299</v>
      </c>
      <c r="C37" s="3">
        <v>4.6383672605413002</v>
      </c>
      <c r="D37" s="3">
        <v>2.9246009333677798</v>
      </c>
      <c r="E37" s="3">
        <v>2.9355644890377302</v>
      </c>
      <c r="F37" s="3">
        <v>2.19172837721417</v>
      </c>
      <c r="G37" s="3">
        <v>3.2881782297773201</v>
      </c>
      <c r="H37" s="3">
        <v>4.22907210147073</v>
      </c>
      <c r="I37" s="3">
        <v>1.15696651354697</v>
      </c>
      <c r="J37" s="3">
        <v>2.0939789692741</v>
      </c>
      <c r="K37" s="3">
        <v>3.2319818074374602</v>
      </c>
      <c r="L37" s="3">
        <v>2.7259085439847701</v>
      </c>
      <c r="M37" s="3">
        <v>3.3724479854966001</v>
      </c>
      <c r="N37" s="3">
        <v>3.8357499841452198</v>
      </c>
    </row>
    <row r="38" spans="1:14" x14ac:dyDescent="0.35">
      <c r="A38" s="2">
        <v>42914</v>
      </c>
      <c r="B38" s="3">
        <v>4.3361785454021797</v>
      </c>
      <c r="C38" s="3">
        <v>4.6162178360784099</v>
      </c>
      <c r="D38" s="3">
        <v>3.0132458825629498</v>
      </c>
      <c r="E38" s="3">
        <v>2.96116516924114</v>
      </c>
      <c r="F38" s="3">
        <v>2.16271965420998</v>
      </c>
      <c r="G38" s="3">
        <v>3.23509989210091</v>
      </c>
      <c r="H38" s="3">
        <v>4.3201906132497498</v>
      </c>
      <c r="I38" s="3">
        <v>1.1771062236643499</v>
      </c>
      <c r="J38" s="3">
        <v>2.08668264186575</v>
      </c>
      <c r="K38" s="3">
        <v>3.30780974709071</v>
      </c>
      <c r="L38" s="3">
        <v>2.7700541840298301</v>
      </c>
      <c r="M38" s="3">
        <v>3.5452593304317399</v>
      </c>
      <c r="N38" s="3">
        <v>3.7899910247689901</v>
      </c>
    </row>
    <row r="39" spans="1:14" x14ac:dyDescent="0.35">
      <c r="A39" s="2">
        <v>42944</v>
      </c>
      <c r="B39" s="3">
        <v>4.4336339769215298</v>
      </c>
      <c r="C39" s="3">
        <v>4.6036688376564703</v>
      </c>
      <c r="D39" s="3">
        <v>3.04942668385022</v>
      </c>
      <c r="E39" s="3">
        <v>3.0797766189812599</v>
      </c>
      <c r="F39" s="3">
        <v>2.1717059367161999</v>
      </c>
      <c r="G39" s="3">
        <v>3.2914671123654702</v>
      </c>
      <c r="H39" s="3">
        <v>4.2904918394338099</v>
      </c>
      <c r="I39" s="3">
        <v>1.16856157352267</v>
      </c>
      <c r="J39" s="3">
        <v>2.0833066114421999</v>
      </c>
      <c r="K39" s="3">
        <v>3.3835391734678999</v>
      </c>
      <c r="L39" s="3">
        <v>2.7660671998856299</v>
      </c>
      <c r="M39" s="3">
        <v>3.7140747519073001</v>
      </c>
      <c r="N39" s="3">
        <v>3.77611740327441</v>
      </c>
    </row>
    <row r="40" spans="1:14" x14ac:dyDescent="0.35">
      <c r="A40" s="2">
        <v>42975</v>
      </c>
      <c r="B40" s="3">
        <v>4.3036232888146699</v>
      </c>
      <c r="C40" s="3">
        <v>4.5823890985992399</v>
      </c>
      <c r="D40" s="3">
        <v>3.0835877326704102</v>
      </c>
      <c r="E40" s="3">
        <v>3.1354342277364502</v>
      </c>
      <c r="F40" s="3">
        <v>2.2264802265433201</v>
      </c>
      <c r="G40" s="3">
        <v>3.3362163225608001</v>
      </c>
      <c r="H40" s="3">
        <v>4.3471242929804399</v>
      </c>
      <c r="I40" s="3">
        <v>1.18819222495291</v>
      </c>
      <c r="J40" s="3">
        <v>2.1193121291257899</v>
      </c>
      <c r="K40" s="3">
        <v>3.4321692674956599</v>
      </c>
      <c r="L40" s="3">
        <v>2.8509020993488998</v>
      </c>
      <c r="M40" s="3">
        <v>3.8027437156073098</v>
      </c>
      <c r="N40" s="3">
        <v>3.7792227062749402</v>
      </c>
    </row>
    <row r="41" spans="1:14" x14ac:dyDescent="0.35">
      <c r="A41" s="2">
        <v>43006</v>
      </c>
      <c r="B41" s="3">
        <v>4.4155233822205799</v>
      </c>
      <c r="C41" s="3">
        <v>4.6273012411165197</v>
      </c>
      <c r="D41" s="3">
        <v>2.9875302103977899</v>
      </c>
      <c r="E41" s="3">
        <v>3.0172939447526201</v>
      </c>
      <c r="F41" s="3">
        <v>2.1521557913657898</v>
      </c>
      <c r="G41" s="3">
        <v>3.28874257732171</v>
      </c>
      <c r="H41" s="3">
        <v>4.3189150453066096</v>
      </c>
      <c r="I41" s="3">
        <v>1.1716640886204599</v>
      </c>
      <c r="J41" s="3">
        <v>2.0680592063647598</v>
      </c>
      <c r="K41" s="3">
        <v>3.31332956216036</v>
      </c>
      <c r="L41" s="3">
        <v>2.8090839819190898</v>
      </c>
      <c r="M41" s="3">
        <v>3.5825600434646301</v>
      </c>
      <c r="N41" s="3">
        <v>3.6911389834099899</v>
      </c>
    </row>
    <row r="42" spans="1:14" x14ac:dyDescent="0.35">
      <c r="A42" s="2">
        <v>43035</v>
      </c>
      <c r="B42" s="3">
        <v>4.3662958480459704</v>
      </c>
      <c r="C42" s="3">
        <v>4.5051458263675501</v>
      </c>
      <c r="D42" s="3">
        <v>2.9254974688941799</v>
      </c>
      <c r="E42" s="3">
        <v>2.9048563417356199</v>
      </c>
      <c r="F42" s="3">
        <v>2.0553196888809699</v>
      </c>
      <c r="G42" s="3">
        <v>3.2664453595398202</v>
      </c>
      <c r="H42" s="3">
        <v>4.3069266309711098</v>
      </c>
      <c r="I42" s="3">
        <v>1.1226420873206</v>
      </c>
      <c r="J42" s="3">
        <v>2.0237369968513801</v>
      </c>
      <c r="K42" s="3">
        <v>3.24307618743418</v>
      </c>
      <c r="L42" s="3">
        <v>2.7456784637201999</v>
      </c>
      <c r="M42" s="3">
        <v>3.5177609916028598</v>
      </c>
      <c r="N42" s="3">
        <v>3.8040724565784498</v>
      </c>
    </row>
    <row r="43" spans="1:14" x14ac:dyDescent="0.35">
      <c r="A43" s="2">
        <v>43067</v>
      </c>
      <c r="B43" s="3">
        <v>4.3694750003756502</v>
      </c>
      <c r="C43" s="3">
        <v>4.4723514351374796</v>
      </c>
      <c r="D43" s="3">
        <v>2.9303555908600001</v>
      </c>
      <c r="E43" s="3">
        <v>2.9362500013655999</v>
      </c>
      <c r="F43" s="3">
        <v>2.09752797221548</v>
      </c>
      <c r="G43" s="3">
        <v>3.2293450803183901</v>
      </c>
      <c r="H43" s="3">
        <v>4.3476260921355996</v>
      </c>
      <c r="I43" s="3">
        <v>1.09358500219</v>
      </c>
      <c r="J43" s="3">
        <v>1.9860746408279</v>
      </c>
      <c r="K43" s="3">
        <v>3.2987984843314901</v>
      </c>
      <c r="L43" s="3">
        <v>2.81581828541524</v>
      </c>
      <c r="M43" s="3">
        <v>3.6407153669255798</v>
      </c>
      <c r="N43" s="3">
        <v>3.90264003205092</v>
      </c>
    </row>
    <row r="44" spans="1:14" x14ac:dyDescent="0.35">
      <c r="A44" s="2">
        <v>43097</v>
      </c>
      <c r="B44" s="3">
        <v>4.1984479112394402</v>
      </c>
      <c r="C44" s="3">
        <v>4.4368456720639697</v>
      </c>
      <c r="D44" s="3">
        <v>2.9039704276299498</v>
      </c>
      <c r="E44" s="3">
        <v>2.9360088688285901</v>
      </c>
      <c r="F44" s="3">
        <v>2.0561745891522101</v>
      </c>
      <c r="G44" s="3">
        <v>3.2109508183944802</v>
      </c>
      <c r="H44" s="3">
        <v>4.2378085612303904</v>
      </c>
      <c r="I44" s="3">
        <v>1.0930297110942599</v>
      </c>
      <c r="J44" s="3">
        <v>1.95122174585902</v>
      </c>
      <c r="K44" s="3">
        <v>3.30333929869983</v>
      </c>
      <c r="L44" s="3">
        <v>2.8434040572177501</v>
      </c>
      <c r="M44" s="3">
        <v>3.7458058486821799</v>
      </c>
      <c r="N44" s="3">
        <v>3.9407952404814002</v>
      </c>
    </row>
    <row r="45" spans="1:14" x14ac:dyDescent="0.35">
      <c r="A45" s="2">
        <v>43126</v>
      </c>
      <c r="B45" s="3">
        <v>4.2642733946398499</v>
      </c>
      <c r="C45" s="3">
        <v>4.5034632422417999</v>
      </c>
      <c r="D45" s="3">
        <v>2.9194201489514602</v>
      </c>
      <c r="E45" s="3">
        <v>2.8920811335680798</v>
      </c>
      <c r="F45" s="3">
        <v>2.00458359395599</v>
      </c>
      <c r="G45" s="3">
        <v>3.1411242150804202</v>
      </c>
      <c r="H45" s="3">
        <v>4.1654052541655</v>
      </c>
      <c r="I45" s="3">
        <v>1.0180863141968299</v>
      </c>
      <c r="J45" s="3">
        <v>1.84898557050246</v>
      </c>
      <c r="K45" s="3">
        <v>3.2009986521513798</v>
      </c>
      <c r="L45" s="3">
        <v>2.7766580226076498</v>
      </c>
      <c r="M45" s="3">
        <v>3.6910008867578599</v>
      </c>
      <c r="N45" s="3">
        <v>3.7154869278040001</v>
      </c>
    </row>
    <row r="46" spans="1:14" x14ac:dyDescent="0.35">
      <c r="A46" s="2">
        <v>43159</v>
      </c>
      <c r="B46" s="3">
        <v>4.1740757223065197</v>
      </c>
      <c r="C46" s="3">
        <v>4.5913673090686302</v>
      </c>
      <c r="D46" s="3">
        <v>3.1327254725301499</v>
      </c>
      <c r="E46" s="3">
        <v>3.1277804534750402</v>
      </c>
      <c r="F46" s="3">
        <v>2.19077462782696</v>
      </c>
      <c r="G46" s="3">
        <v>3.4040176929285102</v>
      </c>
      <c r="H46" s="3">
        <v>4.6209020556063596</v>
      </c>
      <c r="I46" s="3">
        <v>1.0647944279632799</v>
      </c>
      <c r="J46" s="3">
        <v>1.98433360458719</v>
      </c>
      <c r="K46" s="3">
        <v>3.3643249511687401</v>
      </c>
      <c r="L46" s="3">
        <v>2.93299424388678</v>
      </c>
      <c r="M46" s="3">
        <v>3.83889594769335</v>
      </c>
      <c r="N46" s="3">
        <v>3.9721774657956699</v>
      </c>
    </row>
    <row r="47" spans="1:14" x14ac:dyDescent="0.35">
      <c r="A47" s="2">
        <v>43187</v>
      </c>
      <c r="B47" s="3">
        <v>4.2877493347446904</v>
      </c>
      <c r="C47" s="3">
        <v>4.8345662413269199</v>
      </c>
      <c r="D47" s="3">
        <v>3.2301066082154399</v>
      </c>
      <c r="E47" s="3">
        <v>3.2891176541311999</v>
      </c>
      <c r="F47" s="3">
        <v>2.2909743847919599</v>
      </c>
      <c r="G47" s="3">
        <v>3.4908950461194199</v>
      </c>
      <c r="H47" s="3">
        <v>4.5616013803333599</v>
      </c>
      <c r="I47" s="3">
        <v>1.1424540030016499</v>
      </c>
      <c r="J47" s="3">
        <v>2.0845350942122498</v>
      </c>
      <c r="K47" s="3">
        <v>3.4830109789606798</v>
      </c>
      <c r="L47" s="3">
        <v>3.0000453278641501</v>
      </c>
      <c r="M47" s="3">
        <v>4.0925626670298501</v>
      </c>
      <c r="N47" s="3">
        <v>4.1209354158428901</v>
      </c>
    </row>
    <row r="48" spans="1:14" x14ac:dyDescent="0.35">
      <c r="A48" s="2">
        <v>43217</v>
      </c>
      <c r="B48" s="3">
        <v>4.3112202706886196</v>
      </c>
      <c r="C48" s="3">
        <v>4.7398671024550696</v>
      </c>
      <c r="D48" s="3">
        <v>3.1393849930569</v>
      </c>
      <c r="E48" s="3">
        <v>3.1638252241692801</v>
      </c>
      <c r="F48" s="3">
        <v>2.2067518767558201</v>
      </c>
      <c r="G48" s="3">
        <v>3.4718009551598099</v>
      </c>
      <c r="H48" s="3">
        <v>4.3455082697663103</v>
      </c>
      <c r="I48" s="3">
        <v>1.11922655516481</v>
      </c>
      <c r="J48" s="3">
        <v>2.0558728844196898</v>
      </c>
      <c r="K48" s="3">
        <v>3.3163207590803401</v>
      </c>
      <c r="L48" s="3">
        <v>2.93298881130635</v>
      </c>
      <c r="M48" s="3">
        <v>4.0028194333767901</v>
      </c>
      <c r="N48" s="3">
        <v>3.8997361198477298</v>
      </c>
    </row>
    <row r="49" spans="1:14" x14ac:dyDescent="0.35">
      <c r="A49" s="2">
        <v>43245</v>
      </c>
      <c r="B49" s="3">
        <v>4.21781842953627</v>
      </c>
      <c r="C49" s="3">
        <v>4.67852969101817</v>
      </c>
      <c r="D49" s="3">
        <v>3.0784555797297002</v>
      </c>
      <c r="E49" s="3">
        <v>3.1247405987394701</v>
      </c>
      <c r="F49" s="3">
        <v>2.2427239131794199</v>
      </c>
      <c r="G49" s="3">
        <v>3.49187449598824</v>
      </c>
      <c r="H49" s="3">
        <v>4.3076784458672499</v>
      </c>
      <c r="I49" s="3">
        <v>1.08412595675409</v>
      </c>
      <c r="J49" s="3">
        <v>2.0331625396047199</v>
      </c>
      <c r="K49" s="3">
        <v>3.3072336356364</v>
      </c>
      <c r="L49" s="3">
        <v>2.8808652309889902</v>
      </c>
      <c r="M49" s="3">
        <v>4.0376519831124904</v>
      </c>
      <c r="N49" s="3">
        <v>4.2663193425616397</v>
      </c>
    </row>
    <row r="50" spans="1:14" x14ac:dyDescent="0.35">
      <c r="A50" s="2">
        <v>43279</v>
      </c>
      <c r="B50" s="3">
        <v>4.0255880234140298</v>
      </c>
      <c r="C50" s="3">
        <v>4.5917835632982298</v>
      </c>
      <c r="D50" s="3">
        <v>3.0882746559046499</v>
      </c>
      <c r="E50" s="3">
        <v>3.3088799517684899</v>
      </c>
      <c r="F50" s="3">
        <v>2.3058510391212099</v>
      </c>
      <c r="G50" s="3">
        <v>3.63058305790193</v>
      </c>
      <c r="H50" s="3">
        <v>4.4294217767229904</v>
      </c>
      <c r="I50" s="3">
        <v>1.07704734825587</v>
      </c>
      <c r="J50" s="3">
        <v>2.0536921419517999</v>
      </c>
      <c r="K50" s="3">
        <v>3.49305620220971</v>
      </c>
      <c r="L50" s="3">
        <v>2.9732152715743401</v>
      </c>
      <c r="M50" s="3">
        <v>4.1998080585045496</v>
      </c>
      <c r="N50" s="3">
        <v>4.5298309513908999</v>
      </c>
    </row>
    <row r="51" spans="1:14" x14ac:dyDescent="0.35">
      <c r="A51" s="2">
        <v>43308</v>
      </c>
      <c r="B51" s="3">
        <v>4.0591369702541504</v>
      </c>
      <c r="C51" s="3">
        <v>4.5473807027983701</v>
      </c>
      <c r="D51" s="3">
        <v>3.07079172608658</v>
      </c>
      <c r="E51" s="3">
        <v>3.1388737739988799</v>
      </c>
      <c r="F51" s="3">
        <v>2.25156992187565</v>
      </c>
      <c r="G51" s="3">
        <v>3.3614143810583399</v>
      </c>
      <c r="H51" s="3">
        <v>4.3874015017216896</v>
      </c>
      <c r="I51" s="3">
        <v>1.09273382555311</v>
      </c>
      <c r="J51" s="3">
        <v>2.0001956530687699</v>
      </c>
      <c r="K51" s="3">
        <v>3.3698291501203301</v>
      </c>
      <c r="L51" s="3">
        <v>2.8459491717604899</v>
      </c>
      <c r="M51" s="3">
        <v>4.0923174210180697</v>
      </c>
      <c r="N51" s="3">
        <v>4.3825683159902002</v>
      </c>
    </row>
    <row r="52" spans="1:14" x14ac:dyDescent="0.35">
      <c r="A52" s="2">
        <v>43340</v>
      </c>
      <c r="B52" s="3">
        <v>3.93138077790505</v>
      </c>
      <c r="C52" s="3">
        <v>4.6184002543439497</v>
      </c>
      <c r="D52" s="3">
        <v>3.0991353977473199</v>
      </c>
      <c r="E52" s="3">
        <v>3.21391970307408</v>
      </c>
      <c r="F52" s="3">
        <v>2.3173845183672102</v>
      </c>
      <c r="G52" s="3">
        <v>3.39553440433414</v>
      </c>
      <c r="H52" s="3">
        <v>4.4859650295538298</v>
      </c>
      <c r="I52" s="3">
        <v>1.0594479909285299</v>
      </c>
      <c r="J52" s="3">
        <v>1.9578964415368401</v>
      </c>
      <c r="K52" s="3">
        <v>3.4009525291234302</v>
      </c>
      <c r="L52" s="3">
        <v>2.8935790612898802</v>
      </c>
      <c r="M52" s="3">
        <v>3.9955948514514499</v>
      </c>
      <c r="N52" s="3">
        <v>4.6753719299343803</v>
      </c>
    </row>
    <row r="53" spans="1:14" x14ac:dyDescent="0.35">
      <c r="A53" s="2">
        <v>43371</v>
      </c>
      <c r="B53" s="3">
        <v>3.9790071615836902</v>
      </c>
      <c r="C53" s="3">
        <v>4.7403585566426498</v>
      </c>
      <c r="D53" s="3">
        <v>3.1739828708695099</v>
      </c>
      <c r="E53" s="3">
        <v>3.3237076338273401</v>
      </c>
      <c r="F53" s="3">
        <v>2.2179232548042198</v>
      </c>
      <c r="G53" s="3">
        <v>3.4054765669637499</v>
      </c>
      <c r="H53" s="3">
        <v>4.5154571448665797</v>
      </c>
      <c r="I53" s="3">
        <v>1.0602033805061699</v>
      </c>
      <c r="J53" s="3">
        <v>1.9559818886590601</v>
      </c>
      <c r="K53" s="3">
        <v>3.4305747130456101</v>
      </c>
      <c r="L53" s="3">
        <v>3.0145756462442299</v>
      </c>
      <c r="M53" s="3">
        <v>4.02562062467823</v>
      </c>
      <c r="N53" s="3">
        <v>4.7003702892116204</v>
      </c>
    </row>
    <row r="54" spans="1:14" x14ac:dyDescent="0.35">
      <c r="A54" s="2">
        <v>43399</v>
      </c>
      <c r="B54" s="3">
        <v>4.3860737930646199</v>
      </c>
      <c r="C54" s="3">
        <v>5.2097459136575202</v>
      </c>
      <c r="D54" s="3">
        <v>3.45289813058303</v>
      </c>
      <c r="E54" s="3">
        <v>3.6315685407922</v>
      </c>
      <c r="F54" s="3">
        <v>2.5297122309419899</v>
      </c>
      <c r="G54" s="3">
        <v>3.6281172865429001</v>
      </c>
      <c r="H54" s="3">
        <v>4.95942358424014</v>
      </c>
      <c r="I54" s="3">
        <v>1.2006494946614801</v>
      </c>
      <c r="J54" s="3">
        <v>2.1645228401685199</v>
      </c>
      <c r="K54" s="3">
        <v>3.79993301081582</v>
      </c>
      <c r="L54" s="3">
        <v>3.26781195888478</v>
      </c>
      <c r="M54" s="3">
        <v>4.5075208652277601</v>
      </c>
      <c r="N54" s="3">
        <v>5.1551153124638898</v>
      </c>
    </row>
    <row r="55" spans="1:14" x14ac:dyDescent="0.35">
      <c r="A55" s="2">
        <v>43432</v>
      </c>
      <c r="B55" s="3">
        <v>4.29515032884429</v>
      </c>
      <c r="C55" s="3">
        <v>5.2622932007178802</v>
      </c>
      <c r="D55" s="3">
        <v>3.3983726473509401</v>
      </c>
      <c r="E55" s="3">
        <v>3.6612496591580399</v>
      </c>
      <c r="F55" s="3">
        <v>2.4811082436436802</v>
      </c>
      <c r="G55" s="3">
        <v>3.56723233565278</v>
      </c>
      <c r="H55" s="3">
        <v>4.9623248319479503</v>
      </c>
      <c r="I55" s="3">
        <v>1.1955981074237301</v>
      </c>
      <c r="J55" s="3">
        <v>2.09479993062665</v>
      </c>
      <c r="K55" s="3">
        <v>3.8103218222807902</v>
      </c>
      <c r="L55" s="3">
        <v>3.2224228719327299</v>
      </c>
      <c r="M55" s="3">
        <v>4.5026865725980301</v>
      </c>
      <c r="N55" s="3">
        <v>5.1376691813252098</v>
      </c>
    </row>
    <row r="56" spans="1:14" x14ac:dyDescent="0.35">
      <c r="A56" s="2">
        <v>43462</v>
      </c>
      <c r="B56" s="3">
        <v>4.1845847617896199</v>
      </c>
      <c r="C56" s="3">
        <v>5.3460661479059404</v>
      </c>
      <c r="D56" s="3">
        <v>3.6296020217454101</v>
      </c>
      <c r="E56" s="3">
        <v>3.9686295742884798</v>
      </c>
      <c r="F56" s="3">
        <v>2.7503635959682899</v>
      </c>
      <c r="G56" s="3">
        <v>3.7001769328768299</v>
      </c>
      <c r="H56" s="3">
        <v>5.33864081854259</v>
      </c>
      <c r="I56" s="3">
        <v>1.3289676621306299</v>
      </c>
      <c r="J56" s="3">
        <v>2.3378432755933201</v>
      </c>
      <c r="K56" s="3">
        <v>4.04822311899557</v>
      </c>
      <c r="L56" s="3">
        <v>3.4931441641044598</v>
      </c>
      <c r="M56" s="3">
        <v>4.7485723970453302</v>
      </c>
      <c r="N56" s="3">
        <v>5.4543874162368002</v>
      </c>
    </row>
    <row r="57" spans="1:14" x14ac:dyDescent="0.35">
      <c r="A57" s="2">
        <v>43493</v>
      </c>
      <c r="B57" s="3">
        <v>4.0474473616617903</v>
      </c>
      <c r="C57" s="3">
        <v>5.0701703580169299</v>
      </c>
      <c r="D57" s="3">
        <v>3.36362350026259</v>
      </c>
      <c r="E57" s="3">
        <v>3.69606962872207</v>
      </c>
      <c r="F57" s="3">
        <v>2.6502494106914298</v>
      </c>
      <c r="G57" s="3">
        <v>3.5101957595387701</v>
      </c>
      <c r="H57" s="3">
        <v>5.2379228845466397</v>
      </c>
      <c r="I57" s="3">
        <v>1.2560498552486501</v>
      </c>
      <c r="J57" s="3">
        <v>2.2088789276397098</v>
      </c>
      <c r="K57" s="3">
        <v>3.86899234788604</v>
      </c>
      <c r="L57" s="3">
        <v>3.3053822378285198</v>
      </c>
      <c r="M57" s="3">
        <v>4.4363143287918501</v>
      </c>
      <c r="N57" s="3">
        <v>5.1174861714770801</v>
      </c>
    </row>
    <row r="58" spans="1:14" x14ac:dyDescent="0.35">
      <c r="A58" s="2">
        <v>43524</v>
      </c>
      <c r="B58" s="3">
        <v>3.9616058386614301</v>
      </c>
      <c r="C58" s="3">
        <v>4.9227392654131101</v>
      </c>
      <c r="D58" s="3">
        <v>3.2770263014159302</v>
      </c>
      <c r="E58" s="3">
        <v>3.61231623795558</v>
      </c>
      <c r="F58" s="3">
        <v>2.5699106192148902</v>
      </c>
      <c r="G58" s="3">
        <v>3.33618169851596</v>
      </c>
      <c r="H58" s="3">
        <v>4.9737746688661399</v>
      </c>
      <c r="I58" s="3">
        <v>1.17801506593521</v>
      </c>
      <c r="J58" s="3">
        <v>2.1075996348026198</v>
      </c>
      <c r="K58" s="3">
        <v>3.6380608075462599</v>
      </c>
      <c r="L58" s="3">
        <v>3.12172646058908</v>
      </c>
      <c r="M58" s="3">
        <v>4.1638293328810798</v>
      </c>
      <c r="N58" s="3">
        <v>4.8199035571211697</v>
      </c>
    </row>
    <row r="59" spans="1:14" x14ac:dyDescent="0.35">
      <c r="A59" s="2">
        <v>43552</v>
      </c>
      <c r="B59" s="3">
        <v>3.7923435158174499</v>
      </c>
      <c r="C59" s="3">
        <v>4.9543672061763502</v>
      </c>
      <c r="D59" s="3">
        <v>3.2693519118874801</v>
      </c>
      <c r="E59" s="3">
        <v>3.63725865336328</v>
      </c>
      <c r="F59" s="3">
        <v>2.61337460992719</v>
      </c>
      <c r="G59" s="3">
        <v>3.3494888668210701</v>
      </c>
      <c r="H59" s="3">
        <v>4.93243284344699</v>
      </c>
      <c r="I59" s="3">
        <v>1.1476725165905199</v>
      </c>
      <c r="J59" s="3">
        <v>2.0992078606689102</v>
      </c>
      <c r="K59" s="3">
        <v>3.6433659236352698</v>
      </c>
      <c r="L59" s="3">
        <v>3.08817898271736</v>
      </c>
      <c r="M59" s="3">
        <v>4.1922680067817302</v>
      </c>
      <c r="N59" s="3">
        <v>4.7137286612969902</v>
      </c>
    </row>
    <row r="60" spans="1:14" x14ac:dyDescent="0.35">
      <c r="A60" s="2">
        <v>43581</v>
      </c>
      <c r="B60" s="3">
        <v>3.6946858763509698</v>
      </c>
      <c r="C60" s="3">
        <v>4.8241955723794296</v>
      </c>
      <c r="D60" s="3">
        <v>3.17756322093136</v>
      </c>
      <c r="E60" s="3">
        <v>3.3910146121107099</v>
      </c>
      <c r="F60" s="3">
        <v>2.5640880388891101</v>
      </c>
      <c r="G60" s="3">
        <v>3.2574867296927201</v>
      </c>
      <c r="H60" s="3">
        <v>4.8512743048979399</v>
      </c>
      <c r="I60" s="3">
        <v>1.08623572906665</v>
      </c>
      <c r="J60" s="3">
        <v>2.0276678188305901</v>
      </c>
      <c r="K60" s="3">
        <v>3.4785846522685602</v>
      </c>
      <c r="L60" s="3">
        <v>2.9731074703266001</v>
      </c>
      <c r="M60" s="3">
        <v>3.9630835872824099</v>
      </c>
      <c r="N60" s="3">
        <v>4.6484628029274404</v>
      </c>
    </row>
    <row r="61" spans="1:14" x14ac:dyDescent="0.35">
      <c r="A61" s="2">
        <v>43613</v>
      </c>
      <c r="B61" s="3">
        <v>3.71919636224857</v>
      </c>
      <c r="C61" s="3">
        <v>4.7711772757373003</v>
      </c>
      <c r="D61" s="3">
        <v>3.3302327495123101</v>
      </c>
      <c r="E61" s="3">
        <v>3.59086873903841</v>
      </c>
      <c r="F61" s="3">
        <v>2.6776535739706699</v>
      </c>
      <c r="G61" s="3">
        <v>3.2962633685883498</v>
      </c>
      <c r="H61" s="3">
        <v>4.9282147582652396</v>
      </c>
      <c r="I61" s="3">
        <v>1.1725931221516499</v>
      </c>
      <c r="J61" s="3">
        <v>2.1383179858243802</v>
      </c>
      <c r="K61" s="3">
        <v>3.6571561577008098</v>
      </c>
      <c r="L61" s="3">
        <v>3.11518218402919</v>
      </c>
      <c r="M61" s="3">
        <v>4.2892796448499801</v>
      </c>
      <c r="N61" s="3">
        <v>4.9982597291583204</v>
      </c>
    </row>
    <row r="62" spans="1:14" x14ac:dyDescent="0.35">
      <c r="A62" s="2">
        <v>43644</v>
      </c>
      <c r="B62" s="3">
        <v>3.5627527194666202</v>
      </c>
      <c r="C62" s="3">
        <v>4.6113391783872801</v>
      </c>
      <c r="D62" s="3">
        <v>3.3189763170187798</v>
      </c>
      <c r="E62" s="3">
        <v>3.4877083234996298</v>
      </c>
      <c r="F62" s="3">
        <v>2.6833900308746199</v>
      </c>
      <c r="G62" s="3">
        <v>3.2094560194669501</v>
      </c>
      <c r="H62" s="3">
        <v>4.7817744198261698</v>
      </c>
      <c r="I62" s="3">
        <v>1.1141338536349601</v>
      </c>
      <c r="J62" s="3">
        <v>2.0481600886562101</v>
      </c>
      <c r="K62" s="3">
        <v>3.5258989511947099</v>
      </c>
      <c r="L62" s="3">
        <v>3.0076913272503298</v>
      </c>
      <c r="M62" s="3">
        <v>4.1579557455510496</v>
      </c>
      <c r="N62" s="3">
        <v>4.8405653192291798</v>
      </c>
    </row>
    <row r="63" spans="1:14" x14ac:dyDescent="0.35">
      <c r="A63" s="2">
        <v>43672</v>
      </c>
      <c r="B63" s="3">
        <v>3.4178013896589801</v>
      </c>
      <c r="C63" s="3">
        <v>4.5301883556159002</v>
      </c>
      <c r="D63" s="3">
        <v>3.3183365863833898</v>
      </c>
      <c r="E63" s="3">
        <v>3.4077204018306899</v>
      </c>
      <c r="F63" s="3">
        <v>2.6569840977785599</v>
      </c>
      <c r="G63" s="3">
        <v>3.2191532941858698</v>
      </c>
      <c r="H63" s="3">
        <v>4.7955021240767097</v>
      </c>
      <c r="I63" s="3">
        <v>1.07165789923017</v>
      </c>
      <c r="J63" s="3">
        <v>2.0017979578151901</v>
      </c>
      <c r="K63" s="3">
        <v>3.49586977148978</v>
      </c>
      <c r="L63" s="3">
        <v>2.88271115152012</v>
      </c>
      <c r="M63" s="3">
        <v>4.0131231378919203</v>
      </c>
      <c r="N63" s="3">
        <v>4.7245665650860103</v>
      </c>
    </row>
    <row r="64" spans="1:14" x14ac:dyDescent="0.35">
      <c r="A64" s="2">
        <v>43705</v>
      </c>
      <c r="B64" s="3">
        <v>3.41976382688186</v>
      </c>
      <c r="C64" s="3">
        <v>4.6789662404012997</v>
      </c>
      <c r="D64" s="3">
        <v>3.4205810267168602</v>
      </c>
      <c r="E64" s="3">
        <v>3.5915402894358599</v>
      </c>
      <c r="F64" s="3">
        <v>2.7890243086105202</v>
      </c>
      <c r="G64" s="3">
        <v>3.2710439598385102</v>
      </c>
      <c r="H64" s="3">
        <v>5.1300947257836098</v>
      </c>
      <c r="I64" s="3">
        <v>1.1327933988275001</v>
      </c>
      <c r="J64" s="3">
        <v>2.1068290541228398</v>
      </c>
      <c r="K64" s="3">
        <v>3.6754769756085599</v>
      </c>
      <c r="L64" s="3">
        <v>3.0010823284932702</v>
      </c>
      <c r="M64" s="3">
        <v>4.2820842388045</v>
      </c>
      <c r="N64" s="3">
        <v>4.9685114594481501</v>
      </c>
    </row>
    <row r="65" spans="1:14" x14ac:dyDescent="0.35">
      <c r="A65" s="2">
        <v>43735</v>
      </c>
      <c r="B65" s="3">
        <v>3.37937427518384</v>
      </c>
      <c r="C65" s="3">
        <v>4.4281025624015804</v>
      </c>
      <c r="D65" s="3">
        <v>3.3268529993569</v>
      </c>
      <c r="E65" s="3">
        <v>3.40266575427458</v>
      </c>
      <c r="F65" s="3">
        <v>2.59727524981419</v>
      </c>
      <c r="G65" s="3">
        <v>3.2060075925750402</v>
      </c>
      <c r="H65" s="3">
        <v>4.8718771844773698</v>
      </c>
      <c r="I65" s="3">
        <v>1.1238138482533599</v>
      </c>
      <c r="J65" s="3">
        <v>2.0609167888278299</v>
      </c>
      <c r="K65" s="3">
        <v>3.5086238427751799</v>
      </c>
      <c r="L65" s="3">
        <v>2.7551650485113099</v>
      </c>
      <c r="M65" s="3">
        <v>3.8945443945592402</v>
      </c>
      <c r="N65" s="3">
        <v>4.7435282005886696</v>
      </c>
    </row>
    <row r="66" spans="1:14" x14ac:dyDescent="0.35">
      <c r="A66" s="2">
        <v>43766</v>
      </c>
      <c r="B66" s="3">
        <v>3.3857876343350299</v>
      </c>
      <c r="C66" s="3">
        <v>4.3589920647247702</v>
      </c>
      <c r="D66" s="3">
        <v>3.3736606104723901</v>
      </c>
      <c r="E66" s="3">
        <v>3.2608610242432601</v>
      </c>
      <c r="F66" s="3">
        <v>2.5410933569640699</v>
      </c>
      <c r="G66" s="3">
        <v>3.1645440415499202</v>
      </c>
      <c r="H66" s="3">
        <v>4.8148910056780396</v>
      </c>
      <c r="I66" s="3">
        <v>1.07889105958566</v>
      </c>
      <c r="J66" s="3">
        <v>2.02373113347008</v>
      </c>
      <c r="K66" s="3">
        <v>3.4541999414302298</v>
      </c>
      <c r="L66" s="3">
        <v>2.7286201912762902</v>
      </c>
      <c r="M66" s="3">
        <v>3.67407678127877</v>
      </c>
      <c r="N66" s="3">
        <v>4.6393327953781904</v>
      </c>
    </row>
    <row r="67" spans="1:14" x14ac:dyDescent="0.35">
      <c r="A67" s="2">
        <v>43796</v>
      </c>
      <c r="B67" s="3">
        <v>3.2798360695558402</v>
      </c>
      <c r="C67" s="3">
        <v>4.2693570319665799</v>
      </c>
      <c r="D67" s="3">
        <v>3.2310919075914399</v>
      </c>
      <c r="E67" s="3">
        <v>3.0844569278076102</v>
      </c>
      <c r="F67" s="3">
        <v>2.4558600233688201</v>
      </c>
      <c r="G67" s="3">
        <v>3.08427872313246</v>
      </c>
      <c r="H67" s="3">
        <v>4.7138687925821001</v>
      </c>
      <c r="I67" s="3">
        <v>1.06605796326469</v>
      </c>
      <c r="J67" s="3">
        <v>1.9673831251960401</v>
      </c>
      <c r="K67" s="3">
        <v>3.3646994597350601</v>
      </c>
      <c r="L67" s="3">
        <v>2.6426193761780401</v>
      </c>
      <c r="M67" s="3">
        <v>3.6896454151092</v>
      </c>
      <c r="N67" s="3">
        <v>4.5297825190118104</v>
      </c>
    </row>
    <row r="68" spans="1:14" x14ac:dyDescent="0.35">
      <c r="A68" s="2">
        <v>43826</v>
      </c>
      <c r="B68" s="3">
        <v>3.14079418403057</v>
      </c>
      <c r="C68" s="3">
        <v>4.2324530494282699</v>
      </c>
      <c r="D68" s="3">
        <v>3.2416019824480902</v>
      </c>
      <c r="E68" s="3">
        <v>3.0773504787497101</v>
      </c>
      <c r="F68" s="3">
        <v>2.4260793715346098</v>
      </c>
      <c r="G68" s="3">
        <v>3.0174494916088199</v>
      </c>
      <c r="H68" s="3">
        <v>4.5340880662701402</v>
      </c>
      <c r="I68" s="3">
        <v>1.0423262401748501</v>
      </c>
      <c r="J68" s="3">
        <v>1.9265942908290401</v>
      </c>
      <c r="K68" s="3">
        <v>3.32075569020494</v>
      </c>
      <c r="L68" s="3">
        <v>2.5738621901291401</v>
      </c>
      <c r="M68" s="3">
        <v>3.5682971107658301</v>
      </c>
      <c r="N68" s="3">
        <v>4.4469321696564403</v>
      </c>
    </row>
    <row r="69" spans="1:14" x14ac:dyDescent="0.35">
      <c r="A69" s="2">
        <v>43858</v>
      </c>
      <c r="B69" s="3">
        <v>3.1125416143049498</v>
      </c>
      <c r="C69" s="3">
        <v>4.1826283164771496</v>
      </c>
      <c r="D69" s="3">
        <v>3.2375930074366099</v>
      </c>
      <c r="E69" s="3">
        <v>3.0815428911869698</v>
      </c>
      <c r="F69" s="3">
        <v>2.4862098506693999</v>
      </c>
      <c r="G69" s="3">
        <v>3.0003273145066198</v>
      </c>
      <c r="H69" s="3">
        <v>4.6568376597944203</v>
      </c>
      <c r="I69" s="3">
        <v>1.01061297562771</v>
      </c>
      <c r="J69" s="3">
        <v>1.91882663543346</v>
      </c>
      <c r="K69" s="3">
        <v>3.3749909054663498</v>
      </c>
      <c r="L69" s="3">
        <v>2.6428365768924702</v>
      </c>
      <c r="M69" s="3">
        <v>3.60039115468056</v>
      </c>
      <c r="N69" s="3">
        <v>4.4620843925066502</v>
      </c>
    </row>
    <row r="70" spans="1:14" x14ac:dyDescent="0.35">
      <c r="A70" s="2">
        <v>43889</v>
      </c>
      <c r="B70" s="3">
        <v>3.1699334584336301</v>
      </c>
      <c r="C70" s="3">
        <v>4.4946242762451103</v>
      </c>
      <c r="D70" s="3">
        <v>3.5456181912962199</v>
      </c>
      <c r="E70" s="3">
        <v>3.4328000594677799</v>
      </c>
      <c r="F70" s="3">
        <v>2.7616977184379801</v>
      </c>
      <c r="G70" s="3">
        <v>3.3026211798255098</v>
      </c>
      <c r="H70" s="3">
        <v>5.3351260764625001</v>
      </c>
      <c r="I70" s="3">
        <v>1.09357289976814</v>
      </c>
      <c r="J70" s="3">
        <v>2.1457295023515601</v>
      </c>
      <c r="K70" s="3">
        <v>3.72782087677705</v>
      </c>
      <c r="L70" s="3">
        <v>2.8703219753556901</v>
      </c>
      <c r="M70" s="3">
        <v>3.8318433537366801</v>
      </c>
      <c r="N70" s="3">
        <v>5.0087033729094204</v>
      </c>
    </row>
    <row r="71" spans="1:14" x14ac:dyDescent="0.35">
      <c r="A71" s="2">
        <v>43917</v>
      </c>
      <c r="B71" s="3">
        <v>3.44708922141302</v>
      </c>
      <c r="C71" s="3">
        <v>5.5796619948107304</v>
      </c>
      <c r="D71" s="3">
        <v>4.56688179580767</v>
      </c>
      <c r="E71" s="3">
        <v>4.0503471480666597</v>
      </c>
      <c r="F71" s="3">
        <v>2.8719650922239</v>
      </c>
      <c r="G71" s="3">
        <v>3.6033958334493801</v>
      </c>
      <c r="H71" s="3">
        <v>6.40116865455518</v>
      </c>
      <c r="I71" s="3">
        <v>1.2224748912015599</v>
      </c>
      <c r="J71" s="3">
        <v>2.4777813630299401</v>
      </c>
      <c r="K71" s="3">
        <v>4.3959183973467297</v>
      </c>
      <c r="L71" s="3">
        <v>3.4064605063791098</v>
      </c>
      <c r="M71" s="3">
        <v>4.3606118669496903</v>
      </c>
      <c r="N71" s="3">
        <v>6.3224917830841099</v>
      </c>
    </row>
    <row r="72" spans="1:14" x14ac:dyDescent="0.35">
      <c r="A72" s="2">
        <v>43949</v>
      </c>
      <c r="B72" s="3">
        <v>2.6433493858786399</v>
      </c>
      <c r="C72" s="3">
        <v>4.1415841400418003</v>
      </c>
      <c r="D72" s="3">
        <v>3.8770265076336301</v>
      </c>
      <c r="E72" s="3">
        <v>3.3781579461257998</v>
      </c>
      <c r="F72" s="3">
        <v>2.8296835310164101</v>
      </c>
      <c r="G72" s="3">
        <v>3.2137127618024501</v>
      </c>
      <c r="H72" s="3">
        <v>5.1961203559287696</v>
      </c>
      <c r="I72" s="3">
        <v>1.06381764441983</v>
      </c>
      <c r="J72" s="3">
        <v>2.1399388339373702</v>
      </c>
      <c r="K72" s="3">
        <v>3.6057526994121001</v>
      </c>
      <c r="L72" s="3">
        <v>2.7199155614599801</v>
      </c>
      <c r="M72" s="3">
        <v>3.3166896610915502</v>
      </c>
      <c r="N72" s="3">
        <v>5.3319993786918198</v>
      </c>
    </row>
    <row r="73" spans="1:14" x14ac:dyDescent="0.35">
      <c r="A73" s="2">
        <v>43979</v>
      </c>
      <c r="B73" s="3">
        <v>2.4935021450875401</v>
      </c>
      <c r="C73" s="3">
        <v>3.51052874990391</v>
      </c>
      <c r="D73" s="3">
        <v>3.62159483132764</v>
      </c>
      <c r="E73" s="3">
        <v>3.0695140057080601</v>
      </c>
      <c r="F73" s="3">
        <v>2.5590723219843299</v>
      </c>
      <c r="G73" s="3">
        <v>3.1407243627422998</v>
      </c>
      <c r="H73" s="3">
        <v>4.1602250759349904</v>
      </c>
      <c r="I73" s="3">
        <v>0.96447500279326803</v>
      </c>
      <c r="J73" s="3">
        <v>1.9946837581300401</v>
      </c>
      <c r="K73" s="3">
        <v>3.2805345039521798</v>
      </c>
      <c r="L73" s="3">
        <v>2.4620014720899301</v>
      </c>
      <c r="M73" s="3">
        <v>3.1092817522852401</v>
      </c>
      <c r="N73" s="3">
        <v>4.61566542196607</v>
      </c>
    </row>
    <row r="74" spans="1:14" x14ac:dyDescent="0.35">
      <c r="A74" s="2">
        <v>44008</v>
      </c>
      <c r="B74" s="3">
        <v>2.5645785273520199</v>
      </c>
      <c r="C74" s="3">
        <v>3.48487588352116</v>
      </c>
      <c r="D74" s="3">
        <v>3.6279989937272901</v>
      </c>
      <c r="E74" s="3">
        <v>2.9699923231035399</v>
      </c>
      <c r="F74" s="3">
        <v>2.4785365608660701</v>
      </c>
      <c r="G74" s="3">
        <v>3.0998295707782502</v>
      </c>
      <c r="H74" s="3">
        <v>4.1714750782309498</v>
      </c>
      <c r="I74" s="3">
        <v>0.92141473673562202</v>
      </c>
      <c r="J74" s="3">
        <v>1.99332583885325</v>
      </c>
      <c r="K74" s="3">
        <v>3.18345497155422</v>
      </c>
      <c r="L74" s="3">
        <v>2.39351188293154</v>
      </c>
      <c r="M74" s="3">
        <v>3.0707531081897401</v>
      </c>
      <c r="N74" s="3">
        <v>4.4130319974047998</v>
      </c>
    </row>
    <row r="75" spans="1:14" x14ac:dyDescent="0.35">
      <c r="A75" s="2">
        <v>44040</v>
      </c>
      <c r="B75" s="3">
        <v>2.4187500298566702</v>
      </c>
      <c r="C75" s="3">
        <v>3.3955192547020401</v>
      </c>
      <c r="D75" s="3">
        <v>3.4329668215876699</v>
      </c>
      <c r="E75" s="3">
        <v>2.8305147721732702</v>
      </c>
      <c r="F75" s="3">
        <v>2.49118212037803</v>
      </c>
      <c r="G75" s="3">
        <v>2.9511754453024501</v>
      </c>
      <c r="H75" s="3">
        <v>4.0531778230282596</v>
      </c>
      <c r="I75" s="3">
        <v>0.86406398035504195</v>
      </c>
      <c r="J75" s="3">
        <v>1.8460707574844599</v>
      </c>
      <c r="K75" s="3">
        <v>3.1427608304719299</v>
      </c>
      <c r="L75" s="3">
        <v>2.33410641229993</v>
      </c>
      <c r="M75" s="3">
        <v>2.9956889492451499</v>
      </c>
      <c r="N75" s="3">
        <v>4.31090408874201</v>
      </c>
    </row>
    <row r="76" spans="1:14" x14ac:dyDescent="0.35">
      <c r="A76" s="2">
        <v>44071</v>
      </c>
      <c r="B76" s="3">
        <v>2.2934960531125301</v>
      </c>
      <c r="C76" s="3">
        <v>3.3926782974276599</v>
      </c>
      <c r="D76" s="3">
        <v>3.3093011375876502</v>
      </c>
      <c r="E76" s="3">
        <v>2.8010995515388499</v>
      </c>
      <c r="F76" s="3">
        <v>2.3960155447420002</v>
      </c>
      <c r="G76" s="3">
        <v>2.94859169797465</v>
      </c>
      <c r="H76" s="3">
        <v>4.06182581141152</v>
      </c>
      <c r="I76" s="3">
        <v>0.75975564696116205</v>
      </c>
      <c r="J76" s="3">
        <v>1.69965822951804</v>
      </c>
      <c r="K76" s="3">
        <v>3.1120678404394302</v>
      </c>
      <c r="L76" s="3">
        <v>2.3054843949614998</v>
      </c>
      <c r="M76" s="3">
        <v>2.9979516755905999</v>
      </c>
      <c r="N76" s="3">
        <v>3.9984111536926399</v>
      </c>
    </row>
    <row r="77" spans="1:14" x14ac:dyDescent="0.35">
      <c r="A77" s="2">
        <v>44102</v>
      </c>
      <c r="B77" s="3">
        <v>2.4396671569942199</v>
      </c>
      <c r="C77" s="3">
        <v>3.6113488376704299</v>
      </c>
      <c r="D77" s="3">
        <v>3.4194693287717799</v>
      </c>
      <c r="E77" s="3">
        <v>2.85421570621055</v>
      </c>
      <c r="F77" s="3">
        <v>2.3453847424308698</v>
      </c>
      <c r="G77" s="3">
        <v>2.9536912485004798</v>
      </c>
      <c r="H77" s="3">
        <v>4.18037716193263</v>
      </c>
      <c r="I77" s="3">
        <v>0.804673231855912</v>
      </c>
      <c r="J77" s="3">
        <v>1.7788449370377899</v>
      </c>
      <c r="K77" s="3">
        <v>3.2703090356009001</v>
      </c>
      <c r="L77" s="3">
        <v>2.3534834735642698</v>
      </c>
      <c r="M77" s="3">
        <v>2.9827892423056701</v>
      </c>
      <c r="N77" s="3">
        <v>4.1726086586972801</v>
      </c>
    </row>
    <row r="78" spans="1:14" x14ac:dyDescent="0.35">
      <c r="A78" s="2">
        <v>44132</v>
      </c>
      <c r="B78" s="3">
        <v>2.39487010709394</v>
      </c>
      <c r="C78" s="3">
        <v>3.6816600738326302</v>
      </c>
      <c r="D78" s="3">
        <v>3.5411182749604402</v>
      </c>
      <c r="E78" s="3">
        <v>3.17995775480559</v>
      </c>
      <c r="F78" s="3">
        <v>2.4119943196030098</v>
      </c>
      <c r="G78" s="3">
        <v>3.1353451128194001</v>
      </c>
      <c r="H78" s="3">
        <v>4.57028029636977</v>
      </c>
      <c r="I78" s="3">
        <v>0.83117850829704198</v>
      </c>
      <c r="J78" s="3">
        <v>1.8295347339489501</v>
      </c>
      <c r="K78" s="3">
        <v>3.4604192881723002</v>
      </c>
      <c r="L78" s="3">
        <v>2.40349491588261</v>
      </c>
      <c r="M78" s="3">
        <v>3.31458741543097</v>
      </c>
      <c r="N78" s="3">
        <v>4.5488970479574</v>
      </c>
    </row>
    <row r="79" spans="1:14" x14ac:dyDescent="0.35">
      <c r="A79" s="2">
        <v>44162</v>
      </c>
      <c r="B79" s="3">
        <v>2.44193551866225</v>
      </c>
      <c r="C79" s="3">
        <v>3.4687711916757999</v>
      </c>
      <c r="D79" s="3">
        <v>3.1723628221026199</v>
      </c>
      <c r="E79" s="3">
        <v>2.81345230526804</v>
      </c>
      <c r="F79" s="3">
        <v>2.1668641597181599</v>
      </c>
      <c r="G79" s="3">
        <v>2.8825707240893101</v>
      </c>
      <c r="H79" s="3">
        <v>3.9840939026969102</v>
      </c>
      <c r="I79" s="3">
        <v>0.75667653916573097</v>
      </c>
      <c r="J79" s="3">
        <v>1.6499002399068301</v>
      </c>
      <c r="K79" s="3">
        <v>2.8659411257132898</v>
      </c>
      <c r="L79" s="3">
        <v>2.1523524163442298</v>
      </c>
      <c r="M79" s="3">
        <v>2.9835607089404199</v>
      </c>
      <c r="N79" s="3">
        <v>3.8705919391985901</v>
      </c>
    </row>
    <row r="80" spans="1:14" x14ac:dyDescent="0.35">
      <c r="A80" s="2">
        <v>44193</v>
      </c>
      <c r="B80" s="3">
        <v>2.4025351612475601</v>
      </c>
      <c r="C80" s="3">
        <v>3.5560363798975199</v>
      </c>
      <c r="D80" s="3">
        <v>3.10221350774383</v>
      </c>
      <c r="E80" s="3">
        <v>2.7073873939693498</v>
      </c>
      <c r="F80" s="3">
        <v>2.16052192379275</v>
      </c>
      <c r="G80" s="3">
        <v>2.84941049770649</v>
      </c>
      <c r="H80" s="3">
        <v>3.9420783006001399</v>
      </c>
      <c r="I80" s="3">
        <v>0.76580118198538805</v>
      </c>
      <c r="J80" s="3">
        <v>1.58560974335372</v>
      </c>
      <c r="K80" s="3">
        <v>2.9169544546432098</v>
      </c>
      <c r="L80" s="3">
        <v>2.01057233752912</v>
      </c>
      <c r="M80" s="3">
        <v>3.0885106468028001</v>
      </c>
      <c r="N80" s="3">
        <v>3.9263997256899001</v>
      </c>
    </row>
    <row r="81" spans="1:14" x14ac:dyDescent="0.35">
      <c r="A81" s="2">
        <v>44224</v>
      </c>
      <c r="B81" s="3">
        <v>2.4703266240794299</v>
      </c>
      <c r="C81" s="3">
        <v>3.6433855478645598</v>
      </c>
      <c r="D81" s="3">
        <v>3.09148282803545</v>
      </c>
      <c r="E81" s="3">
        <v>2.7668721428448899</v>
      </c>
      <c r="F81" s="3">
        <v>2.1168030876774302</v>
      </c>
      <c r="G81" s="3">
        <v>2.8181915364933499</v>
      </c>
      <c r="H81" s="3">
        <v>4.0168579998319798</v>
      </c>
      <c r="I81" s="3">
        <v>0.74927059886326197</v>
      </c>
      <c r="J81" s="3">
        <v>1.57272270607381</v>
      </c>
      <c r="K81" s="3">
        <v>2.9667086361770898</v>
      </c>
      <c r="L81" s="3">
        <v>1.99663796701948</v>
      </c>
      <c r="M81" s="3">
        <v>3.00427883873266</v>
      </c>
      <c r="N81" s="3">
        <v>4.1094243454899404</v>
      </c>
    </row>
    <row r="82" spans="1:14" x14ac:dyDescent="0.35">
      <c r="A82" s="2">
        <v>44253</v>
      </c>
      <c r="B82" s="3">
        <v>2.6390537501451301</v>
      </c>
      <c r="C82" s="3">
        <v>3.9257667749489502</v>
      </c>
      <c r="D82" s="3">
        <v>2.9804457227924002</v>
      </c>
      <c r="E82" s="3">
        <v>2.84200926461744</v>
      </c>
      <c r="F82" s="3">
        <v>2.1233149619173899</v>
      </c>
      <c r="G82" s="3">
        <v>2.91272826287135</v>
      </c>
      <c r="H82" s="3">
        <v>4.0681165208980596</v>
      </c>
      <c r="I82" s="3">
        <v>0.77474230191607296</v>
      </c>
      <c r="J82" s="3">
        <v>1.57925339428522</v>
      </c>
      <c r="K82" s="3">
        <v>2.8800627848553599</v>
      </c>
      <c r="L82" s="3">
        <v>2.0089015450111498</v>
      </c>
      <c r="M82" s="3">
        <v>2.9905458544825101</v>
      </c>
      <c r="N82" s="3">
        <v>4.1215827209711202</v>
      </c>
    </row>
    <row r="83" spans="1:14" x14ac:dyDescent="0.35">
      <c r="A83" s="2">
        <v>44281</v>
      </c>
      <c r="B83" s="3">
        <v>2.6045267438390001</v>
      </c>
      <c r="C83" s="3">
        <v>3.9597550527423202</v>
      </c>
      <c r="D83" s="3">
        <v>2.8488607074519101</v>
      </c>
      <c r="E83" s="3">
        <v>2.75160039071943</v>
      </c>
      <c r="F83" s="3">
        <v>2.0406660599108402</v>
      </c>
      <c r="G83" s="3">
        <v>2.7973695367118201</v>
      </c>
      <c r="H83" s="3">
        <v>4.0328769982836201</v>
      </c>
      <c r="I83" s="3">
        <v>0.77339599297206796</v>
      </c>
      <c r="J83" s="3">
        <v>1.5202354725238101</v>
      </c>
      <c r="K83" s="3">
        <v>2.78257739142418</v>
      </c>
      <c r="L83" s="3">
        <v>1.9646446099352901</v>
      </c>
      <c r="M83" s="3">
        <v>2.7595488793940302</v>
      </c>
      <c r="N83" s="3">
        <v>4.03481708851624</v>
      </c>
    </row>
    <row r="84" spans="1:14" x14ac:dyDescent="0.35">
      <c r="A84" s="2">
        <v>44314</v>
      </c>
      <c r="B84" s="3">
        <v>2.5789352796479101</v>
      </c>
      <c r="C84" s="3">
        <v>3.8998152368197401</v>
      </c>
      <c r="D84" s="3">
        <v>2.7286366007887501</v>
      </c>
      <c r="E84" s="3">
        <v>2.7403119480471401</v>
      </c>
      <c r="F84" s="3">
        <v>2.1374977043822199</v>
      </c>
      <c r="G84" s="3">
        <v>2.7563595746116101</v>
      </c>
      <c r="H84" s="3">
        <v>3.9632945656926202</v>
      </c>
      <c r="I84" s="3">
        <v>0.72839422410154198</v>
      </c>
      <c r="J84" s="3">
        <v>1.4585459216357599</v>
      </c>
      <c r="K84" s="3">
        <v>2.6850940629512801</v>
      </c>
      <c r="L84" s="3">
        <v>1.91941201195055</v>
      </c>
      <c r="M84" s="3">
        <v>2.7943249513684001</v>
      </c>
      <c r="N84" s="3">
        <v>4.1318990798927198</v>
      </c>
    </row>
    <row r="85" spans="1:14" x14ac:dyDescent="0.35">
      <c r="A85" s="2">
        <v>44344</v>
      </c>
      <c r="B85" s="3">
        <v>2.7430433482568701</v>
      </c>
      <c r="C85" s="3">
        <v>3.8774693184729498</v>
      </c>
      <c r="D85" s="3">
        <v>2.62112529194407</v>
      </c>
      <c r="E85" s="3">
        <v>2.8049732681908099</v>
      </c>
      <c r="F85" s="3">
        <v>2.1463717616418898</v>
      </c>
      <c r="G85" s="3">
        <v>2.7034879637706202</v>
      </c>
      <c r="H85" s="3">
        <v>3.90571382900188</v>
      </c>
      <c r="I85" s="3">
        <v>0.74074418719366797</v>
      </c>
      <c r="J85" s="3">
        <v>1.45861702641558</v>
      </c>
      <c r="K85" s="3">
        <v>2.6688263919199202</v>
      </c>
      <c r="L85" s="3">
        <v>2.0038287138899902</v>
      </c>
      <c r="M85" s="3">
        <v>2.7046209737551701</v>
      </c>
      <c r="N85" s="3">
        <v>4.09625271062973</v>
      </c>
    </row>
    <row r="86" spans="1:14" x14ac:dyDescent="0.35">
      <c r="A86" s="2">
        <v>44375</v>
      </c>
      <c r="B86" s="3">
        <v>2.6610186582283899</v>
      </c>
      <c r="C86" s="3">
        <v>4.0261043856381402</v>
      </c>
      <c r="D86" s="3">
        <v>2.7116384549031598</v>
      </c>
      <c r="E86" s="3">
        <v>2.80889137566421</v>
      </c>
      <c r="F86" s="3">
        <v>2.1706971822656298</v>
      </c>
      <c r="G86" s="3">
        <v>2.61649387557808</v>
      </c>
      <c r="H86" s="3">
        <v>3.9878786078944302</v>
      </c>
      <c r="I86" s="3">
        <v>0.70531006357461301</v>
      </c>
      <c r="J86" s="3">
        <v>1.4433677714233699</v>
      </c>
      <c r="K86" s="3">
        <v>2.6834903168680202</v>
      </c>
      <c r="L86" s="3">
        <v>1.99198842904144</v>
      </c>
      <c r="M86" s="3">
        <v>2.71266695836899</v>
      </c>
      <c r="N86" s="3">
        <v>4.1283625605194798</v>
      </c>
    </row>
    <row r="87" spans="1:14" x14ac:dyDescent="0.35">
      <c r="A87" s="2">
        <v>44405</v>
      </c>
      <c r="B87" s="3">
        <v>2.6401340258416601</v>
      </c>
      <c r="C87" s="3">
        <v>4.15762356745517</v>
      </c>
      <c r="D87" s="3">
        <v>2.7154178067697599</v>
      </c>
      <c r="E87" s="3">
        <v>2.8261908377252798</v>
      </c>
      <c r="F87" s="3">
        <v>2.24909624863955</v>
      </c>
      <c r="G87" s="3">
        <v>2.6126984980093999</v>
      </c>
      <c r="H87" s="3">
        <v>4.1047448473045298</v>
      </c>
      <c r="I87" s="3">
        <v>0.70022719898000596</v>
      </c>
      <c r="J87" s="3">
        <v>1.4251867173628201</v>
      </c>
      <c r="K87" s="3">
        <v>2.7033147288675301</v>
      </c>
      <c r="L87" s="3">
        <v>1.95928286181643</v>
      </c>
      <c r="M87" s="3">
        <v>2.7202768720191801</v>
      </c>
      <c r="N87" s="3">
        <v>4.22456730249964</v>
      </c>
    </row>
    <row r="88" spans="1:14" x14ac:dyDescent="0.35">
      <c r="A88" s="2">
        <v>44435</v>
      </c>
      <c r="B88" s="3">
        <v>2.5845547143722598</v>
      </c>
      <c r="C88" s="3">
        <v>4.0641257094106704</v>
      </c>
      <c r="D88" s="3">
        <v>2.7264607209465801</v>
      </c>
      <c r="E88" s="3">
        <v>2.8521751337254599</v>
      </c>
      <c r="F88" s="3">
        <v>2.2837622647092499</v>
      </c>
      <c r="G88" s="3">
        <v>2.5537120487565401</v>
      </c>
      <c r="H88" s="3">
        <v>4.2025968334438897</v>
      </c>
      <c r="I88" s="3">
        <v>0.68532553287633802</v>
      </c>
      <c r="J88" s="3">
        <v>1.40218617487049</v>
      </c>
      <c r="K88" s="3">
        <v>2.7579184964083701</v>
      </c>
      <c r="L88" s="3">
        <v>1.8301757940090599</v>
      </c>
      <c r="M88" s="3">
        <v>2.7123957014437301</v>
      </c>
      <c r="N88" s="3">
        <v>4.3901508423615301</v>
      </c>
    </row>
    <row r="89" spans="1:14" x14ac:dyDescent="0.35">
      <c r="A89" s="2">
        <v>44467</v>
      </c>
      <c r="B89" s="3">
        <v>2.6359290994780902</v>
      </c>
      <c r="C89" s="3">
        <v>4.0998783023605903</v>
      </c>
      <c r="D89" s="3">
        <v>2.8177228745987302</v>
      </c>
      <c r="E89" s="3">
        <v>2.9797889165196101</v>
      </c>
      <c r="F89" s="3">
        <v>2.1494150030927202</v>
      </c>
      <c r="G89" s="3">
        <v>2.7946416535869298</v>
      </c>
      <c r="H89" s="3">
        <v>4.20943392281802</v>
      </c>
      <c r="I89" s="3">
        <v>0.72203237508401497</v>
      </c>
      <c r="J89" s="3">
        <v>1.4565383123498301</v>
      </c>
      <c r="K89" s="3">
        <v>2.8669533913740501</v>
      </c>
      <c r="L89" s="3">
        <v>1.94424189974657</v>
      </c>
      <c r="M89" s="3">
        <v>2.8970586212472602</v>
      </c>
      <c r="N89" s="3">
        <v>4.5619310801818997</v>
      </c>
    </row>
    <row r="90" spans="1:14" x14ac:dyDescent="0.35">
      <c r="A90" s="2">
        <v>44497</v>
      </c>
      <c r="B90" s="3">
        <v>2.6968284120341499</v>
      </c>
      <c r="C90" s="3">
        <v>3.9146169547039902</v>
      </c>
      <c r="D90" s="3">
        <v>2.7206090037941499</v>
      </c>
      <c r="E90" s="3">
        <v>2.9447856949272002</v>
      </c>
      <c r="F90" s="3">
        <v>2.2487845393491899</v>
      </c>
      <c r="G90" s="3">
        <v>2.6417897116181099</v>
      </c>
      <c r="H90" s="3">
        <v>4.0212327408016399</v>
      </c>
      <c r="I90" s="3">
        <v>0.681587979080571</v>
      </c>
      <c r="J90" s="3">
        <v>1.39565780818524</v>
      </c>
      <c r="K90" s="3">
        <v>2.7989880146628301</v>
      </c>
      <c r="L90" s="3">
        <v>1.9024569752239699</v>
      </c>
      <c r="M90" s="3">
        <v>3.0203419453793101</v>
      </c>
      <c r="N90" s="3">
        <v>4.38664395323379</v>
      </c>
    </row>
    <row r="91" spans="1:14" x14ac:dyDescent="0.35">
      <c r="A91" s="2">
        <v>44526</v>
      </c>
      <c r="B91" s="3">
        <v>2.7688991674964298</v>
      </c>
      <c r="C91" s="3">
        <v>4.0686939432585003</v>
      </c>
      <c r="D91" s="3">
        <v>2.7701077037464001</v>
      </c>
      <c r="E91" s="3">
        <v>3.1229511994271899</v>
      </c>
      <c r="F91" s="3">
        <v>2.2933434979243899</v>
      </c>
      <c r="G91" s="3">
        <v>2.6629902999122002</v>
      </c>
      <c r="H91" s="3">
        <v>4.1799411303868697</v>
      </c>
      <c r="I91" s="3">
        <v>0.67563053404865703</v>
      </c>
      <c r="J91" s="3">
        <v>1.40079731914144</v>
      </c>
      <c r="K91" s="3">
        <v>2.8832240437637702</v>
      </c>
      <c r="L91" s="3">
        <v>1.96408127467891</v>
      </c>
      <c r="M91" s="3">
        <v>3.1170546805209698</v>
      </c>
      <c r="N91" s="3">
        <v>4.6191803458661997</v>
      </c>
    </row>
    <row r="92" spans="1:14" x14ac:dyDescent="0.35">
      <c r="A92" s="2">
        <v>44558</v>
      </c>
      <c r="B92" s="3">
        <v>2.7833762169744398</v>
      </c>
      <c r="C92" s="3">
        <v>3.8897314293442502</v>
      </c>
      <c r="D92" s="3">
        <v>2.7762047296203201</v>
      </c>
      <c r="E92" s="3">
        <v>3.01736023708682</v>
      </c>
      <c r="F92" s="3">
        <v>2.2939909054303498</v>
      </c>
      <c r="G92" s="3">
        <v>2.5161691159969699</v>
      </c>
      <c r="H92" s="3">
        <v>3.9245114950954698</v>
      </c>
      <c r="I92" s="3">
        <v>0.66093564983076003</v>
      </c>
      <c r="J92" s="3">
        <v>1.34866841936388</v>
      </c>
      <c r="K92" s="3">
        <v>2.7327687709310999</v>
      </c>
      <c r="L92" s="3">
        <v>1.9275406365860099</v>
      </c>
      <c r="M92" s="3">
        <v>2.82455412135335</v>
      </c>
      <c r="N92" s="3">
        <v>4.5753233866312</v>
      </c>
    </row>
    <row r="93" spans="1:14" x14ac:dyDescent="0.35">
      <c r="A93" s="2">
        <v>44589</v>
      </c>
      <c r="B93" s="3">
        <v>3.0702232613123601</v>
      </c>
      <c r="C93" s="3">
        <v>4.1654336959856604</v>
      </c>
      <c r="D93" s="3">
        <v>2.8823164183846801</v>
      </c>
      <c r="E93" s="3">
        <v>3.19621646994913</v>
      </c>
      <c r="F93" s="3">
        <v>2.4847648383569299</v>
      </c>
      <c r="G93" s="3">
        <v>2.7489417203704298</v>
      </c>
      <c r="H93" s="3">
        <v>3.8894555982260499</v>
      </c>
      <c r="I93" s="3">
        <v>0.76125264182392205</v>
      </c>
      <c r="J93" s="3">
        <v>1.4757363215327</v>
      </c>
      <c r="K93" s="3">
        <v>2.8755498017263799</v>
      </c>
      <c r="L93" s="3">
        <v>2.2287203776514701</v>
      </c>
      <c r="M93" s="3">
        <v>2.9220767257620901</v>
      </c>
      <c r="N93" s="3">
        <v>4.8087472681590802</v>
      </c>
    </row>
    <row r="94" spans="1:14" x14ac:dyDescent="0.35">
      <c r="A94" s="2">
        <v>44620</v>
      </c>
      <c r="B94" s="3">
        <v>3.05800894408413</v>
      </c>
      <c r="C94" s="3">
        <v>4.3854093997207997</v>
      </c>
      <c r="D94" s="3">
        <v>2.8750750220495802</v>
      </c>
      <c r="E94" s="3">
        <v>3.4702635522923</v>
      </c>
      <c r="F94" s="3">
        <v>2.5310709636592699</v>
      </c>
      <c r="G94" s="3">
        <v>2.7997364500049899</v>
      </c>
      <c r="H94" s="3">
        <v>3.9101178610880498</v>
      </c>
      <c r="I94" s="3">
        <v>0.78735625416334598</v>
      </c>
      <c r="J94" s="3">
        <v>1.5109690206706501</v>
      </c>
      <c r="K94" s="3">
        <v>3.0829863031256601</v>
      </c>
      <c r="L94" s="3">
        <v>2.3362342781574998</v>
      </c>
      <c r="M94" s="3">
        <v>3.1473560006414698</v>
      </c>
      <c r="N94" s="3">
        <v>5.0703295174204097</v>
      </c>
    </row>
    <row r="95" spans="1:14" x14ac:dyDescent="0.35">
      <c r="A95" s="2">
        <v>44648</v>
      </c>
      <c r="B95" s="3">
        <v>3.10980165234862</v>
      </c>
      <c r="C95" s="3">
        <v>4.1912822697520502</v>
      </c>
      <c r="D95" s="3">
        <v>2.77793851468881</v>
      </c>
      <c r="E95" s="3">
        <v>3.5328257234680702</v>
      </c>
      <c r="F95" s="3">
        <v>2.4754617690994598</v>
      </c>
      <c r="G95" s="3">
        <v>2.79324108901156</v>
      </c>
      <c r="H95" s="3">
        <v>3.9753550533341402</v>
      </c>
      <c r="I95" s="3">
        <v>0.75079054537340195</v>
      </c>
      <c r="J95" s="3">
        <v>1.44036530893996</v>
      </c>
      <c r="K95" s="3">
        <v>3.1287955014515298</v>
      </c>
      <c r="L95" s="3">
        <v>2.2530825682024198</v>
      </c>
      <c r="M95" s="3">
        <v>3.13187686161295</v>
      </c>
      <c r="N95" s="3">
        <v>5.1437498752513804</v>
      </c>
    </row>
    <row r="96" spans="1:14" x14ac:dyDescent="0.35">
      <c r="A96" s="2">
        <v>44679</v>
      </c>
      <c r="B96" s="3">
        <v>3.1320281455968999</v>
      </c>
      <c r="C96" s="3">
        <v>4.5117694074731904</v>
      </c>
      <c r="D96" s="3">
        <v>3.0158804180218102</v>
      </c>
      <c r="E96" s="3">
        <v>3.7050969100316098</v>
      </c>
      <c r="F96" s="3">
        <v>2.5849743021580802</v>
      </c>
      <c r="G96" s="3">
        <v>2.8569956100421598</v>
      </c>
      <c r="H96" s="3">
        <v>4.0889674075857299</v>
      </c>
      <c r="I96" s="3">
        <v>0.841258340332666</v>
      </c>
      <c r="J96" s="3">
        <v>1.5422233199801301</v>
      </c>
      <c r="K96" s="3">
        <v>3.16360634382825</v>
      </c>
      <c r="L96" s="3">
        <v>2.3938328443915999</v>
      </c>
      <c r="M96" s="3">
        <v>3.3076557638387301</v>
      </c>
      <c r="N96" s="3">
        <v>5.1605287910055999</v>
      </c>
    </row>
    <row r="97" spans="1:14" x14ac:dyDescent="0.35">
      <c r="A97" s="2">
        <v>44708</v>
      </c>
      <c r="B97" s="3">
        <v>3.2768821415840299</v>
      </c>
      <c r="C97" s="3">
        <v>4.6507694190251501</v>
      </c>
      <c r="D97" s="3">
        <v>3.1028852809866398</v>
      </c>
      <c r="E97" s="3">
        <v>3.7434850450066302</v>
      </c>
      <c r="F97" s="3">
        <v>2.6354194438828098</v>
      </c>
      <c r="G97" s="3">
        <v>2.9475501073830701</v>
      </c>
      <c r="H97" s="3">
        <v>4.0352608338278699</v>
      </c>
      <c r="I97" s="3">
        <v>0.89836138754748995</v>
      </c>
      <c r="J97" s="3">
        <v>1.59571010648572</v>
      </c>
      <c r="K97" s="3">
        <v>3.1903101526925202</v>
      </c>
      <c r="L97" s="3">
        <v>2.5281305335556099</v>
      </c>
      <c r="M97" s="3">
        <v>3.3252945457967198</v>
      </c>
      <c r="N97" s="3">
        <v>5.0943570602557804</v>
      </c>
    </row>
    <row r="98" spans="1:14" x14ac:dyDescent="0.35">
      <c r="A98" s="2">
        <v>44740</v>
      </c>
      <c r="B98" s="3">
        <v>3.3322188694546102</v>
      </c>
      <c r="C98" s="3">
        <v>5.0915512574119104</v>
      </c>
      <c r="D98" s="3">
        <v>3.3620107824732499</v>
      </c>
      <c r="E98" s="3">
        <v>4.0662031239617802</v>
      </c>
      <c r="F98" s="3">
        <v>2.6519942395617502</v>
      </c>
      <c r="G98" s="3">
        <v>3.18146918298878</v>
      </c>
      <c r="H98" s="3">
        <v>4.222733353822</v>
      </c>
      <c r="I98" s="3">
        <v>0.98613304101246801</v>
      </c>
      <c r="J98" s="3">
        <v>1.7547097606292801</v>
      </c>
      <c r="K98" s="3">
        <v>3.44924940792143</v>
      </c>
      <c r="L98" s="3">
        <v>3.3936624422119501</v>
      </c>
      <c r="M98" s="3">
        <v>3.5587557205409301</v>
      </c>
      <c r="N98" s="3">
        <v>5.7307412693334498</v>
      </c>
    </row>
    <row r="99" spans="1:14" x14ac:dyDescent="0.35">
      <c r="A99" s="2">
        <v>44770</v>
      </c>
      <c r="B99" s="3">
        <v>3.30537892393945</v>
      </c>
      <c r="C99" s="3">
        <v>4.8592472005468803</v>
      </c>
      <c r="D99" s="3">
        <v>3.36515235464051</v>
      </c>
      <c r="E99" s="3">
        <v>4.0808539247034696</v>
      </c>
      <c r="F99" s="3">
        <v>2.5991787463459599</v>
      </c>
      <c r="G99" s="3">
        <v>3.07729910814842</v>
      </c>
      <c r="H99" s="3">
        <v>4.1980217676029996</v>
      </c>
      <c r="I99" s="3">
        <v>0.90887504522860696</v>
      </c>
      <c r="J99" s="3">
        <v>1.65530307642458</v>
      </c>
      <c r="K99" s="3">
        <v>3.3224778526300698</v>
      </c>
      <c r="L99" s="3">
        <v>3.0822551449028999</v>
      </c>
      <c r="M99" s="3">
        <v>3.5118030340708901</v>
      </c>
      <c r="N99" s="3">
        <v>5.8969903426671904</v>
      </c>
    </row>
    <row r="100" spans="1:14" x14ac:dyDescent="0.35">
      <c r="A100" s="2">
        <v>44799</v>
      </c>
      <c r="B100" s="3">
        <v>3.197992672027</v>
      </c>
      <c r="C100" s="3">
        <v>4.65888943864414</v>
      </c>
      <c r="D100" s="3">
        <v>3.3526875884296801</v>
      </c>
      <c r="E100" s="3">
        <v>4.1832950857592897</v>
      </c>
      <c r="F100" s="3">
        <v>2.5778764974694202</v>
      </c>
      <c r="G100" s="3">
        <v>3.1740510014973502</v>
      </c>
      <c r="H100" s="3">
        <v>4.3029174035932201</v>
      </c>
      <c r="I100" s="3">
        <v>0.92101469963301796</v>
      </c>
      <c r="J100" s="3">
        <v>1.6808590489802999</v>
      </c>
      <c r="K100" s="3">
        <v>3.4291777642148098</v>
      </c>
      <c r="L100" s="3">
        <v>3.6537786840608701</v>
      </c>
      <c r="M100" s="3">
        <v>3.6390317942352799</v>
      </c>
      <c r="N100" s="3">
        <v>5.8092080616023001</v>
      </c>
    </row>
    <row r="101" spans="1:14" x14ac:dyDescent="0.35">
      <c r="A101" s="2">
        <v>44832</v>
      </c>
      <c r="B101" s="3">
        <v>3.4020277669301699</v>
      </c>
      <c r="C101" s="3">
        <v>5.2609526091463996</v>
      </c>
      <c r="D101" s="3">
        <v>3.5932051773495401</v>
      </c>
      <c r="E101" s="3">
        <v>4.4527515441052703</v>
      </c>
      <c r="F101" s="3">
        <v>2.7773125140544801</v>
      </c>
      <c r="G101" s="3">
        <v>3.4366227454751699</v>
      </c>
      <c r="H101" s="3">
        <v>4.8031527625070503</v>
      </c>
      <c r="I101" s="3">
        <v>1.0194486280778801</v>
      </c>
      <c r="J101" s="3">
        <v>1.84110221584017</v>
      </c>
      <c r="K101" s="3">
        <v>3.7777465297843098</v>
      </c>
      <c r="L101" s="3">
        <v>3.0543167549430601</v>
      </c>
      <c r="M101" s="3">
        <v>3.7740158635005998</v>
      </c>
      <c r="N101" s="3">
        <v>6.1409249542362598</v>
      </c>
    </row>
    <row r="102" spans="1:14" x14ac:dyDescent="0.35">
      <c r="A102" s="2">
        <v>44862</v>
      </c>
      <c r="B102" s="3">
        <v>3.4284463455249998</v>
      </c>
      <c r="C102" s="3">
        <v>5.0002342502261703</v>
      </c>
      <c r="D102" s="3">
        <v>3.44180783961037</v>
      </c>
      <c r="E102" s="3">
        <v>4.1349750466927597</v>
      </c>
      <c r="F102" s="3">
        <v>2.7123263560219799</v>
      </c>
      <c r="G102" s="3">
        <v>3.2924569486936299</v>
      </c>
      <c r="H102" s="3">
        <v>4.5348668970318498</v>
      </c>
      <c r="I102" s="3">
        <v>1.0232244964802499</v>
      </c>
      <c r="J102" s="3">
        <v>1.77070889886799</v>
      </c>
      <c r="K102" s="3">
        <v>3.4961286327898402</v>
      </c>
      <c r="L102" s="3">
        <v>2.9380252227052601</v>
      </c>
      <c r="M102" s="3">
        <v>3.7221901392210901</v>
      </c>
      <c r="N102" s="3">
        <v>5.7731253917041299</v>
      </c>
    </row>
    <row r="103" spans="1:14" x14ac:dyDescent="0.35">
      <c r="A103" s="2">
        <v>44893</v>
      </c>
      <c r="B103" s="3">
        <v>3.3993047543141901</v>
      </c>
      <c r="C103" s="3">
        <v>4.5141557737123801</v>
      </c>
      <c r="D103" s="3">
        <v>3.3086986094406599</v>
      </c>
      <c r="E103" s="3">
        <v>3.7592162596083698</v>
      </c>
      <c r="F103" s="3">
        <v>2.5801659635678802</v>
      </c>
      <c r="G103" s="3">
        <v>3.1070805075572001</v>
      </c>
      <c r="H103" s="3">
        <v>4.2807631816901504</v>
      </c>
      <c r="I103" s="3">
        <v>1.0245506269161699</v>
      </c>
      <c r="J103" s="3">
        <v>1.7494843720151501</v>
      </c>
      <c r="K103" s="3">
        <v>3.2908232040758398</v>
      </c>
      <c r="L103" s="3">
        <v>2.6677981656737502</v>
      </c>
      <c r="M103" s="3">
        <v>3.61674723699526</v>
      </c>
      <c r="N103" s="3">
        <v>5.5498132988972104</v>
      </c>
    </row>
    <row r="104" spans="1:14" x14ac:dyDescent="0.35">
      <c r="A104" s="2">
        <v>44923</v>
      </c>
      <c r="B104" s="3">
        <v>3.4418758518552699</v>
      </c>
      <c r="C104" s="3">
        <v>4.5118218591930397</v>
      </c>
      <c r="D104" s="3">
        <v>3.48514649821111</v>
      </c>
      <c r="E104" s="3">
        <v>3.8539518164109898</v>
      </c>
      <c r="F104" s="3">
        <v>2.73534596157603</v>
      </c>
      <c r="G104" s="3">
        <v>3.2207055212680702</v>
      </c>
      <c r="H104" s="3">
        <v>4.2525911962389902</v>
      </c>
      <c r="I104" s="3">
        <v>1.0635429109783301</v>
      </c>
      <c r="J104" s="3">
        <v>1.83523687132007</v>
      </c>
      <c r="K104" s="3">
        <v>3.3670685348652398</v>
      </c>
      <c r="L104" s="3">
        <v>2.8151821852126599</v>
      </c>
      <c r="M104" s="3">
        <v>3.7423472284266301</v>
      </c>
      <c r="N104" s="3">
        <v>5.9072874530637502</v>
      </c>
    </row>
    <row r="105" spans="1:14" x14ac:dyDescent="0.35">
      <c r="A105" s="2">
        <v>44953</v>
      </c>
      <c r="B105" s="3">
        <v>3.3143519884008001</v>
      </c>
      <c r="C105" s="3">
        <v>4.2475112710782996</v>
      </c>
      <c r="D105" s="3">
        <v>3.2777504750103401</v>
      </c>
      <c r="E105" s="3">
        <v>3.5015276919581999</v>
      </c>
      <c r="F105" s="3">
        <v>2.6153194626448499</v>
      </c>
      <c r="G105" s="3">
        <v>3.05170334571278</v>
      </c>
      <c r="H105" s="3">
        <v>4.1003251900712501</v>
      </c>
      <c r="I105" s="3">
        <v>0.94382801978590403</v>
      </c>
      <c r="J105" s="3">
        <v>1.71547665497975</v>
      </c>
      <c r="K105" s="3">
        <v>3.1019758955372101</v>
      </c>
      <c r="L105" s="3">
        <v>2.5291883841143101</v>
      </c>
      <c r="M105" s="3">
        <v>3.5580360862474398</v>
      </c>
      <c r="N105" s="3">
        <v>5.4292954080574898</v>
      </c>
    </row>
    <row r="106" spans="1:14" x14ac:dyDescent="0.35">
      <c r="A106" s="2">
        <v>44985</v>
      </c>
      <c r="B106" s="3">
        <v>3.3705808781833602</v>
      </c>
      <c r="C106" s="3">
        <v>4.4748128289895996</v>
      </c>
      <c r="D106" s="3">
        <v>3.3535706503634901</v>
      </c>
      <c r="E106" s="3">
        <v>3.52099338927732</v>
      </c>
      <c r="F106" s="3">
        <v>2.6236984867004902</v>
      </c>
      <c r="G106" s="3">
        <v>3.1321205994608898</v>
      </c>
      <c r="H106" s="3">
        <v>4.1192730929258099</v>
      </c>
      <c r="I106" s="3">
        <v>0.96201770322242497</v>
      </c>
      <c r="J106" s="3">
        <v>1.7686139314807701</v>
      </c>
      <c r="K106" s="3">
        <v>3.1571276828232202</v>
      </c>
      <c r="L106" s="3">
        <v>2.6709459573911798</v>
      </c>
      <c r="M106" s="3">
        <v>3.55284359218596</v>
      </c>
      <c r="N106" s="3">
        <v>5.5773927678683499</v>
      </c>
    </row>
    <row r="107" spans="1:14" x14ac:dyDescent="0.35">
      <c r="A107" s="2">
        <v>45013</v>
      </c>
      <c r="B107" s="3">
        <v>3.4302379866383301</v>
      </c>
      <c r="C107" s="3">
        <v>4.6257050501145702</v>
      </c>
      <c r="D107" s="3">
        <v>3.42491556623742</v>
      </c>
      <c r="E107" s="3">
        <v>3.6308144426249802</v>
      </c>
      <c r="F107" s="3">
        <v>2.6705962974895701</v>
      </c>
      <c r="G107" s="3">
        <v>3.2437013575731899</v>
      </c>
      <c r="H107" s="3">
        <v>4.3278322113804801</v>
      </c>
      <c r="I107" s="3">
        <v>0.92299057403442897</v>
      </c>
      <c r="J107" s="3">
        <v>1.7733238152173501</v>
      </c>
      <c r="K107" s="3">
        <v>3.2662336774862801</v>
      </c>
      <c r="L107" s="3">
        <v>2.7465169382507701</v>
      </c>
      <c r="M107" s="3">
        <v>3.8169691848687601</v>
      </c>
      <c r="N107" s="3">
        <v>5.5558782705082299</v>
      </c>
    </row>
    <row r="108" spans="1:14" x14ac:dyDescent="0.35">
      <c r="A108" s="2">
        <v>45044</v>
      </c>
      <c r="B108" s="3">
        <v>3.38217498951632</v>
      </c>
      <c r="C108" s="3">
        <v>4.42963180770204</v>
      </c>
      <c r="D108" s="3">
        <v>3.2269816677118</v>
      </c>
      <c r="E108" s="3">
        <v>3.5063990255128901</v>
      </c>
      <c r="F108" s="3">
        <v>2.5654114114379398</v>
      </c>
      <c r="G108" s="3">
        <v>3.0691429227913498</v>
      </c>
      <c r="H108" s="3">
        <v>4.0999491861951904</v>
      </c>
      <c r="I108" s="3">
        <v>0.86392521144888601</v>
      </c>
      <c r="J108" s="3">
        <v>1.6924947107900901</v>
      </c>
      <c r="K108" s="3">
        <v>3.1173670333417598</v>
      </c>
      <c r="L108" s="3">
        <v>2.68570320957914</v>
      </c>
      <c r="M108" s="3">
        <v>3.6386948874307898</v>
      </c>
      <c r="N108" s="3">
        <v>5.3979057224611102</v>
      </c>
    </row>
    <row r="109" spans="1:14" x14ac:dyDescent="0.35">
      <c r="A109" s="2">
        <v>45072</v>
      </c>
      <c r="B109" s="3">
        <v>3.5087028149199599</v>
      </c>
      <c r="C109" s="3">
        <v>4.5278203584845302</v>
      </c>
      <c r="D109" s="3">
        <v>3.3338164880358598</v>
      </c>
      <c r="E109" s="3">
        <v>3.6067568275783302</v>
      </c>
      <c r="F109" s="3">
        <v>2.4696450041148599</v>
      </c>
      <c r="G109" s="3">
        <v>3.1178004669048498</v>
      </c>
      <c r="H109" s="3">
        <v>4.3880113819292097</v>
      </c>
      <c r="I109" s="3">
        <v>0.80368323608476</v>
      </c>
      <c r="J109" s="3">
        <v>1.6852915502575301</v>
      </c>
      <c r="K109" s="3">
        <v>3.2505286694032201</v>
      </c>
      <c r="L109" s="3">
        <v>2.6311542916461299</v>
      </c>
      <c r="M109" s="3">
        <v>3.7543361013314098</v>
      </c>
      <c r="N109" s="3">
        <v>5.6871674038461304</v>
      </c>
    </row>
    <row r="110" spans="1:14" x14ac:dyDescent="0.35">
      <c r="A110" s="2">
        <v>45105</v>
      </c>
      <c r="B110" s="3">
        <v>3.4673342458103402</v>
      </c>
      <c r="C110" s="3">
        <v>4.33455130592011</v>
      </c>
      <c r="D110" s="3">
        <v>3.3074618368590398</v>
      </c>
      <c r="E110" s="3">
        <v>3.6629756178549502</v>
      </c>
      <c r="F110" s="3">
        <v>2.3214134609244499</v>
      </c>
      <c r="G110" s="3">
        <v>3.19611264871505</v>
      </c>
      <c r="H110" s="3">
        <v>4.4227538537981301</v>
      </c>
      <c r="I110" s="3">
        <v>0.77361245603237205</v>
      </c>
      <c r="J110" s="3">
        <v>1.62272109461464</v>
      </c>
      <c r="K110" s="3">
        <v>3.2704715788483298</v>
      </c>
      <c r="L110" s="3">
        <v>2.7240794656271801</v>
      </c>
      <c r="M110" s="3">
        <v>3.7844931291466999</v>
      </c>
      <c r="N110" s="3">
        <v>5.3992866371773003</v>
      </c>
    </row>
    <row r="111" spans="1:14" x14ac:dyDescent="0.35">
      <c r="A111" s="2">
        <v>45135</v>
      </c>
      <c r="B111" s="3">
        <v>3.4208271289926802</v>
      </c>
      <c r="C111" s="3">
        <v>4.0871898394824902</v>
      </c>
      <c r="D111" s="3">
        <v>3.1532774478721901</v>
      </c>
      <c r="E111" s="3">
        <v>3.5756027700531301</v>
      </c>
      <c r="F111" s="3">
        <v>2.3533135328670198</v>
      </c>
      <c r="G111" s="3">
        <v>3.1283146755855098</v>
      </c>
      <c r="H111" s="3">
        <v>4.2563361678276097</v>
      </c>
      <c r="I111" s="3">
        <v>0.85634528751147698</v>
      </c>
      <c r="J111" s="3">
        <v>1.55892674404757</v>
      </c>
      <c r="K111" s="3">
        <v>3.2324460919442899</v>
      </c>
      <c r="L111" s="3">
        <v>2.6189842810053001</v>
      </c>
      <c r="M111" s="3">
        <v>3.7686132394596501</v>
      </c>
      <c r="N111" s="3">
        <v>5.2222519325625099</v>
      </c>
    </row>
    <row r="112" spans="1:14" x14ac:dyDescent="0.35">
      <c r="A112" s="2">
        <v>45166</v>
      </c>
      <c r="B112" s="3">
        <v>3.49874978620121</v>
      </c>
      <c r="C112" s="3">
        <v>4.2315826961247698</v>
      </c>
      <c r="D112" s="3">
        <v>3.5493090300671901</v>
      </c>
      <c r="E112" s="3">
        <v>3.7425960804154599</v>
      </c>
      <c r="F112" s="3">
        <v>2.38557923819531</v>
      </c>
      <c r="G112" s="3">
        <v>3.25496193088724</v>
      </c>
      <c r="H112" s="3">
        <v>4.5778446496444003</v>
      </c>
      <c r="I112" s="3">
        <v>0.89884323509463804</v>
      </c>
      <c r="J112" s="3">
        <v>1.62062955710557</v>
      </c>
      <c r="K112" s="3">
        <v>3.33059166012923</v>
      </c>
      <c r="L112" s="3">
        <v>2.8807021688416201</v>
      </c>
      <c r="M112" s="3">
        <v>3.9607607965287599</v>
      </c>
      <c r="N112" s="3">
        <v>5.5176399767472502</v>
      </c>
    </row>
    <row r="113" spans="1:25" x14ac:dyDescent="0.35">
      <c r="A113" s="2">
        <v>45197</v>
      </c>
      <c r="B113" s="3">
        <v>3.4605717342770799</v>
      </c>
      <c r="C113" s="3">
        <v>4.3331444565438604</v>
      </c>
      <c r="D113" s="3">
        <v>3.6236120151596301</v>
      </c>
      <c r="E113" s="3">
        <v>3.8706238407273701</v>
      </c>
      <c r="F113" s="3">
        <v>2.3669008730619199</v>
      </c>
      <c r="G113" s="3">
        <v>3.37559536329747</v>
      </c>
      <c r="H113" s="3">
        <v>4.4605078165057703</v>
      </c>
      <c r="I113" s="3">
        <v>0.94536029724108905</v>
      </c>
      <c r="J113" s="3">
        <v>1.6839669650974201</v>
      </c>
      <c r="K113" s="3">
        <v>3.4368505759257202</v>
      </c>
      <c r="L113" s="3">
        <v>3.0769188879427598</v>
      </c>
      <c r="M113" s="3">
        <v>4.0388726394312702</v>
      </c>
      <c r="N113" s="3">
        <v>5.5451071438012898</v>
      </c>
    </row>
    <row r="114" spans="1:25" x14ac:dyDescent="0.35">
      <c r="A114" s="2">
        <v>45226</v>
      </c>
      <c r="B114" s="3">
        <v>3.6013076656931999</v>
      </c>
      <c r="C114" s="3">
        <v>4.5155182900480204</v>
      </c>
      <c r="D114" s="3">
        <v>3.8082385152416101</v>
      </c>
      <c r="E114" s="3">
        <v>4.0682675227398999</v>
      </c>
      <c r="F114" s="3">
        <v>2.4784910287479698</v>
      </c>
      <c r="G114" s="3">
        <v>3.5669739322742</v>
      </c>
      <c r="H114" s="3">
        <v>4.6676136044901</v>
      </c>
      <c r="I114" s="3">
        <v>0.98718293831162096</v>
      </c>
      <c r="J114" s="3">
        <v>1.7647875265944899</v>
      </c>
      <c r="K114" s="3">
        <v>3.5890767142678301</v>
      </c>
      <c r="L114" s="3">
        <v>3.1188785216413502</v>
      </c>
      <c r="M114" s="3">
        <v>4.0256975178892</v>
      </c>
      <c r="N114" s="3">
        <v>5.8124835782792497</v>
      </c>
    </row>
    <row r="115" spans="1:25" x14ac:dyDescent="0.35">
      <c r="A115" s="2">
        <v>45258</v>
      </c>
      <c r="B115" s="3">
        <v>3.3832685633042598</v>
      </c>
      <c r="C115" s="3">
        <v>4.3410007463307503</v>
      </c>
      <c r="D115" s="3">
        <v>3.51932477978393</v>
      </c>
      <c r="E115" s="3">
        <v>3.6990955804424202</v>
      </c>
      <c r="F115" s="3">
        <v>2.3880691252564001</v>
      </c>
      <c r="G115" s="3">
        <v>3.40788890853272</v>
      </c>
      <c r="H115" s="3">
        <v>4.4342893677328696</v>
      </c>
      <c r="I115" s="3">
        <v>0.88707048183006998</v>
      </c>
      <c r="J115" s="3">
        <v>1.6023281682599999</v>
      </c>
      <c r="K115" s="3">
        <v>3.3636367108499901</v>
      </c>
      <c r="L115" s="3">
        <v>2.8186618373773999</v>
      </c>
      <c r="M115" s="3">
        <v>3.6683318937726401</v>
      </c>
      <c r="N115" s="3">
        <v>5.5523841936244498</v>
      </c>
    </row>
    <row r="116" spans="1:25" x14ac:dyDescent="0.35">
      <c r="A116" s="2">
        <v>45288</v>
      </c>
      <c r="B116" s="3">
        <v>2.9687342309988098</v>
      </c>
      <c r="C116" s="3">
        <v>3.9550730345001099</v>
      </c>
      <c r="D116" s="3">
        <v>3.36270042680056</v>
      </c>
      <c r="E116" s="3">
        <v>3.5635695610780398</v>
      </c>
      <c r="F116" s="3">
        <v>2.4324713584370001</v>
      </c>
      <c r="G116" s="3">
        <v>3.2883169928930398</v>
      </c>
      <c r="H116" s="3">
        <v>4.2700363198725002</v>
      </c>
      <c r="I116" s="3">
        <v>0.91511223528519803</v>
      </c>
      <c r="J116" s="3">
        <v>1.53882979077885</v>
      </c>
      <c r="K116" s="3">
        <v>3.2277169460395299</v>
      </c>
      <c r="L116" s="3">
        <v>2.6771966923416501</v>
      </c>
      <c r="M116" s="3">
        <v>2.9239353520084399</v>
      </c>
      <c r="N116" s="3">
        <v>5.4837232243295704</v>
      </c>
    </row>
    <row r="117" spans="1:25" x14ac:dyDescent="0.35">
      <c r="A117" s="2">
        <v>45317</v>
      </c>
      <c r="B117" s="3">
        <v>2.9787144083377699</v>
      </c>
      <c r="C117" s="3">
        <v>4.0274930005740499</v>
      </c>
      <c r="D117" s="3">
        <v>3.3265999884959401</v>
      </c>
      <c r="E117" s="3">
        <v>3.5319013538997499</v>
      </c>
      <c r="F117" s="3">
        <v>2.3130092915348399</v>
      </c>
      <c r="G117" s="3">
        <v>3.2711620458416002</v>
      </c>
      <c r="H117" s="3">
        <v>4.3009361524683998</v>
      </c>
      <c r="I117" s="3">
        <v>0.88666421658736005</v>
      </c>
      <c r="J117" s="3">
        <v>1.5124502275017999</v>
      </c>
      <c r="K117" s="3">
        <v>3.1763185505698601</v>
      </c>
      <c r="L117" s="3">
        <v>2.5808821373572099</v>
      </c>
      <c r="M117" s="3">
        <v>3.3385364617012701</v>
      </c>
      <c r="N117" s="3">
        <v>5.4340689076770303</v>
      </c>
    </row>
    <row r="118" spans="1:25" x14ac:dyDescent="0.35">
      <c r="A118" s="2">
        <v>45350</v>
      </c>
      <c r="B118" s="3">
        <v>2.8814131629229101</v>
      </c>
      <c r="C118" s="3">
        <v>4.0073047694875203</v>
      </c>
      <c r="D118" s="3">
        <v>3.2714409196107601</v>
      </c>
      <c r="E118" s="3">
        <v>3.4552288982231998</v>
      </c>
      <c r="F118" s="3">
        <v>2.1981830374802702</v>
      </c>
      <c r="G118" s="3">
        <v>3.30454322529024</v>
      </c>
      <c r="H118" s="3">
        <v>4.22066135298176</v>
      </c>
      <c r="I118" s="3">
        <v>0.89102135643410096</v>
      </c>
      <c r="J118" s="3">
        <v>1.4788643654364999</v>
      </c>
      <c r="K118" s="3">
        <v>3.1211133793585901</v>
      </c>
      <c r="L118" s="3">
        <v>2.4846649874434199</v>
      </c>
      <c r="M118" s="3">
        <v>3.31148933860691</v>
      </c>
      <c r="N118" s="3">
        <v>5.3159888782083504</v>
      </c>
    </row>
    <row r="119" spans="1:25" x14ac:dyDescent="0.35">
      <c r="A119" s="2">
        <v>45379</v>
      </c>
      <c r="B119" s="3">
        <v>2.74179906309109</v>
      </c>
      <c r="C119" s="3">
        <v>3.8980047004834302</v>
      </c>
      <c r="D119" s="3">
        <v>3.1069232527359798</v>
      </c>
      <c r="E119" s="3">
        <v>3.2469229783637799</v>
      </c>
      <c r="F119" s="3">
        <v>2.1577284831618599</v>
      </c>
      <c r="G119" s="3">
        <v>3.2623862770419101</v>
      </c>
      <c r="H119" s="3">
        <v>4.0254963346234902</v>
      </c>
      <c r="I119" s="3">
        <v>0.88247773605551705</v>
      </c>
      <c r="J119" s="3">
        <v>1.42705400807704</v>
      </c>
      <c r="K119" s="3">
        <v>3.0531297120641998</v>
      </c>
      <c r="L119" s="3">
        <v>2.5193439140388301</v>
      </c>
      <c r="M119" s="3">
        <v>3.2305999509815999</v>
      </c>
      <c r="N119" s="3">
        <v>5.0795281782414303</v>
      </c>
    </row>
    <row r="120" spans="1:25" x14ac:dyDescent="0.35">
      <c r="A120" s="2">
        <v>45408</v>
      </c>
      <c r="B120" s="3">
        <v>2.7905077278711099</v>
      </c>
      <c r="C120" s="3">
        <v>4.0448391759703402</v>
      </c>
      <c r="D120" s="3">
        <v>3.1061258182826301</v>
      </c>
      <c r="E120" s="3">
        <v>3.3415047198053802</v>
      </c>
      <c r="F120" s="3">
        <v>2.2478994305262101</v>
      </c>
      <c r="G120" s="3">
        <v>3.38198003229751</v>
      </c>
      <c r="H120" s="3">
        <v>3.93949807344192</v>
      </c>
      <c r="I120" s="3">
        <v>0.91942473307483996</v>
      </c>
      <c r="J120" s="3">
        <v>1.4846160631512999</v>
      </c>
      <c r="K120" s="3">
        <v>3.1155062430534501</v>
      </c>
      <c r="L120" s="3">
        <v>2.5709152336929701</v>
      </c>
      <c r="M120" s="3">
        <v>3.27893195417718</v>
      </c>
      <c r="N120" s="3">
        <v>5.2422620894574203</v>
      </c>
    </row>
    <row r="121" spans="1:25" x14ac:dyDescent="0.35">
      <c r="A121" s="2">
        <v>45440</v>
      </c>
      <c r="B121" s="3">
        <v>2.7762746957920399</v>
      </c>
      <c r="C121" s="3">
        <v>3.9524913084742899</v>
      </c>
      <c r="D121" s="3">
        <v>3.1694113432419102</v>
      </c>
      <c r="E121" s="3">
        <v>3.34203427093632</v>
      </c>
      <c r="F121" s="3">
        <v>2.2139254406041</v>
      </c>
      <c r="G121" s="3">
        <v>3.2471892933156301</v>
      </c>
      <c r="H121" s="3">
        <v>3.8711080778249798</v>
      </c>
      <c r="I121" s="3">
        <v>0.88046356758461197</v>
      </c>
      <c r="J121" s="3">
        <v>1.4435772240279301</v>
      </c>
      <c r="K121" s="3">
        <v>3.1341222962739601</v>
      </c>
      <c r="L121" s="3">
        <v>2.46529936725711</v>
      </c>
      <c r="M121" s="3">
        <v>3.1796293007342098</v>
      </c>
      <c r="N121" s="3">
        <v>5.2284003721643098</v>
      </c>
    </row>
    <row r="122" spans="1:25" x14ac:dyDescent="0.35">
      <c r="A122" s="2">
        <v>45469</v>
      </c>
      <c r="B122" s="3">
        <v>2.7209611062300101</v>
      </c>
      <c r="C122" s="3">
        <v>3.93983803575111</v>
      </c>
      <c r="D122" s="3">
        <v>3.3372840280521401</v>
      </c>
      <c r="E122" s="3">
        <v>3.42555657614996</v>
      </c>
      <c r="F122" s="3">
        <v>2.2397951431662801</v>
      </c>
      <c r="G122" s="3">
        <v>3.22623202006623</v>
      </c>
      <c r="H122" s="3">
        <v>3.9519741887313802</v>
      </c>
      <c r="I122" s="3">
        <v>0.84324939802174803</v>
      </c>
      <c r="J122" s="3">
        <v>1.40175999121007</v>
      </c>
      <c r="K122" s="3">
        <v>3.3398894846424101</v>
      </c>
      <c r="L122" s="3">
        <v>2.4963927668607702</v>
      </c>
      <c r="M122" s="3">
        <v>3.2431310985087101</v>
      </c>
      <c r="N122" s="3">
        <v>5.48221082220876</v>
      </c>
    </row>
    <row r="125" spans="1:25" x14ac:dyDescent="0.35">
      <c r="A125" s="2" t="s">
        <v>91</v>
      </c>
      <c r="B125" s="3" cm="1">
        <f t="array" ref="B125">MIN(_xlfn._xlws.FILTER(B1:B122, ISNUMBER(B1:B122)))</f>
        <v>2.2934960531125301</v>
      </c>
      <c r="C125" s="3" cm="1">
        <f t="array" ref="C125">MIN(_xlfn._xlws.FILTER(C1:C122, ISNUMBER(C1:C122)))</f>
        <v>3.3926782974276599</v>
      </c>
      <c r="D125" s="3" cm="1">
        <f t="array" ref="D125">MIN(_xlfn._xlws.FILTER(D1:D122, ISNUMBER(D1:D122)))</f>
        <v>2.62112529194407</v>
      </c>
      <c r="E125" s="3" cm="1">
        <f t="array" ref="E125">MIN(_xlfn._xlws.FILTER(E1:E122, ISNUMBER(E1:E122)))</f>
        <v>2.7015323768703898</v>
      </c>
      <c r="F125" s="3" cm="1">
        <f t="array" ref="F125">MIN(_xlfn._xlws.FILTER(F1:F122, ISNUMBER(F1:F122)))</f>
        <v>1.8114470660967401</v>
      </c>
      <c r="G125" s="3" cm="1">
        <f t="array" ref="G125">MIN(_xlfn._xlws.FILTER(G1:G122, ISNUMBER(G1:G122)))</f>
        <v>2.5161691159969699</v>
      </c>
      <c r="H125" s="3" cm="1">
        <f t="array" ref="H125">MIN(_xlfn._xlws.FILTER(H1:H122, ISNUMBER(H1:H122)))</f>
        <v>3.8544155755054601</v>
      </c>
      <c r="I125" s="3" cm="1">
        <f t="array" ref="I125">MIN(_xlfn._xlws.FILTER(I1:I122, ISNUMBER(I1:I122)))</f>
        <v>0.66093564983076003</v>
      </c>
      <c r="J125" s="3" cm="1">
        <f t="array" ref="J125">MIN(_xlfn._xlws.FILTER(J1:J122, ISNUMBER(J1:J122)))</f>
        <v>1.34866841936388</v>
      </c>
      <c r="K125" s="3" cm="1">
        <f t="array" ref="K125">MIN(_xlfn._xlws.FILTER(K1:K122, ISNUMBER(K1:K122)))</f>
        <v>2.6688263919199202</v>
      </c>
      <c r="L125" s="3" cm="1">
        <f t="array" ref="L125">MIN(_xlfn._xlws.FILTER(L1:L122, ISNUMBER(L1:L122)))</f>
        <v>1.8301757940090599</v>
      </c>
      <c r="M125" s="3" cm="1">
        <f t="array" ref="M125">MIN(_xlfn._xlws.FILTER(M1:M122, ISNUMBER(M1:M122)))</f>
        <v>2.7046209737551701</v>
      </c>
      <c r="N125" s="3" cm="1">
        <f t="array" ref="N125">MIN(_xlfn._xlws.FILTER(N1:N122, ISNUMBER(N1:N122)))</f>
        <v>3.1233201999257201</v>
      </c>
    </row>
    <row r="126" spans="1:25" x14ac:dyDescent="0.35">
      <c r="A126" s="2" t="s">
        <v>92</v>
      </c>
      <c r="B126" s="3" cm="1">
        <f t="array" ref="B126">MAX(_xlfn._xlws.FILTER(B1:B122, ISNUMBER(B1:B122)))</f>
        <v>5.1594987128163403</v>
      </c>
      <c r="C126" s="3" cm="1">
        <f t="array" ref="C126">MAX(_xlfn._xlws.FILTER(C1:C122, ISNUMBER(C1:C122)))</f>
        <v>5.5796619948107304</v>
      </c>
      <c r="D126" s="3" cm="1">
        <f t="array" ref="D126">MAX(_xlfn._xlws.FILTER(D1:D122, ISNUMBER(D1:D122)))</f>
        <v>4.56688179580767</v>
      </c>
      <c r="E126" s="3" cm="1">
        <f t="array" ref="E126">MAX(_xlfn._xlws.FILTER(E1:E122, ISNUMBER(E1:E122)))</f>
        <v>4.4527515441052703</v>
      </c>
      <c r="F126" s="3" cm="1">
        <f t="array" ref="F126">MAX(_xlfn._xlws.FILTER(F1:F122, ISNUMBER(F1:F122)))</f>
        <v>2.8719650922239</v>
      </c>
      <c r="G126" s="3" cm="1">
        <f t="array" ref="G126">MAX(_xlfn._xlws.FILTER(G1:G122, ISNUMBER(G1:G122)))</f>
        <v>3.7001769328768299</v>
      </c>
      <c r="H126" s="3" cm="1">
        <f t="array" ref="H126">MAX(_xlfn._xlws.FILTER(H1:H122, ISNUMBER(H1:H122)))</f>
        <v>6.40116865455518</v>
      </c>
      <c r="I126" s="3" cm="1">
        <f t="array" ref="I126">MAX(_xlfn._xlws.FILTER(I1:I122, ISNUMBER(I1:I122)))</f>
        <v>1.4261009182639099</v>
      </c>
      <c r="J126" s="3" cm="1">
        <f t="array" ref="J126">MAX(_xlfn._xlws.FILTER(J1:J122, ISNUMBER(J1:J122)))</f>
        <v>2.5124264728534098</v>
      </c>
      <c r="K126" s="3" cm="1">
        <f t="array" ref="K126">MAX(_xlfn._xlws.FILTER(K1:K122, ISNUMBER(K1:K122)))</f>
        <v>4.3959183973467297</v>
      </c>
      <c r="L126" s="3" cm="1">
        <f t="array" ref="L126">MAX(_xlfn._xlws.FILTER(L1:L122, ISNUMBER(L1:L122)))</f>
        <v>3.6537786840608701</v>
      </c>
      <c r="M126" s="3" cm="1">
        <f t="array" ref="M126">MAX(_xlfn._xlws.FILTER(M1:M122, ISNUMBER(M1:M122)))</f>
        <v>4.7485723970453302</v>
      </c>
      <c r="N126" s="3" cm="1">
        <f t="array" ref="N126">MAX(_xlfn._xlws.FILTER(N1:N122, ISNUMBER(N1:N122)))</f>
        <v>6.3224917830841099</v>
      </c>
    </row>
    <row r="128" spans="1:25" x14ac:dyDescent="0.35">
      <c r="A128" s="2" t="s">
        <v>93</v>
      </c>
      <c r="B128" s="9" cm="1">
        <f t="array" ref="B128">_xlfn.PERCENTRANK.EXC(_xlfn._xlws.FILTER(B1:B122, ISNUMBER(B1:B122)),B122)</f>
        <v>0.155</v>
      </c>
      <c r="C128" s="9" cm="1">
        <f t="array" ref="C128">_xlfn.PERCENTRANK.EXC(_xlfn._xlws.FILTER(C1:C122, ISNUMBER(C1:C122)),C122)</f>
        <v>0.13100000000000001</v>
      </c>
      <c r="D128" s="9" cm="1">
        <f t="array" ref="D128">_xlfn.PERCENTRANK.EXC(_xlfn._xlws.FILTER(D1:D122, ISNUMBER(D1:D122)),D122)</f>
        <v>0.745</v>
      </c>
      <c r="E128" s="9" cm="1">
        <f t="array" ref="E128">_xlfn.PERCENTRANK.EXC(_xlfn._xlws.FILTER(E1:E122, ISNUMBER(E1:E122)),E122)</f>
        <v>0.67200000000000004</v>
      </c>
      <c r="F128" s="9" cm="1">
        <f t="array" ref="F128">_xlfn.PERCENTRANK.EXC(_xlfn._xlws.FILTER(F1:F122, ISNUMBER(F1:F122)),F122)</f>
        <v>0.40899999999999997</v>
      </c>
      <c r="G128" s="9" cm="1">
        <f t="array" ref="G128">_xlfn.PERCENTRANK.EXC(_xlfn._xlws.FILTER(G1:G122, ISNUMBER(G1:G122)),G122)</f>
        <v>0.442</v>
      </c>
      <c r="H128" s="9" cm="1">
        <f t="array" ref="H128">_xlfn.PERCENTRANK.EXC(_xlfn._xlws.FILTER(H1:H122, ISNUMBER(H1:H122)),H122)</f>
        <v>0.114</v>
      </c>
      <c r="I128" s="9" cm="1">
        <f t="array" ref="I128">_xlfn.PERCENTRANK.EXC(_xlfn._xlws.FILTER(I1:I122, ISNUMBER(I1:I122)),I122)</f>
        <v>0.19600000000000001</v>
      </c>
      <c r="J128" s="9" cm="1">
        <f t="array" ref="J128">_xlfn.PERCENTRANK.EXC(_xlfn._xlws.FILTER(J1:J122, ISNUMBER(J1:J122)),J122)</f>
        <v>3.2000000000000001E-2</v>
      </c>
      <c r="K128" s="9" cm="1">
        <f t="array" ref="K128">_xlfn.PERCENTRANK.EXC(_xlfn._xlws.FILTER(K1:K122, ISNUMBER(K1:K122)),K122)</f>
        <v>0.46700000000000003</v>
      </c>
      <c r="L128" s="9" cm="1">
        <f t="array" ref="L128">_xlfn.PERCENTRANK.EXC(_xlfn._xlws.FILTER(L1:L122, ISNUMBER(L1:L122)),L122)</f>
        <v>0.221</v>
      </c>
      <c r="M128" s="9" cm="1">
        <f t="array" ref="M128">_xlfn.PERCENTRANK.EXC(_xlfn._xlws.FILTER(M1:M122, ISNUMBER(M1:M122)),M122)</f>
        <v>0.21299999999999999</v>
      </c>
      <c r="N128" s="9" cm="1">
        <f t="array" ref="N128">_xlfn.PERCENTRANK.EXC(_xlfn._xlws.FILTER(N1:N122, ISNUMBER(N1:N122)),N122)</f>
        <v>0.86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39"/>
  <sheetViews>
    <sheetView topLeftCell="A106" workbookViewId="0">
      <selection activeCell="B132" sqref="B132"/>
    </sheetView>
  </sheetViews>
  <sheetFormatPr defaultRowHeight="14.5" x14ac:dyDescent="0.35"/>
  <cols>
    <col min="1" max="1" width="24.54296875" bestFit="1" customWidth="1"/>
  </cols>
  <sheetData>
    <row r="1" spans="1:26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26" x14ac:dyDescent="0.35">
      <c r="A2" s="2" cm="1">
        <f t="array" ref="A2:A122">_xll.FDS(B1,"JULIAN(FG_TOTAL_RETURNC(-10AY,0,AM).dates)")</f>
        <v>41817</v>
      </c>
      <c r="B2" s="24" cm="1">
        <f t="array" ref="B2:B122">_xll.FDS(B1,"FG_TOTAL_RETURNC(-10AY,0,AM)")/100</f>
        <v>1.8628478E-2</v>
      </c>
      <c r="C2" s="24" cm="1">
        <f t="array" ref="C2:C122">_xll.FDS(C1,"FG_TOTAL_RETURNC(-10AY,0,AM)")/100</f>
        <v>1.2377381E-2</v>
      </c>
      <c r="D2" s="24" cm="1">
        <f t="array" ref="D2:D122">_xll.FDS(D1,"FG_TOTAL_RETURNC(-10AY,0,AM)")/100</f>
        <v>5.6769013E-2</v>
      </c>
      <c r="E2" s="24" cm="1">
        <f t="array" ref="E2:E122">_xll.FDS(E1,"FG_TOTAL_RETURNC(-10AY,0,AM)")/100</f>
        <v>-2.8240680000000003E-3</v>
      </c>
      <c r="F2" s="24" cm="1">
        <f t="array" ref="F2:F122">_xll.FDS(F1,"FG_TOTAL_RETURNC(-10AY,0,AM)")/100</f>
        <v>5.5292487000000001E-2</v>
      </c>
      <c r="G2" s="24" cm="1">
        <f t="array" ref="G2:G122">_xll.FDS(G1,"FG_TOTAL_RETURNC(-10AY,0,AM)")/100</f>
        <v>-4.06909E-3</v>
      </c>
      <c r="H2" s="24" cm="1">
        <f t="array" ref="H2:H122">_xll.FDS(H1,"FG_TOTAL_RETURNC(-10AY,0,AM)")/100</f>
        <v>1.0882019999999999E-2</v>
      </c>
      <c r="I2" s="24" cm="1">
        <f t="array" ref="I2:I122">_xll.FDS(I1,"FG_TOTAL_RETURNC(-10AY,0,AM)")/100</f>
        <v>3.6174297000000001E-2</v>
      </c>
      <c r="J2" s="24" cm="1">
        <f t="array" ref="J2:J122">_xll.FDS(J1,"FG_TOTAL_RETURNC(-10AY,0,AM)")/100</f>
        <v>2.8091430000000001E-2</v>
      </c>
      <c r="K2" s="24" cm="1">
        <f t="array" ref="K2:K122">_xll.FDS(K1,"FG_TOTAL_RETURNC(-10AY,0,AM)")/100</f>
        <v>-6.6032409999999993E-3</v>
      </c>
      <c r="L2" s="24" cm="1">
        <f t="array" ref="L2:L122">_xll.FDS(L1,"FG_TOTAL_RETURNC(-10AY,0,AM)")/100</f>
        <v>6.4907074000000002E-3</v>
      </c>
      <c r="M2" s="24" cm="1">
        <f t="array" ref="M2:M122">_xll.FDS(M1,"FG_TOTAL_RETURNC(-10AY,0,AM)")/100</f>
        <v>-2.0084977E-2</v>
      </c>
      <c r="N2" s="24" cm="1">
        <f t="array" ref="N2:N122">_xll.FDS(N1,"FG_TOTAL_RETURNC(-10AY,0,AM)")/100</f>
        <v>6.4918995000000004E-3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35">
      <c r="A3" s="2">
        <v>41848</v>
      </c>
      <c r="B3" s="24">
        <v>-1.7306744999999998E-2</v>
      </c>
      <c r="C3" s="24">
        <v>1.9674659000000001E-2</v>
      </c>
      <c r="D3" s="24">
        <v>1.7434715999999999E-2</v>
      </c>
      <c r="E3" s="24">
        <v>-3.8436890000000001E-2</v>
      </c>
      <c r="F3" s="24">
        <v>1.8363952999999999E-2</v>
      </c>
      <c r="G3" s="24">
        <v>-1.5479027999999999E-2</v>
      </c>
      <c r="H3" s="24">
        <v>0</v>
      </c>
      <c r="I3" s="24">
        <v>3.2213329999999998E-2</v>
      </c>
      <c r="J3" s="24">
        <v>1.0111331999999999E-2</v>
      </c>
      <c r="K3" s="24">
        <v>-3.9698839999999999E-2</v>
      </c>
      <c r="L3" s="24">
        <v>-3.7204741999999999E-2</v>
      </c>
      <c r="M3" s="24">
        <v>-2.2727847000000002E-3</v>
      </c>
      <c r="N3" s="24">
        <v>-3.0442296999999997E-2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5">
      <c r="A4" s="2">
        <v>41879</v>
      </c>
      <c r="B4" s="24">
        <v>-9.6502304000000011E-3</v>
      </c>
      <c r="C4" s="24">
        <v>7.0500373999999996E-3</v>
      </c>
      <c r="D4" s="24">
        <v>4.5900344999999995E-3</v>
      </c>
      <c r="E4" s="24">
        <v>-3.3644260000000002E-2</v>
      </c>
      <c r="F4" s="24">
        <v>-3.1147540000000001E-2</v>
      </c>
      <c r="G4" s="24">
        <v>-3.5597682000000001E-3</v>
      </c>
      <c r="H4" s="24">
        <v>-1.7745851999999999E-2</v>
      </c>
      <c r="I4" s="24">
        <v>2.7281284000000003E-2</v>
      </c>
      <c r="J4" s="24">
        <v>1.1830091000000001E-2</v>
      </c>
      <c r="K4" s="24">
        <v>-1.7462551999999999E-2</v>
      </c>
      <c r="L4" s="24">
        <v>5.9292316000000003E-3</v>
      </c>
      <c r="M4" s="24">
        <v>-3.0751646000000001E-2</v>
      </c>
      <c r="N4" s="24">
        <v>-5.4502306E-2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35">
      <c r="A5" s="2">
        <v>41908</v>
      </c>
      <c r="B5" s="24">
        <v>-5.2862349999999995E-2</v>
      </c>
      <c r="C5" s="24">
        <v>-0.10832715</v>
      </c>
      <c r="D5" s="24">
        <v>-5.6046367000000007E-2</v>
      </c>
      <c r="E5" s="24">
        <v>-3.2747327999999999E-2</v>
      </c>
      <c r="F5" s="24">
        <v>7.6142549999999995E-3</v>
      </c>
      <c r="G5" s="24">
        <v>-2.7686834E-2</v>
      </c>
      <c r="H5" s="24">
        <v>-4.1992130000000003E-2</v>
      </c>
      <c r="I5" s="24">
        <v>-3.9740204999999997E-3</v>
      </c>
      <c r="J5" s="24">
        <v>-6.5649150000000002E-3</v>
      </c>
      <c r="K5" s="24">
        <v>-2.9742479999999998E-2</v>
      </c>
      <c r="L5" s="24">
        <v>-1.5040695999999999E-2</v>
      </c>
      <c r="M5" s="24">
        <v>-3.2608687999999997E-2</v>
      </c>
      <c r="N5" s="24">
        <v>-1.0025024E-2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35">
      <c r="A6" s="2">
        <v>41940</v>
      </c>
      <c r="B6" s="24">
        <v>2.9320954999999999E-2</v>
      </c>
      <c r="C6" s="24">
        <v>4.7933817000000004E-2</v>
      </c>
      <c r="D6" s="24">
        <v>-2.8073549999999999E-2</v>
      </c>
      <c r="E6" s="24">
        <v>-3.9558053000000003E-2</v>
      </c>
      <c r="F6" s="24">
        <v>-4.7858895999999998E-2</v>
      </c>
      <c r="G6" s="24">
        <v>-1.3778329000000001E-2</v>
      </c>
      <c r="H6" s="24">
        <v>-4.0774765000000004E-2</v>
      </c>
      <c r="I6" s="24">
        <v>1.4172911999999999E-2</v>
      </c>
      <c r="J6" s="24">
        <v>2.5770664E-3</v>
      </c>
      <c r="K6" s="24">
        <v>-5.2710294999999997E-2</v>
      </c>
      <c r="L6" s="24">
        <v>-2.3937284999999999E-2</v>
      </c>
      <c r="M6" s="24">
        <v>-1.5791059E-2</v>
      </c>
      <c r="N6" s="24">
        <v>-5.8860780000000001E-2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35">
      <c r="A7" s="2">
        <v>41971</v>
      </c>
      <c r="B7" s="24">
        <v>-2.4992227999999999E-4</v>
      </c>
      <c r="C7" s="24">
        <v>-6.8217696999999994E-2</v>
      </c>
      <c r="D7" s="24">
        <v>-5.9760809999999994E-3</v>
      </c>
      <c r="E7" s="24">
        <v>6.8274616999999996E-2</v>
      </c>
      <c r="F7" s="24">
        <v>2.4691342999999998E-2</v>
      </c>
      <c r="G7" s="24">
        <v>3.0425309999999997E-2</v>
      </c>
      <c r="H7" s="24">
        <v>1.1158346999999999E-2</v>
      </c>
      <c r="I7" s="24">
        <v>5.8195232999999999E-2</v>
      </c>
      <c r="J7" s="24">
        <v>4.4302225000000001E-2</v>
      </c>
      <c r="K7" s="24">
        <v>3.8279413999999998E-2</v>
      </c>
      <c r="L7" s="24">
        <v>5.3277016000000003E-2</v>
      </c>
      <c r="M7" s="24">
        <v>3.4557222999999998E-2</v>
      </c>
      <c r="N7" s="24">
        <v>6.7245959999999991E-4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35">
      <c r="A8" s="2">
        <v>41999</v>
      </c>
      <c r="B8" s="24">
        <v>1.7772079E-2</v>
      </c>
      <c r="C8" s="24">
        <v>-3.0425130999999998E-2</v>
      </c>
      <c r="D8" s="24">
        <v>-2.2083879000000001E-2</v>
      </c>
      <c r="E8" s="24">
        <v>-2.1187960000000002E-2</v>
      </c>
      <c r="F8" s="24">
        <v>6.9093704000000003E-4</v>
      </c>
      <c r="G8" s="24">
        <v>-2.4103642000000002E-2</v>
      </c>
      <c r="H8" s="24">
        <v>-1.348567E-2</v>
      </c>
      <c r="I8" s="24">
        <v>-5.476117E-3</v>
      </c>
      <c r="J8" s="24">
        <v>1.1512876E-2</v>
      </c>
      <c r="K8" s="24">
        <v>-2.5628388000000002E-2</v>
      </c>
      <c r="L8" s="24">
        <v>-1.6720116E-2</v>
      </c>
      <c r="M8" s="24">
        <v>-3.4717023E-2</v>
      </c>
      <c r="N8" s="24">
        <v>-4.8540650000000005E-2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35">
      <c r="A9" s="2">
        <v>42032</v>
      </c>
      <c r="B9" s="24">
        <v>-2.7745962000000003E-3</v>
      </c>
      <c r="C9" s="24">
        <v>-8.5624456000000012E-3</v>
      </c>
      <c r="D9" s="24">
        <v>-7.5484695000000004E-2</v>
      </c>
      <c r="E9" s="24">
        <v>-1.2065291000000001E-2</v>
      </c>
      <c r="F9" s="24">
        <v>2.5951861999999998E-3</v>
      </c>
      <c r="G9" s="24">
        <v>-1.9450426E-2</v>
      </c>
      <c r="H9" s="24">
        <v>-8.6908937000000006E-3</v>
      </c>
      <c r="I9" s="24">
        <v>-3.9223194000000003E-2</v>
      </c>
      <c r="J9" s="24">
        <v>-3.9819597999999998E-2</v>
      </c>
      <c r="K9" s="24">
        <v>-2.6761115000000002E-2</v>
      </c>
      <c r="L9" s="24">
        <v>-2.9496074000000001E-2</v>
      </c>
      <c r="M9" s="24">
        <v>-1.1515737E-2</v>
      </c>
      <c r="N9" s="24">
        <v>-3.7695645999999999E-2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35">
      <c r="A10" s="2">
        <v>42062</v>
      </c>
      <c r="B10" s="24">
        <v>3.6708831999999997E-2</v>
      </c>
      <c r="C10" s="24">
        <v>7.6363683000000002E-2</v>
      </c>
      <c r="D10" s="24">
        <v>4.9438240000000001E-2</v>
      </c>
      <c r="E10" s="24">
        <v>6.6810369999999994E-2</v>
      </c>
      <c r="F10" s="24">
        <v>6.557381000000001E-2</v>
      </c>
      <c r="G10" s="24">
        <v>4.91184E-2</v>
      </c>
      <c r="H10" s="24">
        <v>4.6575309999999995E-2</v>
      </c>
      <c r="I10" s="24">
        <v>7.4118137000000001E-2</v>
      </c>
      <c r="J10" s="24">
        <v>5.2563190000000003E-2</v>
      </c>
      <c r="K10" s="24">
        <v>7.1573020000000001E-2</v>
      </c>
      <c r="L10" s="24">
        <v>8.0202579999999996E-2</v>
      </c>
      <c r="M10" s="24">
        <v>9.3199009999999999E-2</v>
      </c>
      <c r="N10" s="24">
        <v>9.9778289999999992E-2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x14ac:dyDescent="0.35">
      <c r="A11" s="2">
        <v>42090</v>
      </c>
      <c r="B11" s="24">
        <v>-4.8840045999999995E-4</v>
      </c>
      <c r="C11" s="24">
        <v>-1.2668967E-2</v>
      </c>
      <c r="D11" s="24">
        <v>-3.3904374000000001E-2</v>
      </c>
      <c r="E11" s="24">
        <v>1.3468027E-2</v>
      </c>
      <c r="F11" s="24">
        <v>3.0769109999999999E-2</v>
      </c>
      <c r="G11" s="24">
        <v>1.0204077000000001E-2</v>
      </c>
      <c r="H11" s="24">
        <v>-3.9790569999999997E-2</v>
      </c>
      <c r="I11" s="24">
        <v>-2.4343370999999999E-2</v>
      </c>
      <c r="J11" s="24">
        <v>-1.9034684E-2</v>
      </c>
      <c r="K11" s="24">
        <v>-3.0188559999999999E-3</v>
      </c>
      <c r="L11" s="24">
        <v>-5.0801635000000001E-3</v>
      </c>
      <c r="M11" s="24">
        <v>-3.1682073999999998E-2</v>
      </c>
      <c r="N11" s="24">
        <v>1.3440847E-3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35">
      <c r="A12" s="2">
        <v>42122</v>
      </c>
      <c r="B12" s="24">
        <v>1.4659166E-3</v>
      </c>
      <c r="C12" s="24">
        <v>4.3199300000000003E-2</v>
      </c>
      <c r="D12" s="24">
        <v>8.9767340000000001E-2</v>
      </c>
      <c r="E12" s="24">
        <v>6.6447259999999992E-4</v>
      </c>
      <c r="F12" s="24">
        <v>4.6347259999999994E-2</v>
      </c>
      <c r="G12" s="24">
        <v>2.9114604000000002E-2</v>
      </c>
      <c r="H12" s="24">
        <v>6.2159180000000001E-2</v>
      </c>
      <c r="I12" s="24">
        <v>4.2835473999999998E-2</v>
      </c>
      <c r="J12" s="24">
        <v>2.7704835000000001E-2</v>
      </c>
      <c r="K12" s="24">
        <v>3.7471652000000001E-2</v>
      </c>
      <c r="L12" s="24">
        <v>4.281223E-2</v>
      </c>
      <c r="M12" s="24">
        <v>2.6472329999999999E-2</v>
      </c>
      <c r="N12" s="24">
        <v>3.4228206000000004E-2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35">
      <c r="A13" s="2">
        <v>42152</v>
      </c>
      <c r="B13" s="24">
        <v>-7.2212815E-2</v>
      </c>
      <c r="C13" s="24">
        <v>-7.9130829999999999E-2</v>
      </c>
      <c r="D13" s="24">
        <v>-5.118644E-2</v>
      </c>
      <c r="E13" s="24">
        <v>-1.5936315E-2</v>
      </c>
      <c r="F13" s="24">
        <v>-1.1261225E-2</v>
      </c>
      <c r="G13" s="24">
        <v>2.9157162E-2</v>
      </c>
      <c r="H13" s="24">
        <v>5.1331519999999993E-4</v>
      </c>
      <c r="I13" s="24">
        <v>6.0887336999999996E-3</v>
      </c>
      <c r="J13" s="24">
        <v>4.8240423000000003E-3</v>
      </c>
      <c r="K13" s="24">
        <v>3.6478043E-4</v>
      </c>
      <c r="L13" s="24">
        <v>1.2052773999999999E-2</v>
      </c>
      <c r="M13" s="24">
        <v>3.4773349999999998E-3</v>
      </c>
      <c r="N13" s="24">
        <v>1.8818973999999999E-2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35">
      <c r="A14" s="2">
        <v>42181</v>
      </c>
      <c r="B14" s="24">
        <v>-5.3973199999999999E-2</v>
      </c>
      <c r="C14" s="24">
        <v>-2.2280633000000001E-2</v>
      </c>
      <c r="D14" s="24">
        <v>-8.8626740000000009E-3</v>
      </c>
      <c r="E14" s="24">
        <v>5.3412913999999999E-3</v>
      </c>
      <c r="F14" s="24">
        <v>-1.8229485000000002E-3</v>
      </c>
      <c r="G14" s="24">
        <v>-2.8387249E-2</v>
      </c>
      <c r="H14" s="24">
        <v>-1.2598514999999999E-2</v>
      </c>
      <c r="I14" s="24">
        <v>-1.0724187000000001E-2</v>
      </c>
      <c r="J14" s="24">
        <v>-7.6003074999999995E-3</v>
      </c>
      <c r="K14" s="24">
        <v>5.7923793999999995E-3</v>
      </c>
      <c r="L14" s="24">
        <v>8.7670089999999992E-3</v>
      </c>
      <c r="M14" s="24">
        <v>-1.0252595E-2</v>
      </c>
      <c r="N14" s="24">
        <v>2.2803067999999999E-2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35">
      <c r="A15" s="2">
        <v>42213</v>
      </c>
      <c r="B15" s="24">
        <v>-1.9959806999999999E-3</v>
      </c>
      <c r="C15" s="24">
        <v>-3.3115745000000002E-2</v>
      </c>
      <c r="D15" s="24">
        <v>-8.7177699999999997E-2</v>
      </c>
      <c r="E15" s="24">
        <v>-3.5848439000000003E-2</v>
      </c>
      <c r="F15" s="24">
        <v>-2.4464785999999999E-2</v>
      </c>
      <c r="G15" s="24">
        <v>-1.18243694E-3</v>
      </c>
      <c r="H15" s="24">
        <v>-3.4920633E-2</v>
      </c>
      <c r="I15" s="24">
        <v>1.7022014000000002E-2</v>
      </c>
      <c r="J15" s="24">
        <v>-2.3353695999999997E-3</v>
      </c>
      <c r="K15" s="24">
        <v>-2.2492646999999998E-2</v>
      </c>
      <c r="L15" s="24">
        <v>-1.6050755999999999E-2</v>
      </c>
      <c r="M15" s="24">
        <v>-4.0471133999999999E-2</v>
      </c>
      <c r="N15" s="24">
        <v>-2.0278811000000001E-2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35">
      <c r="A16" s="2">
        <v>42244</v>
      </c>
      <c r="B16" s="24">
        <v>-6.1999979999999996E-2</v>
      </c>
      <c r="C16" s="24">
        <v>-7.6218069999999999E-2</v>
      </c>
      <c r="D16" s="24">
        <v>-3.700751E-2</v>
      </c>
      <c r="E16" s="24">
        <v>-6.6572190000000003E-2</v>
      </c>
      <c r="F16" s="24">
        <v>-3.5266459999999999E-2</v>
      </c>
      <c r="G16" s="24">
        <v>-5.6821526999999997E-2</v>
      </c>
      <c r="H16" s="24">
        <v>-5.9758782000000003E-2</v>
      </c>
      <c r="I16" s="24">
        <v>-4.9581530000000006E-2</v>
      </c>
      <c r="J16" s="24">
        <v>-4.801035E-2</v>
      </c>
      <c r="K16" s="24">
        <v>-5.4696379999999996E-2</v>
      </c>
      <c r="L16" s="24">
        <v>-7.2837650000000004E-2</v>
      </c>
      <c r="M16" s="24">
        <v>-4.0289583000000004E-2</v>
      </c>
      <c r="N16" s="24">
        <v>-3.8809836E-2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35">
      <c r="A17" s="2">
        <v>42275</v>
      </c>
      <c r="B17" s="24">
        <v>-2.5586426000000002E-2</v>
      </c>
      <c r="C17" s="24">
        <v>-7.5195846999999996E-2</v>
      </c>
      <c r="D17" s="24">
        <v>-7.7686013999999998E-2</v>
      </c>
      <c r="E17" s="24">
        <v>-7.701063000000001E-2</v>
      </c>
      <c r="F17" s="24">
        <v>-7.9610109999999998E-2</v>
      </c>
      <c r="G17" s="24">
        <v>-6.3382506000000005E-2</v>
      </c>
      <c r="H17" s="24">
        <v>-6.5306066999999995E-2</v>
      </c>
      <c r="I17" s="24">
        <v>-5.0967749999999999E-2</v>
      </c>
      <c r="J17" s="24">
        <v>-5.1565228000000005E-2</v>
      </c>
      <c r="K17" s="24">
        <v>-6.1452446000000001E-2</v>
      </c>
      <c r="L17" s="24">
        <v>-6.5466460000000004E-2</v>
      </c>
      <c r="M17" s="24">
        <v>-8.2322060000000002E-2</v>
      </c>
      <c r="N17" s="24">
        <v>-6.5948843999999993E-2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35">
      <c r="A18" s="2">
        <v>42305</v>
      </c>
      <c r="B18" s="24">
        <v>0.12347603</v>
      </c>
      <c r="C18" s="24">
        <v>9.4861620000000008E-2</v>
      </c>
      <c r="D18" s="24">
        <v>8.8261720000000002E-2</v>
      </c>
      <c r="E18" s="24">
        <v>0.11508417</v>
      </c>
      <c r="F18" s="24">
        <v>0.1050309</v>
      </c>
      <c r="G18" s="24">
        <v>6.6666603000000005E-2</v>
      </c>
      <c r="H18" s="24">
        <v>9.9189039999999992E-2</v>
      </c>
      <c r="I18" s="24">
        <v>0.14031399</v>
      </c>
      <c r="J18" s="24">
        <v>0.11137712499999999</v>
      </c>
      <c r="K18" s="24">
        <v>0.10119045</v>
      </c>
      <c r="L18" s="24">
        <v>9.7854609999999995E-2</v>
      </c>
      <c r="M18" s="24">
        <v>8.0414530000000012E-2</v>
      </c>
      <c r="N18" s="24">
        <v>7.9250692999999997E-2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35">
      <c r="A19" s="2">
        <v>42335</v>
      </c>
      <c r="B19" s="24">
        <v>-1.2242614999999998E-2</v>
      </c>
      <c r="C19" s="24">
        <v>-1.908195E-2</v>
      </c>
      <c r="D19" s="24">
        <v>-4.8579693E-2</v>
      </c>
      <c r="E19" s="24">
        <v>1.4743804999999999E-3</v>
      </c>
      <c r="F19" s="24">
        <v>-3.1949877999999997E-3</v>
      </c>
      <c r="G19" s="24">
        <v>-3.1721115000000001E-2</v>
      </c>
      <c r="H19" s="24">
        <v>-2.4971663999999998E-2</v>
      </c>
      <c r="I19" s="24">
        <v>2.5434494000000003E-3</v>
      </c>
      <c r="J19" s="24">
        <v>2.9193163E-3</v>
      </c>
      <c r="K19" s="24">
        <v>-2.9343664999999998E-2</v>
      </c>
      <c r="L19" s="24">
        <v>-7.7767370000000006E-3</v>
      </c>
      <c r="M19" s="24">
        <v>-8.9315175999999993E-3</v>
      </c>
      <c r="N19" s="24">
        <v>-4.0720939999999997E-2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35">
      <c r="A20" s="2">
        <v>42366</v>
      </c>
      <c r="B20" s="24">
        <v>6.1871886000000001E-2</v>
      </c>
      <c r="C20" s="24">
        <v>1.0091424E-2</v>
      </c>
      <c r="D20" s="24">
        <v>-5.0452649999999995E-2</v>
      </c>
      <c r="E20" s="24">
        <v>-1.6194343999999999E-2</v>
      </c>
      <c r="F20" s="24">
        <v>-2.0968974000000001E-2</v>
      </c>
      <c r="G20" s="24">
        <v>2.0758986E-2</v>
      </c>
      <c r="H20" s="24">
        <v>-3.1683563999999997E-2</v>
      </c>
      <c r="I20" s="24">
        <v>-1.2503325999999999E-2</v>
      </c>
      <c r="J20" s="24">
        <v>-1.4826298E-2</v>
      </c>
      <c r="K20" s="24">
        <v>-2.2141516E-2</v>
      </c>
      <c r="L20" s="24">
        <v>-2.2158026999999997E-2</v>
      </c>
      <c r="M20" s="24">
        <v>-1.0137022000000001E-2</v>
      </c>
      <c r="N20" s="24">
        <v>-1.7918110000000001E-2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x14ac:dyDescent="0.35">
      <c r="A21" s="2">
        <v>42397</v>
      </c>
      <c r="B21" s="24">
        <v>-5.8373746999999997E-2</v>
      </c>
      <c r="C21" s="24">
        <v>-6.9063662999999997E-2</v>
      </c>
      <c r="D21" s="24">
        <v>-5.1270126999999999E-2</v>
      </c>
      <c r="E21" s="24">
        <v>-9.6146639999999992E-2</v>
      </c>
      <c r="F21" s="24">
        <v>-7.4196280000000003E-2</v>
      </c>
      <c r="G21" s="24">
        <v>-8.6113750000000003E-2</v>
      </c>
      <c r="H21" s="24">
        <v>-7.8479469999999996E-2</v>
      </c>
      <c r="I21" s="24">
        <v>-9.3575060000000002E-2</v>
      </c>
      <c r="J21" s="24">
        <v>-7.8456219999999993E-2</v>
      </c>
      <c r="K21" s="24">
        <v>-6.3458860000000006E-2</v>
      </c>
      <c r="L21" s="24">
        <v>-5.4590582999999998E-2</v>
      </c>
      <c r="M21" s="24">
        <v>-8.6736380000000002E-2</v>
      </c>
      <c r="N21" s="24">
        <v>-0.15422886999999999</v>
      </c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x14ac:dyDescent="0.35">
      <c r="A22" s="2">
        <v>42426</v>
      </c>
      <c r="B22" s="24">
        <v>4.7085879999999997E-2</v>
      </c>
      <c r="C22" s="24">
        <v>-5.7014819999999999E-3</v>
      </c>
      <c r="D22" s="24">
        <v>5.3067089999999997E-2</v>
      </c>
      <c r="E22" s="24">
        <v>-2.1109283E-2</v>
      </c>
      <c r="F22" s="24">
        <v>-1.5137970000000001E-2</v>
      </c>
      <c r="G22" s="24">
        <v>-7.6494810000000005E-3</v>
      </c>
      <c r="H22" s="24">
        <v>-7.9840420000000002E-3</v>
      </c>
      <c r="I22" s="24">
        <v>1.4019607999999999E-2</v>
      </c>
      <c r="J22" s="24">
        <v>3.1617641000000002E-2</v>
      </c>
      <c r="K22" s="24">
        <v>-7.8465940000000001E-3</v>
      </c>
      <c r="L22" s="24">
        <v>-5.6868196000000003E-3</v>
      </c>
      <c r="M22" s="24">
        <v>1.8107891000000001E-2</v>
      </c>
      <c r="N22" s="24">
        <v>-4.8739489999999996E-2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x14ac:dyDescent="0.35">
      <c r="A23" s="2">
        <v>42457</v>
      </c>
      <c r="B23" s="24">
        <v>8.5549719999999996E-2</v>
      </c>
      <c r="C23" s="24">
        <v>0.11502897000000001</v>
      </c>
      <c r="D23" s="24">
        <v>7.3971389999999998E-2</v>
      </c>
      <c r="E23" s="24">
        <v>6.7230463000000004E-2</v>
      </c>
      <c r="F23" s="24">
        <v>4.1591287000000005E-2</v>
      </c>
      <c r="G23" s="24">
        <v>2.5578140999999999E-2</v>
      </c>
      <c r="H23" s="24">
        <v>3.9570807999999999E-2</v>
      </c>
      <c r="I23" s="24">
        <v>3.8644790000000005E-2</v>
      </c>
      <c r="J23" s="24">
        <v>4.7129989999999997E-2</v>
      </c>
      <c r="K23" s="24">
        <v>4.305792E-2</v>
      </c>
      <c r="L23" s="24">
        <v>6.9951653000000003E-2</v>
      </c>
      <c r="M23" s="24">
        <v>3.7386536999999997E-2</v>
      </c>
      <c r="N23" s="24">
        <v>7.5088379999999996E-2</v>
      </c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x14ac:dyDescent="0.35">
      <c r="A24" s="2">
        <v>42488</v>
      </c>
      <c r="B24" s="24">
        <v>4.6728970000000002E-2</v>
      </c>
      <c r="C24" s="24">
        <v>3.0067444000000002E-2</v>
      </c>
      <c r="D24" s="24">
        <v>8.7387084999999989E-2</v>
      </c>
      <c r="E24" s="24">
        <v>4.5166373000000003E-2</v>
      </c>
      <c r="F24" s="24">
        <v>0</v>
      </c>
      <c r="G24" s="24">
        <v>4.6463966000000002E-2</v>
      </c>
      <c r="H24" s="24">
        <v>5.3548336000000002E-2</v>
      </c>
      <c r="I24" s="24">
        <v>-7.7490806999999991E-3</v>
      </c>
      <c r="J24" s="24">
        <v>2.0702123999999999E-2</v>
      </c>
      <c r="K24" s="24">
        <v>4.7177790000000004E-2</v>
      </c>
      <c r="L24" s="24">
        <v>2.0148039999999999E-2</v>
      </c>
      <c r="M24" s="24">
        <v>6.5780279999999997E-2</v>
      </c>
      <c r="N24" s="24">
        <v>4.0262938000000005E-2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x14ac:dyDescent="0.35">
      <c r="A25" s="2">
        <v>42517</v>
      </c>
      <c r="B25" s="24">
        <v>-2.5602580000000002E-3</v>
      </c>
      <c r="C25" s="24">
        <v>-1.4594913000000001E-2</v>
      </c>
      <c r="D25" s="24">
        <v>-2.0981789000000001E-2</v>
      </c>
      <c r="E25" s="24">
        <v>-1.4404832999999999E-2</v>
      </c>
      <c r="F25" s="24">
        <v>1.5190958999999999E-2</v>
      </c>
      <c r="G25" s="24">
        <v>6.8560840000000001E-3</v>
      </c>
      <c r="H25" s="24">
        <v>4.8989058000000005E-3</v>
      </c>
      <c r="I25" s="24">
        <v>3.622508E-2</v>
      </c>
      <c r="J25" s="24">
        <v>1.3461232E-2</v>
      </c>
      <c r="K25" s="24">
        <v>-4.4248103999999996E-3</v>
      </c>
      <c r="L25" s="24">
        <v>8.4643363999999995E-3</v>
      </c>
      <c r="M25" s="24">
        <v>-2.4622440000000002E-2</v>
      </c>
      <c r="N25" s="24">
        <v>-3.2385468000000001E-2</v>
      </c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x14ac:dyDescent="0.35">
      <c r="A26" s="2">
        <v>42549</v>
      </c>
      <c r="B26" s="24">
        <v>2.1722435999999998E-2</v>
      </c>
      <c r="C26" s="24">
        <v>-2.2079230000000002E-2</v>
      </c>
      <c r="D26" s="24">
        <v>-2.2627293999999999E-2</v>
      </c>
      <c r="E26" s="24">
        <v>-7.852423E-2</v>
      </c>
      <c r="F26" s="24">
        <v>-1.3180196E-2</v>
      </c>
      <c r="G26" s="24">
        <v>-4.4949235999999997E-2</v>
      </c>
      <c r="H26" s="24">
        <v>-8.8968570000000011E-2</v>
      </c>
      <c r="I26" s="24">
        <v>-4.893136E-2</v>
      </c>
      <c r="J26" s="24">
        <v>-2.8439820000000001E-2</v>
      </c>
      <c r="K26" s="24">
        <v>-8.6534980000000011E-2</v>
      </c>
      <c r="L26" s="24">
        <v>-9.9880639999999993E-2</v>
      </c>
      <c r="M26" s="24">
        <v>-7.9379560000000002E-2</v>
      </c>
      <c r="N26" s="24">
        <v>-0.12683158999999999</v>
      </c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x14ac:dyDescent="0.35">
      <c r="A27" s="2">
        <v>42579</v>
      </c>
      <c r="B27" s="24">
        <v>8.824944500000001E-2</v>
      </c>
      <c r="C27" s="24">
        <v>9.1631409999999996E-2</v>
      </c>
      <c r="D27" s="24">
        <v>4.1701436000000001E-2</v>
      </c>
      <c r="E27" s="24">
        <v>8.6789249999999998E-2</v>
      </c>
      <c r="F27" s="24">
        <v>3.4934519999999997E-2</v>
      </c>
      <c r="G27" s="24">
        <v>3.6598086000000002E-2</v>
      </c>
      <c r="H27" s="24">
        <v>6.5113070000000009E-2</v>
      </c>
      <c r="I27" s="24">
        <v>0.10070848</v>
      </c>
      <c r="J27" s="24">
        <v>6.678307E-2</v>
      </c>
      <c r="K27" s="24">
        <v>7.9401134999999998E-2</v>
      </c>
      <c r="L27" s="24">
        <v>7.4774740000000006E-2</v>
      </c>
      <c r="M27" s="24">
        <v>5.6252480000000001E-2</v>
      </c>
      <c r="N27" s="24">
        <v>5.480778E-2</v>
      </c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x14ac:dyDescent="0.35">
      <c r="A28" s="2">
        <v>42608</v>
      </c>
      <c r="B28" s="24">
        <v>2.9748796999999997E-2</v>
      </c>
      <c r="C28" s="24">
        <v>2.91121E-3</v>
      </c>
      <c r="D28" s="24">
        <v>2.4819849999999997E-2</v>
      </c>
      <c r="E28" s="24">
        <v>2.8717518000000001E-2</v>
      </c>
      <c r="F28" s="24">
        <v>3.1223654999999999E-2</v>
      </c>
      <c r="G28" s="24">
        <v>1.5467405E-2</v>
      </c>
      <c r="H28" s="24">
        <v>1.6087532000000002E-2</v>
      </c>
      <c r="I28" s="24">
        <v>1.5654802000000002E-2</v>
      </c>
      <c r="J28" s="24">
        <v>2.3988485E-3</v>
      </c>
      <c r="K28" s="24">
        <v>3.3627748000000001E-3</v>
      </c>
      <c r="L28" s="24">
        <v>3.3109784000000003E-2</v>
      </c>
      <c r="M28" s="24">
        <v>3.0226587999999999E-2</v>
      </c>
      <c r="N28" s="24">
        <v>2.0054579000000003E-2</v>
      </c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x14ac:dyDescent="0.35">
      <c r="A29" s="2">
        <v>42641</v>
      </c>
      <c r="B29" s="24">
        <v>-9.4329119999999999E-3</v>
      </c>
      <c r="C29" s="24">
        <v>1.4997602000000001E-2</v>
      </c>
      <c r="D29" s="24">
        <v>3.1249523E-3</v>
      </c>
      <c r="E29" s="24">
        <v>2.2944212000000001E-3</v>
      </c>
      <c r="F29" s="24">
        <v>3.5188198000000004E-2</v>
      </c>
      <c r="G29" s="24">
        <v>2.3178816000000001E-2</v>
      </c>
      <c r="H29" s="24">
        <v>4.4331549999999994E-3</v>
      </c>
      <c r="I29" s="24">
        <v>1.8987894000000002E-2</v>
      </c>
      <c r="J29" s="24">
        <v>2.0648240999999999E-3</v>
      </c>
      <c r="K29" s="24">
        <v>1.5081644E-2</v>
      </c>
      <c r="L29" s="24">
        <v>1.2575984E-2</v>
      </c>
      <c r="M29" s="24">
        <v>1.2224912999999999E-2</v>
      </c>
      <c r="N29" s="24">
        <v>-1.8766761E-2</v>
      </c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x14ac:dyDescent="0.35">
      <c r="A30" s="2">
        <v>42671</v>
      </c>
      <c r="B30" s="24">
        <v>-7.1705699999999997E-2</v>
      </c>
      <c r="C30" s="24">
        <v>-3.9084851999999996E-2</v>
      </c>
      <c r="D30" s="24">
        <v>-8.9563730000000001E-3</v>
      </c>
      <c r="E30" s="24">
        <v>-1.3353645999999999E-2</v>
      </c>
      <c r="F30" s="24">
        <v>-2.3715495999999999E-3</v>
      </c>
      <c r="G30" s="24">
        <v>-5.9223293999999996E-2</v>
      </c>
      <c r="H30" s="24">
        <v>-5.3593929999999998E-2</v>
      </c>
      <c r="I30" s="24">
        <v>-1.3479352E-2</v>
      </c>
      <c r="J30" s="24">
        <v>-1.8925428000000001E-2</v>
      </c>
      <c r="K30" s="24">
        <v>-7.0161222999999993E-3</v>
      </c>
      <c r="L30" s="24">
        <v>-1.8830119999999999E-2</v>
      </c>
      <c r="M30" s="24">
        <v>-4.1752871999999996E-2</v>
      </c>
      <c r="N30" s="24">
        <v>3.0965447E-2</v>
      </c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x14ac:dyDescent="0.35">
      <c r="A31" s="2">
        <v>42702</v>
      </c>
      <c r="B31" s="24">
        <v>-1.4428735E-2</v>
      </c>
      <c r="C31" s="24">
        <v>2.9265880000000001E-2</v>
      </c>
      <c r="D31" s="24">
        <v>1.7681717999999999E-2</v>
      </c>
      <c r="E31" s="24">
        <v>-4.4470309999999999E-2</v>
      </c>
      <c r="F31" s="24">
        <v>-1.1093557E-2</v>
      </c>
      <c r="G31" s="24">
        <v>-2.8551757000000001E-2</v>
      </c>
      <c r="H31" s="24">
        <v>-3.6642549999999999E-3</v>
      </c>
      <c r="I31" s="24">
        <v>1.22118E-2</v>
      </c>
      <c r="J31" s="24">
        <v>3.7357688E-2</v>
      </c>
      <c r="K31" s="24">
        <v>-3.8237750000000001E-2</v>
      </c>
      <c r="L31" s="24">
        <v>-4.3282930000000004E-2</v>
      </c>
      <c r="M31" s="24">
        <v>-1.2963652999999999E-2</v>
      </c>
      <c r="N31" s="24">
        <v>-7.9063535000000004E-2</v>
      </c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x14ac:dyDescent="0.35">
      <c r="A32" s="2">
        <v>42732</v>
      </c>
      <c r="B32" s="24">
        <v>-3.2143294999999995E-2</v>
      </c>
      <c r="C32" s="24">
        <v>5.1379203999999995E-4</v>
      </c>
      <c r="D32" s="24">
        <v>1.4671326E-2</v>
      </c>
      <c r="E32" s="24">
        <v>5.9854269999999994E-2</v>
      </c>
      <c r="F32" s="24">
        <v>7.8451629999999996E-4</v>
      </c>
      <c r="G32" s="24">
        <v>3.2159210000000001E-2</v>
      </c>
      <c r="H32" s="24">
        <v>2.7745128000000001E-2</v>
      </c>
      <c r="I32" s="24">
        <v>1.4391065000000001E-2</v>
      </c>
      <c r="J32" s="24">
        <v>2.3789644000000002E-2</v>
      </c>
      <c r="K32" s="24">
        <v>5.3470253999999995E-2</v>
      </c>
      <c r="L32" s="24">
        <v>3.3203839999999998E-2</v>
      </c>
      <c r="M32" s="24">
        <v>3.9214014999999998E-2</v>
      </c>
      <c r="N32" s="24">
        <v>0.1558919</v>
      </c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x14ac:dyDescent="0.35">
      <c r="A33" s="2">
        <v>42762</v>
      </c>
      <c r="B33" s="24">
        <v>9.6416000000000002E-2</v>
      </c>
      <c r="C33" s="24">
        <v>5.8358072999999996E-2</v>
      </c>
      <c r="D33" s="24">
        <v>4.7655582000000002E-2</v>
      </c>
      <c r="E33" s="24">
        <v>6.1115383999999995E-2</v>
      </c>
      <c r="F33" s="24">
        <v>2.9364110000000002E-2</v>
      </c>
      <c r="G33" s="24">
        <v>5.4239629999999997E-2</v>
      </c>
      <c r="H33" s="24">
        <v>4.1556716E-2</v>
      </c>
      <c r="I33" s="24">
        <v>4.9382805999999994E-2</v>
      </c>
      <c r="J33" s="24">
        <v>2.0365477E-2</v>
      </c>
      <c r="K33" s="24">
        <v>3.4993768000000001E-2</v>
      </c>
      <c r="L33" s="24">
        <v>4.016745E-2</v>
      </c>
      <c r="M33" s="24">
        <v>6.1446667000000003E-2</v>
      </c>
      <c r="N33" s="24">
        <v>2.0519375999999999E-2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x14ac:dyDescent="0.35">
      <c r="A34" s="2">
        <v>42794</v>
      </c>
      <c r="B34" s="24">
        <v>-6.9060326000000005E-3</v>
      </c>
      <c r="C34" s="24">
        <v>2.5701046000000002E-2</v>
      </c>
      <c r="D34" s="24">
        <v>-2.0909726999999999E-2</v>
      </c>
      <c r="E34" s="24">
        <v>-9.3592404999999993E-3</v>
      </c>
      <c r="F34" s="24">
        <v>7.8693630000000007E-3</v>
      </c>
      <c r="G34" s="24">
        <v>1.0745764E-2</v>
      </c>
      <c r="H34" s="24">
        <v>1.0449648000000001E-2</v>
      </c>
      <c r="I34" s="24">
        <v>3.3545375000000002E-2</v>
      </c>
      <c r="J34" s="24">
        <v>3.2755375000000003E-2</v>
      </c>
      <c r="K34" s="24">
        <v>-9.1487765000000006E-3</v>
      </c>
      <c r="L34" s="24">
        <v>2.3732899999999998E-2</v>
      </c>
      <c r="M34" s="24">
        <v>2.646327E-3</v>
      </c>
      <c r="N34" s="24">
        <v>-2.9544592000000001E-2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x14ac:dyDescent="0.35">
      <c r="A35" s="2">
        <v>42822</v>
      </c>
      <c r="B35" s="24">
        <v>-3.9638340000000001E-2</v>
      </c>
      <c r="C35" s="24">
        <v>2.4601339999999999E-2</v>
      </c>
      <c r="D35" s="24">
        <v>5.2453280000000005E-3</v>
      </c>
      <c r="E35" s="24">
        <v>4.6875E-2</v>
      </c>
      <c r="F35" s="24">
        <v>2.1667004E-2</v>
      </c>
      <c r="G35" s="24">
        <v>3.5760282999999997E-2</v>
      </c>
      <c r="H35" s="24">
        <v>1.8489479999999999E-2</v>
      </c>
      <c r="I35" s="24">
        <v>1.4567375E-2</v>
      </c>
      <c r="J35" s="24">
        <v>-5.2571297000000004E-4</v>
      </c>
      <c r="K35" s="24">
        <v>6.5435649999999998E-2</v>
      </c>
      <c r="L35" s="24">
        <v>6.1689615000000003E-2</v>
      </c>
      <c r="M35" s="24">
        <v>4.2890189999999995E-2</v>
      </c>
      <c r="N35" s="24">
        <v>9.5560310000000009E-2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x14ac:dyDescent="0.35">
      <c r="A36" s="2">
        <v>42853</v>
      </c>
      <c r="B36" s="24">
        <v>2.7757645000000001E-2</v>
      </c>
      <c r="C36" s="24">
        <v>-1.333952E-3</v>
      </c>
      <c r="D36" s="24">
        <v>-2.1244884000000002E-2</v>
      </c>
      <c r="E36" s="24">
        <v>3.019786E-2</v>
      </c>
      <c r="F36" s="24">
        <v>-9.1707705999999993E-3</v>
      </c>
      <c r="G36" s="24">
        <v>3.3903599E-2</v>
      </c>
      <c r="H36" s="24">
        <v>1.8461465999999999E-2</v>
      </c>
      <c r="I36" s="24">
        <v>3.3044695999999998E-2</v>
      </c>
      <c r="J36" s="24">
        <v>1.1728644E-2</v>
      </c>
      <c r="K36" s="24">
        <v>5.5764913999999999E-2</v>
      </c>
      <c r="L36" s="24">
        <v>3.9230226999999999E-2</v>
      </c>
      <c r="M36" s="24">
        <v>4.7453283999999998E-2</v>
      </c>
      <c r="N36" s="24">
        <v>2.084136E-2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x14ac:dyDescent="0.35">
      <c r="A37" s="2">
        <v>42881</v>
      </c>
      <c r="B37" s="24">
        <v>4.0394544999999997E-2</v>
      </c>
      <c r="C37" s="24">
        <v>-3.5173595000000002E-2</v>
      </c>
      <c r="D37" s="24">
        <v>4.5696497000000001E-3</v>
      </c>
      <c r="E37" s="24">
        <v>3.7398934000000002E-2</v>
      </c>
      <c r="F37" s="24">
        <v>2.5453090000000001E-2</v>
      </c>
      <c r="G37" s="24">
        <v>4.9338100000000003E-2</v>
      </c>
      <c r="H37" s="24">
        <v>4.1691900000000004E-2</v>
      </c>
      <c r="I37" s="24">
        <v>3.8458705000000003E-2</v>
      </c>
      <c r="J37" s="24">
        <v>1.5246987E-2</v>
      </c>
      <c r="K37" s="24">
        <v>4.8179865000000002E-2</v>
      </c>
      <c r="L37" s="24">
        <v>4.9145219999999996E-2</v>
      </c>
      <c r="M37" s="24">
        <v>2.9598236E-2</v>
      </c>
      <c r="N37" s="24">
        <v>7.1455599999999994E-2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x14ac:dyDescent="0.35">
      <c r="A38" s="2">
        <v>42914</v>
      </c>
      <c r="B38" s="24">
        <v>6.7424893E-2</v>
      </c>
      <c r="C38" s="24">
        <v>2.6231766E-2</v>
      </c>
      <c r="D38" s="24">
        <v>3.0797362000000002E-2</v>
      </c>
      <c r="E38" s="24">
        <v>2.2454858000000001E-2</v>
      </c>
      <c r="F38" s="24">
        <v>2.214992E-2</v>
      </c>
      <c r="G38" s="24">
        <v>1.7866969E-2</v>
      </c>
      <c r="H38" s="24">
        <v>-7.5191260000000001E-3</v>
      </c>
      <c r="I38" s="24">
        <v>-5.7814120000000005E-3</v>
      </c>
      <c r="J38" s="24">
        <v>1.2276173E-2</v>
      </c>
      <c r="K38" s="24">
        <v>1.4518142000000001E-2</v>
      </c>
      <c r="L38" s="24">
        <v>4.0133E-3</v>
      </c>
      <c r="M38" s="24">
        <v>1.7911672999999999E-2</v>
      </c>
      <c r="N38" s="24">
        <v>1.4608026000000001E-2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x14ac:dyDescent="0.35">
      <c r="A39" s="2">
        <v>42944</v>
      </c>
      <c r="B39" s="24">
        <v>2.0034432000000001E-2</v>
      </c>
      <c r="C39" s="24">
        <v>3.9522052000000002E-2</v>
      </c>
      <c r="D39" s="24">
        <v>3.4482718000000002E-2</v>
      </c>
      <c r="E39" s="24">
        <v>-6.1528086999999999E-3</v>
      </c>
      <c r="F39" s="24">
        <v>1.0553718E-2</v>
      </c>
      <c r="G39" s="24">
        <v>-1.12198E-2</v>
      </c>
      <c r="H39" s="24">
        <v>1.4639854000000001E-2</v>
      </c>
      <c r="I39" s="24">
        <v>2.7281759999999999E-2</v>
      </c>
      <c r="J39" s="24">
        <v>1.4045715E-2</v>
      </c>
      <c r="K39" s="24">
        <v>7.1696043000000001E-3</v>
      </c>
      <c r="L39" s="24">
        <v>4.8254609999999996E-2</v>
      </c>
      <c r="M39" s="24">
        <v>9.1364384000000003E-3</v>
      </c>
      <c r="N39" s="24">
        <v>4.6742199999999998E-2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x14ac:dyDescent="0.35">
      <c r="A40" s="2">
        <v>42975</v>
      </c>
      <c r="B40" s="24">
        <v>-8.8700649999999999E-3</v>
      </c>
      <c r="C40" s="24">
        <v>1.3262033000000001E-3</v>
      </c>
      <c r="D40" s="24">
        <v>-1.0035812999999999E-2</v>
      </c>
      <c r="E40" s="24">
        <v>1.3685226E-2</v>
      </c>
      <c r="F40" s="24">
        <v>-2.9315351999999999E-3</v>
      </c>
      <c r="G40" s="24">
        <v>-2.9094815E-3</v>
      </c>
      <c r="H40" s="24">
        <v>-9.7172856000000002E-3</v>
      </c>
      <c r="I40" s="24">
        <v>-9.9415779999999995E-3</v>
      </c>
      <c r="J40" s="24">
        <v>-9.4771384999999993E-3</v>
      </c>
      <c r="K40" s="24">
        <v>8.8136195999999993E-3</v>
      </c>
      <c r="L40" s="24">
        <v>-1.9588470000000001E-3</v>
      </c>
      <c r="M40" s="24">
        <v>5.5490729999999999E-3</v>
      </c>
      <c r="N40" s="24">
        <v>3.0446529999999999E-2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x14ac:dyDescent="0.35">
      <c r="A41" s="2">
        <v>43006</v>
      </c>
      <c r="B41" s="24">
        <v>5.3271055000000001E-3</v>
      </c>
      <c r="C41" s="24">
        <v>-1.3244987E-2</v>
      </c>
      <c r="D41" s="24">
        <v>4.7791480000000004E-2</v>
      </c>
      <c r="E41" s="24">
        <v>2.8929472000000001E-2</v>
      </c>
      <c r="F41" s="24">
        <v>2.3520827000000001E-2</v>
      </c>
      <c r="G41" s="24">
        <v>1.1963844E-2</v>
      </c>
      <c r="H41" s="24">
        <v>3.0924678000000001E-2</v>
      </c>
      <c r="I41" s="24">
        <v>1.6268969000000001E-2</v>
      </c>
      <c r="J41" s="24">
        <v>2.8704762000000002E-2</v>
      </c>
      <c r="K41" s="24">
        <v>2.7217745999999998E-2</v>
      </c>
      <c r="L41" s="24">
        <v>1.6355872E-2</v>
      </c>
      <c r="M41" s="24">
        <v>3.3691525E-2</v>
      </c>
      <c r="N41" s="24">
        <v>2.1011232999999997E-2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x14ac:dyDescent="0.35">
      <c r="A42" s="2">
        <v>43035</v>
      </c>
      <c r="B42" s="24">
        <v>-3.2005130999999999E-2</v>
      </c>
      <c r="C42" s="24">
        <v>2.013421E-2</v>
      </c>
      <c r="D42" s="24">
        <v>-3.8009882E-3</v>
      </c>
      <c r="E42" s="24">
        <v>2.2805452E-2</v>
      </c>
      <c r="F42" s="24">
        <v>4.8833013000000002E-2</v>
      </c>
      <c r="G42" s="24">
        <v>-1.3264119999999999E-2</v>
      </c>
      <c r="H42" s="24">
        <v>2.8848648E-4</v>
      </c>
      <c r="I42" s="24">
        <v>4.7295930000000007E-2</v>
      </c>
      <c r="J42" s="24">
        <v>2.9398799999999999E-2</v>
      </c>
      <c r="K42" s="24">
        <v>2.0608425E-2</v>
      </c>
      <c r="L42" s="24">
        <v>1.2552261E-2</v>
      </c>
      <c r="M42" s="24">
        <v>0</v>
      </c>
      <c r="N42" s="24">
        <v>-1.5755593999999998E-2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x14ac:dyDescent="0.35">
      <c r="A43" s="2">
        <v>43067</v>
      </c>
      <c r="B43" s="24">
        <v>7.8825949999999992E-3</v>
      </c>
      <c r="C43" s="24">
        <v>7.0174930000000005E-3</v>
      </c>
      <c r="D43" s="24">
        <v>8.3246229999999997E-3</v>
      </c>
      <c r="E43" s="24">
        <v>1.4660953999999999E-2</v>
      </c>
      <c r="F43" s="24">
        <v>2.6532053999999999E-2</v>
      </c>
      <c r="G43" s="24">
        <v>2.7761459999999998E-2</v>
      </c>
      <c r="H43" s="24">
        <v>1.2399077000000001E-2</v>
      </c>
      <c r="I43" s="24">
        <v>3.5374164999999999E-2</v>
      </c>
      <c r="J43" s="24">
        <v>2.0022511E-2</v>
      </c>
      <c r="K43" s="24">
        <v>7.0512295000000006E-3</v>
      </c>
      <c r="L43" s="24">
        <v>7.9466104999999995E-3</v>
      </c>
      <c r="M43" s="24">
        <v>-2.1354258000000001E-2</v>
      </c>
      <c r="N43" s="24">
        <v>8.8206530000000012E-3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x14ac:dyDescent="0.35">
      <c r="A44" s="2">
        <v>43097</v>
      </c>
      <c r="B44" s="24">
        <v>5.2865386E-2</v>
      </c>
      <c r="C44" s="24">
        <v>3.4887074999999997E-2</v>
      </c>
      <c r="D44" s="24">
        <v>3.1969547000000001E-2</v>
      </c>
      <c r="E44" s="24">
        <v>4.1162967999999999E-4</v>
      </c>
      <c r="F44" s="24">
        <v>4.1823386999999997E-3</v>
      </c>
      <c r="G44" s="24">
        <v>1.0236024999999999E-2</v>
      </c>
      <c r="H44" s="24">
        <v>3.3405303999999997E-2</v>
      </c>
      <c r="I44" s="24">
        <v>2.9723644E-3</v>
      </c>
      <c r="J44" s="24">
        <v>2.4187802999999997E-2</v>
      </c>
      <c r="K44" s="24">
        <v>-1.7488002999999999E-3</v>
      </c>
      <c r="L44" s="24">
        <v>5.9764384999999995E-3</v>
      </c>
      <c r="M44" s="24">
        <v>-1.4638841E-2</v>
      </c>
      <c r="N44" s="24">
        <v>-9.9527835999999991E-4</v>
      </c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x14ac:dyDescent="0.35">
      <c r="A45" s="2">
        <v>43126</v>
      </c>
      <c r="B45" s="24">
        <v>3.0494213000000003E-2</v>
      </c>
      <c r="C45" s="24">
        <v>3.9672255999999996E-2</v>
      </c>
      <c r="D45" s="24">
        <v>2.3632646E-2</v>
      </c>
      <c r="E45" s="24">
        <v>7.2096466999999997E-2</v>
      </c>
      <c r="F45" s="24">
        <v>8.1076510000000004E-2</v>
      </c>
      <c r="G45" s="24">
        <v>6.2201022999999994E-2</v>
      </c>
      <c r="H45" s="24">
        <v>6.3746095000000003E-2</v>
      </c>
      <c r="I45" s="24">
        <v>9.0601680000000004E-2</v>
      </c>
      <c r="J45" s="24">
        <v>6.9847225999999998E-2</v>
      </c>
      <c r="K45" s="24">
        <v>7.8669666999999999E-2</v>
      </c>
      <c r="L45" s="24">
        <v>7.3140024999999997E-2</v>
      </c>
      <c r="M45" s="24">
        <v>7.4455499999999994E-2</v>
      </c>
      <c r="N45" s="24">
        <v>0.12255537</v>
      </c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x14ac:dyDescent="0.35">
      <c r="A46" s="2">
        <v>43159</v>
      </c>
      <c r="B46" s="24">
        <v>-1.5918313999999999E-2</v>
      </c>
      <c r="C46" s="24">
        <v>-5.3504824999999999E-2</v>
      </c>
      <c r="D46" s="24">
        <v>-8.3443219999999999E-2</v>
      </c>
      <c r="E46" s="24">
        <v>-8.7507070000000006E-2</v>
      </c>
      <c r="F46" s="24">
        <v>-5.5667220000000003E-2</v>
      </c>
      <c r="G46" s="24">
        <v>-7.4721869999999996E-2</v>
      </c>
      <c r="H46" s="24">
        <v>-8.4741350000000007E-2</v>
      </c>
      <c r="I46" s="24">
        <v>-2.1763206E-2</v>
      </c>
      <c r="J46" s="24">
        <v>-5.209714E-2</v>
      </c>
      <c r="K46" s="24">
        <v>-6.2259140000000004E-2</v>
      </c>
      <c r="L46" s="24">
        <v>-6.5511226999999991E-2</v>
      </c>
      <c r="M46" s="24">
        <v>-7.0939483999999997E-2</v>
      </c>
      <c r="N46" s="24">
        <v>-7.9268274E-2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x14ac:dyDescent="0.35">
      <c r="A47" s="2">
        <v>43187</v>
      </c>
      <c r="B47" s="24">
        <v>5.3919554000000005E-3</v>
      </c>
      <c r="C47" s="24">
        <v>-4.2944789999999997E-2</v>
      </c>
      <c r="D47" s="24">
        <v>-2.5548815999999998E-2</v>
      </c>
      <c r="E47" s="24">
        <v>-2.6827036999999998E-2</v>
      </c>
      <c r="F47" s="24">
        <v>-1.8830895E-2</v>
      </c>
      <c r="G47" s="24">
        <v>-1.9472956999999999E-2</v>
      </c>
      <c r="H47" s="24">
        <v>-2.0190477000000002E-3</v>
      </c>
      <c r="I47" s="24">
        <v>-5.8009443000000001E-2</v>
      </c>
      <c r="J47" s="24">
        <v>-3.9686024E-2</v>
      </c>
      <c r="K47" s="24">
        <v>-1.4859318999999999E-2</v>
      </c>
      <c r="L47" s="24">
        <v>-4.7153234000000004E-4</v>
      </c>
      <c r="M47" s="24">
        <v>-3.3018827000000001E-2</v>
      </c>
      <c r="N47" s="24">
        <v>7.5685979999999993E-3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x14ac:dyDescent="0.35">
      <c r="A48" s="2">
        <v>43217</v>
      </c>
      <c r="B48" s="24">
        <v>-1.0932326000000001E-2</v>
      </c>
      <c r="C48" s="24">
        <v>2.4725199E-2</v>
      </c>
      <c r="D48" s="24">
        <v>4.1728139999999997E-2</v>
      </c>
      <c r="E48" s="24">
        <v>3.4537434999999998E-2</v>
      </c>
      <c r="F48" s="24">
        <v>1.4352441000000001E-2</v>
      </c>
      <c r="G48" s="24">
        <v>-8.762478999999999E-4</v>
      </c>
      <c r="H48" s="24">
        <v>5.0289035000000003E-2</v>
      </c>
      <c r="I48" s="24">
        <v>3.0779003999999999E-2</v>
      </c>
      <c r="J48" s="24">
        <v>2.5901556000000003E-2</v>
      </c>
      <c r="K48" s="24">
        <v>5.1989674999999999E-2</v>
      </c>
      <c r="L48" s="24">
        <v>1.7141104000000001E-2</v>
      </c>
      <c r="M48" s="24">
        <v>2.0121931999999999E-2</v>
      </c>
      <c r="N48" s="24">
        <v>5.539906E-2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x14ac:dyDescent="0.35">
      <c r="A49" s="2">
        <v>43245</v>
      </c>
      <c r="B49" s="24">
        <v>0</v>
      </c>
      <c r="C49" s="24">
        <v>9.8302363999999993E-3</v>
      </c>
      <c r="D49" s="24">
        <v>1.9496678999999999E-2</v>
      </c>
      <c r="E49" s="24">
        <v>-1.3782561E-2</v>
      </c>
      <c r="F49" s="24">
        <v>-1.0694265000000001E-2</v>
      </c>
      <c r="G49" s="24">
        <v>-6.4308050000000004E-3</v>
      </c>
      <c r="H49" s="24">
        <v>-3.5773516000000001E-3</v>
      </c>
      <c r="I49" s="24">
        <v>4.7072649999999994E-2</v>
      </c>
      <c r="J49" s="24">
        <v>2.0970821000000001E-2</v>
      </c>
      <c r="K49" s="24">
        <v>-1.5558243000000001E-2</v>
      </c>
      <c r="L49" s="24">
        <v>-1.3296247000000001E-2</v>
      </c>
      <c r="M49" s="24">
        <v>-2.9885770000000001E-3</v>
      </c>
      <c r="N49" s="24">
        <v>-9.2230139999999988E-2</v>
      </c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x14ac:dyDescent="0.35">
      <c r="A50" s="2">
        <v>43279</v>
      </c>
      <c r="B50" s="24">
        <v>2.8284429999999999E-2</v>
      </c>
      <c r="C50" s="24">
        <v>1.459682E-2</v>
      </c>
      <c r="D50" s="24">
        <v>-1.4490187000000002E-2</v>
      </c>
      <c r="E50" s="24">
        <v>-6.0776770000000008E-2</v>
      </c>
      <c r="F50" s="24">
        <v>-2.6193023000000003E-2</v>
      </c>
      <c r="G50" s="24">
        <v>-3.1621039999999996E-2</v>
      </c>
      <c r="H50" s="24">
        <v>-2.4561942E-2</v>
      </c>
      <c r="I50" s="24">
        <v>1.0823606999999999E-2</v>
      </c>
      <c r="J50" s="24">
        <v>-1.5604496E-4</v>
      </c>
      <c r="K50" s="24">
        <v>-4.4912520000000004E-2</v>
      </c>
      <c r="L50" s="24">
        <v>-3.7878156000000003E-2</v>
      </c>
      <c r="M50" s="24">
        <v>-5.7246803999999998E-2</v>
      </c>
      <c r="N50" s="24">
        <v>-4.1162369999999997E-2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x14ac:dyDescent="0.35">
      <c r="A51" s="2">
        <v>43308</v>
      </c>
      <c r="B51" s="24">
        <v>-3.9184093E-3</v>
      </c>
      <c r="C51" s="24">
        <v>1.5562533999999999E-2</v>
      </c>
      <c r="D51" s="24">
        <v>3.2716870000000002E-2</v>
      </c>
      <c r="E51" s="24">
        <v>5.8245779999999997E-2</v>
      </c>
      <c r="F51" s="24">
        <v>2.2891640000000001E-2</v>
      </c>
      <c r="G51" s="24">
        <v>7.5054525999999996E-2</v>
      </c>
      <c r="H51" s="24">
        <v>8.1158875999999998E-3</v>
      </c>
      <c r="I51" s="24">
        <v>3.7560582000000002E-2</v>
      </c>
      <c r="J51" s="24">
        <v>3.8871883999999995E-2</v>
      </c>
      <c r="K51" s="24">
        <v>4.4054270000000006E-2</v>
      </c>
      <c r="L51" s="24">
        <v>5.0314426000000002E-2</v>
      </c>
      <c r="M51" s="24">
        <v>6.4891815000000005E-2</v>
      </c>
      <c r="N51" s="24">
        <v>2.8721570000000002E-2</v>
      </c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x14ac:dyDescent="0.35">
      <c r="A52" s="2">
        <v>43340</v>
      </c>
      <c r="B52" s="24">
        <v>1.8840551000000001E-2</v>
      </c>
      <c r="C52" s="24">
        <v>-4.8161150000000002E-3</v>
      </c>
      <c r="D52" s="24">
        <v>6.1982870000000002E-3</v>
      </c>
      <c r="E52" s="24">
        <v>-1.2159944000000001E-2</v>
      </c>
      <c r="F52" s="24">
        <v>-1.9014000999999999E-2</v>
      </c>
      <c r="G52" s="24">
        <v>9.2699529999999992E-3</v>
      </c>
      <c r="H52" s="24">
        <v>-1.9838929000000002E-2</v>
      </c>
      <c r="I52" s="24">
        <v>3.9353728000000004E-2</v>
      </c>
      <c r="J52" s="24">
        <v>3.0203938E-2</v>
      </c>
      <c r="K52" s="24">
        <v>6.3451530000000001E-3</v>
      </c>
      <c r="L52" s="24">
        <v>-7.5638293999999995E-3</v>
      </c>
      <c r="M52" s="24">
        <v>9.3746184999999997E-4</v>
      </c>
      <c r="N52" s="24">
        <v>-5.4136870000000004E-2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x14ac:dyDescent="0.35">
      <c r="A53" s="2">
        <v>43371</v>
      </c>
      <c r="B53" s="24">
        <v>-1.2395859E-2</v>
      </c>
      <c r="C53" s="24">
        <v>-2.6836693000000002E-2</v>
      </c>
      <c r="D53" s="24">
        <v>-1.5058160000000001E-2</v>
      </c>
      <c r="E53" s="24">
        <v>-3.6605180000000001E-2</v>
      </c>
      <c r="F53" s="24">
        <v>3.3104657999999995E-2</v>
      </c>
      <c r="G53" s="24">
        <v>-4.3054223000000003E-3</v>
      </c>
      <c r="H53" s="24">
        <v>8.8000300000000008E-4</v>
      </c>
      <c r="I53" s="24">
        <v>8.1964729999999993E-3</v>
      </c>
      <c r="J53" s="24">
        <v>7.3014500000000001E-3</v>
      </c>
      <c r="K53" s="24">
        <v>-1.0403514000000001E-2</v>
      </c>
      <c r="L53" s="24">
        <v>-4.1282949999999999E-2</v>
      </c>
      <c r="M53" s="24">
        <v>2.4664402000000002E-2</v>
      </c>
      <c r="N53" s="24">
        <v>-4.3196677999999995E-3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x14ac:dyDescent="0.35">
      <c r="A54" s="2">
        <v>43399</v>
      </c>
      <c r="B54" s="24">
        <v>-9.5678990000000005E-2</v>
      </c>
      <c r="C54" s="24">
        <v>-9.7649279999999991E-2</v>
      </c>
      <c r="D54" s="24">
        <v>-8.7560835000000004E-2</v>
      </c>
      <c r="E54" s="24">
        <v>-9.9529209999999993E-2</v>
      </c>
      <c r="F54" s="24">
        <v>-0.10393487999999999</v>
      </c>
      <c r="G54" s="24">
        <v>-7.0048990000000005E-2</v>
      </c>
      <c r="H54" s="24">
        <v>-8.5580230000000007E-2</v>
      </c>
      <c r="I54" s="24">
        <v>-0.10296564999999999</v>
      </c>
      <c r="J54" s="24">
        <v>-8.7334929999999991E-2</v>
      </c>
      <c r="K54" s="24">
        <v>-0.10640329</v>
      </c>
      <c r="L54" s="24">
        <v>-9.2745960000000002E-2</v>
      </c>
      <c r="M54" s="24">
        <v>-0.12827538999999999</v>
      </c>
      <c r="N54" s="24">
        <v>-9.8698435000000001E-2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x14ac:dyDescent="0.35">
      <c r="A55" s="2">
        <v>43432</v>
      </c>
      <c r="B55" s="24">
        <v>9.169506999999999E-2</v>
      </c>
      <c r="C55" s="24">
        <v>5.8116317000000001E-2</v>
      </c>
      <c r="D55" s="24">
        <v>1.2566686000000001E-2</v>
      </c>
      <c r="E55" s="24">
        <v>1.6803503000000001E-2</v>
      </c>
      <c r="F55" s="24">
        <v>2.797842E-2</v>
      </c>
      <c r="G55" s="24">
        <v>3.0688167000000002E-2</v>
      </c>
      <c r="H55" s="24">
        <v>2.4038434000000001E-2</v>
      </c>
      <c r="I55" s="24">
        <v>1.224041E-2</v>
      </c>
      <c r="J55" s="24">
        <v>3.4862280000000002E-2</v>
      </c>
      <c r="K55" s="24">
        <v>8.9126824999999996E-3</v>
      </c>
      <c r="L55" s="24">
        <v>4.8923016E-2</v>
      </c>
      <c r="M55" s="24">
        <v>2.4117350000000003E-2</v>
      </c>
      <c r="N55" s="24">
        <v>2.6875257E-2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x14ac:dyDescent="0.35">
      <c r="A56" s="2">
        <v>43462</v>
      </c>
      <c r="B56" s="24">
        <v>-2.3386716999999998E-2</v>
      </c>
      <c r="C56" s="24">
        <v>-5.3364990000000001E-2</v>
      </c>
      <c r="D56" s="24">
        <v>-8.8027949999999994E-2</v>
      </c>
      <c r="E56" s="24">
        <v>-7.344842E-2</v>
      </c>
      <c r="F56" s="24">
        <v>-7.7616453000000002E-2</v>
      </c>
      <c r="G56" s="24">
        <v>-5.6541323999999997E-2</v>
      </c>
      <c r="H56" s="24">
        <v>-6.0335692999999996E-2</v>
      </c>
      <c r="I56" s="24">
        <v>-9.0584640000000008E-2</v>
      </c>
      <c r="J56" s="24">
        <v>-9.2331939999999987E-2</v>
      </c>
      <c r="K56" s="24">
        <v>-6.5687599999999999E-2</v>
      </c>
      <c r="L56" s="24">
        <v>-8.6467379999999996E-2</v>
      </c>
      <c r="M56" s="24">
        <v>-4.9944759999999998E-2</v>
      </c>
      <c r="N56" s="24">
        <v>-4.5772790000000001E-2</v>
      </c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x14ac:dyDescent="0.35">
      <c r="A57" s="2">
        <v>43493</v>
      </c>
      <c r="B57" s="24">
        <v>5.5833099999999997E-2</v>
      </c>
      <c r="C57" s="24">
        <v>6.1298729999999996E-2</v>
      </c>
      <c r="D57" s="24">
        <v>0.1140461</v>
      </c>
      <c r="E57" s="24">
        <v>6.7380190000000006E-2</v>
      </c>
      <c r="F57" s="24">
        <v>5.4155230000000006E-2</v>
      </c>
      <c r="G57" s="24">
        <v>5.2916765000000004E-2</v>
      </c>
      <c r="H57" s="24">
        <v>4.4247865999999997E-2</v>
      </c>
      <c r="I57" s="24">
        <v>6.6287518000000004E-2</v>
      </c>
      <c r="J57" s="24">
        <v>6.4621686999999997E-2</v>
      </c>
      <c r="K57" s="24">
        <v>4.7492384999999998E-2</v>
      </c>
      <c r="L57" s="24">
        <v>7.3506950000000001E-2</v>
      </c>
      <c r="M57" s="24">
        <v>5.4277539999999999E-2</v>
      </c>
      <c r="N57" s="24">
        <v>7.2968364000000008E-2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x14ac:dyDescent="0.35">
      <c r="A58" s="2">
        <v>43524</v>
      </c>
      <c r="B58" s="24">
        <v>1.7283916E-2</v>
      </c>
      <c r="C58" s="24">
        <v>4.1605473000000004E-2</v>
      </c>
      <c r="D58" s="24">
        <v>4.8174620000000001E-2</v>
      </c>
      <c r="E58" s="24">
        <v>1.3739228000000001E-2</v>
      </c>
      <c r="F58" s="24">
        <v>1.5505313999999999E-2</v>
      </c>
      <c r="G58" s="24">
        <v>4.6624302999999999E-2</v>
      </c>
      <c r="H58" s="24">
        <v>6.1603665000000002E-2</v>
      </c>
      <c r="I58" s="24">
        <v>6.1798810000000003E-2</v>
      </c>
      <c r="J58" s="24">
        <v>5.6566476999999997E-2</v>
      </c>
      <c r="K58" s="24">
        <v>6.4562916999999997E-2</v>
      </c>
      <c r="L58" s="24">
        <v>5.7061314999999994E-2</v>
      </c>
      <c r="M58" s="24">
        <v>2.8298616000000002E-2</v>
      </c>
      <c r="N58" s="24">
        <v>4.9072623000000003E-2</v>
      </c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x14ac:dyDescent="0.35">
      <c r="A59" s="2">
        <v>43552</v>
      </c>
      <c r="B59" s="24">
        <v>4.3891669999999994E-2</v>
      </c>
      <c r="C59" s="24">
        <v>4.2293071999999999E-3</v>
      </c>
      <c r="D59" s="24">
        <v>-9.6948147000000002E-3</v>
      </c>
      <c r="E59" s="24">
        <v>-1.9047557999999999E-2</v>
      </c>
      <c r="F59" s="24">
        <v>7.1743726999999998E-3</v>
      </c>
      <c r="G59" s="24">
        <v>1.5909672E-2</v>
      </c>
      <c r="H59" s="24">
        <v>1.1360167999999999E-2</v>
      </c>
      <c r="I59" s="24">
        <v>3.1433344000000002E-2</v>
      </c>
      <c r="J59" s="24">
        <v>1.1699676999999999E-2</v>
      </c>
      <c r="K59" s="24">
        <v>-4.0886402000000002E-3</v>
      </c>
      <c r="L59" s="24">
        <v>-3.3736230000000001E-4</v>
      </c>
      <c r="M59" s="24">
        <v>1.9893646000000002E-3</v>
      </c>
      <c r="N59" s="24">
        <v>1.6206263999999998E-2</v>
      </c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x14ac:dyDescent="0.35">
      <c r="A60" s="2">
        <v>43581</v>
      </c>
      <c r="B60" s="24">
        <v>7.3629619999999998E-3</v>
      </c>
      <c r="C60" s="24">
        <v>2.6204944000000001E-2</v>
      </c>
      <c r="D60" s="24">
        <v>3.1907199999999997E-2</v>
      </c>
      <c r="E60" s="24">
        <v>6.5720677000000005E-2</v>
      </c>
      <c r="F60" s="24">
        <v>1.1872172E-2</v>
      </c>
      <c r="G60" s="24">
        <v>2.7619600000000001E-2</v>
      </c>
      <c r="H60" s="24">
        <v>1.7607807999999999E-2</v>
      </c>
      <c r="I60" s="24">
        <v>6.9205284000000006E-2</v>
      </c>
      <c r="J60" s="24">
        <v>4.524243E-2</v>
      </c>
      <c r="K60" s="24">
        <v>4.4816969999999998E-2</v>
      </c>
      <c r="L60" s="24">
        <v>4.9949408000000001E-2</v>
      </c>
      <c r="M60" s="24">
        <v>6.9159509999999993E-2</v>
      </c>
      <c r="N60" s="24">
        <v>1.2323260000000001E-2</v>
      </c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x14ac:dyDescent="0.35">
      <c r="A61" s="2">
        <v>43613</v>
      </c>
      <c r="B61" s="24">
        <v>-1.9042133999999999E-2</v>
      </c>
      <c r="C61" s="24">
        <v>-1.8240213E-3</v>
      </c>
      <c r="D61" s="24">
        <v>-2.3893118000000001E-2</v>
      </c>
      <c r="E61" s="24">
        <v>-3.7491322000000001E-2</v>
      </c>
      <c r="F61" s="24">
        <v>-3.7906170000000003E-2</v>
      </c>
      <c r="G61" s="24">
        <v>0</v>
      </c>
      <c r="H61" s="24">
        <v>-4.2959393999999998E-2</v>
      </c>
      <c r="I61" s="24">
        <v>-6.9026946999999991E-2</v>
      </c>
      <c r="J61" s="24">
        <v>-4.5192775999999997E-2</v>
      </c>
      <c r="K61" s="24">
        <v>-4.0929913999999998E-2</v>
      </c>
      <c r="L61" s="24">
        <v>-3.3751250000000003E-2</v>
      </c>
      <c r="M61" s="24">
        <v>-8.0779969999999993E-2</v>
      </c>
      <c r="N61" s="24">
        <v>-4.9051228000000002E-2</v>
      </c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x14ac:dyDescent="0.35">
      <c r="A62" s="2">
        <v>43644</v>
      </c>
      <c r="B62" s="24">
        <v>6.2490819999999996E-2</v>
      </c>
      <c r="C62" s="24">
        <v>5.0728916999999998E-2</v>
      </c>
      <c r="D62" s="24">
        <v>3.9598346E-2</v>
      </c>
      <c r="E62" s="24">
        <v>4.9099802999999997E-2</v>
      </c>
      <c r="F62" s="24">
        <v>3.3312439999999999E-2</v>
      </c>
      <c r="G62" s="24">
        <v>6.2118409999999999E-2</v>
      </c>
      <c r="H62" s="24">
        <v>3.3335805000000003E-2</v>
      </c>
      <c r="I62" s="24">
        <v>5.4439306E-2</v>
      </c>
      <c r="J62" s="24">
        <v>5.0961255999999996E-2</v>
      </c>
      <c r="K62" s="24">
        <v>7.2379230000000003E-2</v>
      </c>
      <c r="L62" s="24">
        <v>5.1196218000000002E-2</v>
      </c>
      <c r="M62" s="24">
        <v>7.1628212999999996E-2</v>
      </c>
      <c r="N62" s="24">
        <v>7.3370337000000008E-2</v>
      </c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x14ac:dyDescent="0.35">
      <c r="A63" s="2">
        <v>43672</v>
      </c>
      <c r="B63" s="24">
        <v>2.6976347000000001E-2</v>
      </c>
      <c r="C63" s="24">
        <v>6.2111616E-3</v>
      </c>
      <c r="D63" s="24">
        <v>2.7952194000000004E-3</v>
      </c>
      <c r="E63" s="24">
        <v>-1.8181741000000001E-2</v>
      </c>
      <c r="F63" s="24">
        <v>4.2140483999999999E-3</v>
      </c>
      <c r="G63" s="24">
        <v>-7.1884990000000001E-3</v>
      </c>
      <c r="H63" s="24">
        <v>-8.6633563000000011E-3</v>
      </c>
      <c r="I63" s="24">
        <v>4.5785546000000003E-2</v>
      </c>
      <c r="J63" s="24">
        <v>3.075087E-2</v>
      </c>
      <c r="K63" s="24">
        <v>-7.17777E-3</v>
      </c>
      <c r="L63" s="24">
        <v>2.2697805999999997E-2</v>
      </c>
      <c r="M63" s="24">
        <v>-2.7237356000000001E-2</v>
      </c>
      <c r="N63" s="24">
        <v>6.5336229999999997E-3</v>
      </c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x14ac:dyDescent="0.35">
      <c r="A64" s="2">
        <v>43705</v>
      </c>
      <c r="B64" s="24">
        <v>-6.5851870000000007E-2</v>
      </c>
      <c r="C64" s="24">
        <v>-6.2610207000000001E-2</v>
      </c>
      <c r="D64" s="24">
        <v>-2.9268323999999998E-2</v>
      </c>
      <c r="E64" s="24">
        <v>-5.9912919999999995E-2</v>
      </c>
      <c r="F64" s="24">
        <v>-2.6272594999999999E-2</v>
      </c>
      <c r="G64" s="24">
        <v>-8.8496210000000002E-3</v>
      </c>
      <c r="H64" s="24">
        <v>-6.4918940000000008E-2</v>
      </c>
      <c r="I64" s="24">
        <v>-5.2229999999999999E-2</v>
      </c>
      <c r="J64" s="24">
        <v>-4.3442249999999995E-2</v>
      </c>
      <c r="K64" s="24">
        <v>-4.6993135999999998E-2</v>
      </c>
      <c r="L64" s="24">
        <v>-4.6607493999999999E-2</v>
      </c>
      <c r="M64" s="24">
        <v>-7.7666639999999995E-2</v>
      </c>
      <c r="N64" s="24">
        <v>-4.3274403000000003E-2</v>
      </c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x14ac:dyDescent="0.35">
      <c r="A65" s="2">
        <v>43735</v>
      </c>
      <c r="B65" s="24">
        <v>9.1779229999999993E-3</v>
      </c>
      <c r="C65" s="24">
        <v>4.8447847000000002E-2</v>
      </c>
      <c r="D65" s="24">
        <v>3.6611557000000003E-2</v>
      </c>
      <c r="E65" s="24">
        <v>3.5921215999999999E-2</v>
      </c>
      <c r="F65" s="24">
        <v>5.8272480000000001E-2</v>
      </c>
      <c r="G65" s="24">
        <v>2.0292162999999998E-2</v>
      </c>
      <c r="H65" s="24">
        <v>4.7730326999999996E-2</v>
      </c>
      <c r="I65" s="24">
        <v>1.2519120999999999E-2</v>
      </c>
      <c r="J65" s="24">
        <v>2.7277708000000001E-2</v>
      </c>
      <c r="K65" s="24">
        <v>3.2068968000000003E-2</v>
      </c>
      <c r="L65" s="24">
        <v>3.4585952999999996E-2</v>
      </c>
      <c r="M65" s="24">
        <v>6.3606860000000001E-2</v>
      </c>
      <c r="N65" s="24">
        <v>3.0531405999999997E-2</v>
      </c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x14ac:dyDescent="0.35">
      <c r="A66" s="2">
        <v>43766</v>
      </c>
      <c r="B66" s="24">
        <v>1.3351321000000001E-2</v>
      </c>
      <c r="C66" s="24">
        <v>2.2880197000000001E-2</v>
      </c>
      <c r="D66" s="24">
        <v>6.9248680000000003E-4</v>
      </c>
      <c r="E66" s="24">
        <v>6.5995574000000001E-2</v>
      </c>
      <c r="F66" s="24">
        <v>3.1515597999999999E-2</v>
      </c>
      <c r="G66" s="24">
        <v>1.1668085999999999E-2</v>
      </c>
      <c r="H66" s="24">
        <v>3.8547277000000005E-2</v>
      </c>
      <c r="I66" s="24">
        <v>5.6354639999999998E-2</v>
      </c>
      <c r="J66" s="24">
        <v>2.6743412000000001E-2</v>
      </c>
      <c r="K66" s="24">
        <v>3.7754774000000005E-2</v>
      </c>
      <c r="L66" s="24">
        <v>2.9251098999999999E-2</v>
      </c>
      <c r="M66" s="24">
        <v>7.7132224999999999E-2</v>
      </c>
      <c r="N66" s="24">
        <v>4.8280953999999994E-2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x14ac:dyDescent="0.35">
      <c r="A67" s="2">
        <v>43796</v>
      </c>
      <c r="B67" s="24">
        <v>4.8119186999999994E-2</v>
      </c>
      <c r="C67" s="24">
        <v>7.4561834E-3</v>
      </c>
      <c r="D67" s="24">
        <v>2.6297570000000003E-2</v>
      </c>
      <c r="E67" s="24">
        <v>1.7138838999999999E-2</v>
      </c>
      <c r="F67" s="24">
        <v>2.9866100000000003E-2</v>
      </c>
      <c r="G67" s="24">
        <v>2.4901627999999999E-2</v>
      </c>
      <c r="H67" s="24">
        <v>1.8098116000000001E-2</v>
      </c>
      <c r="I67" s="24">
        <v>4.2870760000000001E-2</v>
      </c>
      <c r="J67" s="24">
        <v>4.0158389999999995E-2</v>
      </c>
      <c r="K67" s="24">
        <v>2.4146795000000002E-2</v>
      </c>
      <c r="L67" s="24">
        <v>2.1548986000000003E-2</v>
      </c>
      <c r="M67" s="24">
        <v>7.5709820000000004E-3</v>
      </c>
      <c r="N67" s="24">
        <v>1.7445921999999999E-2</v>
      </c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x14ac:dyDescent="0.35">
      <c r="A68" s="2">
        <v>43826</v>
      </c>
      <c r="B68" s="24">
        <v>7.8433156000000004E-2</v>
      </c>
      <c r="C68" s="24">
        <v>1.022315E-2</v>
      </c>
      <c r="D68" s="24">
        <v>1.8473386999999997E-2</v>
      </c>
      <c r="E68" s="24">
        <v>1.6506194999999998E-2</v>
      </c>
      <c r="F68" s="24">
        <v>4.7926903000000002E-3</v>
      </c>
      <c r="G68" s="24">
        <v>4.2199492000000005E-2</v>
      </c>
      <c r="H68" s="24">
        <v>4.1727066E-2</v>
      </c>
      <c r="I68" s="24">
        <v>3.8980484000000003E-2</v>
      </c>
      <c r="J68" s="24">
        <v>2.8402327999999998E-2</v>
      </c>
      <c r="K68" s="24">
        <v>2.9222608000000001E-2</v>
      </c>
      <c r="L68" s="24">
        <v>3.8489342000000003E-2</v>
      </c>
      <c r="M68" s="24">
        <v>5.8501839999999999E-2</v>
      </c>
      <c r="N68" s="24">
        <v>2.2847295E-2</v>
      </c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x14ac:dyDescent="0.35">
      <c r="A69" s="2">
        <v>43858</v>
      </c>
      <c r="B69" s="24">
        <v>-9.4892980000000002E-3</v>
      </c>
      <c r="C69" s="24">
        <v>8.3516835999999997E-3</v>
      </c>
      <c r="D69" s="24">
        <v>1.5095592E-2</v>
      </c>
      <c r="E69" s="24">
        <v>-1.2516856E-2</v>
      </c>
      <c r="F69" s="24">
        <v>-1.0070503E-2</v>
      </c>
      <c r="G69" s="24">
        <v>1.0061383E-2</v>
      </c>
      <c r="H69" s="24">
        <v>-2.3543238999999997E-2</v>
      </c>
      <c r="I69" s="24">
        <v>3.6702393999999999E-2</v>
      </c>
      <c r="J69" s="24">
        <v>1.2482284999999999E-2</v>
      </c>
      <c r="K69" s="24">
        <v>-2.5099396999999999E-2</v>
      </c>
      <c r="L69" s="24">
        <v>-1.9509434999999999E-2</v>
      </c>
      <c r="M69" s="24">
        <v>-2.8751075000000001E-2</v>
      </c>
      <c r="N69" s="24">
        <v>-2.7008652999999999E-3</v>
      </c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x14ac:dyDescent="0.35">
      <c r="A70" s="2">
        <v>43889</v>
      </c>
      <c r="B70" s="24">
        <v>-7.9080342999999997E-2</v>
      </c>
      <c r="C70" s="24">
        <v>-0.12292939</v>
      </c>
      <c r="D70" s="24">
        <v>-8.8235320000000006E-2</v>
      </c>
      <c r="E70" s="24">
        <v>-0.10174721999999999</v>
      </c>
      <c r="F70" s="24">
        <v>-0.10206848</v>
      </c>
      <c r="G70" s="24">
        <v>-7.9688969999999998E-2</v>
      </c>
      <c r="H70" s="24">
        <v>-0.11693793</v>
      </c>
      <c r="I70" s="24">
        <v>-7.0670547E-2</v>
      </c>
      <c r="J70" s="24">
        <v>-9.370125E-2</v>
      </c>
      <c r="K70" s="24">
        <v>-9.1679750000000004E-2</v>
      </c>
      <c r="L70" s="24">
        <v>-8.2303230000000005E-2</v>
      </c>
      <c r="M70" s="24">
        <v>-6.3213110000000003E-2</v>
      </c>
      <c r="N70" s="24">
        <v>-7.7860594000000005E-2</v>
      </c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x14ac:dyDescent="0.35">
      <c r="A71" s="2">
        <v>43917</v>
      </c>
      <c r="B71" s="24">
        <v>-0.18142986</v>
      </c>
      <c r="C71" s="24">
        <v>-0.27932410999999996</v>
      </c>
      <c r="D71" s="24">
        <v>-0.25117795999999998</v>
      </c>
      <c r="E71" s="24">
        <v>-0.19450796000000001</v>
      </c>
      <c r="F71" s="24">
        <v>-5.2492437000000003E-2</v>
      </c>
      <c r="G71" s="24">
        <v>-8.1573370000000006E-2</v>
      </c>
      <c r="H71" s="24">
        <v>-0.20307165000000002</v>
      </c>
      <c r="I71" s="24">
        <v>-9.7695465000000009E-2</v>
      </c>
      <c r="J71" s="24">
        <v>-0.13934791999999999</v>
      </c>
      <c r="K71" s="24">
        <v>-0.18285519</v>
      </c>
      <c r="L71" s="24">
        <v>-0.1576873</v>
      </c>
      <c r="M71" s="24">
        <v>-0.18926924000000001</v>
      </c>
      <c r="N71" s="24">
        <v>-0.23861969</v>
      </c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x14ac:dyDescent="0.35">
      <c r="A72" s="2">
        <v>43949</v>
      </c>
      <c r="B72" s="24">
        <v>0.15355682000000001</v>
      </c>
      <c r="C72" s="24">
        <v>0.14551723499999999</v>
      </c>
      <c r="D72" s="24">
        <v>0.16747343000000001</v>
      </c>
      <c r="E72" s="24">
        <v>8.9962119999999993E-2</v>
      </c>
      <c r="F72" s="24">
        <v>4.3045043999999998E-2</v>
      </c>
      <c r="G72" s="24">
        <v>7.3871850000000003E-2</v>
      </c>
      <c r="H72" s="24">
        <v>7.6659439999999995E-2</v>
      </c>
      <c r="I72" s="24">
        <v>0.14139235</v>
      </c>
      <c r="J72" s="24">
        <v>0.12749588000000001</v>
      </c>
      <c r="K72" s="24">
        <v>2.0304679999999999E-2</v>
      </c>
      <c r="L72" s="24">
        <v>9.2433689999999999E-2</v>
      </c>
      <c r="M72" s="24">
        <v>0.10475027000000001</v>
      </c>
      <c r="N72" s="24">
        <v>-4.8214196999999998E-4</v>
      </c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x14ac:dyDescent="0.35">
      <c r="A73" s="2">
        <v>43979</v>
      </c>
      <c r="B73" s="24">
        <v>1.9562006E-2</v>
      </c>
      <c r="C73" s="24">
        <v>0.11318481</v>
      </c>
      <c r="D73" s="24">
        <v>5.2238702999999997E-2</v>
      </c>
      <c r="E73" s="24">
        <v>0.1181581</v>
      </c>
      <c r="F73" s="24">
        <v>6.7634699999999992E-2</v>
      </c>
      <c r="G73" s="24">
        <v>1.980722E-2</v>
      </c>
      <c r="H73" s="24">
        <v>3.5401820000000001E-2</v>
      </c>
      <c r="I73" s="24">
        <v>8.7423210000000001E-2</v>
      </c>
      <c r="J73" s="24">
        <v>6.0336590000000002E-2</v>
      </c>
      <c r="K73" s="24">
        <v>7.3797583999999999E-2</v>
      </c>
      <c r="L73" s="24">
        <v>8.5326669999999993E-2</v>
      </c>
      <c r="M73" s="24">
        <v>0.10584343</v>
      </c>
      <c r="N73" s="24">
        <v>7.9594730000000002E-2</v>
      </c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x14ac:dyDescent="0.35">
      <c r="A74" s="2">
        <v>44008</v>
      </c>
      <c r="B74" s="24">
        <v>5.9199333E-2</v>
      </c>
      <c r="C74" s="24">
        <v>3.1290412000000004E-2</v>
      </c>
      <c r="D74" s="24">
        <v>5.1426887999999997E-4</v>
      </c>
      <c r="E74" s="24">
        <v>4.3010472999999994E-2</v>
      </c>
      <c r="F74" s="24">
        <v>6.2131879999999999E-4</v>
      </c>
      <c r="G74" s="24">
        <v>3.2798052000000001E-2</v>
      </c>
      <c r="H74" s="24">
        <v>-6.291568E-3</v>
      </c>
      <c r="I74" s="24">
        <v>4.6276092999999997E-2</v>
      </c>
      <c r="J74" s="24">
        <v>-5.2539705999999995E-3</v>
      </c>
      <c r="K74" s="24">
        <v>4.7727585000000003E-2</v>
      </c>
      <c r="L74" s="24">
        <v>7.1197510000000006E-2</v>
      </c>
      <c r="M74" s="24">
        <v>2.8147817000000002E-2</v>
      </c>
      <c r="N74" s="24">
        <v>6.7351219999999989E-2</v>
      </c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x14ac:dyDescent="0.35">
      <c r="A75" s="2">
        <v>44040</v>
      </c>
      <c r="B75" s="24">
        <v>8.5901019999999995E-2</v>
      </c>
      <c r="C75" s="24">
        <v>7.2378873999999996E-2</v>
      </c>
      <c r="D75" s="24">
        <v>8.3930019999999994E-2</v>
      </c>
      <c r="E75" s="24">
        <v>9.8231079999999998E-2</v>
      </c>
      <c r="F75" s="24">
        <v>2.0191073E-2</v>
      </c>
      <c r="G75" s="24">
        <v>6.6632150000000001E-2</v>
      </c>
      <c r="H75" s="24">
        <v>3.9638996000000003E-2</v>
      </c>
      <c r="I75" s="24">
        <v>6.9061636999999995E-2</v>
      </c>
      <c r="J75" s="24">
        <v>7.0388317000000006E-2</v>
      </c>
      <c r="K75" s="24">
        <v>5.9347153E-2</v>
      </c>
      <c r="L75" s="24">
        <v>7.5378537000000009E-2</v>
      </c>
      <c r="M75" s="24">
        <v>0.12094677000000001</v>
      </c>
      <c r="N75" s="24">
        <v>8.4179400000000001E-2</v>
      </c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x14ac:dyDescent="0.35">
      <c r="A76" s="2">
        <v>44071</v>
      </c>
      <c r="B76" s="24">
        <v>5.0128937000000005E-2</v>
      </c>
      <c r="C76" s="24">
        <v>3.7220836E-2</v>
      </c>
      <c r="D76" s="24">
        <v>6.1651350000000001E-2</v>
      </c>
      <c r="E76" s="24">
        <v>3.7354350000000001E-2</v>
      </c>
      <c r="F76" s="24">
        <v>2.6683091999999999E-2</v>
      </c>
      <c r="G76" s="24">
        <v>1.3801455000000001E-2</v>
      </c>
      <c r="H76" s="24">
        <v>1.6232610000000001E-2</v>
      </c>
      <c r="I76" s="24">
        <v>0.13909113000000001</v>
      </c>
      <c r="J76" s="24">
        <v>9.1571330000000006E-2</v>
      </c>
      <c r="K76" s="24">
        <v>3.6064506000000003E-2</v>
      </c>
      <c r="L76" s="24">
        <v>3.0450940000000003E-2</v>
      </c>
      <c r="M76" s="24">
        <v>4.1365385000000005E-2</v>
      </c>
      <c r="N76" s="24">
        <v>1.4436245E-2</v>
      </c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x14ac:dyDescent="0.35">
      <c r="A77" s="2">
        <v>44102</v>
      </c>
      <c r="B77" s="24">
        <v>-4.9373627000000003E-2</v>
      </c>
      <c r="C77" s="24">
        <v>-4.0191410000000004E-2</v>
      </c>
      <c r="D77" s="24">
        <v>-4.7010063999999997E-2</v>
      </c>
      <c r="E77" s="24">
        <v>-3.3035993999999999E-2</v>
      </c>
      <c r="F77" s="24">
        <v>2.5473355999999999E-2</v>
      </c>
      <c r="G77" s="24">
        <v>-1.4091253E-2</v>
      </c>
      <c r="H77" s="24">
        <v>-4.5319440000000002E-2</v>
      </c>
      <c r="I77" s="24">
        <v>-5.1029563E-2</v>
      </c>
      <c r="J77" s="24">
        <v>-4.2890189999999995E-2</v>
      </c>
      <c r="K77" s="24">
        <v>-5.4072323000000005E-2</v>
      </c>
      <c r="L77" s="24">
        <v>-2.9551090000000002E-2</v>
      </c>
      <c r="M77" s="24">
        <v>-1.9722223000000001E-2</v>
      </c>
      <c r="N77" s="24">
        <v>-5.5769260000000001E-2</v>
      </c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x14ac:dyDescent="0.35">
      <c r="A78" s="2">
        <v>44132</v>
      </c>
      <c r="B78" s="24">
        <v>3.6520243000000001E-2</v>
      </c>
      <c r="C78" s="24">
        <v>-1.3958037000000001E-2</v>
      </c>
      <c r="D78" s="24">
        <v>-3.8810312999999999E-2</v>
      </c>
      <c r="E78" s="24">
        <v>-9.8735920000000005E-2</v>
      </c>
      <c r="F78" s="24">
        <v>-2.4169206999999998E-2</v>
      </c>
      <c r="G78" s="24">
        <v>-5.1841080000000005E-2</v>
      </c>
      <c r="H78" s="24">
        <v>-5.9922219999999998E-2</v>
      </c>
      <c r="I78" s="24">
        <v>-2.0057738000000002E-2</v>
      </c>
      <c r="J78" s="24">
        <v>-2.2532104999999997E-2</v>
      </c>
      <c r="K78" s="24">
        <v>-5.2518725000000002E-2</v>
      </c>
      <c r="L78" s="24">
        <v>-1.9247413000000001E-2</v>
      </c>
      <c r="M78" s="24">
        <v>-3.7971080000000004E-2</v>
      </c>
      <c r="N78" s="24">
        <v>-6.7617120000000003E-2</v>
      </c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x14ac:dyDescent="0.35">
      <c r="A79" s="2">
        <v>44162</v>
      </c>
      <c r="B79" s="24">
        <v>9.8387829999999996E-2</v>
      </c>
      <c r="C79" s="24">
        <v>0.17795742000000001</v>
      </c>
      <c r="D79" s="24">
        <v>0.15094339000000001</v>
      </c>
      <c r="E79" s="24">
        <v>0.16489768999999999</v>
      </c>
      <c r="F79" s="24">
        <v>0.13914692000000001</v>
      </c>
      <c r="G79" s="24">
        <v>0.10040879</v>
      </c>
      <c r="H79" s="24">
        <v>0.19784773</v>
      </c>
      <c r="I79" s="24">
        <v>0.10075831</v>
      </c>
      <c r="J79" s="24">
        <v>0.11329829999999999</v>
      </c>
      <c r="K79" s="24">
        <v>0.25</v>
      </c>
      <c r="L79" s="24">
        <v>0.15289986</v>
      </c>
      <c r="M79" s="24">
        <v>0.17466867</v>
      </c>
      <c r="N79" s="24">
        <v>0.27304506000000001</v>
      </c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x14ac:dyDescent="0.35">
      <c r="A80" s="2">
        <v>44193</v>
      </c>
      <c r="B80" s="24">
        <v>3.2976390000000001E-2</v>
      </c>
      <c r="C80" s="24">
        <v>4.0948032999999995E-2</v>
      </c>
      <c r="D80" s="24">
        <v>2.4134397999999998E-2</v>
      </c>
      <c r="E80" s="24">
        <v>6.1037419999999995E-2</v>
      </c>
      <c r="F80" s="24">
        <v>7.8594684999999994E-3</v>
      </c>
      <c r="G80" s="24">
        <v>3.188324E-2</v>
      </c>
      <c r="H80" s="24">
        <v>2.7185081999999999E-2</v>
      </c>
      <c r="I80" s="24">
        <v>4.7617554999999999E-2</v>
      </c>
      <c r="J80" s="24">
        <v>2.7752638E-2</v>
      </c>
      <c r="K80" s="24">
        <v>1.7076015E-2</v>
      </c>
      <c r="L80" s="24">
        <v>5.7052373999999996E-2</v>
      </c>
      <c r="M80" s="24">
        <v>1.0010242000000001E-2</v>
      </c>
      <c r="N80" s="24">
        <v>2.6943803000000002E-2</v>
      </c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x14ac:dyDescent="0.35">
      <c r="A81" s="2">
        <v>44224</v>
      </c>
      <c r="B81" s="24">
        <v>1.5557885E-2</v>
      </c>
      <c r="C81" s="24">
        <v>1.7879486E-2</v>
      </c>
      <c r="D81" s="24">
        <v>9.4002484999999997E-3</v>
      </c>
      <c r="E81" s="24">
        <v>-9.6273420000000005E-3</v>
      </c>
      <c r="F81" s="24">
        <v>2.932775E-2</v>
      </c>
      <c r="G81" s="24">
        <v>1.8235087000000001E-2</v>
      </c>
      <c r="H81" s="24">
        <v>2.0074844000000001E-2</v>
      </c>
      <c r="I81" s="24">
        <v>2.7632116999999998E-2</v>
      </c>
      <c r="J81" s="24">
        <v>1.467073E-2</v>
      </c>
      <c r="K81" s="24">
        <v>-1.5201151E-2</v>
      </c>
      <c r="L81" s="24">
        <v>3.9064407000000002E-2</v>
      </c>
      <c r="M81" s="24">
        <v>3.5017489999999998E-2</v>
      </c>
      <c r="N81" s="24">
        <v>-2.5943398000000003E-2</v>
      </c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x14ac:dyDescent="0.35">
      <c r="A82" s="2">
        <v>44253</v>
      </c>
      <c r="B82" s="24">
        <v>-8.7686059999999996E-2</v>
      </c>
      <c r="C82" s="24">
        <v>1.2254714999999998E-3</v>
      </c>
      <c r="D82" s="24">
        <v>3.3076406000000003E-2</v>
      </c>
      <c r="E82" s="24">
        <v>3.7629603999999998E-3</v>
      </c>
      <c r="F82" s="24">
        <v>-3.2145380000000003E-3</v>
      </c>
      <c r="G82" s="24">
        <v>-4.4218420000000001E-2</v>
      </c>
      <c r="H82" s="24">
        <v>1.3008713999999999E-2</v>
      </c>
      <c r="I82" s="24">
        <v>-2.2345304E-2</v>
      </c>
      <c r="J82" s="24">
        <v>7.2292089999999995E-3</v>
      </c>
      <c r="K82" s="24">
        <v>2.5120974000000001E-2</v>
      </c>
      <c r="L82" s="24">
        <v>2.1582723000000002E-2</v>
      </c>
      <c r="M82" s="24">
        <v>1.5466451999999999E-2</v>
      </c>
      <c r="N82" s="24">
        <v>3.493607E-2</v>
      </c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x14ac:dyDescent="0.35">
      <c r="A83" s="2">
        <v>44281</v>
      </c>
      <c r="B83" s="24">
        <v>-1.039499E-2</v>
      </c>
      <c r="C83" s="24">
        <v>2.2031784000000002E-2</v>
      </c>
      <c r="D83" s="24">
        <v>6.0615540000000002E-2</v>
      </c>
      <c r="E83" s="24">
        <v>3.7488341000000001E-2</v>
      </c>
      <c r="F83" s="24">
        <v>2.7704477000000002E-2</v>
      </c>
      <c r="G83" s="24">
        <v>3.5854696999999998E-2</v>
      </c>
      <c r="H83" s="24">
        <v>3.9183378000000005E-2</v>
      </c>
      <c r="I83" s="24">
        <v>7.1669817E-3</v>
      </c>
      <c r="J83" s="24">
        <v>4.4481992999999997E-2</v>
      </c>
      <c r="K83" s="24">
        <v>2.8638960000000001E-2</v>
      </c>
      <c r="L83" s="24">
        <v>5.2703260000000002E-2</v>
      </c>
      <c r="M83" s="24">
        <v>7.5202226999999996E-2</v>
      </c>
      <c r="N83" s="24">
        <v>5.0802110000000004E-2</v>
      </c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x14ac:dyDescent="0.35">
      <c r="A84" s="2">
        <v>44314</v>
      </c>
      <c r="B84" s="24">
        <v>5.1874520000000007E-2</v>
      </c>
      <c r="C84" s="24">
        <v>5.6287409999999996E-2</v>
      </c>
      <c r="D84" s="24">
        <v>5.5978893999999994E-2</v>
      </c>
      <c r="E84" s="24">
        <v>6.2932849999999999E-2</v>
      </c>
      <c r="F84" s="24">
        <v>-3.0380785E-2</v>
      </c>
      <c r="G84" s="24">
        <v>4.3099640000000002E-2</v>
      </c>
      <c r="H84" s="24">
        <v>3.9290189999999996E-2</v>
      </c>
      <c r="I84" s="24">
        <v>7.2784779999999993E-2</v>
      </c>
      <c r="J84" s="24">
        <v>5.4093600000000006E-2</v>
      </c>
      <c r="K84" s="24">
        <v>7.7497125E-2</v>
      </c>
      <c r="L84" s="24">
        <v>5.8264969999999999E-2</v>
      </c>
      <c r="M84" s="24">
        <v>5.4227589999999999E-2</v>
      </c>
      <c r="N84" s="24">
        <v>2.7035594E-2</v>
      </c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x14ac:dyDescent="0.35">
      <c r="A85" s="2">
        <v>44344</v>
      </c>
      <c r="B85" s="24">
        <v>-5.3233920000000004E-2</v>
      </c>
      <c r="C85" s="24">
        <v>1.0582089999999999E-2</v>
      </c>
      <c r="D85" s="24">
        <v>5.1068543999999993E-2</v>
      </c>
      <c r="E85" s="24">
        <v>1.3597726999999999E-2</v>
      </c>
      <c r="F85" s="24">
        <v>8.8261365999999994E-3</v>
      </c>
      <c r="G85" s="24">
        <v>4.3245554000000005E-2</v>
      </c>
      <c r="H85" s="24">
        <v>3.0182958000000003E-2</v>
      </c>
      <c r="I85" s="24">
        <v>-1.4955758999999999E-2</v>
      </c>
      <c r="J85" s="24">
        <v>6.3248870000000004E-3</v>
      </c>
      <c r="K85" s="24">
        <v>3.8359046000000001E-2</v>
      </c>
      <c r="L85" s="24">
        <v>9.3801019999999995E-3</v>
      </c>
      <c r="M85" s="24">
        <v>1.7635942000000002E-2</v>
      </c>
      <c r="N85" s="24">
        <v>3.7782549999999998E-2</v>
      </c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x14ac:dyDescent="0.35">
      <c r="A86" s="2">
        <v>44375</v>
      </c>
      <c r="B86" s="24">
        <v>1.1086463999999999E-3</v>
      </c>
      <c r="C86" s="24">
        <v>-7.6755879999999997E-3</v>
      </c>
      <c r="D86" s="24">
        <v>-5.8006643999999998E-3</v>
      </c>
      <c r="E86" s="24">
        <v>-8.8741779999999999E-3</v>
      </c>
      <c r="F86" s="24">
        <v>8.771419499999999E-4</v>
      </c>
      <c r="G86" s="24">
        <v>2.6804686000000001E-2</v>
      </c>
      <c r="H86" s="24">
        <v>-1.1392236E-2</v>
      </c>
      <c r="I86" s="24">
        <v>6.045437E-2</v>
      </c>
      <c r="J86" s="24">
        <v>2.1063328000000003E-2</v>
      </c>
      <c r="K86" s="24">
        <v>-7.2475669999999999E-3</v>
      </c>
      <c r="L86" s="24">
        <v>-8.629322E-3</v>
      </c>
      <c r="M86" s="24">
        <v>-2.0625471999999999E-2</v>
      </c>
      <c r="N86" s="24">
        <v>-1.2575924E-2</v>
      </c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x14ac:dyDescent="0.35">
      <c r="A87" s="2">
        <v>44405</v>
      </c>
      <c r="B87" s="24">
        <v>-9.6499919999999996E-3</v>
      </c>
      <c r="C87" s="24">
        <v>-1.4138341E-2</v>
      </c>
      <c r="D87" s="24">
        <v>-9.6204280000000003E-3</v>
      </c>
      <c r="E87" s="24">
        <v>-9.1769099999999999E-3</v>
      </c>
      <c r="F87" s="24">
        <v>-7.6313019999999995E-3</v>
      </c>
      <c r="G87" s="24">
        <v>1.2823105E-2</v>
      </c>
      <c r="H87" s="24">
        <v>-5.1749944999999993E-3</v>
      </c>
      <c r="I87" s="24">
        <v>3.4265400000000001E-2</v>
      </c>
      <c r="J87" s="24">
        <v>2.6574970000000003E-2</v>
      </c>
      <c r="K87" s="24">
        <v>-2.8743148E-3</v>
      </c>
      <c r="L87" s="24">
        <v>1.7641067999999999E-2</v>
      </c>
      <c r="M87" s="24">
        <v>4.2681574999999999E-2</v>
      </c>
      <c r="N87" s="24">
        <v>-9.4829200000000006E-3</v>
      </c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x14ac:dyDescent="0.35">
      <c r="A88" s="2">
        <v>44435</v>
      </c>
      <c r="B88" s="24">
        <v>3.7819982000000002E-2</v>
      </c>
      <c r="C88" s="24">
        <v>8.1396100000000002E-3</v>
      </c>
      <c r="D88" s="24">
        <v>1.3491629999999999E-2</v>
      </c>
      <c r="E88" s="24">
        <v>1.3603568E-2</v>
      </c>
      <c r="F88" s="24">
        <v>7.5420140000000005E-3</v>
      </c>
      <c r="G88" s="24">
        <v>2.8135061000000003E-2</v>
      </c>
      <c r="H88" s="24">
        <v>1.5911937000000001E-2</v>
      </c>
      <c r="I88" s="24">
        <v>2.7909160000000002E-2</v>
      </c>
      <c r="J88" s="24">
        <v>2.6023746E-2</v>
      </c>
      <c r="K88" s="24">
        <v>9.4339850000000006E-3</v>
      </c>
      <c r="L88" s="24">
        <v>5.9060693000000004E-2</v>
      </c>
      <c r="M88" s="24">
        <v>-3.7212968000000001E-3</v>
      </c>
      <c r="N88" s="24">
        <v>1.7294525999999998E-2</v>
      </c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x14ac:dyDescent="0.35">
      <c r="A89" s="2">
        <v>44467</v>
      </c>
      <c r="B89" s="24">
        <v>-1.6231716E-2</v>
      </c>
      <c r="C89" s="24">
        <v>-4.9211859999999996E-2</v>
      </c>
      <c r="D89" s="24">
        <v>-2.8221547999999999E-2</v>
      </c>
      <c r="E89" s="24">
        <v>-4.8829200000000003E-2</v>
      </c>
      <c r="F89" s="24">
        <v>4.2565702999999996E-2</v>
      </c>
      <c r="G89" s="24">
        <v>-8.8741249999999994E-2</v>
      </c>
      <c r="H89" s="24">
        <v>-3.1927763999999997E-2</v>
      </c>
      <c r="I89" s="24">
        <v>-4.1917619999999996E-2</v>
      </c>
      <c r="J89" s="24">
        <v>-3.3596336999999997E-2</v>
      </c>
      <c r="K89" s="24">
        <v>-2.2845328000000002E-2</v>
      </c>
      <c r="L89" s="24">
        <v>-4.4156846999999999E-2</v>
      </c>
      <c r="M89" s="24">
        <v>-6.3913640000000008E-2</v>
      </c>
      <c r="N89" s="24">
        <v>-2.9143870000000002E-2</v>
      </c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x14ac:dyDescent="0.35">
      <c r="A90" s="2">
        <v>44497</v>
      </c>
      <c r="B90" s="24">
        <v>2.84698E-2</v>
      </c>
      <c r="C90" s="24">
        <v>8.5725899999999994E-2</v>
      </c>
      <c r="D90" s="24">
        <v>8.4931490000000012E-2</v>
      </c>
      <c r="E90" s="24">
        <v>2.3116230000000001E-2</v>
      </c>
      <c r="F90" s="24">
        <v>-3.5618721999999998E-2</v>
      </c>
      <c r="G90" s="24">
        <v>7.3573589999999994E-2</v>
      </c>
      <c r="H90" s="24">
        <v>5.6938410000000002E-2</v>
      </c>
      <c r="I90" s="24">
        <v>6.7663310000000004E-2</v>
      </c>
      <c r="J90" s="24">
        <v>5.6718590000000006E-2</v>
      </c>
      <c r="K90" s="24">
        <v>4.7821402999999998E-2</v>
      </c>
      <c r="L90" s="24">
        <v>4.6395780000000005E-2</v>
      </c>
      <c r="M90" s="24">
        <v>7.3376179999999999E-2</v>
      </c>
      <c r="N90" s="24">
        <v>5.284548E-2</v>
      </c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x14ac:dyDescent="0.35">
      <c r="A91" s="2">
        <v>44526</v>
      </c>
      <c r="B91" s="24">
        <v>-8.7732019999999994E-2</v>
      </c>
      <c r="C91" s="24">
        <v>-8.5288639999999999E-2</v>
      </c>
      <c r="D91" s="24">
        <v>-3.5606086000000002E-2</v>
      </c>
      <c r="E91" s="24">
        <v>-6.1913194999999997E-2</v>
      </c>
      <c r="F91" s="24">
        <v>-2.248174E-2</v>
      </c>
      <c r="G91" s="24">
        <v>-1.4385581000000001E-2</v>
      </c>
      <c r="H91" s="24">
        <v>-5.5637302E-2</v>
      </c>
      <c r="I91" s="24">
        <v>1.8166661000000001E-2</v>
      </c>
      <c r="J91" s="24">
        <v>1.4182328999999998E-3</v>
      </c>
      <c r="K91" s="24">
        <v>-4.3864070000000005E-2</v>
      </c>
      <c r="L91" s="24">
        <v>-5.9942840000000004E-2</v>
      </c>
      <c r="M91" s="24">
        <v>-7.9512596000000005E-2</v>
      </c>
      <c r="N91" s="24">
        <v>-6.0588063999999997E-2</v>
      </c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x14ac:dyDescent="0.35">
      <c r="A92" s="2">
        <v>44558</v>
      </c>
      <c r="B92" s="24">
        <v>2.4558901999999997E-2</v>
      </c>
      <c r="C92" s="24">
        <v>5.0019383000000001E-2</v>
      </c>
      <c r="D92" s="24">
        <v>1.4270306E-2</v>
      </c>
      <c r="E92" s="24">
        <v>3.8363575999999996E-2</v>
      </c>
      <c r="F92" s="24">
        <v>2.0238519E-2</v>
      </c>
      <c r="G92" s="24">
        <v>7.4194193000000006E-2</v>
      </c>
      <c r="H92" s="24">
        <v>6.5324663999999991E-2</v>
      </c>
      <c r="I92" s="24">
        <v>2.7935623999999999E-2</v>
      </c>
      <c r="J92" s="24">
        <v>4.2697550000000001E-2</v>
      </c>
      <c r="K92" s="24">
        <v>5.8458209999999997E-2</v>
      </c>
      <c r="L92" s="24">
        <v>1.814878E-2</v>
      </c>
      <c r="M92" s="24">
        <v>7.6712009999999997E-2</v>
      </c>
      <c r="N92" s="24">
        <v>5.5283189999999996E-2</v>
      </c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x14ac:dyDescent="0.35">
      <c r="A93" s="2">
        <v>44589</v>
      </c>
      <c r="B93" s="24">
        <v>-0.12010932000000001</v>
      </c>
      <c r="C93" s="24">
        <v>-9.2906530000000001E-2</v>
      </c>
      <c r="D93" s="24">
        <v>-2.4058639999999999E-2</v>
      </c>
      <c r="E93" s="24">
        <v>-4.3502390000000002E-2</v>
      </c>
      <c r="F93" s="24">
        <v>-6.926727299999999E-2</v>
      </c>
      <c r="G93" s="24">
        <v>-8.1336140000000001E-2</v>
      </c>
      <c r="H93" s="24">
        <v>1.4431833999999999E-2</v>
      </c>
      <c r="I93" s="24">
        <v>-0.12402582000000001</v>
      </c>
      <c r="J93" s="24">
        <v>-7.3227463000000007E-2</v>
      </c>
      <c r="K93" s="24">
        <v>-3.5787819999999998E-2</v>
      </c>
      <c r="L93" s="24">
        <v>-0.10037917</v>
      </c>
      <c r="M93" s="24">
        <v>-0.11383283999999999</v>
      </c>
      <c r="N93" s="24">
        <v>-2.9474317999999999E-2</v>
      </c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x14ac:dyDescent="0.35">
      <c r="A94" s="2">
        <v>44620</v>
      </c>
      <c r="B94" s="24">
        <v>5.6310653999999995E-2</v>
      </c>
      <c r="C94" s="24">
        <v>6.557368999999999E-2</v>
      </c>
      <c r="D94" s="24">
        <v>2.41158E-2</v>
      </c>
      <c r="E94" s="24">
        <v>-7.623887E-2</v>
      </c>
      <c r="F94" s="24">
        <v>3.0279159999999999E-3</v>
      </c>
      <c r="G94" s="24">
        <v>-1.5201329999999999E-2</v>
      </c>
      <c r="H94" s="24">
        <v>-7.4096320000000002E-3</v>
      </c>
      <c r="I94" s="24">
        <v>-1.4212608E-2</v>
      </c>
      <c r="J94" s="24">
        <v>-1.2037575E-2</v>
      </c>
      <c r="K94" s="24">
        <v>-5.6608796000000003E-2</v>
      </c>
      <c r="L94" s="24">
        <v>-4.9911260000000006E-2</v>
      </c>
      <c r="M94" s="24">
        <v>-8.2706750000000009E-2</v>
      </c>
      <c r="N94" s="24">
        <v>-5.2911699999999999E-2</v>
      </c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x14ac:dyDescent="0.35">
      <c r="A95" s="2">
        <v>44648</v>
      </c>
      <c r="B95" s="24">
        <v>-4.544139E-3</v>
      </c>
      <c r="C95" s="24">
        <v>9.6465700000000001E-2</v>
      </c>
      <c r="D95" s="24">
        <v>5.6253194999999999E-2</v>
      </c>
      <c r="E95" s="24">
        <v>-1.5474558000000001E-2</v>
      </c>
      <c r="F95" s="24">
        <v>-1.8112481E-2</v>
      </c>
      <c r="G95" s="24">
        <v>1.7939091000000001E-2</v>
      </c>
      <c r="H95" s="24">
        <v>1.4929771E-3</v>
      </c>
      <c r="I95" s="24">
        <v>5.3524017E-2</v>
      </c>
      <c r="J95" s="24">
        <v>4.7365190000000001E-2</v>
      </c>
      <c r="K95" s="24">
        <v>-5.3779480000000005E-3</v>
      </c>
      <c r="L95" s="24">
        <v>-3.7357807E-3</v>
      </c>
      <c r="M95" s="24">
        <v>2.8820752999999998E-2</v>
      </c>
      <c r="N95" s="24">
        <v>-3.3388436000000001E-2</v>
      </c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x14ac:dyDescent="0.35">
      <c r="A96" s="2">
        <v>44679</v>
      </c>
      <c r="B96" s="24">
        <v>-6.3945055000000001E-2</v>
      </c>
      <c r="C96" s="24">
        <v>-5.2711487000000001E-2</v>
      </c>
      <c r="D96" s="24">
        <v>-6.1679419999999999E-2</v>
      </c>
      <c r="E96" s="24">
        <v>-8.0684599999999995E-2</v>
      </c>
      <c r="F96" s="24">
        <v>-7.2815537E-2</v>
      </c>
      <c r="G96" s="24">
        <v>-3.6885201999999999E-2</v>
      </c>
      <c r="H96" s="24">
        <v>-3.2200395999999999E-2</v>
      </c>
      <c r="I96" s="24">
        <v>-0.10112082999999999</v>
      </c>
      <c r="J96" s="24">
        <v>-6.1634960000000003E-2</v>
      </c>
      <c r="K96" s="24">
        <v>-4.8093320000000002E-2</v>
      </c>
      <c r="L96" s="24">
        <v>-8.6008840000000003E-2</v>
      </c>
      <c r="M96" s="24">
        <v>-6.8619846999999998E-2</v>
      </c>
      <c r="N96" s="24">
        <v>-5.3009567000000007E-2</v>
      </c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x14ac:dyDescent="0.35">
      <c r="A97" s="2">
        <v>44708</v>
      </c>
      <c r="B97" s="24">
        <v>-5.5458664999999997E-2</v>
      </c>
      <c r="C97" s="24">
        <v>-1.2009143999999999E-3</v>
      </c>
      <c r="D97" s="24">
        <v>-6.8638325E-3</v>
      </c>
      <c r="E97" s="24">
        <v>3.9513707000000002E-2</v>
      </c>
      <c r="F97" s="24">
        <v>1.8150091E-2</v>
      </c>
      <c r="G97" s="24">
        <v>-2.6170194000000001E-2</v>
      </c>
      <c r="H97" s="24">
        <v>2.3105383E-2</v>
      </c>
      <c r="I97" s="24">
        <v>-5.7650685E-2</v>
      </c>
      <c r="J97" s="24">
        <v>-2.9335440000000001E-2</v>
      </c>
      <c r="K97" s="24">
        <v>3.2884836000000001E-2</v>
      </c>
      <c r="L97" s="24">
        <v>6.9230795000000001E-3</v>
      </c>
      <c r="M97" s="24">
        <v>8.5539819999999999E-3</v>
      </c>
      <c r="N97" s="24">
        <v>4.6226025000000004E-2</v>
      </c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x14ac:dyDescent="0.35">
      <c r="A98" s="2">
        <v>44740</v>
      </c>
      <c r="B98" s="24">
        <v>-4.7831116E-2</v>
      </c>
      <c r="C98" s="24">
        <v>-0.10960942</v>
      </c>
      <c r="D98" s="24">
        <v>-8.1722199999999995E-2</v>
      </c>
      <c r="E98" s="24">
        <v>-0.10887193999999999</v>
      </c>
      <c r="F98" s="24">
        <v>-8.0048449999999993E-2</v>
      </c>
      <c r="G98" s="24">
        <v>-8.3710909999999999E-2</v>
      </c>
      <c r="H98" s="24">
        <v>-7.2099923999999996E-2</v>
      </c>
      <c r="I98" s="24">
        <v>-8.0970530000000013E-2</v>
      </c>
      <c r="J98" s="24">
        <v>-7.9394636000000005E-2</v>
      </c>
      <c r="K98" s="24">
        <v>-9.118264999999999E-2</v>
      </c>
      <c r="L98" s="24">
        <v>-8.5457325000000001E-2</v>
      </c>
      <c r="M98" s="24">
        <v>-0.12870413</v>
      </c>
      <c r="N98" s="24">
        <v>-0.12086779</v>
      </c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x14ac:dyDescent="0.35">
      <c r="A99" s="2">
        <v>44770</v>
      </c>
      <c r="B99" s="24">
        <v>5.6147337000000005E-2</v>
      </c>
      <c r="C99" s="24">
        <v>4.3215631999999997E-2</v>
      </c>
      <c r="D99" s="24">
        <v>1.6622901000000002E-2</v>
      </c>
      <c r="E99" s="24">
        <v>-2.3678599999999998E-2</v>
      </c>
      <c r="F99" s="24">
        <v>4.6660422999999999E-2</v>
      </c>
      <c r="G99" s="24">
        <v>4.841852E-2</v>
      </c>
      <c r="H99" s="24">
        <v>7.9312324999999996E-3</v>
      </c>
      <c r="I99" s="24">
        <v>9.2650049999999998E-2</v>
      </c>
      <c r="J99" s="24">
        <v>6.6780566999999999E-2</v>
      </c>
      <c r="K99" s="24">
        <v>2.7541041000000002E-2</v>
      </c>
      <c r="L99" s="24">
        <v>6.0366749999999997E-2</v>
      </c>
      <c r="M99" s="24">
        <v>6.7205069999999992E-2</v>
      </c>
      <c r="N99" s="24">
        <v>-2.9137970000000003E-2</v>
      </c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x14ac:dyDescent="0.35">
      <c r="A100" s="2">
        <v>44799</v>
      </c>
      <c r="B100" s="24">
        <v>-2.6476145E-2</v>
      </c>
      <c r="C100" s="24">
        <v>-4.4542550000000001E-4</v>
      </c>
      <c r="D100" s="24">
        <v>2.8685329999999999E-3</v>
      </c>
      <c r="E100" s="24">
        <v>-6.3230869999999995E-2</v>
      </c>
      <c r="F100" s="24">
        <v>-2.1391391999999999E-2</v>
      </c>
      <c r="G100" s="24">
        <v>-4.200512E-2</v>
      </c>
      <c r="H100" s="24">
        <v>-2.4262309999999999E-2</v>
      </c>
      <c r="I100" s="24">
        <v>-7.6498390000000003E-3</v>
      </c>
      <c r="J100" s="24">
        <v>-1.8716455000000001E-3</v>
      </c>
      <c r="K100" s="24">
        <v>-4.3714104000000004E-2</v>
      </c>
      <c r="L100" s="24">
        <v>-6.8103256000000001E-2</v>
      </c>
      <c r="M100" s="24">
        <v>-7.9927324999999994E-2</v>
      </c>
      <c r="N100" s="24">
        <v>-2.8761983000000001E-2</v>
      </c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x14ac:dyDescent="0.35">
      <c r="A101" s="2">
        <v>44832</v>
      </c>
      <c r="B101" s="24">
        <v>-7.9538106999999997E-2</v>
      </c>
      <c r="C101" s="24">
        <v>-0.10026735000000001</v>
      </c>
      <c r="D101" s="24">
        <v>-9.7826059999999992E-2</v>
      </c>
      <c r="E101" s="24">
        <v>-6.7961159999999993E-2</v>
      </c>
      <c r="F101" s="24">
        <v>-8.6333509999999988E-2</v>
      </c>
      <c r="G101" s="24">
        <v>-7.6550363999999996E-2</v>
      </c>
      <c r="H101" s="24">
        <v>-0.11794358000000001</v>
      </c>
      <c r="I101" s="24">
        <v>-8.7826009999999996E-2</v>
      </c>
      <c r="J101" s="24">
        <v>-8.2025710000000002E-2</v>
      </c>
      <c r="K101" s="24">
        <v>-9.3093029999999993E-2</v>
      </c>
      <c r="L101" s="24">
        <v>-0.10904938</v>
      </c>
      <c r="M101" s="24">
        <v>-9.2793700000000007E-2</v>
      </c>
      <c r="N101" s="24">
        <v>-5.6652364999999996E-2</v>
      </c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x14ac:dyDescent="0.35">
      <c r="A102" s="2">
        <v>44862</v>
      </c>
      <c r="B102" s="24">
        <v>1.0200499999999999E-2</v>
      </c>
      <c r="C102" s="24">
        <v>2.9717684000000001E-2</v>
      </c>
      <c r="D102" s="24">
        <v>5.009508E-2</v>
      </c>
      <c r="E102" s="24">
        <v>9.9206330000000009E-2</v>
      </c>
      <c r="F102" s="24">
        <v>1.085639E-2</v>
      </c>
      <c r="G102" s="24">
        <v>3.2266498000000005E-2</v>
      </c>
      <c r="H102" s="24">
        <v>7.9238057000000001E-2</v>
      </c>
      <c r="I102" s="24">
        <v>4.5723915E-3</v>
      </c>
      <c r="J102" s="24">
        <v>4.9901485000000002E-2</v>
      </c>
      <c r="K102" s="24">
        <v>0.11074315999999999</v>
      </c>
      <c r="L102" s="24">
        <v>6.3120839999999998E-2</v>
      </c>
      <c r="M102" s="24">
        <v>9.4668150000000006E-2</v>
      </c>
      <c r="N102" s="24">
        <v>0.10418570000000001</v>
      </c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x14ac:dyDescent="0.35">
      <c r="A103" s="2">
        <v>44893</v>
      </c>
      <c r="B103" s="24">
        <v>6.4763189999999998E-2</v>
      </c>
      <c r="C103" s="24">
        <v>9.9086049999999995E-2</v>
      </c>
      <c r="D103" s="24">
        <v>4.7403335999999997E-2</v>
      </c>
      <c r="E103" s="24">
        <v>0.12003612499999999</v>
      </c>
      <c r="F103" s="24">
        <v>0.1044153</v>
      </c>
      <c r="G103" s="24">
        <v>8.2338090000000003E-2</v>
      </c>
      <c r="H103" s="24">
        <v>8.5421800000000006E-2</v>
      </c>
      <c r="I103" s="24">
        <v>5.2982569999999998E-3</v>
      </c>
      <c r="J103" s="24">
        <v>1.7711163000000002E-2</v>
      </c>
      <c r="K103" s="24">
        <v>8.9433559999999995E-2</v>
      </c>
      <c r="L103" s="24">
        <v>0.14466547999999999</v>
      </c>
      <c r="M103" s="24">
        <v>9.1120000000000007E-2</v>
      </c>
      <c r="N103" s="24">
        <v>0.11907697</v>
      </c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x14ac:dyDescent="0.35">
      <c r="A104" s="2">
        <v>44923</v>
      </c>
      <c r="B104" s="24">
        <v>5.9833883999999997E-2</v>
      </c>
      <c r="C104" s="24">
        <v>-1.4366686E-2</v>
      </c>
      <c r="D104" s="24">
        <v>-5.2403746000000001E-2</v>
      </c>
      <c r="E104" s="24">
        <v>-8.9337229999999993E-3</v>
      </c>
      <c r="F104" s="24">
        <v>-2.7737677000000002E-2</v>
      </c>
      <c r="G104" s="24">
        <v>-1.5026987E-2</v>
      </c>
      <c r="H104" s="24">
        <v>8.3614589999999999E-3</v>
      </c>
      <c r="I104" s="24">
        <v>-7.7740489999999995E-2</v>
      </c>
      <c r="J104" s="24">
        <v>-4.4200299999999998E-2</v>
      </c>
      <c r="K104" s="24">
        <v>4.2171478000000004E-3</v>
      </c>
      <c r="L104" s="24">
        <v>-2.0018159999999997E-2</v>
      </c>
      <c r="M104" s="24">
        <v>-1.5356301999999999E-2</v>
      </c>
      <c r="N104" s="24">
        <v>-2.8580426999999997E-4</v>
      </c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x14ac:dyDescent="0.35">
      <c r="A105" s="2">
        <v>44953</v>
      </c>
      <c r="B105" s="24">
        <v>7.9578280000000001E-2</v>
      </c>
      <c r="C105" s="24">
        <v>0.12799632999999999</v>
      </c>
      <c r="D105" s="24">
        <v>0.10092580999999999</v>
      </c>
      <c r="E105" s="24">
        <v>0.13826752</v>
      </c>
      <c r="F105" s="24">
        <v>9.188795000000001E-2</v>
      </c>
      <c r="G105" s="24">
        <v>7.2467210000000004E-2</v>
      </c>
      <c r="H105" s="24">
        <v>6.6448569999999998E-2</v>
      </c>
      <c r="I105" s="24">
        <v>0.13902342000000001</v>
      </c>
      <c r="J105" s="24">
        <v>7.7045559999999999E-2</v>
      </c>
      <c r="K105" s="24">
        <v>0.11972046</v>
      </c>
      <c r="L105" s="24">
        <v>0.14733707000000001</v>
      </c>
      <c r="M105" s="24">
        <v>0.10018610999999999</v>
      </c>
      <c r="N105" s="24">
        <v>0.12149536</v>
      </c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x14ac:dyDescent="0.35">
      <c r="A106" s="2">
        <v>44985</v>
      </c>
      <c r="B106" s="24">
        <v>-6.2799160000000007E-2</v>
      </c>
      <c r="C106" s="24">
        <v>-8.2598270000000001E-2</v>
      </c>
      <c r="D106" s="24">
        <v>-4.5416299999999993E-2</v>
      </c>
      <c r="E106" s="24">
        <v>-2.5008916999999999E-2</v>
      </c>
      <c r="F106" s="24">
        <v>-4.8962950000000005E-2</v>
      </c>
      <c r="G106" s="24">
        <v>-3.6008060000000001E-2</v>
      </c>
      <c r="H106" s="24">
        <v>-9.2082023999999988E-3</v>
      </c>
      <c r="I106" s="24">
        <v>-9.1136693999999997E-3</v>
      </c>
      <c r="J106" s="24">
        <v>-2.322024E-2</v>
      </c>
      <c r="K106" s="24">
        <v>-8.9551805999999994E-3</v>
      </c>
      <c r="L106" s="24">
        <v>-3.8642764000000003E-2</v>
      </c>
      <c r="M106" s="24">
        <v>-4.2289494999999998E-3</v>
      </c>
      <c r="N106" s="24">
        <v>3.3330917000000003E-4</v>
      </c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x14ac:dyDescent="0.35">
      <c r="A107" s="2">
        <v>45013</v>
      </c>
      <c r="B107" s="24">
        <v>5.1072836E-3</v>
      </c>
      <c r="C107" s="24">
        <v>-2.3164272E-2</v>
      </c>
      <c r="D107" s="24">
        <v>-2.5256991000000003E-2</v>
      </c>
      <c r="E107" s="24">
        <v>7.6950790000000005E-3</v>
      </c>
      <c r="F107" s="24">
        <v>2.7708292000000002E-2</v>
      </c>
      <c r="G107" s="24">
        <v>1.1759281E-2</v>
      </c>
      <c r="H107" s="24">
        <v>-2.3853719999999998E-2</v>
      </c>
      <c r="I107" s="24">
        <v>4.7806262999999995E-2</v>
      </c>
      <c r="J107" s="24">
        <v>2.190113E-3</v>
      </c>
      <c r="K107" s="24">
        <v>-5.4764747999999999E-4</v>
      </c>
      <c r="L107" s="24">
        <v>-8.8235736000000006E-3</v>
      </c>
      <c r="M107" s="24">
        <v>-4.3601394000000002E-2</v>
      </c>
      <c r="N107" s="24">
        <v>-1.1329591000000002E-2</v>
      </c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x14ac:dyDescent="0.35">
      <c r="A108" s="2">
        <v>45044</v>
      </c>
      <c r="B108" s="24">
        <v>1.4634131999999999E-2</v>
      </c>
      <c r="C108" s="24">
        <v>3.5346746000000005E-2</v>
      </c>
      <c r="D108" s="24">
        <v>6.0560465000000001E-2</v>
      </c>
      <c r="E108" s="24">
        <v>6.9454550000000004E-2</v>
      </c>
      <c r="F108" s="24">
        <v>2.3482322999999999E-2</v>
      </c>
      <c r="G108" s="24">
        <v>9.594345E-2</v>
      </c>
      <c r="H108" s="24">
        <v>7.6801060000000004E-2</v>
      </c>
      <c r="I108" s="24">
        <v>5.0273539999999999E-2</v>
      </c>
      <c r="J108" s="24">
        <v>5.1390289999999998E-2</v>
      </c>
      <c r="K108" s="24">
        <v>8.4109539999999997E-2</v>
      </c>
      <c r="L108" s="24">
        <v>4.6488642999999996E-2</v>
      </c>
      <c r="M108" s="24">
        <v>0.10153937</v>
      </c>
      <c r="N108" s="24">
        <v>6.7071080000000005E-2</v>
      </c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x14ac:dyDescent="0.35">
      <c r="A109" s="2">
        <v>45072</v>
      </c>
      <c r="B109" s="24">
        <v>-3.0849278000000001E-2</v>
      </c>
      <c r="C109" s="24">
        <v>-3.1114936000000003E-2</v>
      </c>
      <c r="D109" s="24">
        <v>-4.0340960000000002E-2</v>
      </c>
      <c r="E109" s="24">
        <v>-2.8221666999999999E-2</v>
      </c>
      <c r="F109" s="24">
        <v>2.3963332E-2</v>
      </c>
      <c r="G109" s="24">
        <v>-1.5595734000000002E-2</v>
      </c>
      <c r="H109" s="24">
        <v>-4.3913960000000002E-2</v>
      </c>
      <c r="I109" s="24">
        <v>8.0109119999999992E-2</v>
      </c>
      <c r="J109" s="24">
        <v>9.8333359999999998E-3</v>
      </c>
      <c r="K109" s="24">
        <v>-4.0687379999999995E-2</v>
      </c>
      <c r="L109" s="24">
        <v>1.6304374E-2</v>
      </c>
      <c r="M109" s="24">
        <v>-6.0467599999999996E-2</v>
      </c>
      <c r="N109" s="24">
        <v>-3.7586868000000002E-2</v>
      </c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x14ac:dyDescent="0.35">
      <c r="A110" s="2">
        <v>45105</v>
      </c>
      <c r="B110" s="24">
        <v>-9.1962814000000007E-3</v>
      </c>
      <c r="C110" s="24">
        <v>9.8124739999999998E-3</v>
      </c>
      <c r="D110" s="24">
        <v>2.7774809999999997E-2</v>
      </c>
      <c r="E110" s="24">
        <v>1.4157176E-2</v>
      </c>
      <c r="F110" s="24">
        <v>3.3301829999999998E-2</v>
      </c>
      <c r="G110" s="24">
        <v>-1.3403176999999999E-2</v>
      </c>
      <c r="H110" s="24">
        <v>4.6557187999999999E-3</v>
      </c>
      <c r="I110" s="24">
        <v>4.7763229999999997E-2</v>
      </c>
      <c r="J110" s="24">
        <v>4.2847869999999996E-2</v>
      </c>
      <c r="K110" s="24">
        <v>2.1817802999999997E-2</v>
      </c>
      <c r="L110" s="24">
        <v>7.2067976000000002E-3</v>
      </c>
      <c r="M110" s="24">
        <v>-5.720854E-3</v>
      </c>
      <c r="N110" s="24">
        <v>4.8074364999999994E-2</v>
      </c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x14ac:dyDescent="0.35">
      <c r="A111" s="2">
        <v>45135</v>
      </c>
      <c r="B111" s="24">
        <v>3.4555435000000002E-2</v>
      </c>
      <c r="C111" s="24">
        <v>4.0954113E-2</v>
      </c>
      <c r="D111" s="24">
        <v>4.1024089999999999E-2</v>
      </c>
      <c r="E111" s="24">
        <v>4.2892574999999995E-2</v>
      </c>
      <c r="F111" s="24">
        <v>3.0410886000000002E-2</v>
      </c>
      <c r="G111" s="24">
        <v>4.6847580000000007E-2</v>
      </c>
      <c r="H111" s="24">
        <v>4.0975930000000001E-2</v>
      </c>
      <c r="I111" s="24">
        <v>5.1955939999999999E-2</v>
      </c>
      <c r="J111" s="24">
        <v>4.7045110000000001E-2</v>
      </c>
      <c r="K111" s="24">
        <v>3.2946705999999999E-2</v>
      </c>
      <c r="L111" s="24">
        <v>5.0653576999999998E-2</v>
      </c>
      <c r="M111" s="24">
        <v>2.8768658999999999E-2</v>
      </c>
      <c r="N111" s="24">
        <v>6.9939017000000006E-2</v>
      </c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x14ac:dyDescent="0.35">
      <c r="A112" s="2">
        <v>45166</v>
      </c>
      <c r="B112" s="24">
        <v>-8.4114020000000012E-2</v>
      </c>
      <c r="C112" s="24">
        <v>-6.1392125999999998E-2</v>
      </c>
      <c r="D112" s="24">
        <v>-5.1984367000000004E-2</v>
      </c>
      <c r="E112" s="24">
        <v>-6.1182857000000007E-2</v>
      </c>
      <c r="F112" s="24">
        <v>-4.7409715999999998E-2</v>
      </c>
      <c r="G112" s="24">
        <v>-4.0987014999999995E-2</v>
      </c>
      <c r="H112" s="24">
        <v>-4.3870152999999995E-2</v>
      </c>
      <c r="I112" s="24">
        <v>-4.3600739999999999E-2</v>
      </c>
      <c r="J112" s="24">
        <v>-3.0990123999999997E-2</v>
      </c>
      <c r="K112" s="24">
        <v>-3.8019836000000001E-2</v>
      </c>
      <c r="L112" s="24">
        <v>-8.7536100000000006E-2</v>
      </c>
      <c r="M112" s="24">
        <v>-7.2706880000000002E-2</v>
      </c>
      <c r="N112" s="24">
        <v>-4.5877036999999996E-2</v>
      </c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x14ac:dyDescent="0.35">
      <c r="A113" s="2">
        <v>45197</v>
      </c>
      <c r="B113" s="24">
        <v>-1.8901527000000001E-2</v>
      </c>
      <c r="C113" s="24">
        <v>-3.684938E-3</v>
      </c>
      <c r="D113" s="24">
        <v>-5.6013464999999998E-3</v>
      </c>
      <c r="E113" s="24">
        <v>-5.4308469999999998E-2</v>
      </c>
      <c r="F113" s="24">
        <v>7.7456236000000003E-3</v>
      </c>
      <c r="G113" s="24">
        <v>-5.1897105999999998E-2</v>
      </c>
      <c r="H113" s="24">
        <v>-2.8284192000000001E-3</v>
      </c>
      <c r="I113" s="24">
        <v>-2.2447228E-2</v>
      </c>
      <c r="J113" s="24">
        <v>-2.8705954999999998E-2</v>
      </c>
      <c r="K113" s="24">
        <v>-5.7824970000000003E-2</v>
      </c>
      <c r="L113" s="24">
        <v>-8.2055030000000001E-2</v>
      </c>
      <c r="M113" s="24">
        <v>-8.4438919999999997E-3</v>
      </c>
      <c r="N113" s="24">
        <v>-4.556876E-2</v>
      </c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x14ac:dyDescent="0.35">
      <c r="A114" s="2">
        <v>45226</v>
      </c>
      <c r="B114" s="24">
        <v>-6.9809555999999995E-2</v>
      </c>
      <c r="C114" s="24">
        <v>-4.9930630000000004E-2</v>
      </c>
      <c r="D114" s="24">
        <v>-6.6706180000000004E-2</v>
      </c>
      <c r="E114" s="24">
        <v>-5.1684559999999997E-2</v>
      </c>
      <c r="F114" s="24">
        <v>-5.4456290000000004E-2</v>
      </c>
      <c r="G114" s="24">
        <v>-4.3008270000000001E-2</v>
      </c>
      <c r="H114" s="24">
        <v>-4.7904195999999996E-2</v>
      </c>
      <c r="I114" s="24">
        <v>-3.5473883000000005E-2</v>
      </c>
      <c r="J114" s="24">
        <v>-4.1631639999999998E-2</v>
      </c>
      <c r="K114" s="24">
        <v>-4.9549580000000003E-2</v>
      </c>
      <c r="L114" s="24">
        <v>-2.5331616000000001E-2</v>
      </c>
      <c r="M114" s="24">
        <v>-6.3260373999999994E-2</v>
      </c>
      <c r="N114" s="24">
        <v>-4.2476177000000004E-2</v>
      </c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x14ac:dyDescent="0.35">
      <c r="A115" s="2">
        <v>45258</v>
      </c>
      <c r="B115" s="24">
        <v>0.11330401999999999</v>
      </c>
      <c r="C115" s="24">
        <v>9.537720999999999E-2</v>
      </c>
      <c r="D115" s="24">
        <v>9.7839950000000009E-2</v>
      </c>
      <c r="E115" s="24">
        <v>0.14008879999999999</v>
      </c>
      <c r="F115" s="24">
        <v>8.1805590000000011E-2</v>
      </c>
      <c r="G115" s="24">
        <v>7.7144859999999996E-2</v>
      </c>
      <c r="H115" s="24">
        <v>7.3816657000000008E-2</v>
      </c>
      <c r="I115" s="24">
        <v>0.12997018999999999</v>
      </c>
      <c r="J115" s="24">
        <v>0.10774815</v>
      </c>
      <c r="K115" s="24">
        <v>0.11344789999999999</v>
      </c>
      <c r="L115" s="24">
        <v>0.14382911000000001</v>
      </c>
      <c r="M115" s="24">
        <v>0.17662345999999998</v>
      </c>
      <c r="N115" s="24">
        <v>0.12861073000000001</v>
      </c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x14ac:dyDescent="0.35">
      <c r="A116" s="2">
        <v>45288</v>
      </c>
      <c r="B116" s="24">
        <v>8.4931964999999998E-2</v>
      </c>
      <c r="C116" s="24">
        <v>0.11037647</v>
      </c>
      <c r="D116" s="24">
        <v>7.6390029999999998E-2</v>
      </c>
      <c r="E116" s="24">
        <v>5.0338149999999998E-2</v>
      </c>
      <c r="F116" s="24">
        <v>3.8251757999999997E-2</v>
      </c>
      <c r="G116" s="24">
        <v>6.7826866999999999E-2</v>
      </c>
      <c r="H116" s="24">
        <v>4.2258380000000005E-2</v>
      </c>
      <c r="I116" s="24">
        <v>5.6748630000000001E-2</v>
      </c>
      <c r="J116" s="24">
        <v>5.2087070000000006E-2</v>
      </c>
      <c r="K116" s="24">
        <v>4.7748209999999999E-2</v>
      </c>
      <c r="L116" s="24">
        <v>7.011175E-2</v>
      </c>
      <c r="M116" s="24">
        <v>0.12394023000000001</v>
      </c>
      <c r="N116" s="24">
        <v>4.6555039999999999E-2</v>
      </c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x14ac:dyDescent="0.35">
      <c r="A117" s="2">
        <v>45317</v>
      </c>
      <c r="B117" s="24">
        <v>-3.4184514999999999E-2</v>
      </c>
      <c r="C117" s="24">
        <v>-3.2666384999999999E-2</v>
      </c>
      <c r="D117" s="24">
        <v>-6.2670110000000003E-3</v>
      </c>
      <c r="E117" s="24">
        <v>-9.1031789999999994E-3</v>
      </c>
      <c r="F117" s="24">
        <v>2.1080494000000002E-2</v>
      </c>
      <c r="G117" s="24">
        <v>-8.3577629999999998E-4</v>
      </c>
      <c r="H117" s="24">
        <v>-1.2405455000000001E-2</v>
      </c>
      <c r="I117" s="24">
        <v>3.0415773E-2</v>
      </c>
      <c r="J117" s="24">
        <v>2.2488356000000001E-2</v>
      </c>
      <c r="K117" s="24">
        <v>-3.0667782000000001E-3</v>
      </c>
      <c r="L117" s="24">
        <v>2.9121876000000001E-2</v>
      </c>
      <c r="M117" s="24">
        <v>-6.2138375999999995E-2</v>
      </c>
      <c r="N117" s="24">
        <v>-1.3561308000000001E-2</v>
      </c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x14ac:dyDescent="0.35">
      <c r="A118" s="2">
        <v>45350</v>
      </c>
      <c r="B118" s="24">
        <v>-3.5181284E-2</v>
      </c>
      <c r="C118" s="24">
        <v>8.4412100000000009E-4</v>
      </c>
      <c r="D118" s="24">
        <v>1.9193888E-3</v>
      </c>
      <c r="E118" s="24">
        <v>3.7427663999999999E-2</v>
      </c>
      <c r="F118" s="24">
        <v>5.0160527000000003E-2</v>
      </c>
      <c r="G118" s="24">
        <v>-1.6311169E-2</v>
      </c>
      <c r="H118" s="24">
        <v>-1.8381476E-3</v>
      </c>
      <c r="I118" s="24">
        <v>2.7040361999999998E-2</v>
      </c>
      <c r="J118" s="24">
        <v>3.8673878000000002E-2</v>
      </c>
      <c r="K118" s="24">
        <v>3.2812119000000001E-2</v>
      </c>
      <c r="L118" s="24">
        <v>3.3522009999999998E-2</v>
      </c>
      <c r="M118" s="24">
        <v>5.8208227000000001E-2</v>
      </c>
      <c r="N118" s="24">
        <v>6.4853670000000002E-2</v>
      </c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x14ac:dyDescent="0.35">
      <c r="A119" s="2">
        <v>45379</v>
      </c>
      <c r="B119" s="24">
        <v>5.3038600000000005E-3</v>
      </c>
      <c r="C119" s="24">
        <v>4.0067554000000005E-2</v>
      </c>
      <c r="D119" s="24">
        <v>4.7618985000000003E-2</v>
      </c>
      <c r="E119" s="24">
        <v>4.1324973000000001E-2</v>
      </c>
      <c r="F119" s="24">
        <v>3.9027213999999998E-2</v>
      </c>
      <c r="G119" s="24">
        <v>1.1904715999999999E-2</v>
      </c>
      <c r="H119" s="24">
        <v>5.0030590000000007E-2</v>
      </c>
      <c r="I119" s="24">
        <v>2.1416664000000002E-2</v>
      </c>
      <c r="J119" s="24">
        <v>3.6436558000000001E-2</v>
      </c>
      <c r="K119" s="24">
        <v>2.7798414E-2</v>
      </c>
      <c r="L119" s="24">
        <v>4.2122960000000001E-2</v>
      </c>
      <c r="M119" s="24">
        <v>1.2927770999999999E-2</v>
      </c>
      <c r="N119" s="24">
        <v>5.8658479999999999E-2</v>
      </c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x14ac:dyDescent="0.35">
      <c r="A120" s="2">
        <v>45408</v>
      </c>
      <c r="B120" s="24">
        <v>-2.681911E-2</v>
      </c>
      <c r="C120" s="24">
        <v>-3.8118421999999999E-2</v>
      </c>
      <c r="D120" s="24">
        <v>-1.6980112000000002E-2</v>
      </c>
      <c r="E120" s="24">
        <v>-2.4881899999999998E-2</v>
      </c>
      <c r="F120" s="24">
        <v>-5.9145092999999996E-2</v>
      </c>
      <c r="G120" s="24">
        <v>-3.4873962000000001E-2</v>
      </c>
      <c r="H120" s="24">
        <v>1.8123388000000001E-2</v>
      </c>
      <c r="I120" s="24">
        <v>-2.9301167000000003E-2</v>
      </c>
      <c r="J120" s="24">
        <v>-2.8313576999999999E-2</v>
      </c>
      <c r="K120" s="24">
        <v>-1.7870127999999999E-2</v>
      </c>
      <c r="L120" s="24">
        <v>-2.1624922999999997E-2</v>
      </c>
      <c r="M120" s="24">
        <v>-2.2021950000000002E-2</v>
      </c>
      <c r="N120" s="24">
        <v>-1.2725353E-2</v>
      </c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x14ac:dyDescent="0.35">
      <c r="A121" s="2">
        <v>45440</v>
      </c>
      <c r="B121" s="24">
        <v>8.5836650000000007E-3</v>
      </c>
      <c r="C121" s="24">
        <v>3.7942767000000002E-2</v>
      </c>
      <c r="D121" s="24">
        <v>1.3553022999999999E-2</v>
      </c>
      <c r="E121" s="24">
        <v>4.1343810000000002E-2</v>
      </c>
      <c r="F121" s="24">
        <v>2.5621890000000001E-2</v>
      </c>
      <c r="G121" s="24">
        <v>4.5276522999999999E-2</v>
      </c>
      <c r="H121" s="24">
        <v>3.6749839999999999E-2</v>
      </c>
      <c r="I121" s="24">
        <v>6.6542864000000007E-2</v>
      </c>
      <c r="J121" s="24">
        <v>4.2399525999999993E-2</v>
      </c>
      <c r="K121" s="24">
        <v>2.8276443000000002E-2</v>
      </c>
      <c r="L121" s="24">
        <v>7.3125361999999999E-2</v>
      </c>
      <c r="M121" s="24">
        <v>7.1136116999999999E-2</v>
      </c>
      <c r="N121" s="24">
        <v>4.2964460000000003E-2</v>
      </c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x14ac:dyDescent="0.35">
      <c r="A122" s="2">
        <v>45471</v>
      </c>
      <c r="B122" s="24">
        <v>2.5942802000000001E-2</v>
      </c>
      <c r="C122" s="24">
        <v>1.1618257E-2</v>
      </c>
      <c r="D122" s="24">
        <v>-1.8322468000000001E-2</v>
      </c>
      <c r="E122" s="24">
        <v>-2.6821733E-2</v>
      </c>
      <c r="F122" s="24">
        <v>-1.452446E-3</v>
      </c>
      <c r="G122" s="24">
        <v>2.5016904000000003E-2</v>
      </c>
      <c r="H122" s="24">
        <v>-1.5146196000000001E-2</v>
      </c>
      <c r="I122" s="24">
        <v>4.3943166999999998E-2</v>
      </c>
      <c r="J122" s="24">
        <v>3.0516743999999998E-2</v>
      </c>
      <c r="K122" s="24">
        <v>-7.5617847000000002E-2</v>
      </c>
      <c r="L122" s="24">
        <v>-2.2201061000000001E-2</v>
      </c>
      <c r="M122" s="24">
        <v>-2.2967875000000002E-2</v>
      </c>
      <c r="N122" s="50">
        <v>-5.4123696999999998E-2</v>
      </c>
    </row>
    <row r="123" spans="1:26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</row>
    <row r="124" spans="1:26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26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</row>
    <row r="126" spans="1:26" x14ac:dyDescent="0.35">
      <c r="A126" t="s">
        <v>782</v>
      </c>
      <c r="B126" s="24" cm="1">
        <f t="array" ref="B126">MAX(_xlfn._xlws.FILTER(B1:B122, ISNUMBER(B1:B122)))</f>
        <v>0.15355682000000001</v>
      </c>
      <c r="C126" s="24" cm="1">
        <f t="array" ref="C126">MAX(_xlfn._xlws.FILTER(C1:C122, ISNUMBER(C1:C122)))</f>
        <v>0.17795742000000001</v>
      </c>
      <c r="D126" s="24" cm="1">
        <f t="array" ref="D126">MAX(_xlfn._xlws.FILTER(D1:D122, ISNUMBER(D1:D122)))</f>
        <v>0.16747343000000001</v>
      </c>
      <c r="E126" s="24" cm="1">
        <f t="array" ref="E126">MAX(_xlfn._xlws.FILTER(E1:E122, ISNUMBER(E1:E122)))</f>
        <v>0.16489768999999999</v>
      </c>
      <c r="F126" s="24" cm="1">
        <f t="array" ref="F126">MAX(_xlfn._xlws.FILTER(F1:F122, ISNUMBER(F1:F122)))</f>
        <v>0.13914692000000001</v>
      </c>
      <c r="G126" s="24" cm="1">
        <f t="array" ref="G126">MAX(_xlfn._xlws.FILTER(G1:G122, ISNUMBER(G1:G122)))</f>
        <v>0.10040879</v>
      </c>
      <c r="H126" s="24" cm="1">
        <f t="array" ref="H126">MAX(_xlfn._xlws.FILTER(H1:H122, ISNUMBER(H1:H122)))</f>
        <v>0.19784773</v>
      </c>
      <c r="I126" s="24" cm="1">
        <f t="array" ref="I126">MAX(_xlfn._xlws.FILTER(I1:I122, ISNUMBER(I1:I122)))</f>
        <v>0.14139235</v>
      </c>
      <c r="J126" s="24" cm="1">
        <f t="array" ref="J126">MAX(_xlfn._xlws.FILTER(J1:J122, ISNUMBER(J1:J122)))</f>
        <v>0.12749588000000001</v>
      </c>
      <c r="K126" s="24" cm="1">
        <f t="array" ref="K126">MAX(_xlfn._xlws.FILTER(K1:K122, ISNUMBER(K1:K122)))</f>
        <v>0.25</v>
      </c>
      <c r="L126" s="24" cm="1">
        <f t="array" ref="L126">MAX(_xlfn._xlws.FILTER(L1:L122, ISNUMBER(L1:L122)))</f>
        <v>0.15289986</v>
      </c>
      <c r="M126" s="24" cm="1">
        <f t="array" ref="M126">MAX(_xlfn._xlws.FILTER(M1:M122, ISNUMBER(M1:M122)))</f>
        <v>0.17662345999999998</v>
      </c>
      <c r="N126" s="24" cm="1">
        <f t="array" ref="N126">MAX(_xlfn._xlws.FILTER(N1:N122, ISNUMBER(N1:N122)))</f>
        <v>0.27304506000000001</v>
      </c>
    </row>
    <row r="127" spans="1:26" x14ac:dyDescent="0.35">
      <c r="A127" t="s">
        <v>85</v>
      </c>
      <c r="B127" s="24" cm="1">
        <f t="array" ref="B127">MIN(_xlfn._xlws.FILTER(B2:B122, ISNUMBER(B2:B122)))</f>
        <v>-0.18142986</v>
      </c>
      <c r="C127" s="24" cm="1">
        <f t="array" ref="C127">MIN(_xlfn._xlws.FILTER(C2:C122, ISNUMBER(C2:C122)))</f>
        <v>-0.27932410999999996</v>
      </c>
      <c r="D127" s="24" cm="1">
        <f t="array" ref="D127">MIN(_xlfn._xlws.FILTER(D2:D122, ISNUMBER(D2:D122)))</f>
        <v>-0.25117795999999998</v>
      </c>
      <c r="E127" s="24" cm="1">
        <f t="array" ref="E127">MIN(_xlfn._xlws.FILTER(E2:E122, ISNUMBER(E2:E122)))</f>
        <v>-0.19450796000000001</v>
      </c>
      <c r="F127" s="24" cm="1">
        <f t="array" ref="F127">MIN(_xlfn._xlws.FILTER(F2:F122, ISNUMBER(F2:F122)))</f>
        <v>-0.10393487999999999</v>
      </c>
      <c r="G127" s="24" cm="1">
        <f t="array" ref="G127">MIN(_xlfn._xlws.FILTER(G2:G122, ISNUMBER(G2:G122)))</f>
        <v>-8.8741249999999994E-2</v>
      </c>
      <c r="H127" s="24" cm="1">
        <f t="array" ref="H127">MIN(_xlfn._xlws.FILTER(H2:H122, ISNUMBER(H2:H122)))</f>
        <v>-0.20307165000000002</v>
      </c>
      <c r="I127" s="24" cm="1">
        <f t="array" ref="I127">MIN(_xlfn._xlws.FILTER(I2:I122, ISNUMBER(I2:I122)))</f>
        <v>-0.12402582000000001</v>
      </c>
      <c r="J127" s="24" cm="1">
        <f t="array" ref="J127">MIN(_xlfn._xlws.FILTER(J2:J122, ISNUMBER(J2:J122)))</f>
        <v>-0.13934791999999999</v>
      </c>
      <c r="K127" s="24" cm="1">
        <f t="array" ref="K127">MIN(_xlfn._xlws.FILTER(K2:K122, ISNUMBER(K2:K122)))</f>
        <v>-0.18285519</v>
      </c>
      <c r="L127" s="24" cm="1">
        <f t="array" ref="L127">MIN(_xlfn._xlws.FILTER(L2:L122, ISNUMBER(L2:L122)))</f>
        <v>-0.1576873</v>
      </c>
      <c r="M127" s="24" cm="1">
        <f t="array" ref="M127">MIN(_xlfn._xlws.FILTER(M2:M122, ISNUMBER(M2:M122)))</f>
        <v>-0.18926924000000001</v>
      </c>
      <c r="N127" s="24" cm="1">
        <f t="array" ref="N127">MIN(_xlfn._xlws.FILTER(N2:N122, ISNUMBER(N2:N122)))</f>
        <v>-0.23861969</v>
      </c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9" spans="1:17" x14ac:dyDescent="0.35">
      <c r="A129" t="s">
        <v>87</v>
      </c>
      <c r="B129">
        <f>COUNTIF(B2:B122, "&lt;"&amp;Assumption!$E$50)</f>
        <v>20</v>
      </c>
      <c r="C129">
        <f>COUNTIF(C2:C122, "&lt;"&amp;Assumption!$E$50)</f>
        <v>19</v>
      </c>
      <c r="D129">
        <f>COUNTIF(D2:D122, "&lt;"&amp;Assumption!$E$50)</f>
        <v>18</v>
      </c>
      <c r="E129">
        <f>COUNTIF(E2:E122, "&lt;"&amp;Assumption!$E$50)</f>
        <v>21</v>
      </c>
      <c r="F129">
        <f>COUNTIF(F2:F122, "&lt;"&amp;Assumption!$E$50)</f>
        <v>13</v>
      </c>
      <c r="G129">
        <f>COUNTIF(G2:G122, "&lt;"&amp;Assumption!$E$50)</f>
        <v>15</v>
      </c>
      <c r="H129">
        <f>COUNTIF(H2:H122, "&lt;"&amp;Assumption!$E$50)</f>
        <v>15</v>
      </c>
      <c r="I129">
        <f>COUNTIF(I2:I122, "&lt;"&amp;Assumption!$E$50)</f>
        <v>16</v>
      </c>
      <c r="J129">
        <f>COUNTIF(J2:J122, "&lt;"&amp;Assumption!$E$50)</f>
        <v>11</v>
      </c>
      <c r="K129">
        <f>COUNTIF(K2:K122, "&lt;"&amp;Assumption!$E$50)</f>
        <v>17</v>
      </c>
      <c r="L129">
        <f>COUNTIF(L2:L122, "&lt;"&amp;Assumption!$E$50)</f>
        <v>17</v>
      </c>
      <c r="M129">
        <f>COUNTIF(M2:M122, "&lt;"&amp;Assumption!$E$50)</f>
        <v>22</v>
      </c>
      <c r="N129">
        <f>COUNTIF(N2:N122, "&lt;"&amp;Assumption!$E$50)</f>
        <v>20</v>
      </c>
    </row>
    <row r="130" spans="1:17" x14ac:dyDescent="0.35">
      <c r="A130" t="s">
        <v>86</v>
      </c>
      <c r="B130">
        <f t="shared" ref="B130:J130" si="0">COUNT(B1:B122)</f>
        <v>121</v>
      </c>
      <c r="C130">
        <f t="shared" si="0"/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ref="K130:N130" si="1">COUNT(K1:K122)</f>
        <v>121</v>
      </c>
      <c r="L130">
        <f t="shared" si="1"/>
        <v>121</v>
      </c>
      <c r="M130">
        <f t="shared" si="1"/>
        <v>121</v>
      </c>
      <c r="N130">
        <f t="shared" si="1"/>
        <v>121</v>
      </c>
    </row>
    <row r="132" spans="1:17" x14ac:dyDescent="0.35">
      <c r="A132" t="s">
        <v>88</v>
      </c>
      <c r="B132" s="9">
        <f t="shared" ref="B132:J132" si="2">B129/B130</f>
        <v>0.16528925619834711</v>
      </c>
      <c r="C132" s="9">
        <f t="shared" si="2"/>
        <v>0.15702479338842976</v>
      </c>
      <c r="D132" s="9">
        <f t="shared" si="2"/>
        <v>0.1487603305785124</v>
      </c>
      <c r="E132" s="9">
        <f t="shared" si="2"/>
        <v>0.17355371900826447</v>
      </c>
      <c r="F132" s="9">
        <f t="shared" si="2"/>
        <v>0.10743801652892562</v>
      </c>
      <c r="G132" s="9">
        <f t="shared" si="2"/>
        <v>0.12396694214876033</v>
      </c>
      <c r="H132" s="9">
        <f t="shared" si="2"/>
        <v>0.12396694214876033</v>
      </c>
      <c r="I132" s="9">
        <f t="shared" si="2"/>
        <v>0.13223140495867769</v>
      </c>
      <c r="J132" s="9">
        <f t="shared" si="2"/>
        <v>9.0909090909090912E-2</v>
      </c>
      <c r="K132" s="9">
        <f t="shared" ref="K132:N132" si="3">K129/K130</f>
        <v>0.14049586776859505</v>
      </c>
      <c r="L132" s="9">
        <f t="shared" si="3"/>
        <v>0.14049586776859505</v>
      </c>
      <c r="M132" s="9">
        <f t="shared" si="3"/>
        <v>0.18181818181818182</v>
      </c>
      <c r="N132" s="9">
        <f t="shared" si="3"/>
        <v>0.16528925619834711</v>
      </c>
      <c r="O132" s="9"/>
      <c r="P132" s="9"/>
      <c r="Q132" s="9"/>
    </row>
    <row r="134" spans="1:17" x14ac:dyDescent="0.35">
      <c r="A134" t="s">
        <v>95</v>
      </c>
      <c r="B134" s="9" cm="1">
        <f t="array" ref="B134">_xlfn.PERCENTRANK.EXC(_xlfn._xlws.FILTER(B2:B122, ISNUMBER(B2:B122)),B122)</f>
        <v>0.65500000000000003</v>
      </c>
      <c r="C134" s="9" cm="1">
        <f t="array" ref="C134">_xlfn.PERCENTRANK.EXC(_xlfn._xlws.FILTER(C2:C122, ISNUMBER(C2:C122)),C122)</f>
        <v>0.55700000000000005</v>
      </c>
      <c r="D134" s="9" cm="1">
        <f t="array" ref="D134">_xlfn.PERCENTRANK.EXC(_xlfn._xlws.FILTER(D2:D122, ISNUMBER(D2:D122)),D122)</f>
        <v>0.31900000000000001</v>
      </c>
      <c r="E134" s="9" cm="1">
        <f t="array" ref="E134">_xlfn.PERCENTRANK.EXC(_xlfn._xlws.FILTER(E2:E122, ISNUMBER(E2:E122)),E122)</f>
        <v>0.28599999999999998</v>
      </c>
      <c r="F134" s="9" cm="1">
        <f t="array" ref="F134">_xlfn.PERCENTRANK.EXC(_xlfn._xlws.FILTER(F2:F122, ISNUMBER(F2:F122)),F122)</f>
        <v>0.377</v>
      </c>
      <c r="G134" s="9" cm="1">
        <f t="array" ref="G134">_xlfn.PERCENTRANK.EXC(_xlfn._xlws.FILTER(G2:G122, ISNUMBER(G2:G122)),G122)</f>
        <v>0.63900000000000001</v>
      </c>
      <c r="H134" s="9" cm="1">
        <f t="array" ref="H134">_xlfn.PERCENTRANK.EXC(_xlfn._xlws.FILTER(H2:H122, ISNUMBER(H2:H122)),H122)</f>
        <v>0.28599999999999998</v>
      </c>
      <c r="I134" s="9" cm="1">
        <f t="array" ref="I134">_xlfn.PERCENTRANK.EXC(_xlfn._xlws.FILTER(I2:I122, ISNUMBER(I2:I122)),I122)</f>
        <v>0.70399999999999996</v>
      </c>
      <c r="J134" s="9" cm="1">
        <f t="array" ref="J134">_xlfn.PERCENTRANK.EXC(_xlfn._xlws.FILTER(J2:J122, ISNUMBER(J2:J122)),J122)</f>
        <v>0.68</v>
      </c>
      <c r="K134" s="9" cm="1">
        <f t="array" ref="K134">_xlfn.PERCENTRANK.EXC(_xlfn._xlws.FILTER(K2:K122, ISNUMBER(K2:K122)),K122)</f>
        <v>5.7000000000000002E-2</v>
      </c>
      <c r="L134" s="9" cm="1">
        <f t="array" ref="L134">_xlfn.PERCENTRANK.EXC(_xlfn._xlws.FILTER(L2:L122, ISNUMBER(L2:L122)),L122)</f>
        <v>0.254</v>
      </c>
      <c r="M134" s="9" cm="1">
        <f t="array" ref="M134">_xlfn.PERCENTRANK.EXC(_xlfn._xlws.FILTER(M2:M122, ISNUMBER(M2:M122)),M122)</f>
        <v>0.30299999999999999</v>
      </c>
      <c r="N134" s="9" cm="1">
        <f t="array" ref="N134">_xlfn.PERCENTRANK.EXC(_xlfn._xlws.FILTER(N2:N122, ISNUMBER(N2:N122)),N122)</f>
        <v>0.14699999999999999</v>
      </c>
      <c r="O134" s="9"/>
      <c r="P134" s="9"/>
      <c r="Q134" s="9"/>
    </row>
    <row r="136" spans="1:17" x14ac:dyDescent="0.35">
      <c r="A136" s="9"/>
      <c r="B136" s="9" cm="1">
        <f t="array" ref="B136">_xlfn.PERCENTRANK.EXC(_xlfn._xlws.FILTER(B4:B125, ISNUMBER(B4:B125)),B113)</f>
        <v>0.28299999999999997</v>
      </c>
      <c r="C136" s="9" cm="1">
        <f t="array" ref="C136">_xlfn.PERCENTRANK.EXC(_xlfn._xlws.FILTER(C4:C125, ISNUMBER(C4:C125)),C113)</f>
        <v>0.38300000000000001</v>
      </c>
      <c r="D136" s="9" cm="1">
        <f t="array" ref="D136">_xlfn.PERCENTRANK.EXC(_xlfn._xlws.FILTER(D4:D125, ISNUMBER(D4:D125)),D113)</f>
        <v>0.433</v>
      </c>
      <c r="E136" s="9" cm="1">
        <f t="array" ref="E136">_xlfn.PERCENTRANK.EXC(_xlfn._xlws.FILTER(E4:E125, ISNUMBER(E4:E125)),E113)</f>
        <v>0.16600000000000001</v>
      </c>
      <c r="F136" s="9" cm="1">
        <f t="array" ref="F136">_xlfn.PERCENTRANK.EXC(_xlfn._xlws.FILTER(F4:F125, ISNUMBER(F4:F125)),F113)</f>
        <v>0.5</v>
      </c>
      <c r="G136" s="9" cm="1">
        <f t="array" ref="G136">_xlfn.PERCENTRANK.EXC(_xlfn._xlws.FILTER(G4:G125, ISNUMBER(G4:G125)),G113)</f>
        <v>0.11600000000000001</v>
      </c>
      <c r="H136" s="9" cm="1">
        <f t="array" ref="H136">_xlfn.PERCENTRANK.EXC(_xlfn._xlws.FILTER(H4:H125, ISNUMBER(H4:H125)),H113)</f>
        <v>0.42499999999999999</v>
      </c>
      <c r="I136" s="9" cm="1">
        <f t="array" ref="I136">_xlfn.PERCENTRANK.EXC(_xlfn._xlws.FILTER(I4:I125, ISNUMBER(I4:I125)),I113)</f>
        <v>0.20799999999999999</v>
      </c>
      <c r="J136" s="9" cm="1">
        <f t="array" ref="J136">_xlfn.PERCENTRANK.EXC(_xlfn._xlws.FILTER(J4:J125, ISNUMBER(J4:J125)),J113)</f>
        <v>0.191</v>
      </c>
      <c r="K136" s="9" cm="1">
        <f t="array" ref="K136">_xlfn.PERCENTRANK.EXC(_xlfn._xlws.FILTER(K4:K125, ISNUMBER(K4:K125)),K113)</f>
        <v>0.1</v>
      </c>
      <c r="L136" s="9" cm="1">
        <f t="array" ref="L136">_xlfn.PERCENTRANK.EXC(_xlfn._xlws.FILTER(L4:L125, ISNUMBER(L4:L125)),L113)</f>
        <v>9.0999999999999998E-2</v>
      </c>
      <c r="M136" s="9" cm="1">
        <f t="array" ref="M136">_xlfn.PERCENTRANK.EXC(_xlfn._xlws.FILTER(M4:M125, ISNUMBER(M4:M125)),M113)</f>
        <v>0.41599999999999998</v>
      </c>
      <c r="N136" s="9" cm="1">
        <f t="array" ref="N136">_xlfn.PERCENTRANK.EXC(_xlfn._xlws.FILTER(N4:N125, ISNUMBER(N4:N125)),N113)</f>
        <v>0.216</v>
      </c>
    </row>
    <row r="138" spans="1:17" x14ac:dyDescent="0.35">
      <c r="A138" t="s">
        <v>829</v>
      </c>
      <c r="B138">
        <f t="shared" ref="B138:J138" si="4">STDEV(B40:B122)</f>
        <v>5.5988341707100354E-2</v>
      </c>
      <c r="C138">
        <f t="shared" si="4"/>
        <v>6.5562541991691911E-2</v>
      </c>
      <c r="D138">
        <f t="shared" si="4"/>
        <v>5.918966569820111E-2</v>
      </c>
      <c r="E138">
        <f t="shared" si="4"/>
        <v>6.3309514356594987E-2</v>
      </c>
      <c r="F138">
        <f t="shared" si="4"/>
        <v>4.5286041112466278E-2</v>
      </c>
      <c r="G138">
        <f t="shared" si="4"/>
        <v>4.6367819766045953E-2</v>
      </c>
      <c r="H138">
        <f t="shared" si="4"/>
        <v>5.3911223401458583E-2</v>
      </c>
      <c r="I138">
        <f t="shared" si="4"/>
        <v>5.8999772876539271E-2</v>
      </c>
      <c r="J138">
        <f t="shared" si="4"/>
        <v>4.9971588464105432E-2</v>
      </c>
      <c r="K138">
        <f t="shared" ref="K138:N138" si="5">STDEV(K40:K122)</f>
        <v>6.0157511576041399E-2</v>
      </c>
      <c r="L138">
        <f t="shared" si="5"/>
        <v>6.1345930594316048E-2</v>
      </c>
      <c r="M138">
        <f t="shared" si="5"/>
        <v>6.9799264205170505E-2</v>
      </c>
      <c r="N138">
        <f t="shared" si="5"/>
        <v>6.7301506645792972E-2</v>
      </c>
    </row>
    <row r="139" spans="1:17" x14ac:dyDescent="0.35">
      <c r="A139" t="s">
        <v>830</v>
      </c>
      <c r="B139" s="74">
        <f t="shared" ref="B139:J139" si="6">B138*SQRT(12)</f>
        <v>0.19394930493645082</v>
      </c>
      <c r="C139" s="74">
        <f t="shared" si="6"/>
        <v>0.2271153076059568</v>
      </c>
      <c r="D139" s="74">
        <f t="shared" si="6"/>
        <v>0.20503901654460222</v>
      </c>
      <c r="E139" s="74">
        <f t="shared" si="6"/>
        <v>0.21931059093626754</v>
      </c>
      <c r="F139" s="74">
        <f t="shared" si="6"/>
        <v>0.15687544816088919</v>
      </c>
      <c r="G139" s="74">
        <f t="shared" si="6"/>
        <v>0.16062283934197608</v>
      </c>
      <c r="H139" s="74">
        <f t="shared" si="6"/>
        <v>0.18675395605904499</v>
      </c>
      <c r="I139" s="74">
        <f t="shared" si="6"/>
        <v>0.20438120851438035</v>
      </c>
      <c r="J139" s="74">
        <f t="shared" si="6"/>
        <v>0.1731066603095068</v>
      </c>
      <c r="K139" s="74">
        <f t="shared" ref="K139:N139" si="7">K138*SQRT(12)</f>
        <v>0.20839173301323316</v>
      </c>
      <c r="L139" s="74">
        <f t="shared" si="7"/>
        <v>0.21250853725389879</v>
      </c>
      <c r="M139" s="74">
        <f t="shared" si="7"/>
        <v>0.24179174386855801</v>
      </c>
      <c r="N139" s="74">
        <f t="shared" si="7"/>
        <v>0.23313925787289574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13"/>
  <sheetViews>
    <sheetView zoomScaleNormal="100" workbookViewId="0">
      <pane ySplit="1" topLeftCell="A110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11" max="11" width="8.81640625" customWidth="1"/>
  </cols>
  <sheetData>
    <row r="1" spans="1:14" x14ac:dyDescent="0.35">
      <c r="A1" s="2" t="s">
        <v>388</v>
      </c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s="47" t="s">
        <v>865</v>
      </c>
      <c r="L1" s="47" t="s">
        <v>867</v>
      </c>
      <c r="M1" s="47" t="s">
        <v>864</v>
      </c>
      <c r="N1" s="47" t="s">
        <v>866</v>
      </c>
    </row>
    <row r="2" spans="1:14" x14ac:dyDescent="0.35">
      <c r="A2" s="2" cm="1">
        <f t="array" ref="A2:A122">_xll.FDS(B1,"JULIAN(P_PRICE_RETURNS_PR('52W',2,-10AY,0,AM).dates)")</f>
        <v>41817</v>
      </c>
      <c r="B2" s="7" cm="1">
        <f t="array" ref="B2:B122">_xll.FDS(B1,"P_PRICE_RETURNS_PR('52W',2,-10AY,0,AM)")</f>
        <v>31.260943999999999</v>
      </c>
      <c r="C2" s="7" cm="1">
        <f t="array" ref="C2:C122">_xll.FDS(C1,"P_PRICE_RETURNS_PR('52W',2,-10AY,0,AM)")</f>
        <v>19.340682999999999</v>
      </c>
      <c r="D2" s="7" cm="1">
        <f t="array" ref="D2:D122">_xll.FDS(D1,"P_PRICE_RETURNS_PR('52W',2,-10AY,0,AM)")</f>
        <v>25.677633</v>
      </c>
      <c r="E2" s="7" cm="1">
        <f t="array" ref="E2:E122">_xll.FDS(E1,"P_PRICE_RETURNS_PR('52W',2,-10AY,0,AM)")</f>
        <v>28.116644000000001</v>
      </c>
      <c r="F2" s="7" cm="1">
        <f t="array" ref="F2:F122">_xll.FDS(F1,"P_PRICE_RETURNS_PR('52W',2,-10AY,0,AM)")</f>
        <v>9.1746569999999998</v>
      </c>
      <c r="G2" s="7" cm="1">
        <f t="array" ref="G2:G122">_xll.FDS(G1,"P_PRICE_RETURNS_PR('52W',2,-10AY,0,AM)")</f>
        <v>22.471630000000001</v>
      </c>
      <c r="H2" s="7" cm="1">
        <f t="array" ref="H2:H122">_xll.FDS(H1,"P_PRICE_RETURNS_PR('52W',2,-10AY,0,AM)")</f>
        <v>24.978745</v>
      </c>
      <c r="I2" s="7" cm="1">
        <f t="array" ref="I2:I122">_xll.FDS(I1,"P_PRICE_RETURNS_PR('52W',2,-10AY,0,AM)")</f>
        <v>33.752513999999998</v>
      </c>
      <c r="J2" s="7" cm="1">
        <f t="array" ref="J2:J122">_xll.FDS(J1,"P_PRICE_RETURNS_PR('52W',2,-10AY,0,AM)")</f>
        <v>23.956882</v>
      </c>
      <c r="K2" s="158" cm="1">
        <f t="array" ref="K2:K122">_xll.FDS(K1,"P_PRICE_RETURNS_PR('52W',2,-10AY,0,AM)")</f>
        <v>27.40166</v>
      </c>
      <c r="L2" s="158" cm="1">
        <f t="array" ref="L2:L122">_xll.FDS(L1,"P_PRICE_RETURNS_PR('52W',2,-10AY,0,AM)")</f>
        <v>24.896394999999998</v>
      </c>
      <c r="M2" s="158" cm="1">
        <f t="array" ref="M2:M122">_xll.FDS(M1,"P_PRICE_RETURNS_PR('52W',2,-10AY,0,AM)")</f>
        <v>21.483875000000001</v>
      </c>
      <c r="N2" s="158" cm="1">
        <f t="array" ref="N2:N122">_xll.FDS(N1,"P_PRICE_RETURNS_PR('52W',2,-10AY,0,AM)")</f>
        <v>48.440764999999999</v>
      </c>
    </row>
    <row r="3" spans="1:14" x14ac:dyDescent="0.35">
      <c r="A3" s="2">
        <v>41848</v>
      </c>
      <c r="B3" s="40">
        <v>19.711994000000001</v>
      </c>
      <c r="C3" s="40">
        <v>16.679455000000001</v>
      </c>
      <c r="D3" s="40">
        <v>19.021929</v>
      </c>
      <c r="E3" s="40">
        <v>16.402864000000001</v>
      </c>
      <c r="F3" s="40">
        <v>8.7370870000000007</v>
      </c>
      <c r="G3" s="40">
        <v>15.759325</v>
      </c>
      <c r="H3" s="40">
        <v>16.924106999999999</v>
      </c>
      <c r="I3" s="40">
        <v>30.367650000000001</v>
      </c>
      <c r="J3" s="40">
        <v>19.264782</v>
      </c>
      <c r="K3" s="47">
        <v>12.800084999999999</v>
      </c>
      <c r="L3" s="47">
        <v>9.8851320000000005</v>
      </c>
      <c r="M3" s="47">
        <v>9.2618100000000005</v>
      </c>
      <c r="N3" s="47">
        <v>31.607711999999999</v>
      </c>
    </row>
    <row r="4" spans="1:14" x14ac:dyDescent="0.35">
      <c r="A4" s="2">
        <v>41879</v>
      </c>
      <c r="B4" s="40">
        <v>25.170158000000001</v>
      </c>
      <c r="C4" s="40">
        <v>20.457125000000001</v>
      </c>
      <c r="D4" s="40">
        <v>22.316444000000001</v>
      </c>
      <c r="E4" s="40">
        <v>13.784003</v>
      </c>
      <c r="F4" s="40">
        <v>8.0076809999999998</v>
      </c>
      <c r="G4" s="40">
        <v>15.502345999999999</v>
      </c>
      <c r="H4" s="40">
        <v>15.951729</v>
      </c>
      <c r="I4" s="40">
        <v>33.817706999999999</v>
      </c>
      <c r="J4" s="40">
        <v>24.504100000000001</v>
      </c>
      <c r="K4" s="47">
        <v>11.66197</v>
      </c>
      <c r="L4" s="47">
        <v>10.245775999999999</v>
      </c>
      <c r="M4" s="47">
        <v>7.8461765999999997</v>
      </c>
      <c r="N4" s="47">
        <v>22.654485999999999</v>
      </c>
    </row>
    <row r="5" spans="1:14" x14ac:dyDescent="0.35">
      <c r="A5" s="2">
        <v>41908</v>
      </c>
      <c r="B5" s="40">
        <v>5.305612</v>
      </c>
      <c r="C5" s="40">
        <v>-2.3333370000000002</v>
      </c>
      <c r="D5" s="40">
        <v>11.436188</v>
      </c>
      <c r="E5" s="40">
        <v>2.4187921999999999</v>
      </c>
      <c r="F5" s="40">
        <v>-0.2465725</v>
      </c>
      <c r="G5" s="40">
        <v>6.9138409999999997</v>
      </c>
      <c r="H5" s="40">
        <v>5.0327897000000004</v>
      </c>
      <c r="I5" s="40">
        <v>26.608443999999999</v>
      </c>
      <c r="J5" s="40">
        <v>18.890142000000001</v>
      </c>
      <c r="K5" s="47">
        <v>1.2621164</v>
      </c>
      <c r="L5" s="47">
        <v>3.1582355</v>
      </c>
      <c r="M5" s="47">
        <v>-1.6021251999999999</v>
      </c>
      <c r="N5" s="47">
        <v>11.902988000000001</v>
      </c>
    </row>
    <row r="6" spans="1:14" x14ac:dyDescent="0.35">
      <c r="A6" s="2">
        <v>41940</v>
      </c>
      <c r="B6" s="40">
        <v>5.2200913</v>
      </c>
      <c r="C6" s="40">
        <v>-2.7050972</v>
      </c>
      <c r="D6" s="40">
        <v>4.9093010000000001</v>
      </c>
      <c r="E6" s="40">
        <v>-7.1787239999999999</v>
      </c>
      <c r="F6" s="40">
        <v>-3.181851</v>
      </c>
      <c r="G6" s="40">
        <v>0.79606770000000004</v>
      </c>
      <c r="H6" s="40">
        <v>-2.4951458</v>
      </c>
      <c r="I6" s="40">
        <v>22.595918999999999</v>
      </c>
      <c r="J6" s="40">
        <v>14.773083</v>
      </c>
      <c r="K6" s="47">
        <v>-7.3253813000000001</v>
      </c>
      <c r="L6" s="47">
        <v>-3.6853910000000001</v>
      </c>
      <c r="M6" s="47">
        <v>-4.2064849999999998</v>
      </c>
      <c r="N6" s="47">
        <v>-2.0266055999999999</v>
      </c>
    </row>
    <row r="7" spans="1:14" x14ac:dyDescent="0.35">
      <c r="A7" s="2">
        <v>41971</v>
      </c>
      <c r="B7" s="40">
        <v>9.2090239999999994</v>
      </c>
      <c r="C7" s="40">
        <v>-3.4360647000000002</v>
      </c>
      <c r="D7" s="40">
        <v>5.5058119999999997</v>
      </c>
      <c r="E7" s="40">
        <v>-3.3219813999999999</v>
      </c>
      <c r="F7" s="40">
        <v>-2.3529648999999999</v>
      </c>
      <c r="G7" s="40">
        <v>5.4105996999999997</v>
      </c>
      <c r="H7" s="40">
        <v>-0.92360973000000002</v>
      </c>
      <c r="I7" s="40">
        <v>26.229132</v>
      </c>
      <c r="J7" s="40">
        <v>16.621780000000001</v>
      </c>
      <c r="K7" s="47">
        <v>-3.2256423999999999</v>
      </c>
      <c r="L7" s="47">
        <v>0.87025165999999998</v>
      </c>
      <c r="M7" s="47">
        <v>0.86021422999999997</v>
      </c>
      <c r="N7" s="47">
        <v>-0.22152662000000001</v>
      </c>
    </row>
    <row r="8" spans="1:14" x14ac:dyDescent="0.35">
      <c r="A8" s="2">
        <v>41999</v>
      </c>
      <c r="B8" s="40">
        <v>12.191319</v>
      </c>
      <c r="C8" s="40">
        <v>-4.3179154000000004</v>
      </c>
      <c r="D8" s="40">
        <v>1.4654278999999999</v>
      </c>
      <c r="E8" s="40">
        <v>-8.5317369999999997</v>
      </c>
      <c r="F8" s="40">
        <v>-2.02834</v>
      </c>
      <c r="G8" s="40">
        <v>1.8265842999999999</v>
      </c>
      <c r="H8" s="40">
        <v>-4.4776199999999999</v>
      </c>
      <c r="I8" s="40">
        <v>21.549510999999999</v>
      </c>
      <c r="J8" s="40">
        <v>15.585554</v>
      </c>
      <c r="K8" s="47">
        <v>-6.5605520000000004</v>
      </c>
      <c r="L8" s="47">
        <v>-2.6778936</v>
      </c>
      <c r="M8" s="47">
        <v>-5.1761626999999999</v>
      </c>
      <c r="N8" s="47">
        <v>-6.7184686999999998</v>
      </c>
    </row>
    <row r="9" spans="1:14" x14ac:dyDescent="0.35">
      <c r="A9" s="2">
        <v>42032</v>
      </c>
      <c r="B9" s="40">
        <v>7.9549313000000001</v>
      </c>
      <c r="C9" s="40">
        <v>-0.53090453000000004</v>
      </c>
      <c r="D9" s="40">
        <v>-2.2598444999999998</v>
      </c>
      <c r="E9" s="40">
        <v>-7.7869533999999998</v>
      </c>
      <c r="F9" s="40">
        <v>0.92859270000000005</v>
      </c>
      <c r="G9" s="40">
        <v>0.12294054</v>
      </c>
      <c r="H9" s="40">
        <v>-4.0514289999999997</v>
      </c>
      <c r="I9" s="40">
        <v>19.352913000000001</v>
      </c>
      <c r="J9" s="40">
        <v>13.948584</v>
      </c>
      <c r="K9" s="47">
        <v>-7.6097726999999997</v>
      </c>
      <c r="L9" s="47">
        <v>-3.6692559999999999</v>
      </c>
      <c r="M9" s="47">
        <v>-6.6403984999999999</v>
      </c>
      <c r="N9" s="47">
        <v>-13.059354000000001</v>
      </c>
    </row>
    <row r="10" spans="1:14" x14ac:dyDescent="0.35">
      <c r="A10" s="2">
        <v>42062</v>
      </c>
      <c r="B10" s="40">
        <v>8.312106</v>
      </c>
      <c r="C10" s="40">
        <v>-0.88799596000000003</v>
      </c>
      <c r="D10" s="40">
        <v>-1.3864278999999999</v>
      </c>
      <c r="E10" s="40">
        <v>-3.5980344</v>
      </c>
      <c r="F10" s="40">
        <v>8.2917690000000004</v>
      </c>
      <c r="G10" s="40">
        <v>0.13437271000000001</v>
      </c>
      <c r="H10" s="40">
        <v>-3.8355708000000002</v>
      </c>
      <c r="I10" s="40">
        <v>21.192778000000001</v>
      </c>
      <c r="J10" s="40">
        <v>15.581284999999999</v>
      </c>
      <c r="K10" s="47">
        <v>-5.8140219999999996</v>
      </c>
      <c r="L10" s="47">
        <v>2.1462916999999999</v>
      </c>
      <c r="M10" s="47">
        <v>-0.61775446000000001</v>
      </c>
      <c r="N10" s="47">
        <v>-7.9752026000000003</v>
      </c>
    </row>
    <row r="11" spans="1:14" x14ac:dyDescent="0.35">
      <c r="A11" s="2">
        <v>42090</v>
      </c>
      <c r="B11" s="40">
        <v>0.83146094999999998</v>
      </c>
      <c r="C11" s="40">
        <v>-4.1344585</v>
      </c>
      <c r="D11" s="40">
        <v>-5.4143132999999999</v>
      </c>
      <c r="E11" s="40">
        <v>-0.55955650000000001</v>
      </c>
      <c r="F11" s="40">
        <v>15.009366999999999</v>
      </c>
      <c r="G11" s="40">
        <v>1.8744350000000001</v>
      </c>
      <c r="H11" s="40">
        <v>-3.9558290999999999</v>
      </c>
      <c r="I11" s="40">
        <v>22.804749000000001</v>
      </c>
      <c r="J11" s="40">
        <v>13.639652</v>
      </c>
      <c r="K11" s="47">
        <v>-6.195468</v>
      </c>
      <c r="L11" s="47">
        <v>1.548028</v>
      </c>
      <c r="M11" s="47">
        <v>-2.9622077999999998</v>
      </c>
      <c r="N11" s="47">
        <v>-11.855668</v>
      </c>
    </row>
    <row r="12" spans="1:14" x14ac:dyDescent="0.35">
      <c r="A12" s="2">
        <v>42122</v>
      </c>
      <c r="B12" s="40">
        <v>2.0794510000000002</v>
      </c>
      <c r="C12" s="40">
        <v>-4.1553917</v>
      </c>
      <c r="D12" s="40">
        <v>0.43076277000000002</v>
      </c>
      <c r="E12" s="40">
        <v>-1.3559817999999999</v>
      </c>
      <c r="F12" s="40">
        <v>21.751677999999998</v>
      </c>
      <c r="G12" s="40">
        <v>2.3276924999999999</v>
      </c>
      <c r="H12" s="40">
        <v>-1.2251198000000001</v>
      </c>
      <c r="I12" s="40">
        <v>28.670905999999999</v>
      </c>
      <c r="J12" s="40">
        <v>15.353764</v>
      </c>
      <c r="K12" s="47">
        <v>-5.1967916000000001</v>
      </c>
      <c r="L12" s="47">
        <v>7.3197722000000001</v>
      </c>
      <c r="M12" s="47">
        <v>-0.97266436000000001</v>
      </c>
      <c r="N12" s="47">
        <v>-11.355198</v>
      </c>
    </row>
    <row r="13" spans="1:14" x14ac:dyDescent="0.35">
      <c r="A13" s="2">
        <v>42152</v>
      </c>
      <c r="B13" s="40">
        <v>-5.5828629999999997</v>
      </c>
      <c r="C13" s="40">
        <v>-11.173463</v>
      </c>
      <c r="D13" s="40">
        <v>-6.6393849999999999</v>
      </c>
      <c r="E13" s="40">
        <v>-5.3289710000000001</v>
      </c>
      <c r="F13" s="40">
        <v>16.694403000000001</v>
      </c>
      <c r="G13" s="40">
        <v>3.6943315999999999</v>
      </c>
      <c r="H13" s="40">
        <v>-3.6404787999999999</v>
      </c>
      <c r="I13" s="40">
        <v>23.389731999999999</v>
      </c>
      <c r="J13" s="40">
        <v>13.181758</v>
      </c>
      <c r="K13" s="47">
        <v>-5.9517264000000001</v>
      </c>
      <c r="L13" s="47">
        <v>6.8382740000000002</v>
      </c>
      <c r="M13" s="47">
        <v>-2.8873682000000001</v>
      </c>
      <c r="N13" s="47">
        <v>-8.6057190000000006</v>
      </c>
    </row>
    <row r="14" spans="1:14" x14ac:dyDescent="0.35">
      <c r="A14" s="2">
        <v>42181</v>
      </c>
      <c r="B14" s="40">
        <v>-11.957497</v>
      </c>
      <c r="C14" s="40">
        <v>-14.214373</v>
      </c>
      <c r="D14" s="40">
        <v>-11.723077999999999</v>
      </c>
      <c r="E14" s="40">
        <v>-4.1546640000000004</v>
      </c>
      <c r="F14" s="40">
        <v>10.102855999999999</v>
      </c>
      <c r="G14" s="40">
        <v>1.3992906000000001</v>
      </c>
      <c r="H14" s="40">
        <v>-5.6070565999999999</v>
      </c>
      <c r="I14" s="40">
        <v>18.322431999999999</v>
      </c>
      <c r="J14" s="40">
        <v>9.4649315000000005</v>
      </c>
      <c r="K14" s="47">
        <v>-4.7129810000000001</v>
      </c>
      <c r="L14" s="47">
        <v>7.0798993000000001</v>
      </c>
      <c r="M14" s="47">
        <v>-1.4931619</v>
      </c>
      <c r="N14" s="47">
        <v>-7.3374930000000003</v>
      </c>
    </row>
    <row r="15" spans="1:14" x14ac:dyDescent="0.35">
      <c r="A15" s="2">
        <v>42213</v>
      </c>
      <c r="B15" s="40">
        <v>-10.946125</v>
      </c>
      <c r="C15" s="40">
        <v>-18.655640000000002</v>
      </c>
      <c r="D15" s="40">
        <v>-21.44078</v>
      </c>
      <c r="E15" s="40">
        <v>-4.2968273000000003</v>
      </c>
      <c r="F15" s="40">
        <v>5.7364464000000002</v>
      </c>
      <c r="G15" s="40">
        <v>2.6313781999999999</v>
      </c>
      <c r="H15" s="40">
        <v>-9.1654599999999995</v>
      </c>
      <c r="I15" s="40">
        <v>16.071213</v>
      </c>
      <c r="J15" s="40">
        <v>7.9062700000000001</v>
      </c>
      <c r="K15" s="47">
        <v>-3.0720649999999998</v>
      </c>
      <c r="L15" s="47">
        <v>9.4326019999999993</v>
      </c>
      <c r="M15" s="47">
        <v>-5.668253</v>
      </c>
      <c r="N15" s="47">
        <v>-6.1510142999999999</v>
      </c>
    </row>
    <row r="16" spans="1:14" x14ac:dyDescent="0.35">
      <c r="A16" s="2">
        <v>42244</v>
      </c>
      <c r="B16" s="40">
        <v>-15.653503000000001</v>
      </c>
      <c r="C16" s="40">
        <v>-25.381613000000002</v>
      </c>
      <c r="D16" s="40">
        <v>-24.693715999999998</v>
      </c>
      <c r="E16" s="40">
        <v>-7.5578510000000003</v>
      </c>
      <c r="F16" s="40">
        <v>5.2869200000000003</v>
      </c>
      <c r="G16" s="40">
        <v>-2.8544784000000001</v>
      </c>
      <c r="H16" s="40">
        <v>-13.050632999999999</v>
      </c>
      <c r="I16" s="40">
        <v>7.3865889999999998</v>
      </c>
      <c r="J16" s="40">
        <v>1.5246153</v>
      </c>
      <c r="K16" s="47">
        <v>-6.7452009999999998</v>
      </c>
      <c r="L16" s="47">
        <v>0.86373089999999997</v>
      </c>
      <c r="M16" s="47">
        <v>-6.5965294999999999</v>
      </c>
      <c r="N16" s="47">
        <v>-4.5933960000000003</v>
      </c>
    </row>
    <row r="17" spans="1:14" x14ac:dyDescent="0.35">
      <c r="A17" s="2">
        <v>42275</v>
      </c>
      <c r="B17" s="40">
        <v>-13.22447</v>
      </c>
      <c r="C17" s="40">
        <v>-22.609065999999999</v>
      </c>
      <c r="D17" s="40">
        <v>-26.420074</v>
      </c>
      <c r="E17" s="40">
        <v>-11.788183</v>
      </c>
      <c r="F17" s="40">
        <v>-3.8272620000000002</v>
      </c>
      <c r="G17" s="40">
        <v>-6.4208983999999996</v>
      </c>
      <c r="H17" s="40">
        <v>-15.166615999999999</v>
      </c>
      <c r="I17" s="40">
        <v>2.3199557999999998</v>
      </c>
      <c r="J17" s="40">
        <v>-3.0742050000000001</v>
      </c>
      <c r="K17" s="47">
        <v>-9.7929534999999994</v>
      </c>
      <c r="L17" s="47">
        <v>-4.3000699999999998</v>
      </c>
      <c r="M17" s="47">
        <v>-11.396444000000001</v>
      </c>
      <c r="N17" s="47">
        <v>-9.9829249999999998</v>
      </c>
    </row>
    <row r="18" spans="1:14" x14ac:dyDescent="0.35">
      <c r="A18" s="2">
        <v>42305</v>
      </c>
      <c r="B18" s="40">
        <v>-5.2868484999999996</v>
      </c>
      <c r="C18" s="40">
        <v>-19.143401999999998</v>
      </c>
      <c r="D18" s="40">
        <v>-17.612886</v>
      </c>
      <c r="E18" s="40">
        <v>2.4149417999999998</v>
      </c>
      <c r="F18" s="40">
        <v>11.615658</v>
      </c>
      <c r="G18" s="40">
        <v>1.2122512000000001</v>
      </c>
      <c r="H18" s="40">
        <v>-2.7882934000000001</v>
      </c>
      <c r="I18" s="40">
        <v>15.046322</v>
      </c>
      <c r="J18" s="40">
        <v>7.4442149999999998</v>
      </c>
      <c r="K18" s="47">
        <v>4.8624634999999996</v>
      </c>
      <c r="L18" s="47">
        <v>7.6412440000000004</v>
      </c>
      <c r="M18" s="47">
        <v>-2.7355133999999999</v>
      </c>
      <c r="N18" s="47">
        <v>3.2270074000000002</v>
      </c>
    </row>
    <row r="19" spans="1:14" x14ac:dyDescent="0.35">
      <c r="A19" s="2">
        <v>42335</v>
      </c>
      <c r="B19" s="40">
        <v>-7.5551690000000002</v>
      </c>
      <c r="C19" s="40">
        <v>-16.712409999999998</v>
      </c>
      <c r="D19" s="40">
        <v>-23.69265</v>
      </c>
      <c r="E19" s="40">
        <v>-4.3545904000000002</v>
      </c>
      <c r="F19" s="40">
        <v>8.2056280000000008</v>
      </c>
      <c r="G19" s="40">
        <v>-4.9206553</v>
      </c>
      <c r="H19" s="40">
        <v>-7.8596114999999998</v>
      </c>
      <c r="I19" s="40">
        <v>9.5020530000000001</v>
      </c>
      <c r="J19" s="40">
        <v>2.9678464</v>
      </c>
      <c r="K19" s="47">
        <v>-2.4861157</v>
      </c>
      <c r="L19" s="47">
        <v>2.0985602999999999</v>
      </c>
      <c r="M19" s="47">
        <v>-7.7594700000000003</v>
      </c>
      <c r="N19" s="47">
        <v>-1.7036259</v>
      </c>
    </row>
    <row r="20" spans="1:14" x14ac:dyDescent="0.35">
      <c r="A20" s="2">
        <v>42366</v>
      </c>
      <c r="B20" s="40">
        <v>-2.3683369999999999</v>
      </c>
      <c r="C20" s="40">
        <v>-11.322570000000001</v>
      </c>
      <c r="D20" s="40">
        <v>-23.431539999999998</v>
      </c>
      <c r="E20" s="40">
        <v>-3.4993349999999999</v>
      </c>
      <c r="F20" s="40">
        <v>6.2279463000000002</v>
      </c>
      <c r="G20" s="40">
        <v>-0.51982399999999995</v>
      </c>
      <c r="H20" s="40">
        <v>-7.9909562999999997</v>
      </c>
      <c r="I20" s="40">
        <v>8.2257390000000008</v>
      </c>
      <c r="J20" s="40">
        <v>0.49958229999999998</v>
      </c>
      <c r="K20" s="47">
        <v>-1.6164064</v>
      </c>
      <c r="L20" s="47">
        <v>0.84098580000000001</v>
      </c>
      <c r="M20" s="47">
        <v>-4.4515133000000002</v>
      </c>
      <c r="N20" s="47">
        <v>2.1418689999999998</v>
      </c>
    </row>
    <row r="21" spans="1:14" x14ac:dyDescent="0.35">
      <c r="A21" s="2">
        <v>42397</v>
      </c>
      <c r="B21" s="40">
        <v>-7.8116775000000001</v>
      </c>
      <c r="C21" s="40">
        <v>-16.733996999999999</v>
      </c>
      <c r="D21" s="40">
        <v>-21.426093999999999</v>
      </c>
      <c r="E21" s="40">
        <v>-11.712331000000001</v>
      </c>
      <c r="F21" s="40">
        <v>-1.9083380999999999</v>
      </c>
      <c r="G21" s="40">
        <v>-7.2830620000000001</v>
      </c>
      <c r="H21" s="40">
        <v>-14.468431000000001</v>
      </c>
      <c r="I21" s="40">
        <v>2.1033287000000001</v>
      </c>
      <c r="J21" s="40">
        <v>-3.5444200000000001</v>
      </c>
      <c r="K21" s="47">
        <v>-5.3261459999999996</v>
      </c>
      <c r="L21" s="47">
        <v>-1.7664850000000001</v>
      </c>
      <c r="M21" s="47">
        <v>-11.722458</v>
      </c>
      <c r="N21" s="47">
        <v>-10.227323</v>
      </c>
    </row>
    <row r="22" spans="1:14" x14ac:dyDescent="0.35">
      <c r="A22" s="2">
        <v>42426</v>
      </c>
      <c r="B22" s="40">
        <v>-6.4319189999999997</v>
      </c>
      <c r="C22" s="40">
        <v>-22.559196</v>
      </c>
      <c r="D22" s="40">
        <v>-20.985185999999999</v>
      </c>
      <c r="E22" s="40">
        <v>-18.659782</v>
      </c>
      <c r="F22" s="40">
        <v>-9.7038379999999993</v>
      </c>
      <c r="G22" s="40">
        <v>-12.5362215</v>
      </c>
      <c r="H22" s="40">
        <v>-19.012111999999998</v>
      </c>
      <c r="I22" s="40">
        <v>-4.0344477000000003</v>
      </c>
      <c r="J22" s="40">
        <v>-5.7858586000000001</v>
      </c>
      <c r="K22" s="47">
        <v>-11.910761000000001</v>
      </c>
      <c r="L22" s="47">
        <v>-9.6478819999999992</v>
      </c>
      <c r="M22" s="47">
        <v>-16.779482000000002</v>
      </c>
      <c r="N22" s="47">
        <v>-21.930800999999999</v>
      </c>
    </row>
    <row r="23" spans="1:14" x14ac:dyDescent="0.35">
      <c r="A23" s="2">
        <v>42457</v>
      </c>
      <c r="B23" s="40">
        <v>1.1260985999999999</v>
      </c>
      <c r="C23" s="40">
        <v>-13.134193</v>
      </c>
      <c r="D23" s="40">
        <v>-12.350357000000001</v>
      </c>
      <c r="E23" s="40">
        <v>-14.690935</v>
      </c>
      <c r="F23" s="40">
        <v>-8.3864099999999997</v>
      </c>
      <c r="G23" s="40">
        <v>-10.965294</v>
      </c>
      <c r="H23" s="40">
        <v>-12.226647</v>
      </c>
      <c r="I23" s="40">
        <v>2.6134371999999999</v>
      </c>
      <c r="J23" s="40">
        <v>0.91246366999999995</v>
      </c>
      <c r="K23" s="47">
        <v>-8.2917100000000001</v>
      </c>
      <c r="L23" s="47">
        <v>-2.7580439999999999</v>
      </c>
      <c r="M23" s="47">
        <v>-11.921996</v>
      </c>
      <c r="N23" s="47">
        <v>-16.632014999999999</v>
      </c>
    </row>
    <row r="24" spans="1:14" x14ac:dyDescent="0.35">
      <c r="A24" s="2">
        <v>42488</v>
      </c>
      <c r="B24" s="40">
        <v>5.6966780000000004</v>
      </c>
      <c r="C24" s="40">
        <v>-14.227676000000001</v>
      </c>
      <c r="D24" s="40">
        <v>-12.541800500000001</v>
      </c>
      <c r="E24" s="40">
        <v>-10.897040000000001</v>
      </c>
      <c r="F24" s="40">
        <v>-12.444364999999999</v>
      </c>
      <c r="G24" s="40">
        <v>-9.4643119999999996</v>
      </c>
      <c r="H24" s="40">
        <v>-12.938219</v>
      </c>
      <c r="I24" s="40">
        <v>-2.3640096000000002</v>
      </c>
      <c r="J24" s="40">
        <v>0.22486448000000001</v>
      </c>
      <c r="K24" s="47">
        <v>-7.4337125000000004</v>
      </c>
      <c r="L24" s="47">
        <v>-4.8714757000000004</v>
      </c>
      <c r="M24" s="47">
        <v>-8.549118</v>
      </c>
      <c r="N24" s="47">
        <v>-16.145557</v>
      </c>
    </row>
    <row r="25" spans="1:14" x14ac:dyDescent="0.35">
      <c r="A25" s="2">
        <v>42517</v>
      </c>
      <c r="B25" s="40">
        <v>12.448978</v>
      </c>
      <c r="C25" s="40">
        <v>-9.4662074999999994</v>
      </c>
      <c r="D25" s="40">
        <v>-9.5961630000000007</v>
      </c>
      <c r="E25" s="40">
        <v>-11.028528</v>
      </c>
      <c r="F25" s="40">
        <v>-10.306263</v>
      </c>
      <c r="G25" s="40">
        <v>-10.926437</v>
      </c>
      <c r="H25" s="40">
        <v>-12.646228000000001</v>
      </c>
      <c r="I25" s="40">
        <v>0.33400059999999998</v>
      </c>
      <c r="J25" s="40">
        <v>0.97230669999999997</v>
      </c>
      <c r="K25" s="47">
        <v>-8.0110969999999995</v>
      </c>
      <c r="L25" s="47">
        <v>-4.9966280000000003</v>
      </c>
      <c r="M25" s="47">
        <v>-10.385376000000001</v>
      </c>
      <c r="N25" s="47">
        <v>-20.105522000000001</v>
      </c>
    </row>
    <row r="26" spans="1:14" x14ac:dyDescent="0.35">
      <c r="A26" s="2">
        <v>42549</v>
      </c>
      <c r="B26" s="40">
        <v>22.723887999999999</v>
      </c>
      <c r="C26" s="40">
        <v>-8.1977189999999993</v>
      </c>
      <c r="D26" s="40">
        <v>-11.010909</v>
      </c>
      <c r="E26" s="40">
        <v>-18.202908000000001</v>
      </c>
      <c r="F26" s="40">
        <v>-11.124813</v>
      </c>
      <c r="G26" s="40">
        <v>-12.935961000000001</v>
      </c>
      <c r="H26" s="40">
        <v>-19.319856999999999</v>
      </c>
      <c r="I26" s="40">
        <v>-3.3232092999999998</v>
      </c>
      <c r="J26" s="40">
        <v>-1.0363579000000001</v>
      </c>
      <c r="K26" s="47">
        <v>-16.333406</v>
      </c>
      <c r="L26" s="47">
        <v>-15.418112000000001</v>
      </c>
      <c r="M26" s="47">
        <v>-17.318314000000001</v>
      </c>
      <c r="N26" s="47">
        <v>-32.011189999999999</v>
      </c>
    </row>
    <row r="27" spans="1:14" x14ac:dyDescent="0.35">
      <c r="A27" s="2">
        <v>42579</v>
      </c>
      <c r="B27" s="40">
        <v>33.821309999999997</v>
      </c>
      <c r="C27" s="40">
        <v>3.6465882999999999</v>
      </c>
      <c r="D27" s="40">
        <v>1.5532374</v>
      </c>
      <c r="E27" s="40">
        <v>-7.7985167999999998</v>
      </c>
      <c r="F27" s="40">
        <v>-5.7133016999999997</v>
      </c>
      <c r="G27" s="40">
        <v>-9.6427440000000004</v>
      </c>
      <c r="H27" s="40">
        <v>-10.957087</v>
      </c>
      <c r="I27" s="40">
        <v>4.6319127</v>
      </c>
      <c r="J27" s="40">
        <v>5.8198569999999998</v>
      </c>
      <c r="K27" s="47">
        <v>-7.6121387</v>
      </c>
      <c r="L27" s="47">
        <v>-7.610595</v>
      </c>
      <c r="M27" s="47">
        <v>-8.9837369999999996</v>
      </c>
      <c r="N27" s="47">
        <v>-26.800471999999999</v>
      </c>
    </row>
    <row r="28" spans="1:14" x14ac:dyDescent="0.35">
      <c r="A28" s="2">
        <v>42608</v>
      </c>
      <c r="B28" s="40">
        <v>49.413905999999997</v>
      </c>
      <c r="C28" s="40">
        <v>14.133929999999999</v>
      </c>
      <c r="D28" s="40">
        <v>12.731624</v>
      </c>
      <c r="E28" s="40">
        <v>1.1534572000000001</v>
      </c>
      <c r="F28" s="40">
        <v>3.1307936000000001</v>
      </c>
      <c r="G28" s="40">
        <v>-3.2033502999999999</v>
      </c>
      <c r="H28" s="40">
        <v>-1.7695725</v>
      </c>
      <c r="I28" s="40">
        <v>14.6246195</v>
      </c>
      <c r="J28" s="40">
        <v>14.184963</v>
      </c>
      <c r="K28" s="47">
        <v>-1.7810463999999999</v>
      </c>
      <c r="L28" s="47">
        <v>3.0100226000000001</v>
      </c>
      <c r="M28" s="47">
        <v>-6.7442656000000004E-2</v>
      </c>
      <c r="N28" s="47">
        <v>-22.212952000000001</v>
      </c>
    </row>
    <row r="29" spans="1:14" x14ac:dyDescent="0.35">
      <c r="A29" s="2">
        <v>42641</v>
      </c>
      <c r="B29" s="40">
        <v>49.346207</v>
      </c>
      <c r="C29" s="40">
        <v>23.498953</v>
      </c>
      <c r="D29" s="40">
        <v>17.542421000000001</v>
      </c>
      <c r="E29" s="40">
        <v>10.344815000000001</v>
      </c>
      <c r="F29" s="40">
        <v>13.355696</v>
      </c>
      <c r="G29" s="40">
        <v>6.2733650000000001</v>
      </c>
      <c r="H29" s="40">
        <v>3.4052967999999999</v>
      </c>
      <c r="I29" s="40">
        <v>20.055890000000002</v>
      </c>
      <c r="J29" s="40">
        <v>17.723692</v>
      </c>
      <c r="K29" s="47">
        <v>6.0586929999999999</v>
      </c>
      <c r="L29" s="47">
        <v>11.543846</v>
      </c>
      <c r="M29" s="47">
        <v>7.7700972999999998</v>
      </c>
      <c r="N29" s="47">
        <v>-18.393642</v>
      </c>
    </row>
    <row r="30" spans="1:14" x14ac:dyDescent="0.35">
      <c r="A30" s="2">
        <v>42671</v>
      </c>
      <c r="B30" s="40">
        <v>23.400258999999998</v>
      </c>
      <c r="C30" s="40">
        <v>8.3899500000000007</v>
      </c>
      <c r="D30" s="40">
        <v>7.0419669999999996</v>
      </c>
      <c r="E30" s="40">
        <v>-2.3649395000000002</v>
      </c>
      <c r="F30" s="40">
        <v>2.3382068</v>
      </c>
      <c r="G30" s="40">
        <v>-6.2692223</v>
      </c>
      <c r="H30" s="40">
        <v>-10.967625</v>
      </c>
      <c r="I30" s="40">
        <v>3.8640379999999999</v>
      </c>
      <c r="J30" s="40">
        <v>3.9212704</v>
      </c>
      <c r="K30" s="47">
        <v>-4.3629826999999999</v>
      </c>
      <c r="L30" s="47">
        <v>-0.31152368000000003</v>
      </c>
      <c r="M30" s="47">
        <v>-4.4159594000000002</v>
      </c>
      <c r="N30" s="47">
        <v>-22.044682000000002</v>
      </c>
    </row>
    <row r="31" spans="1:14" x14ac:dyDescent="0.35">
      <c r="A31" s="2">
        <v>42702</v>
      </c>
      <c r="B31" s="40">
        <v>23.127137999999999</v>
      </c>
      <c r="C31" s="40">
        <v>13.732314000000001</v>
      </c>
      <c r="D31" s="40">
        <v>14.496874999999999</v>
      </c>
      <c r="E31" s="40">
        <v>-6.8441510000000001</v>
      </c>
      <c r="F31" s="40">
        <v>1.5272855999999999</v>
      </c>
      <c r="G31" s="40">
        <v>-5.9624249999999996</v>
      </c>
      <c r="H31" s="40">
        <v>-9.0219919999999991</v>
      </c>
      <c r="I31" s="40">
        <v>4.8656819999999996</v>
      </c>
      <c r="J31" s="40">
        <v>7.4897289999999996</v>
      </c>
      <c r="K31" s="47">
        <v>-5.2393017000000004</v>
      </c>
      <c r="L31" s="47">
        <v>-3.8788260000000001</v>
      </c>
      <c r="M31" s="47">
        <v>-4.8048314999999997</v>
      </c>
      <c r="N31" s="47">
        <v>-25.160575999999999</v>
      </c>
    </row>
    <row r="32" spans="1:14" x14ac:dyDescent="0.35">
      <c r="A32" s="2">
        <v>42732</v>
      </c>
      <c r="B32" s="40">
        <v>12.225819</v>
      </c>
      <c r="C32" s="40">
        <v>12.653898999999999</v>
      </c>
      <c r="D32" s="40">
        <v>22.349547999999999</v>
      </c>
      <c r="E32" s="40">
        <v>0.35682916999999997</v>
      </c>
      <c r="F32" s="40">
        <v>3.7831663999999998</v>
      </c>
      <c r="G32" s="40">
        <v>-4.9121857000000002</v>
      </c>
      <c r="H32" s="40">
        <v>-3.4383773999999998</v>
      </c>
      <c r="I32" s="40">
        <v>7.7216982999999999</v>
      </c>
      <c r="J32" s="40">
        <v>11.703025999999999</v>
      </c>
      <c r="K32" s="47">
        <v>2.0879745000000001</v>
      </c>
      <c r="L32" s="47">
        <v>1.5632153</v>
      </c>
      <c r="M32" s="47">
        <v>-5.8746338000000002E-2</v>
      </c>
      <c r="N32" s="47">
        <v>-11.915398</v>
      </c>
    </row>
    <row r="33" spans="1:14" x14ac:dyDescent="0.35">
      <c r="A33" s="2">
        <v>42762</v>
      </c>
      <c r="B33" s="40">
        <v>32.269108000000003</v>
      </c>
      <c r="C33" s="40">
        <v>30.390549</v>
      </c>
      <c r="D33" s="40">
        <v>38.340029999999999</v>
      </c>
      <c r="E33" s="40">
        <v>17.332339999999999</v>
      </c>
      <c r="F33" s="40">
        <v>15.598226</v>
      </c>
      <c r="G33" s="40">
        <v>9.2733270000000001</v>
      </c>
      <c r="H33" s="40">
        <v>10.536956999999999</v>
      </c>
      <c r="I33" s="40">
        <v>26.471817000000001</v>
      </c>
      <c r="J33" s="40">
        <v>24.325752000000001</v>
      </c>
      <c r="K33" s="47">
        <v>13.413107</v>
      </c>
      <c r="L33" s="47">
        <v>12.233817999999999</v>
      </c>
      <c r="M33" s="47">
        <v>14.757895</v>
      </c>
      <c r="N33" s="47">
        <v>4.9610734000000001</v>
      </c>
    </row>
    <row r="34" spans="1:14" x14ac:dyDescent="0.35">
      <c r="A34" s="2">
        <v>42794</v>
      </c>
      <c r="B34" s="40">
        <v>23.936032999999998</v>
      </c>
      <c r="C34" s="40">
        <v>32.118270000000003</v>
      </c>
      <c r="D34" s="40">
        <v>25.616014</v>
      </c>
      <c r="E34" s="40">
        <v>19.232199999999999</v>
      </c>
      <c r="F34" s="40">
        <v>18.088018000000002</v>
      </c>
      <c r="G34" s="40">
        <v>11.724615</v>
      </c>
      <c r="H34" s="40">
        <v>11.167657999999999</v>
      </c>
      <c r="I34" s="40">
        <v>27.112542999999999</v>
      </c>
      <c r="J34" s="40">
        <v>23.817910000000001</v>
      </c>
      <c r="K34" s="47">
        <v>12.671756999999999</v>
      </c>
      <c r="L34" s="47">
        <v>15.049099999999999</v>
      </c>
      <c r="M34" s="47">
        <v>14.393352999999999</v>
      </c>
      <c r="N34" s="47">
        <v>8.4287639999999993</v>
      </c>
    </row>
    <row r="35" spans="1:14" x14ac:dyDescent="0.35">
      <c r="A35" s="2">
        <v>42822</v>
      </c>
      <c r="B35" s="40">
        <v>9.6434479999999994</v>
      </c>
      <c r="C35" s="40">
        <v>21.403621999999999</v>
      </c>
      <c r="D35" s="40">
        <v>17.577553000000002</v>
      </c>
      <c r="E35" s="40">
        <v>16.958068999999998</v>
      </c>
      <c r="F35" s="40">
        <v>15.829134</v>
      </c>
      <c r="G35" s="40">
        <v>12.833857999999999</v>
      </c>
      <c r="H35" s="40">
        <v>8.9133259999999996</v>
      </c>
      <c r="I35" s="40">
        <v>24.165869000000001</v>
      </c>
      <c r="J35" s="40">
        <v>18.182827</v>
      </c>
      <c r="K35" s="47">
        <v>15.089010999999999</v>
      </c>
      <c r="L35" s="47">
        <v>14.160705</v>
      </c>
      <c r="M35" s="47">
        <v>15.0002365</v>
      </c>
      <c r="N35" s="47">
        <v>10.493468999999999</v>
      </c>
    </row>
    <row r="36" spans="1:14" x14ac:dyDescent="0.35">
      <c r="A36" s="2">
        <v>42853</v>
      </c>
      <c r="B36" s="40">
        <v>7.6562405</v>
      </c>
      <c r="C36" s="40">
        <v>17.702663000000001</v>
      </c>
      <c r="D36" s="40">
        <v>5.8313490000000003</v>
      </c>
      <c r="E36" s="40">
        <v>15.283023999999999</v>
      </c>
      <c r="F36" s="40">
        <v>14.766895</v>
      </c>
      <c r="G36" s="40">
        <v>11.479545</v>
      </c>
      <c r="H36" s="40">
        <v>5.2861213999999999</v>
      </c>
      <c r="I36" s="40">
        <v>29.270626</v>
      </c>
      <c r="J36" s="40">
        <v>17.143844999999999</v>
      </c>
      <c r="K36" s="47">
        <v>16.032768000000001</v>
      </c>
      <c r="L36" s="47">
        <v>16.296112000000001</v>
      </c>
      <c r="M36" s="47">
        <v>13.02272</v>
      </c>
      <c r="N36" s="47">
        <v>8.4305760000000003</v>
      </c>
    </row>
    <row r="37" spans="1:14" x14ac:dyDescent="0.35">
      <c r="A37" s="2">
        <v>42881</v>
      </c>
      <c r="B37" s="40">
        <v>12.167358</v>
      </c>
      <c r="C37" s="40">
        <v>15.362465</v>
      </c>
      <c r="D37" s="40">
        <v>8.6000440000000005</v>
      </c>
      <c r="E37" s="40">
        <v>20.970189999999999</v>
      </c>
      <c r="F37" s="40">
        <v>15.581142</v>
      </c>
      <c r="G37" s="40">
        <v>16.371845</v>
      </c>
      <c r="H37" s="40">
        <v>8.7434180000000001</v>
      </c>
      <c r="I37" s="40">
        <v>30.223274</v>
      </c>
      <c r="J37" s="40">
        <v>17.854773999999999</v>
      </c>
      <c r="K37" s="47">
        <v>21.672153000000002</v>
      </c>
      <c r="L37" s="47">
        <v>21.035803000000001</v>
      </c>
      <c r="M37" s="47">
        <v>18.985199000000001</v>
      </c>
      <c r="N37" s="47">
        <v>19.481743000000002</v>
      </c>
    </row>
    <row r="38" spans="1:14" x14ac:dyDescent="0.35">
      <c r="A38" s="2">
        <v>42914</v>
      </c>
      <c r="B38" s="40">
        <v>17.3154</v>
      </c>
      <c r="C38" s="40">
        <v>20.937908</v>
      </c>
      <c r="D38" s="40">
        <v>14.529324000000001</v>
      </c>
      <c r="E38" s="40">
        <v>34.639620000000001</v>
      </c>
      <c r="F38" s="40">
        <v>20.077466999999999</v>
      </c>
      <c r="G38" s="40">
        <v>23.824860000000001</v>
      </c>
      <c r="H38" s="40">
        <v>18.898605</v>
      </c>
      <c r="I38" s="40">
        <v>35.426903000000003</v>
      </c>
      <c r="J38" s="40">
        <v>22.268152000000001</v>
      </c>
      <c r="K38" s="47">
        <v>35.678269999999998</v>
      </c>
      <c r="L38" s="47">
        <v>34.952089999999998</v>
      </c>
      <c r="M38" s="47">
        <v>31.913816000000001</v>
      </c>
      <c r="N38" s="47">
        <v>39.515909999999998</v>
      </c>
    </row>
    <row r="39" spans="1:14" x14ac:dyDescent="0.35">
      <c r="A39" s="2">
        <v>42944</v>
      </c>
      <c r="B39" s="40">
        <v>9.9616889999999998</v>
      </c>
      <c r="C39" s="40">
        <v>15.164911</v>
      </c>
      <c r="D39" s="40">
        <v>13.735676</v>
      </c>
      <c r="E39" s="40">
        <v>23.125256</v>
      </c>
      <c r="F39" s="40">
        <v>17.248702999999999</v>
      </c>
      <c r="G39" s="40">
        <v>18.112862</v>
      </c>
      <c r="H39" s="40">
        <v>13.264298</v>
      </c>
      <c r="I39" s="40">
        <v>26.392782</v>
      </c>
      <c r="J39" s="40">
        <v>16.223717000000001</v>
      </c>
      <c r="K39" s="47">
        <v>26.598942000000001</v>
      </c>
      <c r="L39" s="47">
        <v>31.622160000000001</v>
      </c>
      <c r="M39" s="47">
        <v>26.029575000000001</v>
      </c>
      <c r="N39" s="47">
        <v>38.449109999999997</v>
      </c>
    </row>
    <row r="40" spans="1:14" x14ac:dyDescent="0.35">
      <c r="A40" s="2">
        <v>42975</v>
      </c>
      <c r="B40" s="40">
        <v>5.8377743000000004</v>
      </c>
      <c r="C40" s="40">
        <v>14.982891</v>
      </c>
      <c r="D40" s="40">
        <v>9.8673579999999994</v>
      </c>
      <c r="E40" s="40">
        <v>21.326065</v>
      </c>
      <c r="F40" s="40">
        <v>13.365292999999999</v>
      </c>
      <c r="G40" s="40">
        <v>15.9753685</v>
      </c>
      <c r="H40" s="40">
        <v>10.387802000000001</v>
      </c>
      <c r="I40" s="40">
        <v>23.207438</v>
      </c>
      <c r="J40" s="40">
        <v>14.846754000000001</v>
      </c>
      <c r="K40" s="47">
        <v>27.286697</v>
      </c>
      <c r="L40" s="47">
        <v>27.154266</v>
      </c>
      <c r="M40" s="47">
        <v>23.010719999999999</v>
      </c>
      <c r="N40" s="47">
        <v>39.859569999999998</v>
      </c>
    </row>
    <row r="41" spans="1:14" x14ac:dyDescent="0.35">
      <c r="A41" s="2">
        <v>43006</v>
      </c>
      <c r="B41" s="40">
        <v>7.4148297000000003</v>
      </c>
      <c r="C41" s="40">
        <v>11.783467999999999</v>
      </c>
      <c r="D41" s="40">
        <v>14.759434000000001</v>
      </c>
      <c r="E41" s="40">
        <v>24.5502</v>
      </c>
      <c r="F41" s="40">
        <v>12.087584</v>
      </c>
      <c r="G41" s="40">
        <v>14.704179999999999</v>
      </c>
      <c r="H41" s="40">
        <v>13.299251</v>
      </c>
      <c r="I41" s="40">
        <v>22.878706000000001</v>
      </c>
      <c r="J41" s="40">
        <v>17.899967</v>
      </c>
      <c r="K41" s="47">
        <v>28.808498</v>
      </c>
      <c r="L41" s="47">
        <v>27.628921999999999</v>
      </c>
      <c r="M41" s="47">
        <v>25.619433999999998</v>
      </c>
      <c r="N41" s="47">
        <v>45.529305000000001</v>
      </c>
    </row>
    <row r="42" spans="1:14" x14ac:dyDescent="0.35">
      <c r="A42" s="2">
        <v>43035</v>
      </c>
      <c r="B42" s="40">
        <v>12.532436000000001</v>
      </c>
      <c r="C42" s="40">
        <v>18.086672</v>
      </c>
      <c r="D42" s="40">
        <v>15.085101</v>
      </c>
      <c r="E42" s="40">
        <v>29.415057999999998</v>
      </c>
      <c r="F42" s="40">
        <v>18.027664000000001</v>
      </c>
      <c r="G42" s="40">
        <v>20.225037</v>
      </c>
      <c r="H42" s="40">
        <v>19.670057</v>
      </c>
      <c r="I42" s="40">
        <v>29.629539999999999</v>
      </c>
      <c r="J42" s="40">
        <v>23.341691999999998</v>
      </c>
      <c r="K42" s="47">
        <v>33.278239999999997</v>
      </c>
      <c r="L42" s="47">
        <v>32.305370000000003</v>
      </c>
      <c r="M42" s="47">
        <v>31.282055</v>
      </c>
      <c r="N42" s="47">
        <v>38.689210000000003</v>
      </c>
    </row>
    <row r="43" spans="1:14" x14ac:dyDescent="0.35">
      <c r="A43" s="2">
        <v>43067</v>
      </c>
      <c r="B43" s="40">
        <v>14.544295999999999</v>
      </c>
      <c r="C43" s="40">
        <v>16.107237000000001</v>
      </c>
      <c r="D43" s="40">
        <v>14.295793</v>
      </c>
      <c r="E43" s="40">
        <v>37.104819999999997</v>
      </c>
      <c r="F43" s="40">
        <v>22.324179999999998</v>
      </c>
      <c r="G43" s="40">
        <v>27.281797000000001</v>
      </c>
      <c r="H43" s="40">
        <v>21.68045</v>
      </c>
      <c r="I43" s="40">
        <v>33.433757999999997</v>
      </c>
      <c r="J43" s="40">
        <v>21.640014999999998</v>
      </c>
      <c r="K43" s="47">
        <v>38.626216999999997</v>
      </c>
      <c r="L43" s="47">
        <v>38.763855</v>
      </c>
      <c r="M43" s="47">
        <v>29.978560999999999</v>
      </c>
      <c r="N43" s="47">
        <v>52.192627000000002</v>
      </c>
    </row>
    <row r="44" spans="1:14" x14ac:dyDescent="0.35">
      <c r="A44" s="2">
        <v>43097</v>
      </c>
      <c r="B44" s="40">
        <v>24.604939999999999</v>
      </c>
      <c r="C44" s="40">
        <v>20.096184000000001</v>
      </c>
      <c r="D44" s="40">
        <v>16.244316000000001</v>
      </c>
      <c r="E44" s="40">
        <v>29.415189999999999</v>
      </c>
      <c r="F44" s="40">
        <v>22.739483</v>
      </c>
      <c r="G44" s="40">
        <v>24.578308</v>
      </c>
      <c r="H44" s="40">
        <v>22.350574000000002</v>
      </c>
      <c r="I44" s="40">
        <v>31.931759</v>
      </c>
      <c r="J44" s="40">
        <v>21.687328000000001</v>
      </c>
      <c r="K44" s="47">
        <v>31.359922000000001</v>
      </c>
      <c r="L44" s="47">
        <v>35.107100000000003</v>
      </c>
      <c r="M44" s="47">
        <v>23.242986999999999</v>
      </c>
      <c r="N44" s="47">
        <v>31.535793000000002</v>
      </c>
    </row>
    <row r="45" spans="1:14" x14ac:dyDescent="0.35">
      <c r="A45" s="2">
        <v>43126</v>
      </c>
      <c r="B45" s="40">
        <v>17.491758000000001</v>
      </c>
      <c r="C45" s="40">
        <v>18.307507000000001</v>
      </c>
      <c r="D45" s="40">
        <v>12.710535</v>
      </c>
      <c r="E45" s="40">
        <v>30.754470000000001</v>
      </c>
      <c r="F45" s="40">
        <v>27.849174000000001</v>
      </c>
      <c r="G45" s="40">
        <v>25.519107999999999</v>
      </c>
      <c r="H45" s="40">
        <v>24.759626000000001</v>
      </c>
      <c r="I45" s="40">
        <v>37.376021999999999</v>
      </c>
      <c r="J45" s="40">
        <v>27.388168</v>
      </c>
      <c r="K45" s="47">
        <v>36.68573</v>
      </c>
      <c r="L45" s="47">
        <v>39.839911999999998</v>
      </c>
      <c r="M45" s="47">
        <v>23.974250000000001</v>
      </c>
      <c r="N45" s="47">
        <v>44.272922999999999</v>
      </c>
    </row>
    <row r="46" spans="1:14" x14ac:dyDescent="0.35">
      <c r="A46" s="2">
        <v>43159</v>
      </c>
      <c r="B46" s="40">
        <v>16.050315999999999</v>
      </c>
      <c r="C46" s="40">
        <v>8.8655950000000008</v>
      </c>
      <c r="D46" s="40">
        <v>6.324649</v>
      </c>
      <c r="E46" s="40">
        <v>20.439768000000001</v>
      </c>
      <c r="F46" s="40">
        <v>20.779312000000001</v>
      </c>
      <c r="G46" s="40">
        <v>14.905346</v>
      </c>
      <c r="H46" s="40">
        <v>13.1853695</v>
      </c>
      <c r="I46" s="40">
        <v>29.776489999999999</v>
      </c>
      <c r="J46" s="40">
        <v>17.105639</v>
      </c>
      <c r="K46" s="47">
        <v>29.565083999999999</v>
      </c>
      <c r="L46" s="47">
        <v>27.238571</v>
      </c>
      <c r="M46" s="47">
        <v>15.597581999999999</v>
      </c>
      <c r="N46" s="47">
        <v>37.273919999999997</v>
      </c>
    </row>
    <row r="47" spans="1:14" x14ac:dyDescent="0.35">
      <c r="A47" s="2">
        <v>43187</v>
      </c>
      <c r="B47" s="40">
        <v>21.491790000000002</v>
      </c>
      <c r="C47" s="40">
        <v>1.6887068999999999</v>
      </c>
      <c r="D47" s="40">
        <v>3.0675530000000002</v>
      </c>
      <c r="E47" s="40">
        <v>11.960578</v>
      </c>
      <c r="F47" s="40">
        <v>15.991735</v>
      </c>
      <c r="G47" s="40">
        <v>8.7778569999999991</v>
      </c>
      <c r="H47" s="40">
        <v>10.906243</v>
      </c>
      <c r="I47" s="40">
        <v>20.492971000000001</v>
      </c>
      <c r="J47" s="40">
        <v>12.517333000000001</v>
      </c>
      <c r="K47" s="47">
        <v>19.800615000000001</v>
      </c>
      <c r="L47" s="47">
        <v>19.788837000000001</v>
      </c>
      <c r="M47" s="47">
        <v>7.1835636999999997</v>
      </c>
      <c r="N47" s="47">
        <v>26.248539000000001</v>
      </c>
    </row>
    <row r="48" spans="1:14" x14ac:dyDescent="0.35">
      <c r="A48" s="2">
        <v>43217</v>
      </c>
      <c r="B48" s="40">
        <v>17.193449000000001</v>
      </c>
      <c r="C48" s="40">
        <v>4.6216606999999996</v>
      </c>
      <c r="D48" s="40">
        <v>9.9081880000000009</v>
      </c>
      <c r="E48" s="40">
        <v>12.470091</v>
      </c>
      <c r="F48" s="40">
        <v>18.175816000000001</v>
      </c>
      <c r="G48" s="40">
        <v>4.7405242999999997</v>
      </c>
      <c r="H48" s="40">
        <v>13.993299499999999</v>
      </c>
      <c r="I48" s="40">
        <v>20.441268999999998</v>
      </c>
      <c r="J48" s="40">
        <v>13.844894999999999</v>
      </c>
      <c r="K48" s="47">
        <v>19.372236000000001</v>
      </c>
      <c r="L48" s="47">
        <v>17.284465999999998</v>
      </c>
      <c r="M48" s="47">
        <v>4.4814587000000001</v>
      </c>
      <c r="N48" s="47">
        <v>30.374468</v>
      </c>
    </row>
    <row r="49" spans="1:14" x14ac:dyDescent="0.35">
      <c r="A49" s="2">
        <v>43245</v>
      </c>
      <c r="B49" s="40">
        <v>13.247908000000001</v>
      </c>
      <c r="C49" s="40">
        <v>8.508146</v>
      </c>
      <c r="D49" s="40">
        <v>11.625147</v>
      </c>
      <c r="E49" s="40">
        <v>6.2983035999999997</v>
      </c>
      <c r="F49" s="40">
        <v>14.624357</v>
      </c>
      <c r="G49" s="40">
        <v>-0.52510500000000004</v>
      </c>
      <c r="H49" s="40">
        <v>8.5830330000000004</v>
      </c>
      <c r="I49" s="40">
        <v>21.440971000000001</v>
      </c>
      <c r="J49" s="40">
        <v>14.713049</v>
      </c>
      <c r="K49" s="47">
        <v>11.922872999999999</v>
      </c>
      <c r="L49" s="47">
        <v>10.003435</v>
      </c>
      <c r="M49" s="47">
        <v>0.93491080000000004</v>
      </c>
      <c r="N49" s="47">
        <v>10.0389</v>
      </c>
    </row>
    <row r="50" spans="1:14" x14ac:dyDescent="0.35">
      <c r="A50" s="2">
        <v>43279</v>
      </c>
      <c r="B50" s="40">
        <v>8.2580200000000001</v>
      </c>
      <c r="C50" s="40">
        <v>7.9710007000000003</v>
      </c>
      <c r="D50" s="40">
        <v>6.4377665999999998</v>
      </c>
      <c r="E50" s="40">
        <v>-1.8156528000000001</v>
      </c>
      <c r="F50" s="40">
        <v>9.1415520000000008</v>
      </c>
      <c r="G50" s="40">
        <v>-5.3072452999999999</v>
      </c>
      <c r="H50" s="40">
        <v>7.5231669999999999</v>
      </c>
      <c r="I50" s="40">
        <v>23.250664</v>
      </c>
      <c r="J50" s="40">
        <v>13.327669999999999</v>
      </c>
      <c r="K50" s="47">
        <v>5.5457710000000002</v>
      </c>
      <c r="L50" s="47">
        <v>5.6641339999999998</v>
      </c>
      <c r="M50" s="47">
        <v>-6.3806114000000003</v>
      </c>
      <c r="N50" s="47">
        <v>4.5040607000000001</v>
      </c>
    </row>
    <row r="51" spans="1:14" x14ac:dyDescent="0.35">
      <c r="A51" s="2">
        <v>43308</v>
      </c>
      <c r="B51" s="40">
        <v>5.4708360000000003</v>
      </c>
      <c r="C51" s="40">
        <v>4.8335670000000004</v>
      </c>
      <c r="D51" s="40">
        <v>6.7534923999999998</v>
      </c>
      <c r="E51" s="40">
        <v>4.9911620000000001</v>
      </c>
      <c r="F51" s="40">
        <v>10.798883</v>
      </c>
      <c r="G51" s="40">
        <v>2.8054475999999999</v>
      </c>
      <c r="H51" s="40">
        <v>6.7061185999999999</v>
      </c>
      <c r="I51" s="40">
        <v>24.380123000000001</v>
      </c>
      <c r="J51" s="40">
        <v>15.965985999999999</v>
      </c>
      <c r="K51" s="47">
        <v>9.2999220000000005</v>
      </c>
      <c r="L51" s="47">
        <v>6.0448766000000003</v>
      </c>
      <c r="M51" s="47">
        <v>-0.59842470000000003</v>
      </c>
      <c r="N51" s="47">
        <v>2.7049303</v>
      </c>
    </row>
    <row r="52" spans="1:14" x14ac:dyDescent="0.35">
      <c r="A52" s="2">
        <v>43340</v>
      </c>
      <c r="B52" s="40">
        <v>8.6715339999999994</v>
      </c>
      <c r="C52" s="40">
        <v>4.8353552999999998</v>
      </c>
      <c r="D52" s="40">
        <v>7.9985379999999999</v>
      </c>
      <c r="E52" s="40">
        <v>1.8808722</v>
      </c>
      <c r="F52" s="40">
        <v>8.6921579999999992</v>
      </c>
      <c r="G52" s="40">
        <v>4.2126060000000001</v>
      </c>
      <c r="H52" s="40">
        <v>5.7398676999999996</v>
      </c>
      <c r="I52" s="40">
        <v>30.681954999999999</v>
      </c>
      <c r="J52" s="40">
        <v>20.753325</v>
      </c>
      <c r="K52" s="47">
        <v>9.1433759999999999</v>
      </c>
      <c r="L52" s="47">
        <v>5.2772044999999999</v>
      </c>
      <c r="M52" s="47">
        <v>-1.6611516</v>
      </c>
      <c r="N52" s="47">
        <v>-5.7255149999999997</v>
      </c>
    </row>
    <row r="53" spans="1:14" x14ac:dyDescent="0.35">
      <c r="A53" s="2">
        <v>43371</v>
      </c>
      <c r="B53" s="40">
        <v>6.7557573</v>
      </c>
      <c r="C53" s="40">
        <v>3.3913373999999998</v>
      </c>
      <c r="D53" s="40">
        <v>1.5204667999999999</v>
      </c>
      <c r="E53" s="40">
        <v>-4.6081304999999997</v>
      </c>
      <c r="F53" s="40">
        <v>9.7099069999999994</v>
      </c>
      <c r="G53" s="40">
        <v>2.537191</v>
      </c>
      <c r="H53" s="40">
        <v>2.6582599</v>
      </c>
      <c r="I53" s="40">
        <v>29.643906000000001</v>
      </c>
      <c r="J53" s="40">
        <v>18.240929000000001</v>
      </c>
      <c r="K53" s="47">
        <v>5.1460623999999999</v>
      </c>
      <c r="L53" s="47">
        <v>-0.69320199999999998</v>
      </c>
      <c r="M53" s="47">
        <v>-2.5199413000000002</v>
      </c>
      <c r="N53" s="47">
        <v>-8.0644369999999999</v>
      </c>
    </row>
    <row r="54" spans="1:14" x14ac:dyDescent="0.35">
      <c r="A54" s="2">
        <v>43399</v>
      </c>
      <c r="B54" s="40">
        <v>0.57024956000000004</v>
      </c>
      <c r="C54" s="40">
        <v>-8.1027389999999997</v>
      </c>
      <c r="D54" s="40">
        <v>-6.4311084999999997</v>
      </c>
      <c r="E54" s="40">
        <v>-15.889203999999999</v>
      </c>
      <c r="F54" s="40">
        <v>-5.5586042000000004</v>
      </c>
      <c r="G54" s="40">
        <v>-3.5609185999999999</v>
      </c>
      <c r="H54" s="40">
        <v>-6.073099</v>
      </c>
      <c r="I54" s="40">
        <v>14.277113</v>
      </c>
      <c r="J54" s="40">
        <v>5.6895255999999996</v>
      </c>
      <c r="K54" s="47">
        <v>-7.8504560000000003</v>
      </c>
      <c r="L54" s="47">
        <v>-11.246103</v>
      </c>
      <c r="M54" s="47">
        <v>-14.568156</v>
      </c>
      <c r="N54" s="47">
        <v>-16.736746</v>
      </c>
    </row>
    <row r="55" spans="1:14" x14ac:dyDescent="0.35">
      <c r="A55" s="2">
        <v>43432</v>
      </c>
      <c r="B55" s="40">
        <v>8.0269809999999993</v>
      </c>
      <c r="C55" s="40">
        <v>-3.905481</v>
      </c>
      <c r="D55" s="40">
        <v>-6.6241263999999997</v>
      </c>
      <c r="E55" s="40">
        <v>-15.840328</v>
      </c>
      <c r="F55" s="40">
        <v>-6.1378300000000001</v>
      </c>
      <c r="G55" s="40">
        <v>-3.0884564000000001</v>
      </c>
      <c r="H55" s="40">
        <v>-5.0754127999999996</v>
      </c>
      <c r="I55" s="40">
        <v>8.5620770000000004</v>
      </c>
      <c r="J55" s="40">
        <v>6.3575625000000002</v>
      </c>
      <c r="K55" s="47">
        <v>-7.7689050000000002</v>
      </c>
      <c r="L55" s="47">
        <v>-7.4030933000000001</v>
      </c>
      <c r="M55" s="47">
        <v>-11.075937</v>
      </c>
      <c r="N55" s="47">
        <v>-14.305204</v>
      </c>
    </row>
    <row r="56" spans="1:14" x14ac:dyDescent="0.35">
      <c r="A56" s="2">
        <v>43462</v>
      </c>
      <c r="B56" s="40">
        <v>0.20328760000000001</v>
      </c>
      <c r="C56" s="40">
        <v>-12.100123999999999</v>
      </c>
      <c r="D56" s="40">
        <v>-17.481888000000001</v>
      </c>
      <c r="E56" s="40">
        <v>-22.053802000000001</v>
      </c>
      <c r="F56" s="40">
        <v>-13.783664</v>
      </c>
      <c r="G56" s="40">
        <v>-9.4943760000000008</v>
      </c>
      <c r="H56" s="40">
        <v>-13.686102999999999</v>
      </c>
      <c r="I56" s="40">
        <v>-1.5645564000000001</v>
      </c>
      <c r="J56" s="40">
        <v>-5.7425139999999999</v>
      </c>
      <c r="K56" s="47">
        <v>-13.676368999999999</v>
      </c>
      <c r="L56" s="47">
        <v>-15.912258</v>
      </c>
      <c r="M56" s="47">
        <v>-14.262128000000001</v>
      </c>
      <c r="N56" s="47">
        <v>-18.146222999999999</v>
      </c>
    </row>
    <row r="57" spans="1:14" x14ac:dyDescent="0.35">
      <c r="A57" s="2">
        <v>43493</v>
      </c>
      <c r="B57" s="40">
        <v>2.6671885999999998</v>
      </c>
      <c r="C57" s="40">
        <v>-10.271704</v>
      </c>
      <c r="D57" s="40">
        <v>-10.193390000000001</v>
      </c>
      <c r="E57" s="40">
        <v>-22.396702000000001</v>
      </c>
      <c r="F57" s="40">
        <v>-15.930657999999999</v>
      </c>
      <c r="G57" s="40">
        <v>-10.285461</v>
      </c>
      <c r="H57" s="40">
        <v>-15.268230000000001</v>
      </c>
      <c r="I57" s="40">
        <v>-3.7591039999999998</v>
      </c>
      <c r="J57" s="40">
        <v>-6.2029180000000004</v>
      </c>
      <c r="K57" s="47">
        <v>-16.171413000000001</v>
      </c>
      <c r="L57" s="47">
        <v>-15.883516999999999</v>
      </c>
      <c r="M57" s="47">
        <v>-15.872263999999999</v>
      </c>
      <c r="N57" s="47">
        <v>-21.761972</v>
      </c>
    </row>
    <row r="58" spans="1:14" x14ac:dyDescent="0.35">
      <c r="A58" s="2">
        <v>43524</v>
      </c>
      <c r="B58" s="40">
        <v>6.1311363999999999</v>
      </c>
      <c r="C58" s="40">
        <v>-1.2551844000000001</v>
      </c>
      <c r="D58" s="40">
        <v>2.7028799999999999</v>
      </c>
      <c r="E58" s="40">
        <v>-13.786173</v>
      </c>
      <c r="F58" s="40">
        <v>-9.5945060000000009</v>
      </c>
      <c r="G58" s="40">
        <v>1.4801979000000001</v>
      </c>
      <c r="H58" s="40">
        <v>-1.7200588999999999</v>
      </c>
      <c r="I58" s="40">
        <v>4.4618845</v>
      </c>
      <c r="J58" s="40">
        <v>4.5495749999999999</v>
      </c>
      <c r="K58" s="47">
        <v>-4.8342586000000001</v>
      </c>
      <c r="L58" s="47">
        <v>-4.850352</v>
      </c>
      <c r="M58" s="47">
        <v>-6.8861127</v>
      </c>
      <c r="N58" s="47">
        <v>-10.856366</v>
      </c>
    </row>
    <row r="59" spans="1:14" x14ac:dyDescent="0.35">
      <c r="A59" s="2">
        <v>43552</v>
      </c>
      <c r="B59" s="40">
        <v>10.195231</v>
      </c>
      <c r="C59" s="40">
        <v>3.6120296000000001</v>
      </c>
      <c r="D59" s="40">
        <v>4.3738245999999998</v>
      </c>
      <c r="E59" s="40">
        <v>-13.096989000000001</v>
      </c>
      <c r="F59" s="40">
        <v>-7.1983695000000001</v>
      </c>
      <c r="G59" s="40">
        <v>5.1421640000000002</v>
      </c>
      <c r="H59" s="40">
        <v>-0.40250419999999998</v>
      </c>
      <c r="I59" s="40">
        <v>14.380646</v>
      </c>
      <c r="J59" s="40">
        <v>10.143971000000001</v>
      </c>
      <c r="K59" s="47">
        <v>-3.7937998999999998</v>
      </c>
      <c r="L59" s="47">
        <v>-4.8375789999999999</v>
      </c>
      <c r="M59" s="47">
        <v>-3.5150527999999999</v>
      </c>
      <c r="N59" s="47">
        <v>-10.092157</v>
      </c>
    </row>
    <row r="60" spans="1:14" x14ac:dyDescent="0.35">
      <c r="A60" s="2">
        <v>43581</v>
      </c>
      <c r="B60" s="40">
        <v>13.34455</v>
      </c>
      <c r="C60" s="40">
        <v>4.3678879999999998</v>
      </c>
      <c r="D60" s="40">
        <v>3.8315058</v>
      </c>
      <c r="E60" s="40">
        <v>-10.119664999999999</v>
      </c>
      <c r="F60" s="40">
        <v>-7.6835035999999999</v>
      </c>
      <c r="G60" s="40">
        <v>8.3309060000000006</v>
      </c>
      <c r="H60" s="40">
        <v>-3.5812200000000001</v>
      </c>
      <c r="I60" s="40">
        <v>18.717860999999999</v>
      </c>
      <c r="J60" s="40">
        <v>12.325811</v>
      </c>
      <c r="K60" s="47">
        <v>-3.9221764000000001</v>
      </c>
      <c r="L60" s="47">
        <v>-1.4939427000000001</v>
      </c>
      <c r="M60" s="47">
        <v>1.39575</v>
      </c>
      <c r="N60" s="47">
        <v>-14.295458999999999</v>
      </c>
    </row>
    <row r="61" spans="1:14" x14ac:dyDescent="0.35">
      <c r="A61" s="2">
        <v>43613</v>
      </c>
      <c r="B61" s="40">
        <v>10.0963955</v>
      </c>
      <c r="C61" s="40">
        <v>2.5641441</v>
      </c>
      <c r="D61" s="40">
        <v>-1.0104537</v>
      </c>
      <c r="E61" s="40">
        <v>-12.629663000000001</v>
      </c>
      <c r="F61" s="40">
        <v>-9.9716480000000001</v>
      </c>
      <c r="G61" s="40">
        <v>8.8408470000000001</v>
      </c>
      <c r="H61" s="40">
        <v>-7.3155700000000001</v>
      </c>
      <c r="I61" s="40">
        <v>5.4892897999999999</v>
      </c>
      <c r="J61" s="40">
        <v>4.9480557000000003</v>
      </c>
      <c r="K61" s="47">
        <v>-6.9123387000000003</v>
      </c>
      <c r="L61" s="47">
        <v>-3.804487</v>
      </c>
      <c r="M61" s="47">
        <v>-6.7670640000000004</v>
      </c>
      <c r="N61" s="47">
        <v>-9.6597080000000002</v>
      </c>
    </row>
    <row r="62" spans="1:14" x14ac:dyDescent="0.35">
      <c r="A62" s="2">
        <v>43644</v>
      </c>
      <c r="B62" s="40">
        <v>13.758813999999999</v>
      </c>
      <c r="C62" s="40">
        <v>6.2166930000000002</v>
      </c>
      <c r="D62" s="40">
        <v>4.4224620000000003</v>
      </c>
      <c r="E62" s="40">
        <v>-2.4084984999999999</v>
      </c>
      <c r="F62" s="40">
        <v>-4.4703720000000002</v>
      </c>
      <c r="G62" s="40">
        <v>19.376681999999999</v>
      </c>
      <c r="H62" s="40">
        <v>-1.8142223</v>
      </c>
      <c r="I62" s="40">
        <v>10.041022</v>
      </c>
      <c r="J62" s="40">
        <v>10.313547</v>
      </c>
      <c r="K62" s="47">
        <v>4.5194983000000004</v>
      </c>
      <c r="L62" s="47">
        <v>5.1014065999999998</v>
      </c>
      <c r="M62" s="47">
        <v>5.9779406000000002</v>
      </c>
      <c r="N62" s="47">
        <v>1.1313915000000001</v>
      </c>
    </row>
    <row r="63" spans="1:14" x14ac:dyDescent="0.35">
      <c r="A63" s="2">
        <v>43672</v>
      </c>
      <c r="B63" s="40">
        <v>17.971062</v>
      </c>
      <c r="C63" s="40">
        <v>5.8410525</v>
      </c>
      <c r="D63" s="40">
        <v>1.0836958999999999</v>
      </c>
      <c r="E63" s="40">
        <v>-9.2824819999999999</v>
      </c>
      <c r="F63" s="40">
        <v>-5.929792</v>
      </c>
      <c r="G63" s="40">
        <v>10.564507000000001</v>
      </c>
      <c r="H63" s="40">
        <v>-3.2537281999999998</v>
      </c>
      <c r="I63" s="40">
        <v>9.4164130000000004</v>
      </c>
      <c r="J63" s="40">
        <v>8.7095374999999997</v>
      </c>
      <c r="K63" s="47">
        <v>-0.13406277</v>
      </c>
      <c r="L63" s="47">
        <v>2.6614547000000002</v>
      </c>
      <c r="M63" s="47">
        <v>-3.4020603</v>
      </c>
      <c r="N63" s="47">
        <v>-0.64392090000000002</v>
      </c>
    </row>
    <row r="64" spans="1:14" x14ac:dyDescent="0.35">
      <c r="A64" s="2">
        <v>43705</v>
      </c>
      <c r="B64" s="40">
        <v>7.5375319999999997</v>
      </c>
      <c r="C64" s="40">
        <v>-0.87297559999999996</v>
      </c>
      <c r="D64" s="40">
        <v>-2.1770895000000001</v>
      </c>
      <c r="E64" s="40">
        <v>-13.833589</v>
      </c>
      <c r="F64" s="40">
        <v>-6.9086550000000004</v>
      </c>
      <c r="G64" s="40">
        <v>8.2649709999999992</v>
      </c>
      <c r="H64" s="40">
        <v>-7.8890799999999999</v>
      </c>
      <c r="I64" s="40">
        <v>1.1401057000000001</v>
      </c>
      <c r="J64" s="40">
        <v>1.626873</v>
      </c>
      <c r="K64" s="47">
        <v>-5.8772143999999997</v>
      </c>
      <c r="L64" s="47">
        <v>-1.6882002</v>
      </c>
      <c r="M64" s="47">
        <v>-10.793233000000001</v>
      </c>
      <c r="N64" s="47">
        <v>8.6498259999999993E-2</v>
      </c>
    </row>
    <row r="65" spans="1:14" x14ac:dyDescent="0.35">
      <c r="A65" s="2">
        <v>43735</v>
      </c>
      <c r="B65" s="40">
        <v>10.067833</v>
      </c>
      <c r="C65" s="40">
        <v>6.7955613000000001</v>
      </c>
      <c r="D65" s="40">
        <v>2.9904603999999999</v>
      </c>
      <c r="E65" s="40">
        <v>-8.9991389999999996</v>
      </c>
      <c r="F65" s="40">
        <v>-4.8304320000000001</v>
      </c>
      <c r="G65" s="40">
        <v>10.272002000000001</v>
      </c>
      <c r="H65" s="40">
        <v>-4.5010924000000001</v>
      </c>
      <c r="I65" s="40">
        <v>1.5518546</v>
      </c>
      <c r="J65" s="40">
        <v>3.6529660000000002</v>
      </c>
      <c r="K65" s="47">
        <v>-2.7668357000000001</v>
      </c>
      <c r="L65" s="47">
        <v>4.9790619999999999</v>
      </c>
      <c r="M65" s="47">
        <v>-8.6004199999999997</v>
      </c>
      <c r="N65" s="47">
        <v>-0.16402006</v>
      </c>
    </row>
    <row r="66" spans="1:14" x14ac:dyDescent="0.35">
      <c r="A66" s="2">
        <v>43766</v>
      </c>
      <c r="B66" s="40">
        <v>23.135232999999999</v>
      </c>
      <c r="C66" s="40">
        <v>21.060514000000001</v>
      </c>
      <c r="D66" s="40">
        <v>12.912703</v>
      </c>
      <c r="E66" s="40">
        <v>9.684742</v>
      </c>
      <c r="F66" s="40">
        <v>9.7738029999999991</v>
      </c>
      <c r="G66" s="40">
        <v>20.688092999999999</v>
      </c>
      <c r="H66" s="40">
        <v>9.5113990000000008</v>
      </c>
      <c r="I66" s="40">
        <v>19.614017</v>
      </c>
      <c r="J66" s="40">
        <v>16.597007999999999</v>
      </c>
      <c r="K66" s="47">
        <v>13.998341999999999</v>
      </c>
      <c r="L66" s="47">
        <v>20.357787999999999</v>
      </c>
      <c r="M66" s="47">
        <v>14.416051</v>
      </c>
      <c r="N66" s="47">
        <v>20.482613000000001</v>
      </c>
    </row>
    <row r="67" spans="1:14" x14ac:dyDescent="0.35">
      <c r="A67" s="2">
        <v>43796</v>
      </c>
      <c r="B67" s="40">
        <v>21.434474999999999</v>
      </c>
      <c r="C67" s="40">
        <v>17.037737</v>
      </c>
      <c r="D67" s="40">
        <v>16.369485999999998</v>
      </c>
      <c r="E67" s="40">
        <v>11.232328000000001</v>
      </c>
      <c r="F67" s="40">
        <v>11.4213705</v>
      </c>
      <c r="G67" s="40">
        <v>21.360992</v>
      </c>
      <c r="H67" s="40">
        <v>10.291456999999999</v>
      </c>
      <c r="I67" s="40">
        <v>27.199566000000001</v>
      </c>
      <c r="J67" s="40">
        <v>19.892132</v>
      </c>
      <c r="K67" s="47">
        <v>17.420815999999999</v>
      </c>
      <c r="L67" s="47">
        <v>19.166243000000001</v>
      </c>
      <c r="M67" s="47">
        <v>14.641178</v>
      </c>
      <c r="N67" s="47">
        <v>21.463943</v>
      </c>
    </row>
    <row r="68" spans="1:14" x14ac:dyDescent="0.35">
      <c r="A68" s="2">
        <v>43826</v>
      </c>
      <c r="B68" s="40">
        <v>29.226099999999999</v>
      </c>
      <c r="C68" s="40">
        <v>23.908197000000001</v>
      </c>
      <c r="D68" s="40">
        <v>28.563427000000001</v>
      </c>
      <c r="E68" s="40">
        <v>21.335018000000002</v>
      </c>
      <c r="F68" s="40">
        <v>19.942701</v>
      </c>
      <c r="G68" s="40">
        <v>34.674230000000001</v>
      </c>
      <c r="H68" s="40">
        <v>22.283459000000001</v>
      </c>
      <c r="I68" s="40">
        <v>40.717112999999998</v>
      </c>
      <c r="J68" s="40">
        <v>32.611072999999998</v>
      </c>
      <c r="K68" s="47">
        <v>27.961003999999999</v>
      </c>
      <c r="L68" s="47">
        <v>33.301209999999998</v>
      </c>
      <c r="M68" s="47">
        <v>26.462292000000001</v>
      </c>
      <c r="N68" s="47">
        <v>27.327358</v>
      </c>
    </row>
    <row r="69" spans="1:14" x14ac:dyDescent="0.35">
      <c r="A69" s="2">
        <v>43858</v>
      </c>
      <c r="B69" s="40">
        <v>22.468985</v>
      </c>
      <c r="C69" s="40">
        <v>16.870367000000002</v>
      </c>
      <c r="D69" s="40">
        <v>16.456662999999999</v>
      </c>
      <c r="E69" s="40">
        <v>11.362863000000001</v>
      </c>
      <c r="F69" s="40">
        <v>12.501955000000001</v>
      </c>
      <c r="G69" s="40">
        <v>27.174782</v>
      </c>
      <c r="H69" s="40">
        <v>12.866056</v>
      </c>
      <c r="I69" s="40">
        <v>36.884341999999997</v>
      </c>
      <c r="J69" s="40">
        <v>26.279413000000002</v>
      </c>
      <c r="K69" s="47">
        <v>18.640744999999999</v>
      </c>
      <c r="L69" s="47">
        <v>21.704435</v>
      </c>
      <c r="M69" s="47">
        <v>15.539705</v>
      </c>
      <c r="N69" s="47">
        <v>18.936585999999998</v>
      </c>
    </row>
    <row r="70" spans="1:14" x14ac:dyDescent="0.35">
      <c r="A70" s="2">
        <v>43889</v>
      </c>
      <c r="B70" s="40">
        <v>10.86787</v>
      </c>
      <c r="C70" s="40">
        <v>-1.5908062000000001</v>
      </c>
      <c r="D70" s="40">
        <v>1.3009428999999999</v>
      </c>
      <c r="E70" s="40">
        <v>-1.3237475999999999</v>
      </c>
      <c r="F70" s="40">
        <v>-0.52337049999999996</v>
      </c>
      <c r="G70" s="40">
        <v>11.826515000000001</v>
      </c>
      <c r="H70" s="40">
        <v>-6.1158656999999996</v>
      </c>
      <c r="I70" s="40">
        <v>19.806743999999998</v>
      </c>
      <c r="J70" s="40">
        <v>8.3196049999999993</v>
      </c>
      <c r="K70" s="47">
        <v>1.2282014000000001</v>
      </c>
      <c r="L70" s="47">
        <v>5.6587459999999998</v>
      </c>
      <c r="M70" s="47">
        <v>5.2574395999999997</v>
      </c>
      <c r="N70" s="47">
        <v>4.5457840000000003</v>
      </c>
    </row>
    <row r="71" spans="1:14" x14ac:dyDescent="0.35">
      <c r="A71" s="2">
        <v>43917</v>
      </c>
      <c r="B71" s="40">
        <v>-12.229376999999999</v>
      </c>
      <c r="C71" s="40">
        <v>-28.844785999999999</v>
      </c>
      <c r="D71" s="40">
        <v>-23.206097</v>
      </c>
      <c r="E71" s="40">
        <v>-19.305157000000001</v>
      </c>
      <c r="F71" s="40">
        <v>-6.3652395999999998</v>
      </c>
      <c r="G71" s="40">
        <v>0.98102089999999997</v>
      </c>
      <c r="H71" s="40">
        <v>-26.490122</v>
      </c>
      <c r="I71" s="40">
        <v>5.0492406000000001</v>
      </c>
      <c r="J71" s="40">
        <v>-7.5033244999999997</v>
      </c>
      <c r="K71" s="47">
        <v>-17.338234</v>
      </c>
      <c r="L71" s="47">
        <v>-11.211990999999999</v>
      </c>
      <c r="M71" s="47">
        <v>-15.198785000000001</v>
      </c>
      <c r="N71" s="47">
        <v>-22.178046999999999</v>
      </c>
    </row>
    <row r="72" spans="1:14" x14ac:dyDescent="0.35">
      <c r="A72" s="2">
        <v>43949</v>
      </c>
      <c r="B72" s="40">
        <v>-0.44589043</v>
      </c>
      <c r="C72" s="40">
        <v>-21.16658</v>
      </c>
      <c r="D72" s="40">
        <v>-13.337851000000001</v>
      </c>
      <c r="E72" s="40">
        <v>-17.130649999999999</v>
      </c>
      <c r="F72" s="40">
        <v>-3.5335063999999998</v>
      </c>
      <c r="G72" s="40">
        <v>5.6462764999999999</v>
      </c>
      <c r="H72" s="40">
        <v>-21.728515999999999</v>
      </c>
      <c r="I72" s="40">
        <v>11.883747</v>
      </c>
      <c r="J72" s="40">
        <v>-0.60123205000000002</v>
      </c>
      <c r="K72" s="47">
        <v>-18.890923000000001</v>
      </c>
      <c r="L72" s="47">
        <v>-7.3699180000000002</v>
      </c>
      <c r="M72" s="47">
        <v>-11.998934</v>
      </c>
      <c r="N72" s="47">
        <v>-22.661166999999999</v>
      </c>
    </row>
    <row r="73" spans="1:14" x14ac:dyDescent="0.35">
      <c r="A73" s="2">
        <v>43979</v>
      </c>
      <c r="B73" s="40">
        <v>3.471911</v>
      </c>
      <c r="C73" s="40">
        <v>-12.083470999999999</v>
      </c>
      <c r="D73" s="40">
        <v>-6.5786004</v>
      </c>
      <c r="E73" s="40">
        <v>-3.7296653000000002</v>
      </c>
      <c r="F73" s="40">
        <v>7.0487856999999998</v>
      </c>
      <c r="G73" s="40">
        <v>7.7388405999999996</v>
      </c>
      <c r="H73" s="40">
        <v>-15.319747</v>
      </c>
      <c r="I73" s="40">
        <v>30.685829999999999</v>
      </c>
      <c r="J73" s="40">
        <v>10.38475</v>
      </c>
      <c r="K73" s="47">
        <v>-9.1883545000000009</v>
      </c>
      <c r="L73" s="47">
        <v>4.0455699999999997</v>
      </c>
      <c r="M73" s="47">
        <v>5.867362</v>
      </c>
      <c r="N73" s="47">
        <v>-12.198632999999999</v>
      </c>
    </row>
    <row r="74" spans="1:14" x14ac:dyDescent="0.35">
      <c r="A74" s="2">
        <v>44008</v>
      </c>
      <c r="B74" s="40">
        <v>4.7606586999999996</v>
      </c>
      <c r="C74" s="40">
        <v>-13.325386999999999</v>
      </c>
      <c r="D74" s="40">
        <v>-9.6171140000000008</v>
      </c>
      <c r="E74" s="40">
        <v>-2.9389439999999998</v>
      </c>
      <c r="F74" s="40">
        <v>4.5045257000000003</v>
      </c>
      <c r="G74" s="40">
        <v>5.5232049999999999</v>
      </c>
      <c r="H74" s="40">
        <v>-18.136565999999998</v>
      </c>
      <c r="I74" s="40">
        <v>30.337166</v>
      </c>
      <c r="J74" s="40">
        <v>5.3903699999999999</v>
      </c>
      <c r="K74" s="47">
        <v>-10.546260999999999</v>
      </c>
      <c r="L74" s="47">
        <v>7.207179</v>
      </c>
      <c r="M74" s="47">
        <v>2.0018457999999999</v>
      </c>
      <c r="N74" s="47">
        <v>-11.955952999999999</v>
      </c>
    </row>
    <row r="75" spans="1:14" x14ac:dyDescent="0.35">
      <c r="A75" s="2">
        <v>44040</v>
      </c>
      <c r="B75" s="40">
        <v>9.0698720000000002</v>
      </c>
      <c r="C75" s="40">
        <v>-8.0355589999999992</v>
      </c>
      <c r="D75" s="40">
        <v>-2.8163969999999998</v>
      </c>
      <c r="E75" s="40">
        <v>7.0599318000000002</v>
      </c>
      <c r="F75" s="40">
        <v>5.3113102999999997</v>
      </c>
      <c r="G75" s="40">
        <v>12.554455000000001</v>
      </c>
      <c r="H75" s="40">
        <v>-14.599394999999999</v>
      </c>
      <c r="I75" s="40">
        <v>32.560253000000003</v>
      </c>
      <c r="J75" s="40">
        <v>8.4981329999999993</v>
      </c>
      <c r="K75" s="47">
        <v>-5.3308669999999996</v>
      </c>
      <c r="L75" s="47">
        <v>11.48678</v>
      </c>
      <c r="M75" s="47">
        <v>17.044661999999999</v>
      </c>
      <c r="N75" s="47">
        <v>-5.9558210000000003</v>
      </c>
    </row>
    <row r="76" spans="1:14" x14ac:dyDescent="0.35">
      <c r="A76" s="2">
        <v>44071</v>
      </c>
      <c r="B76" s="40">
        <v>22.611640000000001</v>
      </c>
      <c r="C76" s="40">
        <v>1.7585754</v>
      </c>
      <c r="D76" s="40">
        <v>6.2859296999999996</v>
      </c>
      <c r="E76" s="40">
        <v>18.137025999999999</v>
      </c>
      <c r="F76" s="40">
        <v>11.038613</v>
      </c>
      <c r="G76" s="40">
        <v>15.126694000000001</v>
      </c>
      <c r="H76" s="40">
        <v>-7.1878614000000001</v>
      </c>
      <c r="I76" s="40">
        <v>59.319473000000002</v>
      </c>
      <c r="J76" s="40">
        <v>23.812151</v>
      </c>
      <c r="K76" s="47">
        <v>2.9198407999999998</v>
      </c>
      <c r="L76" s="47">
        <v>20.497762999999999</v>
      </c>
      <c r="M76" s="47">
        <v>32.149887</v>
      </c>
      <c r="N76" s="47">
        <v>-0.28297305</v>
      </c>
    </row>
    <row r="77" spans="1:14" x14ac:dyDescent="0.35">
      <c r="A77" s="2">
        <v>44102</v>
      </c>
      <c r="B77" s="40">
        <v>15.497816</v>
      </c>
      <c r="C77" s="40">
        <v>-6.844449</v>
      </c>
      <c r="D77" s="40">
        <v>-2.2879779999999998</v>
      </c>
      <c r="E77" s="40">
        <v>10.273111</v>
      </c>
      <c r="F77" s="40">
        <v>7.5972080000000002</v>
      </c>
      <c r="G77" s="40">
        <v>11.246956000000001</v>
      </c>
      <c r="H77" s="40">
        <v>-15.430574999999999</v>
      </c>
      <c r="I77" s="40">
        <v>49.320126000000002</v>
      </c>
      <c r="J77" s="40">
        <v>15.355193999999999</v>
      </c>
      <c r="K77" s="47">
        <v>-5.6703210000000004</v>
      </c>
      <c r="L77" s="47">
        <v>13.027752</v>
      </c>
      <c r="M77" s="47">
        <v>21.796524000000002</v>
      </c>
      <c r="N77" s="47">
        <v>-8.6336670000000009</v>
      </c>
    </row>
    <row r="78" spans="1:14" x14ac:dyDescent="0.35">
      <c r="A78" s="2">
        <v>44132</v>
      </c>
      <c r="B78" s="40">
        <v>18.138515000000002</v>
      </c>
      <c r="C78" s="40">
        <v>-10.199350000000001</v>
      </c>
      <c r="D78" s="40">
        <v>-6.1452030000000004</v>
      </c>
      <c r="E78" s="40">
        <v>-6.7677259999999997</v>
      </c>
      <c r="F78" s="40">
        <v>1.7887234999999999</v>
      </c>
      <c r="G78" s="40">
        <v>4.2632580000000004</v>
      </c>
      <c r="H78" s="40">
        <v>-23.449003000000001</v>
      </c>
      <c r="I78" s="40">
        <v>38.518929999999997</v>
      </c>
      <c r="J78" s="40">
        <v>9.8190670000000004</v>
      </c>
      <c r="K78" s="47">
        <v>-13.875991000000001</v>
      </c>
      <c r="L78" s="47">
        <v>7.7018620000000002</v>
      </c>
      <c r="M78" s="47">
        <v>8.7812420000000007</v>
      </c>
      <c r="N78" s="47">
        <v>-18.735146</v>
      </c>
    </row>
    <row r="79" spans="1:14" x14ac:dyDescent="0.35">
      <c r="A79" s="2">
        <v>44162</v>
      </c>
      <c r="B79" s="40">
        <v>23.804545999999998</v>
      </c>
      <c r="C79" s="40">
        <v>4.9984454999999999</v>
      </c>
      <c r="D79" s="40">
        <v>5.2536370000000003</v>
      </c>
      <c r="E79" s="40">
        <v>6.7760350000000003</v>
      </c>
      <c r="F79" s="40">
        <v>12.5897045</v>
      </c>
      <c r="G79" s="40">
        <v>11.944604</v>
      </c>
      <c r="H79" s="40">
        <v>-9.9335970000000007</v>
      </c>
      <c r="I79" s="40">
        <v>46.207810000000002</v>
      </c>
      <c r="J79" s="40">
        <v>17.541122000000001</v>
      </c>
      <c r="K79" s="47">
        <v>5.1167727000000003</v>
      </c>
      <c r="L79" s="47">
        <v>21.550166999999998</v>
      </c>
      <c r="M79" s="47">
        <v>26.821745</v>
      </c>
      <c r="N79" s="47">
        <v>1.6799211999999999</v>
      </c>
    </row>
    <row r="80" spans="1:14" x14ac:dyDescent="0.35">
      <c r="A80" s="2">
        <v>44193</v>
      </c>
      <c r="B80" s="40">
        <v>18.586086000000002</v>
      </c>
      <c r="C80" s="40">
        <v>8.191872</v>
      </c>
      <c r="D80" s="40">
        <v>5.8386803</v>
      </c>
      <c r="E80" s="40">
        <v>11.4537</v>
      </c>
      <c r="F80" s="40">
        <v>12.933361</v>
      </c>
      <c r="G80" s="40">
        <v>10.836506</v>
      </c>
      <c r="H80" s="40">
        <v>-11.19088</v>
      </c>
      <c r="I80" s="40">
        <v>47.423256000000002</v>
      </c>
      <c r="J80" s="40">
        <v>17.466843000000001</v>
      </c>
      <c r="K80" s="47">
        <v>3.8762211999999998</v>
      </c>
      <c r="L80" s="47">
        <v>23.722887</v>
      </c>
      <c r="M80" s="47">
        <v>21.011839999999999</v>
      </c>
      <c r="N80" s="47">
        <v>2.0871520000000001</v>
      </c>
    </row>
    <row r="81" spans="1:14" x14ac:dyDescent="0.35">
      <c r="A81" s="2">
        <v>44224</v>
      </c>
      <c r="B81" s="40">
        <v>21.584796999999998</v>
      </c>
      <c r="C81" s="40">
        <v>9.2141629999999992</v>
      </c>
      <c r="D81" s="40">
        <v>5.2448509999999997</v>
      </c>
      <c r="E81" s="40">
        <v>11.779833</v>
      </c>
      <c r="F81" s="40">
        <v>17.428004999999999</v>
      </c>
      <c r="G81" s="40">
        <v>11.733425</v>
      </c>
      <c r="H81" s="40">
        <v>-7.2237910000000003</v>
      </c>
      <c r="I81" s="40">
        <v>46.133423000000001</v>
      </c>
      <c r="J81" s="40">
        <v>17.720735999999999</v>
      </c>
      <c r="K81" s="47">
        <v>4.9308896000000004</v>
      </c>
      <c r="L81" s="47">
        <v>31.114006</v>
      </c>
      <c r="M81" s="47">
        <v>28.957045000000001</v>
      </c>
      <c r="N81" s="47">
        <v>-0.29203891999999998</v>
      </c>
    </row>
    <row r="82" spans="1:14" x14ac:dyDescent="0.35">
      <c r="A82" s="2">
        <v>44253</v>
      </c>
      <c r="B82" s="40">
        <v>15.762924999999999</v>
      </c>
      <c r="C82" s="40">
        <v>18.378640000000001</v>
      </c>
      <c r="D82" s="40">
        <v>13.449930999999999</v>
      </c>
      <c r="E82" s="40">
        <v>20.497834999999998</v>
      </c>
      <c r="F82" s="40">
        <v>25.749361</v>
      </c>
      <c r="G82" s="40">
        <v>11.961019500000001</v>
      </c>
      <c r="H82" s="40">
        <v>1.8073558999999999</v>
      </c>
      <c r="I82" s="40">
        <v>46.148014000000003</v>
      </c>
      <c r="J82" s="40">
        <v>24.429953000000001</v>
      </c>
      <c r="K82" s="47">
        <v>14.276338000000001</v>
      </c>
      <c r="L82" s="47">
        <v>40.022551999999997</v>
      </c>
      <c r="M82" s="47">
        <v>35.032069999999997</v>
      </c>
      <c r="N82" s="47">
        <v>9.4925639999999998</v>
      </c>
    </row>
    <row r="83" spans="1:14" x14ac:dyDescent="0.35">
      <c r="A83" s="2">
        <v>44281</v>
      </c>
      <c r="B83" s="40">
        <v>35.993122</v>
      </c>
      <c r="C83" s="40">
        <v>63.501835</v>
      </c>
      <c r="D83" s="40">
        <v>60.214675999999997</v>
      </c>
      <c r="E83" s="40">
        <v>54.591009999999997</v>
      </c>
      <c r="F83" s="40">
        <v>41.220190000000002</v>
      </c>
      <c r="G83" s="40">
        <v>28.949069999999999</v>
      </c>
      <c r="H83" s="40">
        <v>33.575726000000003</v>
      </c>
      <c r="I83" s="40">
        <v>65.696820000000002</v>
      </c>
      <c r="J83" s="40">
        <v>54.046190000000003</v>
      </c>
      <c r="K83" s="47">
        <v>43.024410000000003</v>
      </c>
      <c r="L83" s="47">
        <v>75.499880000000005</v>
      </c>
      <c r="M83" s="47">
        <v>78.923370000000006</v>
      </c>
      <c r="N83" s="47">
        <v>48.293137000000002</v>
      </c>
    </row>
    <row r="84" spans="1:14" x14ac:dyDescent="0.35">
      <c r="A84" s="2">
        <v>44314</v>
      </c>
      <c r="B84" s="40">
        <v>32.78004</v>
      </c>
      <c r="C84" s="40">
        <v>63.035107000000004</v>
      </c>
      <c r="D84" s="40">
        <v>52.770020000000002</v>
      </c>
      <c r="E84" s="40">
        <v>56.8962</v>
      </c>
      <c r="F84" s="40">
        <v>31.435870999999999</v>
      </c>
      <c r="G84" s="40">
        <v>27.126132999999999</v>
      </c>
      <c r="H84" s="40">
        <v>33.964573000000001</v>
      </c>
      <c r="I84" s="40">
        <v>61.284041999999999</v>
      </c>
      <c r="J84" s="40">
        <v>48.438823999999997</v>
      </c>
      <c r="K84" s="47">
        <v>57.430793999999999</v>
      </c>
      <c r="L84" s="47">
        <v>76.707650000000001</v>
      </c>
      <c r="M84" s="47">
        <v>76.910489999999996</v>
      </c>
      <c r="N84" s="47">
        <v>58.694195000000001</v>
      </c>
    </row>
    <row r="85" spans="1:14" x14ac:dyDescent="0.35">
      <c r="A85" s="2">
        <v>44344</v>
      </c>
      <c r="B85" s="40">
        <v>23.299658000000001</v>
      </c>
      <c r="C85" s="40">
        <v>48.008094999999997</v>
      </c>
      <c r="D85" s="40">
        <v>52.600119999999997</v>
      </c>
      <c r="E85" s="40">
        <v>42.224648000000002</v>
      </c>
      <c r="F85" s="40">
        <v>24.195969000000002</v>
      </c>
      <c r="G85" s="40">
        <v>30.047905</v>
      </c>
      <c r="H85" s="40">
        <v>33.289337000000003</v>
      </c>
      <c r="I85" s="40">
        <v>46.099426000000001</v>
      </c>
      <c r="J85" s="40">
        <v>40.877594000000002</v>
      </c>
      <c r="K85" s="47">
        <v>52.235092000000002</v>
      </c>
      <c r="L85" s="47">
        <v>64.342410000000001</v>
      </c>
      <c r="M85" s="47">
        <v>62.799239999999998</v>
      </c>
      <c r="N85" s="47">
        <v>52.548026999999998</v>
      </c>
    </row>
    <row r="86" spans="1:14" x14ac:dyDescent="0.35">
      <c r="A86" s="2">
        <v>44375</v>
      </c>
      <c r="B86" s="40">
        <v>16.537403000000001</v>
      </c>
      <c r="C86" s="40">
        <v>42.415799999999997</v>
      </c>
      <c r="D86" s="40">
        <v>51.636969999999998</v>
      </c>
      <c r="E86" s="40">
        <v>35.149659999999997</v>
      </c>
      <c r="F86" s="40">
        <v>24.227737000000001</v>
      </c>
      <c r="G86" s="40">
        <v>29.293227999999999</v>
      </c>
      <c r="H86" s="40">
        <v>32.605170000000001</v>
      </c>
      <c r="I86" s="40">
        <v>48.079253999999999</v>
      </c>
      <c r="J86" s="40">
        <v>44.604706</v>
      </c>
      <c r="K86" s="47">
        <v>44.247185000000002</v>
      </c>
      <c r="L86" s="47">
        <v>52.095413000000001</v>
      </c>
      <c r="M86" s="47">
        <v>55.076374000000001</v>
      </c>
      <c r="N86" s="47">
        <v>41.124679999999998</v>
      </c>
    </row>
    <row r="87" spans="1:14" x14ac:dyDescent="0.35">
      <c r="A87" s="2">
        <v>44405</v>
      </c>
      <c r="B87" s="40">
        <v>6.2830089999999998</v>
      </c>
      <c r="C87" s="40">
        <v>30.926013999999999</v>
      </c>
      <c r="D87" s="40">
        <v>38.549686000000001</v>
      </c>
      <c r="E87" s="40">
        <v>21.931898</v>
      </c>
      <c r="F87" s="40">
        <v>20.839834</v>
      </c>
      <c r="G87" s="40">
        <v>22.770679999999999</v>
      </c>
      <c r="H87" s="40">
        <v>26.889181000000001</v>
      </c>
      <c r="I87" s="40">
        <v>43.259501999999998</v>
      </c>
      <c r="J87" s="40">
        <v>38.685715000000002</v>
      </c>
      <c r="K87" s="47">
        <v>35.774720000000002</v>
      </c>
      <c r="L87" s="47">
        <v>43.929349999999999</v>
      </c>
      <c r="M87" s="47">
        <v>44.248843999999998</v>
      </c>
      <c r="N87" s="47">
        <v>28.932905000000002</v>
      </c>
    </row>
    <row r="88" spans="1:14" x14ac:dyDescent="0.35">
      <c r="A88" s="2">
        <v>44435</v>
      </c>
      <c r="B88" s="40">
        <v>5.7263016999999996</v>
      </c>
      <c r="C88" s="40">
        <v>27.744114</v>
      </c>
      <c r="D88" s="40">
        <v>32.173264000000003</v>
      </c>
      <c r="E88" s="40">
        <v>19.852900999999999</v>
      </c>
      <c r="F88" s="40">
        <v>19.22307</v>
      </c>
      <c r="G88" s="40">
        <v>24.685144000000001</v>
      </c>
      <c r="H88" s="40">
        <v>27.846468000000002</v>
      </c>
      <c r="I88" s="40">
        <v>29.933917999999998</v>
      </c>
      <c r="J88" s="40">
        <v>31.199825000000001</v>
      </c>
      <c r="K88" s="47">
        <v>33.594154000000003</v>
      </c>
      <c r="L88" s="47">
        <v>48.463486000000003</v>
      </c>
      <c r="M88" s="47">
        <v>38.890839999999997</v>
      </c>
      <c r="N88" s="47">
        <v>30.856407000000001</v>
      </c>
    </row>
    <row r="89" spans="1:14" x14ac:dyDescent="0.35">
      <c r="A89" s="2">
        <v>44467</v>
      </c>
      <c r="B89" s="40">
        <v>8.6991549999999993</v>
      </c>
      <c r="C89" s="40">
        <v>26.059173999999999</v>
      </c>
      <c r="D89" s="40">
        <v>34.872280000000003</v>
      </c>
      <c r="E89" s="40">
        <v>17.194306999999998</v>
      </c>
      <c r="F89" s="40">
        <v>20.56353</v>
      </c>
      <c r="G89" s="40">
        <v>15.079224</v>
      </c>
      <c r="H89" s="40">
        <v>28.628516999999999</v>
      </c>
      <c r="I89" s="40">
        <v>30.517852999999999</v>
      </c>
      <c r="J89" s="40">
        <v>31.623626999999999</v>
      </c>
      <c r="K89" s="47">
        <v>36.651836000000003</v>
      </c>
      <c r="L89" s="47">
        <v>45.699097000000002</v>
      </c>
      <c r="M89" s="47">
        <v>31.782222999999998</v>
      </c>
      <c r="N89" s="47">
        <v>32.942079999999997</v>
      </c>
    </row>
    <row r="90" spans="1:14" x14ac:dyDescent="0.35">
      <c r="A90" s="2">
        <v>44497</v>
      </c>
      <c r="B90" s="40">
        <v>7.8549147000000001</v>
      </c>
      <c r="C90" s="40">
        <v>38.803134999999997</v>
      </c>
      <c r="D90" s="40">
        <v>52.235484999999997</v>
      </c>
      <c r="E90" s="40">
        <v>33.039140000000003</v>
      </c>
      <c r="F90" s="40">
        <v>19.148933</v>
      </c>
      <c r="G90" s="40">
        <v>30.300951000000001</v>
      </c>
      <c r="H90" s="40">
        <v>44.618270000000003</v>
      </c>
      <c r="I90" s="40">
        <v>42.201349999999998</v>
      </c>
      <c r="J90" s="40">
        <v>42.295349999999999</v>
      </c>
      <c r="K90" s="47">
        <v>51.123547000000002</v>
      </c>
      <c r="L90" s="47">
        <v>55.450940000000003</v>
      </c>
      <c r="M90" s="47">
        <v>47.034979999999997</v>
      </c>
      <c r="N90" s="47">
        <v>50.118020000000001</v>
      </c>
    </row>
    <row r="91" spans="1:14" x14ac:dyDescent="0.35">
      <c r="A91" s="2">
        <v>44526</v>
      </c>
      <c r="B91" s="40">
        <v>-10.285175000000001</v>
      </c>
      <c r="C91" s="40">
        <v>7.1858170000000001</v>
      </c>
      <c r="D91" s="40">
        <v>27.980160000000001</v>
      </c>
      <c r="E91" s="40">
        <v>7.6613306999999997</v>
      </c>
      <c r="F91" s="40">
        <v>3.7154316999999999</v>
      </c>
      <c r="G91" s="40">
        <v>17.225121999999999</v>
      </c>
      <c r="H91" s="40">
        <v>13.896513000000001</v>
      </c>
      <c r="I91" s="40">
        <v>32.743740000000003</v>
      </c>
      <c r="J91" s="40">
        <v>28.351952000000001</v>
      </c>
      <c r="K91" s="47">
        <v>16.438711000000001</v>
      </c>
      <c r="L91" s="47">
        <v>28.251218999999999</v>
      </c>
      <c r="M91" s="47">
        <v>15.103304</v>
      </c>
      <c r="N91" s="47">
        <v>11.004424</v>
      </c>
    </row>
    <row r="92" spans="1:14" x14ac:dyDescent="0.35">
      <c r="A92" s="2">
        <v>44558</v>
      </c>
      <c r="B92" s="40">
        <v>-11.150866499999999</v>
      </c>
      <c r="C92" s="40">
        <v>8.7231269999999999</v>
      </c>
      <c r="D92" s="40">
        <v>26.331949999999999</v>
      </c>
      <c r="E92" s="40">
        <v>4.8463583000000003</v>
      </c>
      <c r="F92" s="40">
        <v>3.4991859999999999</v>
      </c>
      <c r="G92" s="40">
        <v>21.493445999999999</v>
      </c>
      <c r="H92" s="40">
        <v>18.247949999999999</v>
      </c>
      <c r="I92" s="40">
        <v>29.060614000000001</v>
      </c>
      <c r="J92" s="40">
        <v>29.856718000000001</v>
      </c>
      <c r="K92" s="47">
        <v>20.299005999999999</v>
      </c>
      <c r="L92" s="47">
        <v>22.087395000000001</v>
      </c>
      <c r="M92" s="47">
        <v>22.827864000000002</v>
      </c>
      <c r="N92" s="47">
        <v>13.832819000000001</v>
      </c>
    </row>
    <row r="93" spans="1:14" x14ac:dyDescent="0.35">
      <c r="A93" s="2">
        <v>44589</v>
      </c>
      <c r="B93" s="40">
        <v>-23.020119000000001</v>
      </c>
      <c r="C93" s="40">
        <v>-3.1103014999999998</v>
      </c>
      <c r="D93" s="40">
        <v>22.144376999999999</v>
      </c>
      <c r="E93" s="40">
        <v>1.2601614000000001</v>
      </c>
      <c r="F93" s="40">
        <v>-6.4145620000000001</v>
      </c>
      <c r="G93" s="40">
        <v>9.6128459999999993</v>
      </c>
      <c r="H93" s="40">
        <v>17.593800999999999</v>
      </c>
      <c r="I93" s="40">
        <v>10.013843</v>
      </c>
      <c r="J93" s="40">
        <v>18.607579999999999</v>
      </c>
      <c r="K93" s="47">
        <v>17.784213999999999</v>
      </c>
      <c r="L93" s="47">
        <v>5.7031393000000001</v>
      </c>
      <c r="M93" s="47">
        <v>5.163443</v>
      </c>
      <c r="N93" s="47">
        <v>13.420189000000001</v>
      </c>
    </row>
    <row r="94" spans="1:14" x14ac:dyDescent="0.35">
      <c r="A94" s="2">
        <v>44620</v>
      </c>
      <c r="B94" s="40">
        <v>-10.869854999999999</v>
      </c>
      <c r="C94" s="40">
        <v>3.1167506999999999</v>
      </c>
      <c r="D94" s="40">
        <v>21.08494</v>
      </c>
      <c r="E94" s="40">
        <v>-6.8104624999999999</v>
      </c>
      <c r="F94" s="40">
        <v>-5.8284817000000002</v>
      </c>
      <c r="G94" s="40">
        <v>12.940645</v>
      </c>
      <c r="H94" s="40">
        <v>15.223575</v>
      </c>
      <c r="I94" s="40">
        <v>10.929001</v>
      </c>
      <c r="J94" s="40">
        <v>16.338802000000001</v>
      </c>
      <c r="K94" s="47">
        <v>8.3936449999999994</v>
      </c>
      <c r="L94" s="47">
        <v>-1.6943455000000001</v>
      </c>
      <c r="M94" s="47">
        <v>-5.0035295</v>
      </c>
      <c r="N94" s="47">
        <v>3.7928223999999999</v>
      </c>
    </row>
    <row r="95" spans="1:14" x14ac:dyDescent="0.35">
      <c r="A95" s="2">
        <v>44648</v>
      </c>
      <c r="B95" s="40">
        <v>-10.342895499999999</v>
      </c>
      <c r="C95" s="40">
        <v>10.626685999999999</v>
      </c>
      <c r="D95" s="40">
        <v>20.586919999999999</v>
      </c>
      <c r="E95" s="40">
        <v>-11.567705999999999</v>
      </c>
      <c r="F95" s="40">
        <v>-10.026825000000001</v>
      </c>
      <c r="G95" s="40">
        <v>10.987282</v>
      </c>
      <c r="H95" s="40">
        <v>11.044502</v>
      </c>
      <c r="I95" s="40">
        <v>16.034745999999998</v>
      </c>
      <c r="J95" s="40">
        <v>16.659927</v>
      </c>
      <c r="K95" s="47">
        <v>4.8090815999999998</v>
      </c>
      <c r="L95" s="47">
        <v>-6.9648560000000002</v>
      </c>
      <c r="M95" s="47">
        <v>-9.1014499999999998</v>
      </c>
      <c r="N95" s="47">
        <v>-4.5230984999999997</v>
      </c>
    </row>
    <row r="96" spans="1:14" x14ac:dyDescent="0.35">
      <c r="A96" s="2">
        <v>44679</v>
      </c>
      <c r="B96" s="40">
        <v>-20.214838</v>
      </c>
      <c r="C96" s="40">
        <v>-0.78893899999999995</v>
      </c>
      <c r="D96" s="40">
        <v>7.1509957000000002</v>
      </c>
      <c r="E96" s="40">
        <v>-23.516172000000001</v>
      </c>
      <c r="F96" s="40">
        <v>-13.964444</v>
      </c>
      <c r="G96" s="40">
        <v>2.4767755999999999</v>
      </c>
      <c r="H96" s="40">
        <v>3.4059762999999998</v>
      </c>
      <c r="I96" s="40">
        <v>-2.7752637999999998</v>
      </c>
      <c r="J96" s="40">
        <v>3.8518667</v>
      </c>
      <c r="K96" s="47">
        <v>-7.4072065</v>
      </c>
      <c r="L96" s="47">
        <v>-19.648392000000001</v>
      </c>
      <c r="M96" s="47">
        <v>-19.693697</v>
      </c>
      <c r="N96" s="47">
        <v>-11.96438</v>
      </c>
    </row>
    <row r="97" spans="1:14" x14ac:dyDescent="0.35">
      <c r="A97" s="2">
        <v>44708</v>
      </c>
      <c r="B97" s="40">
        <v>-21.011150000000001</v>
      </c>
      <c r="C97" s="40">
        <v>-1.9457042</v>
      </c>
      <c r="D97" s="40">
        <v>1.4057398000000001</v>
      </c>
      <c r="E97" s="40">
        <v>-21.252490000000002</v>
      </c>
      <c r="F97" s="40">
        <v>-12.774981</v>
      </c>
      <c r="G97" s="40">
        <v>-4.1648506999999997</v>
      </c>
      <c r="H97" s="40">
        <v>2.4227500000000002</v>
      </c>
      <c r="I97" s="40">
        <v>-6.6959143000000001</v>
      </c>
      <c r="J97" s="40">
        <v>0.35094023000000002</v>
      </c>
      <c r="K97" s="47">
        <v>-7.5395640000000004</v>
      </c>
      <c r="L97" s="47">
        <v>-19.322431999999999</v>
      </c>
      <c r="M97" s="47">
        <v>-20.37754</v>
      </c>
      <c r="N97" s="47">
        <v>-11.168587</v>
      </c>
    </row>
    <row r="98" spans="1:14" x14ac:dyDescent="0.35">
      <c r="A98" s="2">
        <v>44740</v>
      </c>
      <c r="B98" s="40">
        <v>-24.293495</v>
      </c>
      <c r="C98" s="40">
        <v>-12.018060999999999</v>
      </c>
      <c r="D98" s="40">
        <v>-6.4864515999999997</v>
      </c>
      <c r="E98" s="40">
        <v>-29.474598</v>
      </c>
      <c r="F98" s="40">
        <v>-20.189935999999999</v>
      </c>
      <c r="G98" s="40">
        <v>-14.637589</v>
      </c>
      <c r="H98" s="40">
        <v>-3.6106943999999999</v>
      </c>
      <c r="I98" s="40">
        <v>-19.393456</v>
      </c>
      <c r="J98" s="40">
        <v>-9.6837160000000004</v>
      </c>
      <c r="K98" s="47">
        <v>-15.682601999999999</v>
      </c>
      <c r="L98" s="47">
        <v>-26.055807000000001</v>
      </c>
      <c r="M98" s="47">
        <v>-29.193497000000001</v>
      </c>
      <c r="N98" s="47">
        <v>-20.981619999999999</v>
      </c>
    </row>
    <row r="99" spans="1:14" x14ac:dyDescent="0.35">
      <c r="A99" s="2">
        <v>44770</v>
      </c>
      <c r="B99" s="40">
        <v>-19.263666000000001</v>
      </c>
      <c r="C99" s="40">
        <v>-6.8995895000000003</v>
      </c>
      <c r="D99" s="40">
        <v>-4.0085077</v>
      </c>
      <c r="E99" s="40">
        <v>-30.506813000000001</v>
      </c>
      <c r="F99" s="40">
        <v>-15.823585</v>
      </c>
      <c r="G99" s="40">
        <v>-11.637544999999999</v>
      </c>
      <c r="H99" s="40">
        <v>-2.3408234000000001</v>
      </c>
      <c r="I99" s="40">
        <v>-14.8431835</v>
      </c>
      <c r="J99" s="40">
        <v>-6.1464970000000001</v>
      </c>
      <c r="K99" s="47">
        <v>-13.110673999999999</v>
      </c>
      <c r="L99" s="47">
        <v>-22.951257999999999</v>
      </c>
      <c r="M99" s="47">
        <v>-27.528154000000001</v>
      </c>
      <c r="N99" s="47">
        <v>-22.549599000000001</v>
      </c>
    </row>
    <row r="100" spans="1:14" x14ac:dyDescent="0.35">
      <c r="A100" s="2">
        <v>44799</v>
      </c>
      <c r="B100" s="40">
        <v>-23.400068000000001</v>
      </c>
      <c r="C100" s="40">
        <v>-6.3238086999999998</v>
      </c>
      <c r="D100" s="40">
        <v>-3.7591160000000001</v>
      </c>
      <c r="E100" s="40">
        <v>-35.144955000000003</v>
      </c>
      <c r="F100" s="40">
        <v>-17.672937000000001</v>
      </c>
      <c r="G100" s="40">
        <v>-16.705113999999998</v>
      </c>
      <c r="H100" s="40">
        <v>-5.376214</v>
      </c>
      <c r="I100" s="40">
        <v>-16.989946</v>
      </c>
      <c r="J100" s="40">
        <v>-7.8818501999999997</v>
      </c>
      <c r="K100" s="47">
        <v>-16.952483999999998</v>
      </c>
      <c r="L100" s="47">
        <v>-31.101143</v>
      </c>
      <c r="M100" s="47">
        <v>-32.185012999999998</v>
      </c>
      <c r="N100" s="47">
        <v>-25.193083000000001</v>
      </c>
    </row>
    <row r="101" spans="1:14" x14ac:dyDescent="0.35">
      <c r="A101" s="2">
        <v>44832</v>
      </c>
      <c r="B101" s="40">
        <v>-29.139113999999999</v>
      </c>
      <c r="C101" s="40">
        <v>-12.649137</v>
      </c>
      <c r="D101" s="40">
        <v>-11.818064</v>
      </c>
      <c r="E101" s="40">
        <v>-37.066450000000003</v>
      </c>
      <c r="F101" s="40">
        <v>-28.349287</v>
      </c>
      <c r="G101" s="40">
        <v>-16.564232000000001</v>
      </c>
      <c r="H101" s="40">
        <v>-14.536887</v>
      </c>
      <c r="I101" s="40">
        <v>-21.728348</v>
      </c>
      <c r="J101" s="40">
        <v>-13.273579</v>
      </c>
      <c r="K101" s="47">
        <v>-23.603110999999998</v>
      </c>
      <c r="L101" s="47">
        <v>-36.805472999999999</v>
      </c>
      <c r="M101" s="47">
        <v>-35.136436000000003</v>
      </c>
      <c r="N101" s="47">
        <v>-28.151195999999999</v>
      </c>
    </row>
    <row r="102" spans="1:14" x14ac:dyDescent="0.35">
      <c r="A102" s="2">
        <v>44862</v>
      </c>
      <c r="B102" s="40">
        <v>-30.397856000000001</v>
      </c>
      <c r="C102" s="40">
        <v>-17.155218000000001</v>
      </c>
      <c r="D102" s="40">
        <v>-14.649528500000001</v>
      </c>
      <c r="E102" s="40">
        <v>-32.386023999999999</v>
      </c>
      <c r="F102" s="40">
        <v>-24.896324</v>
      </c>
      <c r="G102" s="40">
        <v>-19.774532000000001</v>
      </c>
      <c r="H102" s="40">
        <v>-12.733757000000001</v>
      </c>
      <c r="I102" s="40">
        <v>-26.353628</v>
      </c>
      <c r="J102" s="40">
        <v>-13.833076</v>
      </c>
      <c r="K102" s="47">
        <v>-19.015471999999999</v>
      </c>
      <c r="L102" s="47">
        <v>-35.795403</v>
      </c>
      <c r="M102" s="47">
        <v>-33.849780000000003</v>
      </c>
      <c r="N102" s="47">
        <v>-24.647617</v>
      </c>
    </row>
    <row r="103" spans="1:14" x14ac:dyDescent="0.35">
      <c r="A103" s="2">
        <v>44893</v>
      </c>
      <c r="B103" s="40">
        <v>-18.763124000000001</v>
      </c>
      <c r="C103" s="40">
        <v>-0.45651793000000002</v>
      </c>
      <c r="D103" s="40">
        <v>-7.3030530000000002</v>
      </c>
      <c r="E103" s="40">
        <v>-19.271754999999999</v>
      </c>
      <c r="F103" s="40">
        <v>-15.146696</v>
      </c>
      <c r="G103" s="40">
        <v>-11.901581</v>
      </c>
      <c r="H103" s="40">
        <v>0.30117034999999998</v>
      </c>
      <c r="I103" s="40">
        <v>-27.284426</v>
      </c>
      <c r="J103" s="40">
        <v>-12.431145000000001</v>
      </c>
      <c r="K103" s="47">
        <v>-7.7251854</v>
      </c>
      <c r="L103" s="47">
        <v>-21.820944000000001</v>
      </c>
      <c r="M103" s="47">
        <v>-21.587382999999999</v>
      </c>
      <c r="N103" s="47">
        <v>-10.236281</v>
      </c>
    </row>
    <row r="104" spans="1:14" x14ac:dyDescent="0.35">
      <c r="A104" s="2">
        <v>44923</v>
      </c>
      <c r="B104" s="40">
        <v>-15.966188000000001</v>
      </c>
      <c r="C104" s="40">
        <v>-6.5604089999999999</v>
      </c>
      <c r="D104" s="40">
        <v>-13.396573</v>
      </c>
      <c r="E104" s="40">
        <v>-22.948915</v>
      </c>
      <c r="F104" s="40">
        <v>-19.136883000000001</v>
      </c>
      <c r="G104" s="40">
        <v>-19.218921999999999</v>
      </c>
      <c r="H104" s="40">
        <v>-5.0619544999999997</v>
      </c>
      <c r="I104" s="40">
        <v>-34.759884</v>
      </c>
      <c r="J104" s="40">
        <v>-19.729084</v>
      </c>
      <c r="K104" s="47">
        <v>-12.453830999999999</v>
      </c>
      <c r="L104" s="47">
        <v>-24.751609999999999</v>
      </c>
      <c r="M104" s="47">
        <v>-28.292339999999999</v>
      </c>
      <c r="N104" s="47">
        <v>-14.963049</v>
      </c>
    </row>
    <row r="105" spans="1:14" x14ac:dyDescent="0.35">
      <c r="A105" s="2">
        <v>44953</v>
      </c>
      <c r="B105" s="40">
        <v>0.30043124999999998</v>
      </c>
      <c r="C105" s="40">
        <v>16.711891000000001</v>
      </c>
      <c r="D105" s="40">
        <v>-1.5671492</v>
      </c>
      <c r="E105" s="40">
        <v>-8.1312660000000001</v>
      </c>
      <c r="F105" s="40">
        <v>-4.7713099999999997</v>
      </c>
      <c r="G105" s="40">
        <v>-4.9328623</v>
      </c>
      <c r="H105" s="40">
        <v>-0.34154057999999998</v>
      </c>
      <c r="I105" s="40">
        <v>-12.507635000000001</v>
      </c>
      <c r="J105" s="40">
        <v>-4.3966292999999999</v>
      </c>
      <c r="K105" s="47">
        <v>1.9378304</v>
      </c>
      <c r="L105" s="47">
        <v>-3.1506538000000002</v>
      </c>
      <c r="M105" s="47">
        <v>-10.211963000000001</v>
      </c>
      <c r="N105" s="47">
        <v>-1.5193403000000001</v>
      </c>
    </row>
    <row r="106" spans="1:14" x14ac:dyDescent="0.35">
      <c r="A106" s="2">
        <v>44985</v>
      </c>
      <c r="B106" s="40">
        <v>-8.5211935000000008</v>
      </c>
      <c r="C106" s="40">
        <v>3.7443638000000001E-2</v>
      </c>
      <c r="D106" s="40">
        <v>-8.9385805000000005</v>
      </c>
      <c r="E106" s="40">
        <v>-3.2212138000000001</v>
      </c>
      <c r="F106" s="40">
        <v>-10.052728999999999</v>
      </c>
      <c r="G106" s="40">
        <v>-7.6869670000000001</v>
      </c>
      <c r="H106" s="40">
        <v>-0.37469864000000003</v>
      </c>
      <c r="I106" s="40">
        <v>-14.729929</v>
      </c>
      <c r="J106" s="40">
        <v>-7.7693224000000001</v>
      </c>
      <c r="K106" s="47">
        <v>6.801069</v>
      </c>
      <c r="L106" s="47">
        <v>-2.8932630000000001</v>
      </c>
      <c r="M106" s="47">
        <v>-3.3576787000000001</v>
      </c>
      <c r="N106" s="47">
        <v>3.7892579999999998</v>
      </c>
    </row>
    <row r="107" spans="1:14" x14ac:dyDescent="0.35">
      <c r="A107" s="2">
        <v>45013</v>
      </c>
      <c r="B107" s="40">
        <v>-7.6342699999999999</v>
      </c>
      <c r="C107" s="40">
        <v>-10.877155999999999</v>
      </c>
      <c r="D107" s="40">
        <v>-15.965724</v>
      </c>
      <c r="E107" s="40">
        <v>-0.9436369</v>
      </c>
      <c r="F107" s="40">
        <v>-5.8552445999999998</v>
      </c>
      <c r="G107" s="40">
        <v>-8.2473810000000007</v>
      </c>
      <c r="H107" s="40">
        <v>-2.8961062000000002</v>
      </c>
      <c r="I107" s="40">
        <v>-15.192698999999999</v>
      </c>
      <c r="J107" s="40">
        <v>-11.747426000000001</v>
      </c>
      <c r="K107" s="47">
        <v>7.3197483999999999</v>
      </c>
      <c r="L107" s="47">
        <v>-3.3891737000000002</v>
      </c>
      <c r="M107" s="47">
        <v>-10.160655</v>
      </c>
      <c r="N107" s="47">
        <v>6.1578154999999999</v>
      </c>
    </row>
    <row r="108" spans="1:14" x14ac:dyDescent="0.35">
      <c r="A108" s="2">
        <v>45044</v>
      </c>
      <c r="B108" s="40">
        <v>0.11956691999999999</v>
      </c>
      <c r="C108" s="40">
        <v>-2.5924623000000002</v>
      </c>
      <c r="D108" s="40">
        <v>-5.0181509999999996</v>
      </c>
      <c r="E108" s="40">
        <v>15.233874</v>
      </c>
      <c r="F108" s="40">
        <v>3.9226770000000002</v>
      </c>
      <c r="G108" s="40">
        <v>4.4067382999999998</v>
      </c>
      <c r="H108" s="40">
        <v>8.0405119999999997</v>
      </c>
      <c r="I108" s="40">
        <v>-0.90897083000000001</v>
      </c>
      <c r="J108" s="40">
        <v>-1.1174797999999999</v>
      </c>
      <c r="K108" s="47">
        <v>22.224544999999999</v>
      </c>
      <c r="L108" s="47">
        <v>10.616099999999999</v>
      </c>
      <c r="M108" s="47">
        <v>6.2526107</v>
      </c>
      <c r="N108" s="47">
        <v>19.618880999999998</v>
      </c>
    </row>
    <row r="109" spans="1:14" x14ac:dyDescent="0.35">
      <c r="A109" s="2">
        <v>45072</v>
      </c>
      <c r="B109" s="40">
        <v>3.4167051000000002</v>
      </c>
      <c r="C109" s="40">
        <v>-3.4985542000000001</v>
      </c>
      <c r="D109" s="40">
        <v>-6.7575035000000003</v>
      </c>
      <c r="E109" s="40">
        <v>9.2829230000000003</v>
      </c>
      <c r="F109" s="40">
        <v>5.1468369999999997</v>
      </c>
      <c r="G109" s="40">
        <v>6.9660425000000004</v>
      </c>
      <c r="H109" s="40">
        <v>1.4520168</v>
      </c>
      <c r="I109" s="40">
        <v>17.284012000000001</v>
      </c>
      <c r="J109" s="40">
        <v>5.3981184999999998</v>
      </c>
      <c r="K109" s="47">
        <v>15.524710000000001</v>
      </c>
      <c r="L109" s="47">
        <v>13.938796999999999</v>
      </c>
      <c r="M109" s="47">
        <v>0.99829435</v>
      </c>
      <c r="N109" s="47">
        <v>10.455645000000001</v>
      </c>
    </row>
    <row r="110" spans="1:14" x14ac:dyDescent="0.35">
      <c r="A110" s="2">
        <v>45105</v>
      </c>
      <c r="B110" s="40">
        <v>6.8963647000000003</v>
      </c>
      <c r="C110" s="40">
        <v>7.1634890000000002</v>
      </c>
      <c r="D110" s="40">
        <v>2.7241944999999999</v>
      </c>
      <c r="E110" s="40">
        <v>22.597683</v>
      </c>
      <c r="F110" s="40">
        <v>17.393791</v>
      </c>
      <c r="G110" s="40">
        <v>13.638676</v>
      </c>
      <c r="H110" s="40">
        <v>9.3148949999999999</v>
      </c>
      <c r="I110" s="40">
        <v>29.486274999999999</v>
      </c>
      <c r="J110" s="40">
        <v>16.532623000000001</v>
      </c>
      <c r="K110" s="47">
        <v>27.633130999999999</v>
      </c>
      <c r="L110" s="47">
        <v>22.959029999999998</v>
      </c>
      <c r="M110" s="47">
        <v>12.952256</v>
      </c>
      <c r="N110" s="47">
        <v>31.181823999999999</v>
      </c>
    </row>
    <row r="111" spans="1:14" x14ac:dyDescent="0.35">
      <c r="A111" s="2">
        <v>45135</v>
      </c>
      <c r="B111" s="40">
        <v>4.7109839999999998</v>
      </c>
      <c r="C111" s="40">
        <v>6.9311857000000003</v>
      </c>
      <c r="D111" s="40">
        <v>5.1898119999999999</v>
      </c>
      <c r="E111" s="40">
        <v>30.957104000000001</v>
      </c>
      <c r="F111" s="40">
        <v>15.571224000000001</v>
      </c>
      <c r="G111" s="40">
        <v>13.468397</v>
      </c>
      <c r="H111" s="40">
        <v>12.898731</v>
      </c>
      <c r="I111" s="40">
        <v>24.663757</v>
      </c>
      <c r="J111" s="40">
        <v>14.376760000000001</v>
      </c>
      <c r="K111" s="47">
        <v>28.304600000000001</v>
      </c>
      <c r="L111" s="47">
        <v>21.832705000000001</v>
      </c>
      <c r="M111" s="47">
        <v>8.8841680000000007</v>
      </c>
      <c r="N111" s="47">
        <v>44.569004</v>
      </c>
    </row>
    <row r="112" spans="1:14" x14ac:dyDescent="0.35">
      <c r="A112" s="2">
        <v>45166</v>
      </c>
      <c r="B112" s="40">
        <v>-1.4884888999999999</v>
      </c>
      <c r="C112" s="40">
        <v>0.41117668000000002</v>
      </c>
      <c r="D112" s="40">
        <v>-0.56366324000000001</v>
      </c>
      <c r="E112" s="40">
        <v>31.24342</v>
      </c>
      <c r="F112" s="40">
        <v>12.498533</v>
      </c>
      <c r="G112" s="40">
        <v>13.589001</v>
      </c>
      <c r="H112" s="40">
        <v>10.629988000000001</v>
      </c>
      <c r="I112" s="40">
        <v>20.147418999999999</v>
      </c>
      <c r="J112" s="40">
        <v>11.040031000000001</v>
      </c>
      <c r="K112" s="47">
        <v>29.068601999999998</v>
      </c>
      <c r="L112" s="47">
        <v>19.292128000000002</v>
      </c>
      <c r="M112" s="47">
        <v>9.7386599999999994</v>
      </c>
      <c r="N112" s="47">
        <v>42.021430000000002</v>
      </c>
    </row>
    <row r="113" spans="1:14" x14ac:dyDescent="0.35">
      <c r="A113" s="2">
        <v>45197</v>
      </c>
      <c r="B113" s="40">
        <v>5.00108</v>
      </c>
      <c r="C113" s="40">
        <v>11.189878</v>
      </c>
      <c r="D113" s="40">
        <v>9.6012120000000003</v>
      </c>
      <c r="E113" s="40">
        <v>33.165897000000001</v>
      </c>
      <c r="F113" s="40">
        <v>24.082363000000001</v>
      </c>
      <c r="G113" s="40">
        <v>16.621471</v>
      </c>
      <c r="H113" s="40">
        <v>25.068055999999999</v>
      </c>
      <c r="I113" s="40">
        <v>28.758823</v>
      </c>
      <c r="J113" s="40">
        <v>17.489697</v>
      </c>
      <c r="K113" s="47">
        <v>34.087859999999999</v>
      </c>
      <c r="L113" s="47">
        <v>22.906483000000001</v>
      </c>
      <c r="M113" s="47">
        <v>19.941890000000001</v>
      </c>
      <c r="N113" s="47">
        <v>43.690075</v>
      </c>
    </row>
    <row r="114" spans="1:14" x14ac:dyDescent="0.35">
      <c r="A114" s="2">
        <v>45226</v>
      </c>
      <c r="B114" s="40">
        <v>-2.4090886</v>
      </c>
      <c r="C114" s="40">
        <v>2.7376412999999999</v>
      </c>
      <c r="D114" s="40">
        <v>-2.2058010000000001</v>
      </c>
      <c r="E114" s="40">
        <v>15.932202</v>
      </c>
      <c r="F114" s="40">
        <v>17.301727</v>
      </c>
      <c r="G114" s="40">
        <v>9.1154689999999992</v>
      </c>
      <c r="H114" s="40">
        <v>11.475205000000001</v>
      </c>
      <c r="I114" s="40">
        <v>27.409018</v>
      </c>
      <c r="J114" s="40">
        <v>9.7981090000000002</v>
      </c>
      <c r="K114" s="47">
        <v>16.473579999999998</v>
      </c>
      <c r="L114" s="47">
        <v>13.812530499999999</v>
      </c>
      <c r="M114" s="47">
        <v>4.4020413999999999</v>
      </c>
      <c r="N114" s="47">
        <v>25.64001</v>
      </c>
    </row>
    <row r="115" spans="1:14" x14ac:dyDescent="0.35">
      <c r="A115" s="2">
        <v>45258</v>
      </c>
      <c r="B115" s="40">
        <v>1.0924815999999999</v>
      </c>
      <c r="C115" s="40">
        <v>2.2431969999999999</v>
      </c>
      <c r="D115" s="40">
        <v>2.1010399999999998</v>
      </c>
      <c r="E115" s="40">
        <v>16.942740000000001</v>
      </c>
      <c r="F115" s="40">
        <v>13.689147999999999</v>
      </c>
      <c r="G115" s="40">
        <v>7.5984597000000003</v>
      </c>
      <c r="H115" s="40">
        <v>9.1544150000000002</v>
      </c>
      <c r="I115" s="40">
        <v>38.957439999999998</v>
      </c>
      <c r="J115" s="40">
        <v>16.734743000000002</v>
      </c>
      <c r="K115" s="47">
        <v>17.266632000000001</v>
      </c>
      <c r="L115" s="47">
        <v>12.598252</v>
      </c>
      <c r="M115" s="47">
        <v>10.680795</v>
      </c>
      <c r="N115" s="47">
        <v>25.666163999999998</v>
      </c>
    </row>
    <row r="116" spans="1:14" x14ac:dyDescent="0.35">
      <c r="A116" s="2">
        <v>45288</v>
      </c>
      <c r="B116" s="40">
        <v>3.4864663999999999</v>
      </c>
      <c r="C116" s="40">
        <v>15.183258</v>
      </c>
      <c r="D116" s="40">
        <v>15.978241000000001</v>
      </c>
      <c r="E116" s="40">
        <v>23.936641999999999</v>
      </c>
      <c r="F116" s="40">
        <v>21.405470000000001</v>
      </c>
      <c r="G116" s="40">
        <v>16.649425999999998</v>
      </c>
      <c r="H116" s="40">
        <v>12.823748999999999</v>
      </c>
      <c r="I116" s="40">
        <v>59.221015999999999</v>
      </c>
      <c r="J116" s="40">
        <v>28.494633</v>
      </c>
      <c r="K116" s="47">
        <v>22.349930000000001</v>
      </c>
      <c r="L116" s="47">
        <v>22.954035000000001</v>
      </c>
      <c r="M116" s="47">
        <v>26.338695999999999</v>
      </c>
      <c r="N116" s="47">
        <v>31.55415</v>
      </c>
    </row>
    <row r="117" spans="1:14" x14ac:dyDescent="0.35">
      <c r="A117" s="2">
        <v>45317</v>
      </c>
      <c r="B117" s="40">
        <v>-7.9473734</v>
      </c>
      <c r="C117" s="40">
        <v>-1.5383601</v>
      </c>
      <c r="D117" s="40">
        <v>4.8328519999999999</v>
      </c>
      <c r="E117" s="40">
        <v>7.8136206000000001</v>
      </c>
      <c r="F117" s="40">
        <v>13.842154000000001</v>
      </c>
      <c r="G117" s="40">
        <v>8.291328</v>
      </c>
      <c r="H117" s="40">
        <v>3.9708733999999999</v>
      </c>
      <c r="I117" s="40">
        <v>45.472861999999999</v>
      </c>
      <c r="J117" s="40">
        <v>22.266089999999998</v>
      </c>
      <c r="K117" s="47">
        <v>8.5502389999999995</v>
      </c>
      <c r="L117" s="47">
        <v>9.6140019999999993</v>
      </c>
      <c r="M117" s="47">
        <v>7.3050620000000004</v>
      </c>
      <c r="N117" s="47">
        <v>15.982305999999999</v>
      </c>
    </row>
    <row r="118" spans="1:14" x14ac:dyDescent="0.35">
      <c r="A118" s="2">
        <v>45350</v>
      </c>
      <c r="B118" s="40">
        <v>-4.6904086999999999</v>
      </c>
      <c r="C118" s="40">
        <v>7.7618003</v>
      </c>
      <c r="D118" s="40">
        <v>9.8770380000000007</v>
      </c>
      <c r="E118" s="40">
        <v>14.799773999999999</v>
      </c>
      <c r="F118" s="40">
        <v>25.365615999999999</v>
      </c>
      <c r="G118" s="40">
        <v>10.896979999999999</v>
      </c>
      <c r="H118" s="40">
        <v>5.2586554999999997</v>
      </c>
      <c r="I118" s="40">
        <v>49.294533000000001</v>
      </c>
      <c r="J118" s="40">
        <v>29.715478999999998</v>
      </c>
      <c r="K118" s="47">
        <v>13.524139</v>
      </c>
      <c r="L118" s="47">
        <v>18.564177000000001</v>
      </c>
      <c r="M118" s="47">
        <v>14.451288999999999</v>
      </c>
      <c r="N118" s="47">
        <v>23.174942000000001</v>
      </c>
    </row>
    <row r="119" spans="1:14" x14ac:dyDescent="0.35">
      <c r="A119" s="2">
        <v>45379</v>
      </c>
      <c r="B119" s="40">
        <v>-4.6717643999999998</v>
      </c>
      <c r="C119" s="40">
        <v>14.737356</v>
      </c>
      <c r="D119" s="40">
        <v>18.091916999999999</v>
      </c>
      <c r="E119" s="40">
        <v>18.630993</v>
      </c>
      <c r="F119" s="40">
        <v>26.746368</v>
      </c>
      <c r="G119" s="40">
        <v>10.912919</v>
      </c>
      <c r="H119" s="40">
        <v>13.225675000000001</v>
      </c>
      <c r="I119" s="40">
        <v>45.534480000000002</v>
      </c>
      <c r="J119" s="40">
        <v>34.148049999999998</v>
      </c>
      <c r="K119" s="47">
        <v>16.743874000000002</v>
      </c>
      <c r="L119" s="47">
        <v>24.658382</v>
      </c>
      <c r="M119" s="47">
        <v>21.216059000000001</v>
      </c>
      <c r="N119" s="47">
        <v>31.894515999999999</v>
      </c>
    </row>
    <row r="120" spans="1:14" x14ac:dyDescent="0.35">
      <c r="A120" s="2">
        <v>45408</v>
      </c>
      <c r="B120" s="40">
        <v>-6.5254269999999996</v>
      </c>
      <c r="C120" s="40">
        <v>7.9960465000000003</v>
      </c>
      <c r="D120" s="40">
        <v>11.873341</v>
      </c>
      <c r="E120" s="40">
        <v>9.3940370000000009</v>
      </c>
      <c r="F120" s="40">
        <v>17.47223</v>
      </c>
      <c r="G120" s="40">
        <v>-1.5482605</v>
      </c>
      <c r="H120" s="40">
        <v>8.6244340000000008</v>
      </c>
      <c r="I120" s="40">
        <v>39.118492000000003</v>
      </c>
      <c r="J120" s="40">
        <v>27.525960000000001</v>
      </c>
      <c r="K120" s="47">
        <v>6.6514730000000002</v>
      </c>
      <c r="L120" s="47">
        <v>18.733013</v>
      </c>
      <c r="M120" s="47">
        <v>10.989618</v>
      </c>
      <c r="N120" s="47">
        <v>23.395465999999999</v>
      </c>
    </row>
    <row r="121" spans="1:14" x14ac:dyDescent="0.35">
      <c r="A121" s="2">
        <v>45440</v>
      </c>
      <c r="B121" s="40">
        <v>-4.8461619999999996</v>
      </c>
      <c r="C121" s="40">
        <v>14.193606000000001</v>
      </c>
      <c r="D121" s="40">
        <v>15.604984</v>
      </c>
      <c r="E121" s="40">
        <v>15.909756</v>
      </c>
      <c r="F121" s="40">
        <v>16.702652</v>
      </c>
      <c r="G121" s="40">
        <v>3.7136078000000001</v>
      </c>
      <c r="H121" s="40">
        <v>16.087902</v>
      </c>
      <c r="I121" s="40">
        <v>32.818530000000003</v>
      </c>
      <c r="J121" s="40">
        <v>27.976727</v>
      </c>
      <c r="K121" s="47">
        <v>13.365149499999999</v>
      </c>
      <c r="L121" s="47">
        <v>23.06062</v>
      </c>
      <c r="M121" s="47">
        <v>22.693657000000002</v>
      </c>
      <c r="N121" s="47">
        <v>32.245018000000002</v>
      </c>
    </row>
    <row r="122" spans="1:14" x14ac:dyDescent="0.35">
      <c r="A122" s="2">
        <v>45471</v>
      </c>
      <c r="B122">
        <v>-1.4715075</v>
      </c>
      <c r="C122">
        <v>14.397812</v>
      </c>
      <c r="D122">
        <v>10.419917</v>
      </c>
      <c r="E122">
        <v>11.226201</v>
      </c>
      <c r="F122">
        <v>12.77746</v>
      </c>
      <c r="G122">
        <v>7.7524423999999996</v>
      </c>
      <c r="H122">
        <v>13.799787</v>
      </c>
      <c r="I122">
        <v>32.334282000000002</v>
      </c>
      <c r="J122">
        <v>26.463471999999999</v>
      </c>
      <c r="K122" s="47">
        <v>2.5551796000000002</v>
      </c>
      <c r="L122" s="47">
        <v>19.467545000000001</v>
      </c>
      <c r="M122" s="47">
        <v>20.565391999999999</v>
      </c>
      <c r="N122" s="47">
        <v>19.349765999999999</v>
      </c>
    </row>
    <row r="123" spans="1:14" x14ac:dyDescent="0.35">
      <c r="A123" s="2"/>
    </row>
    <row r="124" spans="1:14" x14ac:dyDescent="0.35">
      <c r="A124" s="2"/>
    </row>
    <row r="125" spans="1:14" x14ac:dyDescent="0.35">
      <c r="A125" s="2"/>
    </row>
    <row r="126" spans="1:14" x14ac:dyDescent="0.35">
      <c r="A126" s="2" t="s">
        <v>85</v>
      </c>
      <c r="B126" s="40" cm="1">
        <f t="array" ref="B126">MIN(_xlfn._xlws.FILTER(B2:B122, ISNUMBER(B2:B122)))</f>
        <v>-30.397856000000001</v>
      </c>
      <c r="C126" s="40" cm="1">
        <f t="array" ref="C126">MIN(_xlfn._xlws.FILTER(C2:C122, ISNUMBER(C2:C122)))</f>
        <v>-28.844785999999999</v>
      </c>
      <c r="D126" s="40" cm="1">
        <f t="array" ref="D126">MIN(_xlfn._xlws.FILTER(D2:D122, ISNUMBER(D2:D122)))</f>
        <v>-26.420074</v>
      </c>
      <c r="E126" s="40" cm="1">
        <f t="array" ref="E126">MIN(_xlfn._xlws.FILTER(E2:E122, ISNUMBER(E2:E122)))</f>
        <v>-37.066450000000003</v>
      </c>
      <c r="F126" s="40" cm="1">
        <f t="array" ref="F126">MIN(_xlfn._xlws.FILTER(F2:F122, ISNUMBER(F2:F122)))</f>
        <v>-28.349287</v>
      </c>
      <c r="G126" s="40" cm="1">
        <f t="array" ref="G126">MIN(_xlfn._xlws.FILTER(G2:G122, ISNUMBER(G2:G122)))</f>
        <v>-19.774532000000001</v>
      </c>
      <c r="H126" s="40" cm="1">
        <f t="array" ref="H126">MIN(_xlfn._xlws.FILTER(H2:H122, ISNUMBER(H2:H122)))</f>
        <v>-26.490122</v>
      </c>
      <c r="I126" s="40" cm="1">
        <f t="array" ref="I126">MIN(_xlfn._xlws.FILTER(I2:I122, ISNUMBER(I2:I122)))</f>
        <v>-34.759884</v>
      </c>
      <c r="J126" s="40" cm="1">
        <f t="array" ref="J126">MIN(_xlfn._xlws.FILTER(J2:J122, ISNUMBER(J2:J122)))</f>
        <v>-19.729084</v>
      </c>
      <c r="K126" s="40" cm="1">
        <f t="array" ref="K126">MIN(_xlfn._xlws.FILTER(K2:K122, ISNUMBER(K2:K122)))</f>
        <v>-23.603110999999998</v>
      </c>
      <c r="L126" s="40" cm="1">
        <f t="array" ref="L126">MIN(_xlfn._xlws.FILTER(L2:L122, ISNUMBER(L2:L122)))</f>
        <v>-36.805472999999999</v>
      </c>
      <c r="M126" s="40" cm="1">
        <f t="array" ref="M126">MIN(_xlfn._xlws.FILTER(M2:M122, ISNUMBER(M2:M122)))</f>
        <v>-35.136436000000003</v>
      </c>
      <c r="N126" s="40" cm="1">
        <f t="array" ref="N126">MIN(_xlfn._xlws.FILTER(N2:N122, ISNUMBER(N2:N122)))</f>
        <v>-32.011189999999999</v>
      </c>
    </row>
    <row r="127" spans="1:14" x14ac:dyDescent="0.35">
      <c r="A127" s="2" t="s">
        <v>393</v>
      </c>
      <c r="B127" s="42" cm="1">
        <f t="array" ref="B127">MAX(_xlfn._xlws.FILTER(B1:B122, ISNUMBER(B1:B122)))</f>
        <v>49.413905999999997</v>
      </c>
      <c r="C127" s="42" cm="1">
        <f t="array" ref="C127">MAX(_xlfn._xlws.FILTER(C1:C122, ISNUMBER(C1:C122)))</f>
        <v>63.501835</v>
      </c>
      <c r="D127" s="42" cm="1">
        <f t="array" ref="D127">MAX(_xlfn._xlws.FILTER(D1:D122, ISNUMBER(D1:D122)))</f>
        <v>60.214675999999997</v>
      </c>
      <c r="E127" s="42" cm="1">
        <f t="array" ref="E127">MAX(_xlfn._xlws.FILTER(E1:E122, ISNUMBER(E1:E122)))</f>
        <v>56.8962</v>
      </c>
      <c r="F127" s="42" cm="1">
        <f t="array" ref="F127">MAX(_xlfn._xlws.FILTER(F1:F122, ISNUMBER(F1:F122)))</f>
        <v>41.220190000000002</v>
      </c>
      <c r="G127" s="42" cm="1">
        <f t="array" ref="G127">MAX(_xlfn._xlws.FILTER(G1:G122, ISNUMBER(G1:G122)))</f>
        <v>34.674230000000001</v>
      </c>
      <c r="H127" s="42" cm="1">
        <f t="array" ref="H127">MAX(_xlfn._xlws.FILTER(H1:H122, ISNUMBER(H1:H122)))</f>
        <v>44.618270000000003</v>
      </c>
      <c r="I127" s="42" cm="1">
        <f t="array" ref="I127">MAX(_xlfn._xlws.FILTER(I1:I122, ISNUMBER(I1:I122)))</f>
        <v>65.696820000000002</v>
      </c>
      <c r="J127" s="42" cm="1">
        <f t="array" ref="J127">MAX(_xlfn._xlws.FILTER(J1:J122, ISNUMBER(J1:J122)))</f>
        <v>54.046190000000003</v>
      </c>
      <c r="K127" s="42" cm="1">
        <f t="array" ref="K127">MAX(_xlfn._xlws.FILTER(K1:K122, ISNUMBER(K1:K122)))</f>
        <v>57.430793999999999</v>
      </c>
      <c r="L127" s="42" cm="1">
        <f t="array" ref="L127">MAX(_xlfn._xlws.FILTER(L1:L122, ISNUMBER(L1:L122)))</f>
        <v>76.707650000000001</v>
      </c>
      <c r="M127" s="42" cm="1">
        <f t="array" ref="M127">MAX(_xlfn._xlws.FILTER(M1:M122, ISNUMBER(M1:M122)))</f>
        <v>78.923370000000006</v>
      </c>
      <c r="N127" s="42" cm="1">
        <f t="array" ref="N127">MAX(_xlfn._xlws.FILTER(N1:N122, ISNUMBER(N1:N122)))</f>
        <v>58.694195000000001</v>
      </c>
    </row>
    <row r="128" spans="1:14" x14ac:dyDescent="0.35">
      <c r="A128" s="2" t="s">
        <v>394</v>
      </c>
      <c r="B128" s="40" cm="1">
        <f t="array" ref="B128">MEDIAN(_xlfn._xlws.FILTER(B1:B122, ISNUMBER(B1:B122)))</f>
        <v>6.8963647000000003</v>
      </c>
      <c r="C128" s="40" cm="1">
        <f t="array" ref="C128">MEDIAN(_xlfn._xlws.FILTER(C1:C122, ISNUMBER(C1:C122)))</f>
        <v>3.6465882999999999</v>
      </c>
      <c r="D128" s="40" cm="1">
        <f t="array" ref="D128">MEDIAN(_xlfn._xlws.FILTER(D1:D122, ISNUMBER(D1:D122)))</f>
        <v>4.9093010000000001</v>
      </c>
      <c r="E128" s="40" cm="1">
        <f t="array" ref="E128">MEDIAN(_xlfn._xlws.FILTER(E1:E122, ISNUMBER(E1:E122)))</f>
        <v>1.8808722</v>
      </c>
      <c r="F128" s="40" cm="1">
        <f t="array" ref="F128">MEDIAN(_xlfn._xlws.FILTER(F1:F122, ISNUMBER(F1:F122)))</f>
        <v>8.2056280000000008</v>
      </c>
      <c r="G128" s="40" cm="1">
        <f t="array" ref="G128">MEDIAN(_xlfn._xlws.FILTER(G1:G122, ISNUMBER(G1:G122)))</f>
        <v>7.5984597000000003</v>
      </c>
      <c r="H128" s="40" cm="1">
        <f t="array" ref="H128">MEDIAN(_xlfn._xlws.FILTER(H1:H122, ISNUMBER(H1:H122)))</f>
        <v>1.4520168</v>
      </c>
      <c r="I128" s="40" cm="1">
        <f t="array" ref="I128">MEDIAN(_xlfn._xlws.FILTER(I1:I122, ISNUMBER(I1:I122)))</f>
        <v>22.804749000000001</v>
      </c>
      <c r="J128" s="40" cm="1">
        <f t="array" ref="J128">MEDIAN(_xlfn._xlws.FILTER(J1:J122, ISNUMBER(J1:J122)))</f>
        <v>14.713049</v>
      </c>
      <c r="K128" s="40" cm="1">
        <f t="array" ref="K128">MEDIAN(_xlfn._xlws.FILTER(K1:K122, ISNUMBER(K1:K122)))</f>
        <v>4.8624634999999996</v>
      </c>
      <c r="L128" s="40" cm="1">
        <f t="array" ref="L128">MEDIAN(_xlfn._xlws.FILTER(L1:L122, ISNUMBER(L1:L122)))</f>
        <v>7.3197722000000001</v>
      </c>
      <c r="M128" s="40" cm="1">
        <f t="array" ref="M128">MEDIAN(_xlfn._xlws.FILTER(M1:M122, ISNUMBER(M1:M122)))</f>
        <v>2.0018457999999999</v>
      </c>
      <c r="N128" s="40" cm="1">
        <f t="array" ref="N128">MEDIAN(_xlfn._xlws.FILTER(N1:N122, ISNUMBER(N1:N122)))</f>
        <v>2.0871520000000001</v>
      </c>
    </row>
    <row r="129" spans="1:14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</row>
    <row r="130" spans="1:14" x14ac:dyDescent="0.35">
      <c r="A130" s="2" t="s">
        <v>87</v>
      </c>
      <c r="B130">
        <f>COUNTIF(B2:B122, "&lt;"&amp;Assumption!$F$50)</f>
        <v>19</v>
      </c>
      <c r="C130">
        <f>COUNTIF(C2:C122, "&lt;"&amp;Assumption!$F$50)</f>
        <v>23</v>
      </c>
      <c r="D130">
        <f>COUNTIF(D2:D122, "&lt;"&amp;Assumption!$F$50)</f>
        <v>20</v>
      </c>
      <c r="E130">
        <f>COUNTIF(E2:E122, "&lt;"&amp;Assumption!$F$50)</f>
        <v>28</v>
      </c>
      <c r="F130">
        <f>COUNTIF(F2:F122, "&lt;"&amp;Assumption!$F$50)</f>
        <v>16</v>
      </c>
      <c r="G130">
        <f>COUNTIF(G2:G122, "&lt;"&amp;Assumption!$F$50)</f>
        <v>12</v>
      </c>
      <c r="H130">
        <f>COUNTIF(H2:H122, "&lt;"&amp;Assumption!$F$50)</f>
        <v>22</v>
      </c>
      <c r="I130">
        <f>COUNTIF(I2:I122, "&lt;"&amp;Assumption!$F$50)</f>
        <v>10</v>
      </c>
      <c r="J130">
        <f>COUNTIF(J2:J122, "&lt;"&amp;Assumption!$F$50)</f>
        <v>5</v>
      </c>
      <c r="K130">
        <f>COUNTIF(K2:K122, "&lt;"&amp;Assumption!$F$50)</f>
        <v>14</v>
      </c>
      <c r="L130">
        <f>COUNTIF(L2:L122, "&lt;"&amp;Assumption!$F$50)</f>
        <v>14</v>
      </c>
      <c r="M130">
        <f>COUNTIF(M2:M122, "&lt;"&amp;Assumption!$F$50)</f>
        <v>24</v>
      </c>
      <c r="N130">
        <f>COUNTIF(N2:N122, "&lt;"&amp;Assumption!$F$50)</f>
        <v>36</v>
      </c>
    </row>
    <row r="131" spans="1:14" x14ac:dyDescent="0.35">
      <c r="A131" s="2" t="s">
        <v>86</v>
      </c>
      <c r="B131">
        <f t="shared" ref="B131:J131" si="0">COUNT(B1:B122)</f>
        <v>121</v>
      </c>
      <c r="C131">
        <f t="shared" si="0"/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ref="K131:N131" si="1">COUNT(K1:K122)</f>
        <v>121</v>
      </c>
      <c r="L131">
        <f t="shared" si="1"/>
        <v>121</v>
      </c>
      <c r="M131">
        <f t="shared" si="1"/>
        <v>121</v>
      </c>
      <c r="N131">
        <f t="shared" si="1"/>
        <v>121</v>
      </c>
    </row>
    <row r="132" spans="1:14" x14ac:dyDescent="0.35">
      <c r="A132" s="2"/>
    </row>
    <row r="133" spans="1:14" x14ac:dyDescent="0.35">
      <c r="A133" s="2" t="s">
        <v>397</v>
      </c>
      <c r="B133" s="9">
        <f t="shared" ref="B133:J133" si="2">B130/B131</f>
        <v>0.15702479338842976</v>
      </c>
      <c r="C133" s="9">
        <f t="shared" si="2"/>
        <v>0.19008264462809918</v>
      </c>
      <c r="D133" s="9">
        <f t="shared" si="2"/>
        <v>0.16528925619834711</v>
      </c>
      <c r="E133" s="9">
        <f t="shared" si="2"/>
        <v>0.23140495867768596</v>
      </c>
      <c r="F133" s="9">
        <f t="shared" si="2"/>
        <v>0.13223140495867769</v>
      </c>
      <c r="G133" s="9">
        <f t="shared" si="2"/>
        <v>9.9173553719008267E-2</v>
      </c>
      <c r="H133" s="9">
        <f t="shared" si="2"/>
        <v>0.18181818181818182</v>
      </c>
      <c r="I133" s="9">
        <f t="shared" si="2"/>
        <v>8.2644628099173556E-2</v>
      </c>
      <c r="J133" s="9">
        <f t="shared" si="2"/>
        <v>4.1322314049586778E-2</v>
      </c>
      <c r="K133" s="9">
        <f t="shared" ref="K133:N133" si="3">K130/K131</f>
        <v>0.11570247933884298</v>
      </c>
      <c r="L133" s="9">
        <f t="shared" si="3"/>
        <v>0.11570247933884298</v>
      </c>
      <c r="M133" s="9">
        <f t="shared" si="3"/>
        <v>0.19834710743801653</v>
      </c>
      <c r="N133" s="9">
        <f t="shared" si="3"/>
        <v>0.2975206611570248</v>
      </c>
    </row>
    <row r="134" spans="1:14" x14ac:dyDescent="0.35">
      <c r="A134" s="2"/>
    </row>
    <row r="135" spans="1:14" x14ac:dyDescent="0.35">
      <c r="A135" s="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35">
      <c r="A136" s="2" t="s">
        <v>400</v>
      </c>
      <c r="B136" s="40" cm="1">
        <f t="array" ref="B136">_xlfn.PERCENTRANK.EXC(_xlfn._xlws.FILTER(B2:B122, ISNUMBER(B2:B122)),B120)</f>
        <v>0.20399999999999999</v>
      </c>
      <c r="C136" s="40" cm="1">
        <f t="array" ref="C136">_xlfn.PERCENTRANK.EXC(_xlfn._xlws.FILTER(C2:C122, ISNUMBER(C2:C122)),C120)</f>
        <v>0.61399999999999999</v>
      </c>
      <c r="D136" s="40" cm="1">
        <f t="array" ref="D136">_xlfn.PERCENTRANK.EXC(_xlfn._xlws.FILTER(D2:D122, ISNUMBER(D2:D122)),D120)</f>
        <v>0.68</v>
      </c>
      <c r="E136" s="40" cm="1">
        <f t="array" ref="E136">_xlfn.PERCENTRANK.EXC(_xlfn._xlws.FILTER(E2:E122, ISNUMBER(E2:E122)),E120)</f>
        <v>0.59</v>
      </c>
      <c r="F136" s="40" cm="1">
        <f t="array" ref="F136">_xlfn.PERCENTRANK.EXC(_xlfn._xlws.FILTER(F2:F122, ISNUMBER(F2:F122)),F120)</f>
        <v>0.80300000000000005</v>
      </c>
      <c r="G136" s="40" cm="1">
        <f t="array" ref="G136">_xlfn.PERCENTRANK.EXC(_xlfn._xlws.FILTER(G2:G122, ISNUMBER(G2:G122)),G120)</f>
        <v>0.254</v>
      </c>
      <c r="H136" s="40" cm="1">
        <f t="array" ref="H136">_xlfn.PERCENTRANK.EXC(_xlfn._xlws.FILTER(H2:H122, ISNUMBER(H2:H122)),H120)</f>
        <v>0.622</v>
      </c>
      <c r="I136" s="40" cm="1">
        <f t="array" ref="I136">_xlfn.PERCENTRANK.EXC(_xlfn._xlws.FILTER(I2:I122, ISNUMBER(I2:I122)),I120)</f>
        <v>0.85199999999999998</v>
      </c>
      <c r="J136" s="40" cm="1">
        <f t="array" ref="J136">_xlfn.PERCENTRANK.EXC(_xlfn._xlws.FILTER(J2:J122, ISNUMBER(J2:J122)),J120)</f>
        <v>0.86799999999999999</v>
      </c>
      <c r="K136" s="40" cm="1">
        <f t="array" ref="K136">_xlfn.PERCENTRANK.EXC(_xlfn._xlws.FILTER(K2:K122, ISNUMBER(K2:K122)),K120)</f>
        <v>0.54900000000000004</v>
      </c>
      <c r="L136" s="40" cm="1">
        <f t="array" ref="L136">_xlfn.PERCENTRANK.EXC(_xlfn._xlws.FILTER(L2:L122, ISNUMBER(L2:L122)),L120)</f>
        <v>0.67200000000000004</v>
      </c>
      <c r="M136" s="40" cm="1">
        <f t="array" ref="M136">_xlfn.PERCENTRANK.EXC(_xlfn._xlws.FILTER(M2:M122, ISNUMBER(M2:M122)),M120)</f>
        <v>0.63900000000000001</v>
      </c>
      <c r="N136" s="40" cm="1">
        <f t="array" ref="N136">_xlfn.PERCENTRANK.EXC(_xlfn._xlws.FILTER(N2:N122, ISNUMBER(N2:N122)),N120)</f>
        <v>0.73699999999999999</v>
      </c>
    </row>
    <row r="137" spans="1:14" x14ac:dyDescent="0.35">
      <c r="A137" s="2" t="s">
        <v>399</v>
      </c>
      <c r="B137" s="40" cm="1">
        <f t="array" ref="B137">_xlfn.PERCENTRANK.EXC(_xlfn._xlws.FILTER(B2:B122, ISNUMBER(B2:B122)),B121)</f>
        <v>0.23699999999999999</v>
      </c>
      <c r="C137" s="40" cm="1">
        <f t="array" ref="C137">_xlfn.PERCENTRANK.EXC(_xlfn._xlws.FILTER(C2:C122, ISNUMBER(C2:C122)),C121)</f>
        <v>0.72099999999999997</v>
      </c>
      <c r="D137" s="40" cm="1">
        <f t="array" ref="D137">_xlfn.PERCENTRANK.EXC(_xlfn._xlws.FILTER(D2:D122, ISNUMBER(D2:D122)),D121)</f>
        <v>0.77</v>
      </c>
      <c r="E137" s="40" cm="1">
        <f t="array" ref="E137">_xlfn.PERCENTRANK.EXC(_xlfn._xlws.FILTER(E2:E122, ISNUMBER(E2:E122)),E121)</f>
        <v>0.71299999999999997</v>
      </c>
      <c r="F137" s="40" cm="1">
        <f t="array" ref="F137">_xlfn.PERCENTRANK.EXC(_xlfn._xlws.FILTER(F2:F122, ISNUMBER(F2:F122)),F121)</f>
        <v>0.76200000000000001</v>
      </c>
      <c r="G137" s="40" cm="1">
        <f t="array" ref="G137">_xlfn.PERCENTRANK.EXC(_xlfn._xlws.FILTER(G2:G122, ISNUMBER(G2:G122)),G121)</f>
        <v>0.40100000000000002</v>
      </c>
      <c r="H137" s="40" cm="1">
        <f t="array" ref="H137">_xlfn.PERCENTRANK.EXC(_xlfn._xlws.FILTER(H2:H122, ISNUMBER(H2:H122)),H121)</f>
        <v>0.83599999999999997</v>
      </c>
      <c r="I137" s="40" cm="1">
        <f t="array" ref="I137">_xlfn.PERCENTRANK.EXC(_xlfn._xlws.FILTER(I2:I122, ISNUMBER(I2:I122)),I121)</f>
        <v>0.77800000000000002</v>
      </c>
      <c r="J137" s="40" cm="1">
        <f t="array" ref="J137">_xlfn.PERCENTRANK.EXC(_xlfn._xlws.FILTER(J2:J122, ISNUMBER(J2:J122)),J121)</f>
        <v>0.877</v>
      </c>
      <c r="K137" s="40" cm="1">
        <f t="array" ref="K137">_xlfn.PERCENTRANK.EXC(_xlfn._xlws.FILTER(K2:K122, ISNUMBER(K2:K122)),K121)</f>
        <v>0.63900000000000001</v>
      </c>
      <c r="L137" s="40" cm="1">
        <f t="array" ref="L137">_xlfn.PERCENTRANK.EXC(_xlfn._xlws.FILTER(L2:L122, ISNUMBER(L2:L122)),L121)</f>
        <v>0.79500000000000004</v>
      </c>
      <c r="M137" s="40" cm="1">
        <f t="array" ref="M137">_xlfn.PERCENTRANK.EXC(_xlfn._xlws.FILTER(M2:M122, ISNUMBER(M2:M122)),M121)</f>
        <v>0.80300000000000005</v>
      </c>
      <c r="N137" s="40" cm="1">
        <f t="array" ref="N137">_xlfn.PERCENTRANK.EXC(_xlfn._xlws.FILTER(N2:N122, ISNUMBER(N2:N122)),N121)</f>
        <v>0.84399999999999997</v>
      </c>
    </row>
    <row r="138" spans="1:14" x14ac:dyDescent="0.35">
      <c r="A138" s="2" t="s">
        <v>401</v>
      </c>
      <c r="B138" s="40" cm="1">
        <f t="array" ref="B138">_xlfn.PERCENTRANK.EXC(_xlfn._xlws.FILTER(B2:B122, ISNUMBER(B2:B122)),B122)</f>
        <v>0.28599999999999998</v>
      </c>
      <c r="C138" s="40" cm="1">
        <f t="array" ref="C138">_xlfn.PERCENTRANK.EXC(_xlfn._xlws.FILTER(C2:C122, ISNUMBER(C2:C122)),C122)</f>
        <v>0.72899999999999998</v>
      </c>
      <c r="D138" s="40" cm="1">
        <f t="array" ref="D138">_xlfn.PERCENTRANK.EXC(_xlfn._xlws.FILTER(D2:D122, ISNUMBER(D2:D122)),D122)</f>
        <v>0.65500000000000003</v>
      </c>
      <c r="E138" s="40" cm="1">
        <f t="array" ref="E138">_xlfn.PERCENTRANK.EXC(_xlfn._xlws.FILTER(E2:E122, ISNUMBER(E2:E122)),E122)</f>
        <v>0.622</v>
      </c>
      <c r="F138" s="40" cm="1">
        <f t="array" ref="F138">_xlfn.PERCENTRANK.EXC(_xlfn._xlws.FILTER(F2:F122, ISNUMBER(F2:F122)),F122)</f>
        <v>0.63900000000000001</v>
      </c>
      <c r="G138" s="40" cm="1">
        <f t="array" ref="G138">_xlfn.PERCENTRANK.EXC(_xlfn._xlws.FILTER(G2:G122, ISNUMBER(G2:G122)),G122)</f>
        <v>0.51600000000000001</v>
      </c>
      <c r="H138" s="40" cm="1">
        <f t="array" ref="H138">_xlfn.PERCENTRANK.EXC(_xlfn._xlws.FILTER(H2:H122, ISNUMBER(H2:H122)),H122)</f>
        <v>0.79500000000000004</v>
      </c>
      <c r="I138" s="40" cm="1">
        <f t="array" ref="I138">_xlfn.PERCENTRANK.EXC(_xlfn._xlws.FILTER(I2:I122, ISNUMBER(I2:I122)),I122)</f>
        <v>0.754</v>
      </c>
      <c r="J138" s="40" cm="1">
        <f t="array" ref="J138">_xlfn.PERCENTRANK.EXC(_xlfn._xlws.FILTER(J2:J122, ISNUMBER(J2:J122)),J122)</f>
        <v>0.85199999999999998</v>
      </c>
      <c r="K138" s="40" cm="1">
        <f t="array" ref="K138">_xlfn.PERCENTRANK.EXC(_xlfn._xlws.FILTER(K2:K122, ISNUMBER(K2:K122)),K122)</f>
        <v>0.45900000000000002</v>
      </c>
      <c r="L138" s="40" cm="1">
        <f t="array" ref="L138">_xlfn.PERCENTRANK.EXC(_xlfn._xlws.FILTER(L2:L122, ISNUMBER(L2:L122)),L122)</f>
        <v>0.69599999999999995</v>
      </c>
      <c r="M138" s="40" cm="1">
        <f t="array" ref="M138">_xlfn.PERCENTRANK.EXC(_xlfn._xlws.FILTER(M2:M122, ISNUMBER(M2:M122)),M122)</f>
        <v>0.76200000000000001</v>
      </c>
      <c r="N138" s="40" cm="1">
        <f t="array" ref="N138">_xlfn.PERCENTRANK.EXC(_xlfn._xlws.FILTER(N2:N122, ISNUMBER(N2:N122)),N122)</f>
        <v>0.68</v>
      </c>
    </row>
    <row r="139" spans="1:14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</row>
    <row r="140" spans="1:14" x14ac:dyDescent="0.35">
      <c r="A140" s="2" t="s">
        <v>463</v>
      </c>
      <c r="B140" s="40">
        <f t="shared" ref="B140:J140" si="4">AVERAGE(B136:B138)</f>
        <v>0.24233333333333329</v>
      </c>
      <c r="C140" s="40">
        <f t="shared" si="4"/>
        <v>0.68800000000000006</v>
      </c>
      <c r="D140" s="40">
        <f t="shared" si="4"/>
        <v>0.70166666666666677</v>
      </c>
      <c r="E140" s="40">
        <f t="shared" si="4"/>
        <v>0.64166666666666661</v>
      </c>
      <c r="F140" s="40">
        <f t="shared" si="4"/>
        <v>0.73466666666666658</v>
      </c>
      <c r="G140" s="40">
        <f t="shared" si="4"/>
        <v>0.39033333333333337</v>
      </c>
      <c r="H140" s="40">
        <f t="shared" si="4"/>
        <v>0.751</v>
      </c>
      <c r="I140" s="40">
        <f t="shared" si="4"/>
        <v>0.79466666666666663</v>
      </c>
      <c r="J140" s="40">
        <f t="shared" si="4"/>
        <v>0.8656666666666667</v>
      </c>
      <c r="K140" s="40">
        <f t="shared" ref="K140:N140" si="5">AVERAGE(K136:K138)</f>
        <v>0.54900000000000004</v>
      </c>
      <c r="L140" s="40">
        <f t="shared" si="5"/>
        <v>0.72100000000000009</v>
      </c>
      <c r="M140" s="40">
        <f t="shared" si="5"/>
        <v>0.73466666666666669</v>
      </c>
      <c r="N140" s="40">
        <f t="shared" si="5"/>
        <v>0.75366666666666671</v>
      </c>
    </row>
    <row r="141" spans="1:14" x14ac:dyDescent="0.35">
      <c r="A141" s="2"/>
    </row>
    <row r="142" spans="1:14" x14ac:dyDescent="0.35">
      <c r="A142" s="2"/>
    </row>
    <row r="143" spans="1:14" x14ac:dyDescent="0.35">
      <c r="A143" s="2"/>
    </row>
    <row r="144" spans="1:14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5"/>
  <sheetViews>
    <sheetView topLeftCell="A16" workbookViewId="0">
      <selection activeCell="N27" sqref="N27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21">_xll.FDSB(C1,"JULIAN(FMA_EPS(NTMA,-20AY,0,CY,,""PORTAGG"",""MEANR"").dates)")</f>
        <v>38352</v>
      </c>
      <c r="B2" t="str" cm="1">
        <f t="array" ref="B2:B21">_xll.FDSB(B1,"FMA_EPS(NTMA,-20AY,0,CY,,""PORTAGG"",""MEANR"")")</f>
        <v/>
      </c>
      <c r="C2" cm="1">
        <f t="array" ref="C2:C21">_xll.FDSB(C1,"FMA_EPS(NTMA,-20AY,0,CY,,""PORTAGG"",""MEANR"")")</f>
        <v>1.18421421757289</v>
      </c>
      <c r="D2" cm="1">
        <f t="array" ref="D2:D21">_xll.FDSB(D1,"FMA_EPS(NTMA,-20AY,0,CY,,""PORTAGG"",""MEANR"")")</f>
        <v>1.2030920356358299</v>
      </c>
      <c r="E2" cm="1">
        <f t="array" ref="E2:E21">_xll.FDSB(E1,"FMA_EPS(NTMA,-20AY,0,CY,,""PORTAGG"",""MEANR"")")</f>
        <v>1.5206641104358301</v>
      </c>
      <c r="F2" cm="1">
        <f t="array" ref="F2:F21">_xll.FDSB(F1,"FMA_EPS(NTMA,-20AY,0,CY,,""PORTAGG"",""MEANR"")")</f>
        <v>2.8357200583240298</v>
      </c>
      <c r="G2" cm="1">
        <f t="array" ref="G2:G21">_xll.FDSB(G1,"FMA_EPS(NTMA,-20AY,0,CY,,""PORTAGG"",""MEANR"")")</f>
        <v>1.1516797861463699</v>
      </c>
      <c r="H2" cm="1">
        <f t="array" ref="H2:H21">_xll.FDSB(H1,"FMA_EPS(NTMA,-20AY,0,CY,,""PORTAGG"",""MEANR"")")</f>
        <v>2.78829402631307</v>
      </c>
      <c r="I2" cm="1">
        <f t="array" ref="I2:I21">_xll.FDSB(I1,"FMA_EPS(NTMA,-20AY,0,CY,,""PORTAGG"",""MEANR"")")</f>
        <v>1.4194312135232301</v>
      </c>
      <c r="J2" cm="1">
        <f t="array" ref="J2:J21">_xll.FDSB(J1,"FMA_EPS(NTMA,-20AY,0,CY,,""PORTAGG"",""MEANR"")")</f>
        <v>7.6074243913976698</v>
      </c>
      <c r="K2" cm="1">
        <f t="array" ref="K2:K21">_xll.FDSB(K1,"FMA_EPS(NTMA,-20AY,0,CY,,""PORTAGG"",""MEANR"")")</f>
        <v>2.0229379462087902</v>
      </c>
      <c r="L2" cm="1">
        <f t="array" ref="L2:L21">_xll.FDSB(L1,"FMA_EPS(NTMA,-20AY,0,CY,,""PORTAGG"",""MEANR"")")</f>
        <v>1.49109929215903</v>
      </c>
      <c r="M2" cm="1">
        <f t="array" ref="M2:M21">_xll.FDSB(M1,"FMA_EPS(NTMA,-20AY,0,CY,,""PORTAGG"",""MEANR"")")</f>
        <v>1.55275820794805</v>
      </c>
      <c r="N2" cm="1">
        <f t="array" ref="N2:N21">_xll.FDSB(N1,"FMA_EPS(NTMA,-20AY,0,CY,,""PORTAGG"",""MEANR"")")</f>
        <v>3.1691683391169998</v>
      </c>
    </row>
    <row r="3" spans="1:14" x14ac:dyDescent="0.35">
      <c r="A3" s="2">
        <v>38716</v>
      </c>
      <c r="B3" t="str">
        <v/>
      </c>
      <c r="C3">
        <v>1.3562293603437101</v>
      </c>
      <c r="D3">
        <v>1.5111635725994299</v>
      </c>
      <c r="E3">
        <v>1.60643474084628</v>
      </c>
      <c r="F3">
        <v>2.8483033593434901</v>
      </c>
      <c r="G3">
        <v>1.184604896687</v>
      </c>
      <c r="H3">
        <v>2.9493248466797501</v>
      </c>
      <c r="I3">
        <v>1.68578719870209</v>
      </c>
      <c r="J3">
        <v>8.8394289215288495</v>
      </c>
      <c r="K3">
        <v>2.0933820421534701</v>
      </c>
      <c r="L3">
        <v>1.5900517234347999</v>
      </c>
      <c r="M3">
        <v>1.5458174452232101</v>
      </c>
      <c r="N3">
        <v>3.1240599327945802</v>
      </c>
    </row>
    <row r="4" spans="1:14" x14ac:dyDescent="0.35">
      <c r="A4" s="2">
        <v>39080</v>
      </c>
      <c r="B4" t="str">
        <v/>
      </c>
      <c r="C4">
        <v>1.6822321953850301</v>
      </c>
      <c r="D4">
        <v>1.75142389864603</v>
      </c>
      <c r="E4">
        <v>2.1190990076223799</v>
      </c>
      <c r="F4">
        <v>3.2915693248682101</v>
      </c>
      <c r="G4">
        <v>1.51903625271091</v>
      </c>
      <c r="H4">
        <v>3.75488864741091</v>
      </c>
      <c r="I4">
        <v>1.9402737172403599</v>
      </c>
      <c r="J4">
        <v>9.8457810486035093</v>
      </c>
      <c r="K4">
        <v>2.6974001835861601</v>
      </c>
      <c r="L4">
        <v>2.1562573900311501</v>
      </c>
      <c r="M4">
        <v>2.1888616104008198</v>
      </c>
      <c r="N4">
        <v>5.0498128206668396</v>
      </c>
    </row>
    <row r="5" spans="1:14" x14ac:dyDescent="0.35">
      <c r="A5" s="2">
        <v>39447</v>
      </c>
      <c r="B5" t="str">
        <v/>
      </c>
      <c r="C5">
        <v>2.0121821176223702</v>
      </c>
      <c r="D5">
        <v>2.1316745003828599</v>
      </c>
      <c r="E5">
        <v>2.8066160833919702</v>
      </c>
      <c r="F5">
        <v>3.6677851567473598</v>
      </c>
      <c r="G5">
        <v>1.8333506194415199</v>
      </c>
      <c r="H5">
        <v>4.07523919059458</v>
      </c>
      <c r="I5">
        <v>2.3766956310061902</v>
      </c>
      <c r="J5">
        <v>10.5833561911057</v>
      </c>
      <c r="K5">
        <v>3.1669085058650999</v>
      </c>
      <c r="L5">
        <v>2.6269706848040699</v>
      </c>
      <c r="M5">
        <v>2.5443961056503102</v>
      </c>
      <c r="N5">
        <v>5.5622478487538798</v>
      </c>
    </row>
    <row r="6" spans="1:14" x14ac:dyDescent="0.35">
      <c r="A6" s="2">
        <v>39813</v>
      </c>
      <c r="B6" t="str">
        <v/>
      </c>
      <c r="C6">
        <v>1.47822239950882</v>
      </c>
      <c r="D6">
        <v>1.7197421838740601</v>
      </c>
      <c r="E6">
        <v>1.99715132688841</v>
      </c>
      <c r="F6">
        <v>2.7439300910939699</v>
      </c>
      <c r="G6">
        <v>1.66417500457453</v>
      </c>
      <c r="H6">
        <v>2.8187073838579999</v>
      </c>
      <c r="I6">
        <v>2.1704263725021899</v>
      </c>
      <c r="J6">
        <v>8.05373941846298</v>
      </c>
      <c r="K6">
        <v>2.36664992614361</v>
      </c>
      <c r="L6">
        <v>1.79921066251297</v>
      </c>
      <c r="M6">
        <v>1.5502793356884601</v>
      </c>
      <c r="N6">
        <v>4.1762479088087296</v>
      </c>
    </row>
    <row r="7" spans="1:14" x14ac:dyDescent="0.35">
      <c r="A7" s="2">
        <v>40178</v>
      </c>
      <c r="B7" t="str">
        <v/>
      </c>
      <c r="C7">
        <v>1.49861477471222</v>
      </c>
      <c r="D7">
        <v>1.7955182742496401</v>
      </c>
      <c r="E7">
        <v>1.7430087032969499</v>
      </c>
      <c r="F7">
        <v>1.93733358061505</v>
      </c>
      <c r="G7">
        <v>1.62932904763549</v>
      </c>
      <c r="H7">
        <v>2.6972177795125001</v>
      </c>
      <c r="I7">
        <v>2.6068713006048601</v>
      </c>
      <c r="J7">
        <v>8.0229753288056198</v>
      </c>
      <c r="K7">
        <v>2.07401175960449</v>
      </c>
      <c r="L7">
        <v>1.65442974417331</v>
      </c>
      <c r="M7">
        <v>1.3636179959986701</v>
      </c>
      <c r="N7">
        <v>3.0889280805206698</v>
      </c>
    </row>
    <row r="8" spans="1:14" x14ac:dyDescent="0.35">
      <c r="A8" s="2">
        <v>40543</v>
      </c>
      <c r="B8">
        <v>2.40890596176463</v>
      </c>
      <c r="C8">
        <v>2.0483223094466698</v>
      </c>
      <c r="D8">
        <v>2.0975427600624101</v>
      </c>
      <c r="E8">
        <v>2.1739080898383101</v>
      </c>
      <c r="F8">
        <v>3.1772932255046702</v>
      </c>
      <c r="G8">
        <v>1.9678735381535299</v>
      </c>
      <c r="H8">
        <v>3.3649566588267601</v>
      </c>
      <c r="I8">
        <v>3.6076350541358502</v>
      </c>
      <c r="J8">
        <v>9.85143912569227</v>
      </c>
      <c r="K8">
        <v>2.3625891780050199</v>
      </c>
      <c r="L8">
        <v>2.1135843669068999</v>
      </c>
      <c r="M8">
        <v>2.2720793258351502</v>
      </c>
      <c r="N8">
        <v>3.3235934809766499</v>
      </c>
    </row>
    <row r="9" spans="1:14" x14ac:dyDescent="0.35">
      <c r="A9" s="2">
        <v>40907</v>
      </c>
      <c r="B9">
        <v>2.2411742980394602</v>
      </c>
      <c r="C9">
        <v>2.08841813329258</v>
      </c>
      <c r="D9">
        <v>2.2894893869441</v>
      </c>
      <c r="E9">
        <v>2.1750966873773998</v>
      </c>
      <c r="F9">
        <v>3.0945812419319201</v>
      </c>
      <c r="G9">
        <v>1.8666865904430201</v>
      </c>
      <c r="H9">
        <v>3.4346817054560899</v>
      </c>
      <c r="I9">
        <v>4.63179037237028</v>
      </c>
      <c r="J9">
        <v>10.933615493869301</v>
      </c>
      <c r="K9">
        <v>2.15605314606315</v>
      </c>
      <c r="L9">
        <v>1.8405065939071099</v>
      </c>
      <c r="M9">
        <v>2.1825351702399201</v>
      </c>
      <c r="N9">
        <v>2.9871276586162501</v>
      </c>
    </row>
    <row r="10" spans="1:14" x14ac:dyDescent="0.35">
      <c r="A10" s="2">
        <v>41274</v>
      </c>
      <c r="B10">
        <v>2.40285148565594</v>
      </c>
      <c r="C10">
        <v>1.8915836506348001</v>
      </c>
      <c r="D10">
        <v>2.2176153002393399</v>
      </c>
      <c r="E10">
        <v>2.2735850086051101</v>
      </c>
      <c r="F10">
        <v>2.8747287105460999</v>
      </c>
      <c r="G10">
        <v>1.99956682614325</v>
      </c>
      <c r="H10">
        <v>3.30605625416888</v>
      </c>
      <c r="I10">
        <v>4.9723936001799096</v>
      </c>
      <c r="J10">
        <v>11.5093609233453</v>
      </c>
      <c r="K10">
        <v>2.1576437709053802</v>
      </c>
      <c r="L10">
        <v>1.84155905202006</v>
      </c>
      <c r="M10">
        <v>2.32063293486455</v>
      </c>
      <c r="N10">
        <v>2.8309927567607298</v>
      </c>
    </row>
    <row r="11" spans="1:14" x14ac:dyDescent="0.35">
      <c r="A11" s="2">
        <v>41639</v>
      </c>
      <c r="B11">
        <v>2.3121080896186399</v>
      </c>
      <c r="C11">
        <v>1.7190934434154901</v>
      </c>
      <c r="D11">
        <v>2.0201754576244202</v>
      </c>
      <c r="E11">
        <v>2.4061601417357799</v>
      </c>
      <c r="F11">
        <v>3.2749607108541601</v>
      </c>
      <c r="G11">
        <v>2.1608376401624301</v>
      </c>
      <c r="H11">
        <v>3.2321816852227601</v>
      </c>
      <c r="I11">
        <v>5.0145346891852203</v>
      </c>
      <c r="J11">
        <v>12.296272619920099</v>
      </c>
      <c r="K11">
        <v>2.1576872496622901</v>
      </c>
      <c r="L11">
        <v>1.8569478460726301</v>
      </c>
      <c r="M11">
        <v>2.3154506600636799</v>
      </c>
      <c r="N11">
        <v>2.5170904257716198</v>
      </c>
    </row>
    <row r="12" spans="1:14" x14ac:dyDescent="0.35">
      <c r="A12" s="2">
        <v>42004</v>
      </c>
      <c r="B12">
        <v>2.1949219382035401</v>
      </c>
      <c r="C12">
        <v>1.5192022293630101</v>
      </c>
      <c r="D12">
        <v>1.8613047681228401</v>
      </c>
      <c r="E12">
        <v>2.1341589481486198</v>
      </c>
      <c r="F12">
        <v>3.1445630178853601</v>
      </c>
      <c r="G12">
        <v>2.0213760812425501</v>
      </c>
      <c r="H12">
        <v>2.6058975174152499</v>
      </c>
      <c r="I12">
        <v>5.9189477139169897</v>
      </c>
      <c r="J12">
        <v>12.8692035676989</v>
      </c>
      <c r="K12">
        <v>1.78907537429816</v>
      </c>
      <c r="L12">
        <v>1.61003576125895</v>
      </c>
      <c r="M12">
        <v>2.0287242581820202</v>
      </c>
      <c r="N12">
        <v>2.2045107232016301</v>
      </c>
    </row>
    <row r="13" spans="1:14" x14ac:dyDescent="0.35">
      <c r="A13" s="2">
        <v>42369</v>
      </c>
      <c r="B13">
        <v>2.0494367160174898</v>
      </c>
      <c r="C13">
        <v>1.2032144758029399</v>
      </c>
      <c r="D13">
        <v>1.52246252495242</v>
      </c>
      <c r="E13">
        <v>1.9616560154156799</v>
      </c>
      <c r="F13">
        <v>3.4482751508906899</v>
      </c>
      <c r="G13">
        <v>1.8389835562691099</v>
      </c>
      <c r="H13">
        <v>2.1229420291538199</v>
      </c>
      <c r="I13">
        <v>6.0599751605653802</v>
      </c>
      <c r="J13">
        <v>12.748703211791501</v>
      </c>
      <c r="K13">
        <v>1.6636313733196599</v>
      </c>
      <c r="L13">
        <v>1.5506283745409</v>
      </c>
      <c r="M13">
        <v>1.9485788892231399</v>
      </c>
      <c r="N13">
        <v>1.95489186317479</v>
      </c>
    </row>
    <row r="14" spans="1:14" x14ac:dyDescent="0.35">
      <c r="A14" s="2">
        <v>42734</v>
      </c>
      <c r="B14">
        <v>2.1496284508732901</v>
      </c>
      <c r="C14">
        <v>1.2820159486904501</v>
      </c>
      <c r="D14">
        <v>1.6615707453978601</v>
      </c>
      <c r="E14">
        <v>1.94158660997406</v>
      </c>
      <c r="F14">
        <v>3.3316070942703102</v>
      </c>
      <c r="G14">
        <v>1.75546716180555</v>
      </c>
      <c r="H14">
        <v>2.123898319152</v>
      </c>
      <c r="I14">
        <v>6.56529580140728</v>
      </c>
      <c r="J14">
        <v>13.3024280719142</v>
      </c>
      <c r="K14">
        <v>1.6931958240998899</v>
      </c>
      <c r="L14">
        <v>1.60511092021475</v>
      </c>
      <c r="M14">
        <v>1.75138174890933</v>
      </c>
      <c r="N14">
        <v>1.78844259381098</v>
      </c>
    </row>
    <row r="15" spans="1:14" x14ac:dyDescent="0.35">
      <c r="A15" s="2">
        <v>43098</v>
      </c>
      <c r="B15">
        <v>2.2670681016107199</v>
      </c>
      <c r="C15">
        <v>1.4458070152700899</v>
      </c>
      <c r="D15">
        <v>1.86172454535832</v>
      </c>
      <c r="E15">
        <v>2.4036287780635099</v>
      </c>
      <c r="F15">
        <v>4.07233312791291</v>
      </c>
      <c r="G15">
        <v>2.01138269666406</v>
      </c>
      <c r="H15">
        <v>2.42405089418043</v>
      </c>
      <c r="I15">
        <v>7.4909851965595502</v>
      </c>
      <c r="J15">
        <v>14.724037692001801</v>
      </c>
      <c r="K15">
        <v>2.10907755629154</v>
      </c>
      <c r="L15">
        <v>1.99467947715871</v>
      </c>
      <c r="M15">
        <v>2.1039018689376099</v>
      </c>
      <c r="N15">
        <v>2.3512953608173301</v>
      </c>
    </row>
    <row r="16" spans="1:14" x14ac:dyDescent="0.35">
      <c r="A16" s="2">
        <v>43465</v>
      </c>
      <c r="B16">
        <v>2.29721148308571</v>
      </c>
      <c r="C16">
        <v>1.3789495760516599</v>
      </c>
      <c r="D16">
        <v>1.9774050981912601</v>
      </c>
      <c r="E16">
        <v>2.3211607230687301</v>
      </c>
      <c r="F16">
        <v>4.56488250158257</v>
      </c>
      <c r="G16">
        <v>2.1751987947225402</v>
      </c>
      <c r="H16">
        <v>2.5773222742994899</v>
      </c>
      <c r="I16">
        <v>8.9443858601639104</v>
      </c>
      <c r="J16">
        <v>17.355846469554798</v>
      </c>
      <c r="K16">
        <v>2.23155948612122</v>
      </c>
      <c r="L16">
        <v>2.0095545823588901</v>
      </c>
      <c r="M16">
        <v>2.1154389610009998</v>
      </c>
      <c r="N16">
        <v>2.6492475649665401</v>
      </c>
    </row>
    <row r="17" spans="1:14" x14ac:dyDescent="0.35">
      <c r="A17" s="2">
        <v>43830</v>
      </c>
      <c r="B17">
        <v>2.2473256441274398</v>
      </c>
      <c r="C17">
        <v>1.3179970851092</v>
      </c>
      <c r="D17">
        <v>2.0739392179922902</v>
      </c>
      <c r="E17">
        <v>2.0881582961298202</v>
      </c>
      <c r="F17">
        <v>4.0763823086139199</v>
      </c>
      <c r="G17">
        <v>2.2808425238276202</v>
      </c>
      <c r="H17">
        <v>2.5348579458565901</v>
      </c>
      <c r="I17">
        <v>9.3523184552456708</v>
      </c>
      <c r="J17">
        <v>17.729435429848301</v>
      </c>
      <c r="K17">
        <v>2.1970597068808599</v>
      </c>
      <c r="L17">
        <v>1.9908579954138399</v>
      </c>
      <c r="M17">
        <v>2.04039298067199</v>
      </c>
      <c r="N17">
        <v>2.59251661571796</v>
      </c>
    </row>
    <row r="18" spans="1:14" x14ac:dyDescent="0.35">
      <c r="A18" s="2">
        <v>44196</v>
      </c>
      <c r="B18">
        <v>1.98522618259249</v>
      </c>
      <c r="C18">
        <v>1.26256164176903</v>
      </c>
      <c r="D18">
        <v>1.9578408739872699</v>
      </c>
      <c r="E18">
        <v>1.98003612030208</v>
      </c>
      <c r="F18">
        <v>3.6778954217796298</v>
      </c>
      <c r="G18">
        <v>2.3686407868237098</v>
      </c>
      <c r="H18">
        <v>2.0346384172037402</v>
      </c>
      <c r="I18">
        <v>10.4260783076313</v>
      </c>
      <c r="J18">
        <v>16.661770333783501</v>
      </c>
      <c r="K18">
        <v>1.8510975044778899</v>
      </c>
      <c r="L18">
        <v>2.0089294605542301</v>
      </c>
      <c r="M18">
        <v>2.2079311845346701</v>
      </c>
      <c r="N18">
        <v>1.9971174572949799</v>
      </c>
    </row>
    <row r="19" spans="1:14" x14ac:dyDescent="0.35">
      <c r="A19" s="2">
        <v>44561</v>
      </c>
      <c r="B19">
        <v>1.8209368887947699</v>
      </c>
      <c r="C19">
        <v>1.41909398824033</v>
      </c>
      <c r="D19">
        <v>2.6644833781776298</v>
      </c>
      <c r="E19">
        <v>2.4494459059837599</v>
      </c>
      <c r="F19">
        <v>4.6161385676982096</v>
      </c>
      <c r="G19">
        <v>2.66234515884581</v>
      </c>
      <c r="H19">
        <v>2.7142722434063198</v>
      </c>
      <c r="I19">
        <v>13.6402697494705</v>
      </c>
      <c r="J19">
        <v>22.276707388058099</v>
      </c>
      <c r="K19">
        <v>2.4608174875049298</v>
      </c>
      <c r="L19">
        <v>2.4360180794544801</v>
      </c>
      <c r="M19">
        <v>2.4827867979631999</v>
      </c>
      <c r="N19">
        <v>2.9640029759690898</v>
      </c>
    </row>
    <row r="20" spans="1:14" x14ac:dyDescent="0.35">
      <c r="A20" s="2">
        <v>44925</v>
      </c>
      <c r="B20">
        <v>2.1103784647633299</v>
      </c>
      <c r="C20">
        <v>1.5685033677051301</v>
      </c>
      <c r="D20">
        <v>2.7492045610204201</v>
      </c>
      <c r="E20">
        <v>2.36386839889078</v>
      </c>
      <c r="F20">
        <v>4.4608954310188302</v>
      </c>
      <c r="G20">
        <v>2.5838872063229701</v>
      </c>
      <c r="H20">
        <v>3.1276012144278602</v>
      </c>
      <c r="I20">
        <v>12.750313451282301</v>
      </c>
      <c r="J20">
        <v>22.968710467508998</v>
      </c>
      <c r="K20">
        <v>2.8026651908005</v>
      </c>
      <c r="L20">
        <v>2.4294142632387001</v>
      </c>
      <c r="M20">
        <v>2.5588483370719999</v>
      </c>
      <c r="N20">
        <v>3.5473670886293198</v>
      </c>
    </row>
    <row r="21" spans="1:14" x14ac:dyDescent="0.35">
      <c r="A21" s="2">
        <v>45289</v>
      </c>
      <c r="B21">
        <v>2.11106621771878</v>
      </c>
      <c r="C21">
        <v>1.4789271778744699</v>
      </c>
      <c r="D21">
        <v>2.6826335841504898</v>
      </c>
      <c r="E21">
        <v>2.6586314336980199</v>
      </c>
      <c r="F21">
        <v>4.5665409137847002</v>
      </c>
      <c r="G21">
        <v>2.8642965748709601</v>
      </c>
      <c r="H21">
        <v>3.0028044332351</v>
      </c>
      <c r="I21">
        <v>16.3243001953355</v>
      </c>
      <c r="J21">
        <v>24.344986802469801</v>
      </c>
      <c r="K21">
        <v>2.92070467991761</v>
      </c>
      <c r="L21">
        <v>2.9556075049707502</v>
      </c>
      <c r="M21">
        <v>2.5100925867761599</v>
      </c>
      <c r="N21">
        <v>3.8118027168384301</v>
      </c>
    </row>
    <row r="23" spans="1:14" x14ac:dyDescent="0.35">
      <c r="B23" s="8">
        <f t="shared" ref="B23:N23" si="0">COUNT(B1:B21)</f>
        <v>14</v>
      </c>
      <c r="C23" s="8">
        <f t="shared" si="0"/>
        <v>20</v>
      </c>
      <c r="D23" s="8">
        <f t="shared" si="0"/>
        <v>20</v>
      </c>
      <c r="E23" s="8">
        <f t="shared" si="0"/>
        <v>20</v>
      </c>
      <c r="F23" s="8">
        <f t="shared" si="0"/>
        <v>20</v>
      </c>
      <c r="G23" s="8">
        <f t="shared" si="0"/>
        <v>20</v>
      </c>
      <c r="H23" s="8">
        <f t="shared" si="0"/>
        <v>20</v>
      </c>
      <c r="I23" s="8">
        <f t="shared" si="0"/>
        <v>20</v>
      </c>
      <c r="J23" s="8">
        <f t="shared" si="0"/>
        <v>20</v>
      </c>
      <c r="K23" s="8">
        <f t="shared" si="0"/>
        <v>20</v>
      </c>
      <c r="L23" s="8">
        <f t="shared" si="0"/>
        <v>20</v>
      </c>
      <c r="M23" s="8">
        <f t="shared" si="0"/>
        <v>20</v>
      </c>
      <c r="N23" s="8">
        <f t="shared" si="0"/>
        <v>20</v>
      </c>
    </row>
    <row r="25" spans="1:14" x14ac:dyDescent="0.35">
      <c r="A25" t="s">
        <v>90</v>
      </c>
      <c r="B25" s="48" cm="1">
        <f t="array" ref="B25">(B21/INDEX(B2:B21,MATCH(TRUE,INDEX(ISNUMBER(B2:B21),0),0)))^(1/B23)-1</f>
        <v>-9.3828148339384354E-3</v>
      </c>
      <c r="C25" s="48" cm="1">
        <f t="array" ref="C25">(C21/INDEX(C2:C21,MATCH(TRUE,INDEX(ISNUMBER(C2:C21),0),0)))^(1/C23)-1</f>
        <v>1.1173841089814562E-2</v>
      </c>
      <c r="D25" s="48" cm="1">
        <f t="array" ref="D25">(D21/INDEX(D2:D21,MATCH(TRUE,INDEX(ISNUMBER(D2:D21),0),0)))^(1/D23)-1</f>
        <v>4.0909866878857226E-2</v>
      </c>
      <c r="E25" s="48" cm="1">
        <f t="array" ref="E25">(E21/INDEX(E2:E21,MATCH(TRUE,INDEX(ISNUMBER(E2:E21),0),0)))^(1/E23)-1</f>
        <v>2.8327007241510938E-2</v>
      </c>
      <c r="F25" s="48" cm="1">
        <f t="array" ref="F25">(F21/INDEX(F2:F21,MATCH(TRUE,INDEX(ISNUMBER(F2:F21),0),0)))^(1/F23)-1</f>
        <v>2.4109040329629794E-2</v>
      </c>
      <c r="G25" s="48" cm="1">
        <f t="array" ref="G25">(G21/INDEX(G2:G21,MATCH(TRUE,INDEX(ISNUMBER(G2:G21),0),0)))^(1/G23)-1</f>
        <v>4.6608631192781802E-2</v>
      </c>
      <c r="H25" s="48" cm="1">
        <f t="array" ref="H25">(H21/INDEX(H2:H21,MATCH(TRUE,INDEX(ISNUMBER(H2:H21),0),0)))^(1/H23)-1</f>
        <v>3.7127108177381629E-3</v>
      </c>
      <c r="I25" s="48" cm="1">
        <f t="array" ref="I25">(I21/INDEX(I2:I21,MATCH(TRUE,INDEX(ISNUMBER(I2:I21),0),0)))^(1/I23)-1</f>
        <v>0.12988959960167512</v>
      </c>
      <c r="J25" s="48" cm="1">
        <f t="array" ref="J25">(J21/INDEX(J2:J21,MATCH(TRUE,INDEX(ISNUMBER(J2:J21),0),0)))^(1/J23)-1</f>
        <v>5.9884631691867751E-2</v>
      </c>
      <c r="K25" s="48" cm="1">
        <f t="array" ref="K25">(K21/INDEX(K2:K21,MATCH(TRUE,INDEX(ISNUMBER(K2:K21),0),0)))^(1/K23)-1</f>
        <v>1.8533351259146347E-2</v>
      </c>
      <c r="L25" s="48" cm="1">
        <f t="array" ref="L25">(L21/INDEX(L2:L21,MATCH(TRUE,INDEX(ISNUMBER(L2:L21),0),0)))^(1/L23)-1</f>
        <v>3.4801405293916954E-2</v>
      </c>
      <c r="M25" s="48" cm="1">
        <f t="array" ref="M25">(M21/INDEX(M2:M21,MATCH(TRUE,INDEX(ISNUMBER(M2:M21),0),0)))^(1/M23)-1</f>
        <v>2.4305006375947347E-2</v>
      </c>
      <c r="N25" s="48" cm="1">
        <f t="array" ref="N25">(N21/INDEX(N2:N21,MATCH(TRUE,INDEX(ISNUMBER(N2:N21),0),0)))^(1/N23)-1</f>
        <v>9.2743946932130061E-3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0" customWidth="1"/>
    <col min="23" max="23" width="9.453125" customWidth="1"/>
  </cols>
  <sheetData>
    <row r="1" spans="1:24" ht="18.5" x14ac:dyDescent="0.45">
      <c r="A1" s="82" t="s">
        <v>556</v>
      </c>
      <c r="B1" s="83"/>
      <c r="C1" s="80"/>
      <c r="D1" s="80"/>
      <c r="E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</row>
    <row r="2" spans="1:24" x14ac:dyDescent="0.35">
      <c r="A2" s="80"/>
      <c r="B2" s="83"/>
      <c r="C2" s="80"/>
      <c r="D2" s="80"/>
      <c r="E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</row>
    <row r="3" spans="1:24" ht="21" x14ac:dyDescent="0.5">
      <c r="A3" s="84" t="s">
        <v>727</v>
      </c>
      <c r="B3" s="85"/>
      <c r="C3" s="80"/>
      <c r="D3" s="80"/>
      <c r="E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spans="1:24" x14ac:dyDescent="0.35">
      <c r="A4" s="102" t="s">
        <v>557</v>
      </c>
      <c r="B4" s="85"/>
      <c r="C4" s="80"/>
      <c r="D4" s="80"/>
      <c r="E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</row>
    <row r="5" spans="1:24" x14ac:dyDescent="0.35">
      <c r="A5" s="80"/>
      <c r="B5" s="83"/>
      <c r="C5" s="80"/>
      <c r="D5" s="80"/>
      <c r="E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</row>
    <row r="6" spans="1:24" x14ac:dyDescent="0.35">
      <c r="A6" s="92"/>
      <c r="B6" s="95"/>
      <c r="C6" s="80"/>
      <c r="D6" s="80"/>
      <c r="E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</row>
    <row r="7" spans="1:24" x14ac:dyDescent="0.35">
      <c r="A7" s="216"/>
      <c r="B7" s="216"/>
      <c r="C7" s="80"/>
      <c r="D7" s="80"/>
      <c r="E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</row>
    <row r="8" spans="1:24" x14ac:dyDescent="0.35">
      <c r="A8" s="100"/>
      <c r="B8" s="100"/>
      <c r="C8" s="217" t="s">
        <v>558</v>
      </c>
      <c r="D8" s="218"/>
      <c r="E8" s="219"/>
      <c r="G8" s="80"/>
      <c r="H8" s="80"/>
      <c r="I8" s="80"/>
      <c r="J8" s="80"/>
      <c r="K8" s="80"/>
      <c r="L8" s="217" t="s">
        <v>559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86" t="s">
        <v>560</v>
      </c>
      <c r="B9" s="86" t="s">
        <v>561</v>
      </c>
      <c r="C9" s="104" t="s">
        <v>562</v>
      </c>
      <c r="D9" s="105" t="s">
        <v>563</v>
      </c>
      <c r="E9" s="106" t="s">
        <v>564</v>
      </c>
      <c r="F9" s="110" t="s">
        <v>732</v>
      </c>
      <c r="G9" s="96" t="s">
        <v>728</v>
      </c>
      <c r="H9" s="98" t="s">
        <v>729</v>
      </c>
      <c r="I9" s="98" t="s">
        <v>730</v>
      </c>
      <c r="J9" s="97" t="s">
        <v>731</v>
      </c>
      <c r="K9" s="99"/>
      <c r="L9" s="109">
        <v>2012</v>
      </c>
      <c r="M9" s="87">
        <v>2013</v>
      </c>
      <c r="N9" s="87">
        <v>2014</v>
      </c>
      <c r="O9" s="87">
        <v>2015</v>
      </c>
      <c r="P9" s="87">
        <v>2016</v>
      </c>
      <c r="Q9" s="87">
        <v>2017</v>
      </c>
      <c r="R9" s="87">
        <v>2018</v>
      </c>
      <c r="S9" s="87">
        <v>2019</v>
      </c>
      <c r="T9" s="87">
        <v>2020</v>
      </c>
      <c r="U9" s="87">
        <v>2021</v>
      </c>
      <c r="V9" s="88">
        <v>2022</v>
      </c>
      <c r="W9" s="97" t="s">
        <v>738</v>
      </c>
      <c r="X9" s="97" t="s">
        <v>739</v>
      </c>
    </row>
    <row r="10" spans="1:24" x14ac:dyDescent="0.35">
      <c r="A10" s="81" t="s">
        <v>565</v>
      </c>
      <c r="B10" s="81" t="s">
        <v>566</v>
      </c>
      <c r="C10" s="89">
        <v>-6.330015897488761</v>
      </c>
      <c r="D10" s="90">
        <v>-1.9803203632740796</v>
      </c>
      <c r="E10" s="91">
        <v>1.4438839505667156</v>
      </c>
      <c r="G10" s="103" t="s">
        <v>567</v>
      </c>
      <c r="H10" s="101">
        <v>34.781666666666666</v>
      </c>
      <c r="I10" s="93">
        <v>154</v>
      </c>
      <c r="J10" s="94">
        <v>32</v>
      </c>
      <c r="K10" s="81"/>
      <c r="L10" s="89">
        <v>19.865459911417584</v>
      </c>
      <c r="M10" s="90">
        <v>9.8957883924851959</v>
      </c>
      <c r="N10" s="90">
        <v>6.5854081038949879</v>
      </c>
      <c r="O10" s="90">
        <v>0.98799999999999999</v>
      </c>
      <c r="P10" s="90">
        <v>2.1640000000000001</v>
      </c>
      <c r="Q10" s="90">
        <v>2.6469999999999998</v>
      </c>
      <c r="R10" s="90">
        <v>1.1890000000000001</v>
      </c>
      <c r="S10" s="90">
        <v>3.9119999999999999</v>
      </c>
      <c r="T10" s="90">
        <v>-2.351</v>
      </c>
      <c r="U10" s="90">
        <v>-2.4</v>
      </c>
      <c r="V10" s="91">
        <v>-5</v>
      </c>
      <c r="W10" s="91">
        <f>AVERAGE(D10,E10)</f>
        <v>-0.26821820635368199</v>
      </c>
    </row>
    <row r="11" spans="1:24" x14ac:dyDescent="0.35">
      <c r="A11" s="81" t="s">
        <v>227</v>
      </c>
      <c r="B11" s="81" t="s">
        <v>568</v>
      </c>
      <c r="C11" s="89">
        <v>2.8369230771995602</v>
      </c>
      <c r="D11" s="90">
        <v>2.527708680261509</v>
      </c>
      <c r="E11" s="91">
        <v>2.499335307066497</v>
      </c>
      <c r="G11" s="103" t="s">
        <v>398</v>
      </c>
      <c r="H11" s="101">
        <v>71.94876523650197</v>
      </c>
      <c r="I11" s="93">
        <v>80</v>
      </c>
      <c r="J11" s="94">
        <v>40</v>
      </c>
      <c r="K11" s="81"/>
      <c r="L11" s="89">
        <v>1.4329514555018943</v>
      </c>
      <c r="M11" s="90">
        <v>1.0096624423848639</v>
      </c>
      <c r="N11" s="90">
        <v>1.7987489151280414</v>
      </c>
      <c r="O11" s="90">
        <v>2.2189999999999999</v>
      </c>
      <c r="P11" s="90">
        <v>3.3149999999999999</v>
      </c>
      <c r="Q11" s="90">
        <v>3.802</v>
      </c>
      <c r="R11" s="90">
        <v>4.0190000000000001</v>
      </c>
      <c r="S11" s="90">
        <v>2.0880000000000001</v>
      </c>
      <c r="T11" s="90">
        <v>-3.4820000000000002</v>
      </c>
      <c r="U11" s="90">
        <v>8.516</v>
      </c>
      <c r="V11" s="91">
        <v>3.74</v>
      </c>
      <c r="W11" s="91">
        <f t="shared" ref="W11:W74" si="0">AVERAGE(D11,E11)</f>
        <v>2.513521993664003</v>
      </c>
    </row>
    <row r="12" spans="1:24" x14ac:dyDescent="0.35">
      <c r="A12" s="81" t="s">
        <v>569</v>
      </c>
      <c r="B12" s="81" t="s">
        <v>570</v>
      </c>
      <c r="C12" s="89">
        <v>0.36545353196819619</v>
      </c>
      <c r="D12" s="90">
        <v>0.98216884294510809</v>
      </c>
      <c r="E12" s="91">
        <v>1.9643097765769557</v>
      </c>
      <c r="G12" s="103" t="s">
        <v>571</v>
      </c>
      <c r="H12" s="101">
        <v>77.429986450518911</v>
      </c>
      <c r="I12" s="93">
        <v>59</v>
      </c>
      <c r="J12" s="94">
        <v>2</v>
      </c>
      <c r="K12" s="81"/>
      <c r="L12" s="89">
        <v>3.3999999982054412</v>
      </c>
      <c r="M12" s="90">
        <v>2.8000000002529002</v>
      </c>
      <c r="N12" s="90">
        <v>3.8000000007790273</v>
      </c>
      <c r="O12" s="90">
        <v>3.7</v>
      </c>
      <c r="P12" s="90">
        <v>3.2</v>
      </c>
      <c r="Q12" s="90">
        <v>1.4</v>
      </c>
      <c r="R12" s="90">
        <v>1.2</v>
      </c>
      <c r="S12" s="90">
        <v>1</v>
      </c>
      <c r="T12" s="90">
        <v>-5.0999999999999996</v>
      </c>
      <c r="U12" s="90">
        <v>3.4</v>
      </c>
      <c r="V12" s="91">
        <v>2.931</v>
      </c>
      <c r="W12" s="91">
        <f t="shared" si="0"/>
        <v>1.4732393097610319</v>
      </c>
    </row>
    <row r="13" spans="1:24" x14ac:dyDescent="0.35">
      <c r="A13" s="81" t="s">
        <v>569</v>
      </c>
      <c r="B13" s="81" t="s">
        <v>572</v>
      </c>
      <c r="C13" s="89">
        <v>-0.62057485054567429</v>
      </c>
      <c r="D13" s="90">
        <v>-0.7759815069387388</v>
      </c>
      <c r="E13" s="91">
        <v>0.38358743648301274</v>
      </c>
      <c r="G13" s="103" t="s">
        <v>567</v>
      </c>
      <c r="H13" s="101">
        <v>43.142397643089645</v>
      </c>
      <c r="I13" s="93">
        <v>147</v>
      </c>
      <c r="J13" s="94">
        <v>42</v>
      </c>
      <c r="K13" s="81"/>
      <c r="L13" s="89">
        <v>8.5421473366219605</v>
      </c>
      <c r="M13" s="90">
        <v>4.9545904703972692</v>
      </c>
      <c r="N13" s="90">
        <v>4.8226255512268246</v>
      </c>
      <c r="O13" s="90">
        <v>0.94399999999999995</v>
      </c>
      <c r="P13" s="90">
        <v>-2.58</v>
      </c>
      <c r="Q13" s="90">
        <v>-0.15</v>
      </c>
      <c r="R13" s="90">
        <v>-1.3160000000000001</v>
      </c>
      <c r="S13" s="90">
        <v>-0.70199999999999996</v>
      </c>
      <c r="T13" s="90">
        <v>-5.6379999999999999</v>
      </c>
      <c r="U13" s="90">
        <v>1.0920000000000001</v>
      </c>
      <c r="V13" s="91">
        <v>2.8410000000000002</v>
      </c>
      <c r="W13" s="91">
        <f t="shared" si="0"/>
        <v>-0.19619703522786303</v>
      </c>
    </row>
    <row r="14" spans="1:24" x14ac:dyDescent="0.35">
      <c r="A14" s="81" t="s">
        <v>573</v>
      </c>
      <c r="B14" s="81" t="s">
        <v>574</v>
      </c>
      <c r="C14" s="89">
        <v>1.5213184649000233</v>
      </c>
      <c r="D14" s="90">
        <v>2.4231703477095579E-4</v>
      </c>
      <c r="E14" s="91">
        <v>0.30638889849419204</v>
      </c>
      <c r="G14" s="103" t="s">
        <v>422</v>
      </c>
      <c r="H14" s="101">
        <v>63.902477118742887</v>
      </c>
      <c r="I14" s="93">
        <v>116</v>
      </c>
      <c r="J14" s="94">
        <v>16</v>
      </c>
      <c r="K14" s="81"/>
      <c r="L14" s="89">
        <v>-1.0264204544320839</v>
      </c>
      <c r="M14" s="90">
        <v>2.4053237807943506</v>
      </c>
      <c r="N14" s="90">
        <v>-2.5126153208139428</v>
      </c>
      <c r="O14" s="90">
        <v>2.7309999999999999</v>
      </c>
      <c r="P14" s="90">
        <v>-2.08</v>
      </c>
      <c r="Q14" s="90">
        <v>2.819</v>
      </c>
      <c r="R14" s="90">
        <v>-2.617</v>
      </c>
      <c r="S14" s="90">
        <v>-2.0009999999999999</v>
      </c>
      <c r="T14" s="90">
        <v>-9.9429999999999996</v>
      </c>
      <c r="U14" s="90">
        <v>10.398</v>
      </c>
      <c r="V14" s="91">
        <v>5.2430000000000003</v>
      </c>
      <c r="W14" s="91">
        <f t="shared" si="0"/>
        <v>0.1533156077644815</v>
      </c>
    </row>
    <row r="15" spans="1:24" x14ac:dyDescent="0.35">
      <c r="A15" s="81" t="s">
        <v>227</v>
      </c>
      <c r="B15" s="81" t="s">
        <v>575</v>
      </c>
      <c r="C15" s="89">
        <v>3.3694630969417716</v>
      </c>
      <c r="D15" s="90">
        <v>4.5685193344935815</v>
      </c>
      <c r="E15" s="91">
        <v>4.0499977792169295</v>
      </c>
      <c r="G15" s="103" t="s">
        <v>571</v>
      </c>
      <c r="H15" s="101">
        <v>81.866330149150926</v>
      </c>
      <c r="I15" s="93">
        <v>42</v>
      </c>
      <c r="J15" s="94">
        <v>28</v>
      </c>
      <c r="K15" s="81"/>
      <c r="L15" s="89">
        <v>7.200000000964871</v>
      </c>
      <c r="M15" s="90">
        <v>3.2999999999999674</v>
      </c>
      <c r="N15" s="90">
        <v>3.6000000005899464</v>
      </c>
      <c r="O15" s="90">
        <v>3.254</v>
      </c>
      <c r="P15" s="90">
        <v>0.19500000000000001</v>
      </c>
      <c r="Q15" s="90">
        <v>7.5179999999999998</v>
      </c>
      <c r="R15" s="90">
        <v>5.2249999999999996</v>
      </c>
      <c r="S15" s="90">
        <v>7.6310000000000002</v>
      </c>
      <c r="T15" s="90">
        <v>-7.1509999999999998</v>
      </c>
      <c r="U15" s="90">
        <v>5.6840000000000002</v>
      </c>
      <c r="V15" s="91">
        <v>12.603999999999999</v>
      </c>
      <c r="W15" s="91">
        <f t="shared" si="0"/>
        <v>4.3092585568552551</v>
      </c>
    </row>
    <row r="16" spans="1:24" x14ac:dyDescent="0.35">
      <c r="A16" s="81" t="s">
        <v>565</v>
      </c>
      <c r="B16" s="81" t="s">
        <v>576</v>
      </c>
      <c r="C16" s="89">
        <v>1.9372779726990919</v>
      </c>
      <c r="D16" s="90">
        <v>1.9542949107595797</v>
      </c>
      <c r="E16" s="91">
        <v>2.221593328352145</v>
      </c>
      <c r="G16" s="103" t="s">
        <v>415</v>
      </c>
      <c r="H16" s="101">
        <v>96.36744549025839</v>
      </c>
      <c r="I16" s="93">
        <v>11</v>
      </c>
      <c r="J16" s="94">
        <v>3</v>
      </c>
      <c r="K16" s="81"/>
      <c r="L16" s="89">
        <v>3.9181617722068416</v>
      </c>
      <c r="M16" s="90">
        <v>2.5848751108311681</v>
      </c>
      <c r="N16" s="90">
        <v>2.5331154467594699</v>
      </c>
      <c r="O16" s="90">
        <v>2.2829999999999999</v>
      </c>
      <c r="P16" s="90">
        <v>2.6909999999999998</v>
      </c>
      <c r="Q16" s="90">
        <v>2.383</v>
      </c>
      <c r="R16" s="90">
        <v>2.8149999999999999</v>
      </c>
      <c r="S16" s="90">
        <v>1.9430000000000001</v>
      </c>
      <c r="T16" s="90">
        <v>-1.8140000000000001</v>
      </c>
      <c r="U16" s="90">
        <v>5.1959999999999997</v>
      </c>
      <c r="V16" s="91">
        <v>3.661</v>
      </c>
      <c r="W16" s="91">
        <f t="shared" si="0"/>
        <v>2.0879441195558623</v>
      </c>
    </row>
    <row r="17" spans="1:23" x14ac:dyDescent="0.35">
      <c r="A17" s="81" t="s">
        <v>227</v>
      </c>
      <c r="B17" s="81" t="s">
        <v>577</v>
      </c>
      <c r="C17" s="89">
        <v>0.89080434606740866</v>
      </c>
      <c r="D17" s="90">
        <v>1.1485693717847134</v>
      </c>
      <c r="E17" s="91">
        <v>1.1982825816158282</v>
      </c>
      <c r="G17" s="103" t="s">
        <v>415</v>
      </c>
      <c r="H17" s="101">
        <v>95.913594407477049</v>
      </c>
      <c r="I17" s="93">
        <v>15</v>
      </c>
      <c r="J17" s="94">
        <v>10</v>
      </c>
      <c r="K17" s="81"/>
      <c r="L17" s="89">
        <v>0.68044557681670037</v>
      </c>
      <c r="M17" s="90">
        <v>2.5504712197222973E-2</v>
      </c>
      <c r="N17" s="90">
        <v>0.66127284885259119</v>
      </c>
      <c r="O17" s="90">
        <v>1.0149999999999999</v>
      </c>
      <c r="P17" s="90">
        <v>1.9890000000000001</v>
      </c>
      <c r="Q17" s="90">
        <v>2.2589999999999999</v>
      </c>
      <c r="R17" s="90">
        <v>2.4249999999999998</v>
      </c>
      <c r="S17" s="90">
        <v>1.5169999999999999</v>
      </c>
      <c r="T17" s="90">
        <v>-6.4539999999999997</v>
      </c>
      <c r="U17" s="90">
        <v>4.5570000000000004</v>
      </c>
      <c r="V17" s="91">
        <v>4.9969999999999999</v>
      </c>
      <c r="W17" s="91">
        <f t="shared" si="0"/>
        <v>1.1734259767002708</v>
      </c>
    </row>
    <row r="18" spans="1:23" x14ac:dyDescent="0.35">
      <c r="A18" s="81" t="s">
        <v>565</v>
      </c>
      <c r="B18" s="81" t="s">
        <v>578</v>
      </c>
      <c r="C18" s="89">
        <v>1.8824891899037688</v>
      </c>
      <c r="D18" s="90">
        <v>1.9289874111129146</v>
      </c>
      <c r="E18" s="91">
        <v>1.6182050869221642</v>
      </c>
      <c r="G18" s="103" t="s">
        <v>422</v>
      </c>
      <c r="H18" s="101">
        <v>66.732349416312132</v>
      </c>
      <c r="I18" s="93">
        <v>106</v>
      </c>
      <c r="J18" s="94">
        <v>20</v>
      </c>
      <c r="K18" s="81"/>
      <c r="L18" s="89">
        <v>2.1652394301296014</v>
      </c>
      <c r="M18" s="90">
        <v>5.8098009451315624</v>
      </c>
      <c r="N18" s="90">
        <v>2.7505070296654104</v>
      </c>
      <c r="O18" s="90">
        <v>1.05</v>
      </c>
      <c r="P18" s="90">
        <v>-3.0640000000000001</v>
      </c>
      <c r="Q18" s="90">
        <v>0.154</v>
      </c>
      <c r="R18" s="90">
        <v>1.5</v>
      </c>
      <c r="S18" s="90">
        <v>2.48</v>
      </c>
      <c r="T18" s="90">
        <v>-4.1989999999999998</v>
      </c>
      <c r="U18" s="90">
        <v>5.6</v>
      </c>
      <c r="V18" s="91">
        <v>4.6459999999999999</v>
      </c>
      <c r="W18" s="91">
        <f t="shared" si="0"/>
        <v>1.7735962490175394</v>
      </c>
    </row>
    <row r="19" spans="1:23" x14ac:dyDescent="0.35">
      <c r="A19" s="81" t="s">
        <v>573</v>
      </c>
      <c r="B19" s="81" t="s">
        <v>579</v>
      </c>
      <c r="C19" s="89">
        <v>-1.3025041762945944</v>
      </c>
      <c r="D19" s="90">
        <v>-5.1450420089638182E-2</v>
      </c>
      <c r="E19" s="91">
        <v>0.16369977541730307</v>
      </c>
      <c r="G19" s="103" t="s">
        <v>571</v>
      </c>
      <c r="H19" s="101">
        <v>79.378460082017611</v>
      </c>
      <c r="I19" s="93">
        <v>54</v>
      </c>
      <c r="J19" s="94">
        <v>8</v>
      </c>
      <c r="K19" s="81"/>
      <c r="L19" s="89">
        <v>3.0868791768834938</v>
      </c>
      <c r="M19" s="90">
        <v>-3.5838746627962172</v>
      </c>
      <c r="N19" s="90">
        <v>2.2881473175630553</v>
      </c>
      <c r="O19" s="90">
        <v>0.997</v>
      </c>
      <c r="P19" s="90">
        <v>-0.85799999999999998</v>
      </c>
      <c r="Q19" s="90">
        <v>3.05</v>
      </c>
      <c r="R19" s="90">
        <v>1.831</v>
      </c>
      <c r="S19" s="90">
        <v>1.8959999999999999</v>
      </c>
      <c r="T19" s="90">
        <v>-23.823</v>
      </c>
      <c r="U19" s="90">
        <v>13.72</v>
      </c>
      <c r="V19" s="91">
        <v>10.983000000000001</v>
      </c>
      <c r="W19" s="91">
        <f t="shared" si="0"/>
        <v>5.6124677663832445E-2</v>
      </c>
    </row>
    <row r="20" spans="1:23" x14ac:dyDescent="0.35">
      <c r="A20" s="81" t="s">
        <v>580</v>
      </c>
      <c r="B20" s="81" t="s">
        <v>581</v>
      </c>
      <c r="C20" s="89">
        <v>0.41671802598486352</v>
      </c>
      <c r="D20" s="90">
        <v>1.1307360567982316</v>
      </c>
      <c r="E20" s="91">
        <v>2.5452347834856504</v>
      </c>
      <c r="G20" s="103" t="s">
        <v>571</v>
      </c>
      <c r="H20" s="101">
        <v>77.128033983685327</v>
      </c>
      <c r="I20" s="93">
        <v>60</v>
      </c>
      <c r="J20" s="94">
        <v>7</v>
      </c>
      <c r="K20" s="81"/>
      <c r="L20" s="89">
        <v>3.7281084304601642</v>
      </c>
      <c r="M20" s="90">
        <v>5.41683981012069</v>
      </c>
      <c r="N20" s="90">
        <v>4.3503908525296939</v>
      </c>
      <c r="O20" s="90">
        <v>2.4849999999999999</v>
      </c>
      <c r="P20" s="90">
        <v>3.5579999999999998</v>
      </c>
      <c r="Q20" s="90">
        <v>4.2919999999999998</v>
      </c>
      <c r="R20" s="90">
        <v>2.11</v>
      </c>
      <c r="S20" s="90">
        <v>2.1669999999999998</v>
      </c>
      <c r="T20" s="90">
        <v>-4.6449999999999996</v>
      </c>
      <c r="U20" s="90">
        <v>2.67</v>
      </c>
      <c r="V20" s="91">
        <v>4.194</v>
      </c>
      <c r="W20" s="91">
        <f t="shared" si="0"/>
        <v>1.837985420141941</v>
      </c>
    </row>
    <row r="21" spans="1:23" x14ac:dyDescent="0.35">
      <c r="A21" s="81" t="s">
        <v>565</v>
      </c>
      <c r="B21" s="81" t="s">
        <v>582</v>
      </c>
      <c r="C21" s="89">
        <v>8.4780836054535911</v>
      </c>
      <c r="D21" s="90">
        <v>9.4495577005361255</v>
      </c>
      <c r="E21" s="91">
        <v>9.0902336923363691</v>
      </c>
      <c r="G21" s="103" t="s">
        <v>422</v>
      </c>
      <c r="H21" s="101">
        <v>59.78425810407569</v>
      </c>
      <c r="I21" s="93">
        <v>125</v>
      </c>
      <c r="J21" s="94">
        <v>25</v>
      </c>
      <c r="K21" s="81"/>
      <c r="L21" s="89">
        <v>15.458182784890836</v>
      </c>
      <c r="M21" s="90">
        <v>8.997951209804727</v>
      </c>
      <c r="N21" s="90">
        <v>9.1371359215878698</v>
      </c>
      <c r="O21" s="90">
        <v>6.5529999999999999</v>
      </c>
      <c r="P21" s="90">
        <v>7.1139999999999999</v>
      </c>
      <c r="Q21" s="90">
        <v>6.59</v>
      </c>
      <c r="R21" s="90">
        <v>7.319</v>
      </c>
      <c r="S21" s="90">
        <v>7.8819999999999997</v>
      </c>
      <c r="T21" s="90">
        <v>3.448</v>
      </c>
      <c r="U21" s="90">
        <v>6.9390000000000001</v>
      </c>
      <c r="V21" s="91">
        <v>7.1</v>
      </c>
      <c r="W21" s="91">
        <f t="shared" si="0"/>
        <v>9.2698956964362473</v>
      </c>
    </row>
    <row r="22" spans="1:23" x14ac:dyDescent="0.35">
      <c r="A22" s="81" t="s">
        <v>227</v>
      </c>
      <c r="B22" s="81" t="s">
        <v>583</v>
      </c>
      <c r="C22" s="89">
        <v>-1.0891270418666776</v>
      </c>
      <c r="D22" s="90">
        <v>0.24141365794498881</v>
      </c>
      <c r="E22" s="91">
        <v>-4.7343951578571186E-3</v>
      </c>
      <c r="G22" s="103" t="s">
        <v>571</v>
      </c>
      <c r="H22" s="101">
        <v>78.939379492547943</v>
      </c>
      <c r="I22" s="93">
        <v>55</v>
      </c>
      <c r="J22" s="94">
        <v>34</v>
      </c>
      <c r="K22" s="81"/>
      <c r="L22" s="89">
        <v>1.6871355364283958</v>
      </c>
      <c r="M22" s="90">
        <v>1.0034708408564619</v>
      </c>
      <c r="N22" s="90">
        <v>1.7263848541700804</v>
      </c>
      <c r="O22" s="90">
        <v>-3.83</v>
      </c>
      <c r="P22" s="90">
        <v>-2.536</v>
      </c>
      <c r="Q22" s="90">
        <v>2.5409999999999999</v>
      </c>
      <c r="R22" s="90">
        <v>3.1379999999999999</v>
      </c>
      <c r="S22" s="90">
        <v>1.446</v>
      </c>
      <c r="T22" s="90">
        <v>-0.67300000000000004</v>
      </c>
      <c r="U22" s="90">
        <v>2.2730000000000001</v>
      </c>
      <c r="V22" s="91">
        <v>-4.7409999999999997</v>
      </c>
      <c r="W22" s="91">
        <f t="shared" si="0"/>
        <v>0.11833963139356585</v>
      </c>
    </row>
    <row r="23" spans="1:23" x14ac:dyDescent="0.35">
      <c r="A23" s="81" t="s">
        <v>227</v>
      </c>
      <c r="B23" s="81" t="s">
        <v>584</v>
      </c>
      <c r="C23" s="89">
        <v>1.1690569098094628</v>
      </c>
      <c r="D23" s="90">
        <v>1.3937649310878042</v>
      </c>
      <c r="E23" s="91">
        <v>1.4413818728578276</v>
      </c>
      <c r="G23" s="103" t="s">
        <v>415</v>
      </c>
      <c r="H23" s="101">
        <v>93.483251457156101</v>
      </c>
      <c r="I23" s="93">
        <v>21</v>
      </c>
      <c r="J23" s="94">
        <v>14</v>
      </c>
      <c r="K23" s="81"/>
      <c r="L23" s="89">
        <v>0.73922990508162567</v>
      </c>
      <c r="M23" s="90">
        <v>0.45922805011605522</v>
      </c>
      <c r="N23" s="90">
        <v>1.578523229524472</v>
      </c>
      <c r="O23" s="90">
        <v>2.0409999999999999</v>
      </c>
      <c r="P23" s="90">
        <v>1.2669999999999999</v>
      </c>
      <c r="Q23" s="90">
        <v>1.62</v>
      </c>
      <c r="R23" s="90">
        <v>1.7929999999999999</v>
      </c>
      <c r="S23" s="90">
        <v>2.2410000000000001</v>
      </c>
      <c r="T23" s="90">
        <v>-5.3620000000000001</v>
      </c>
      <c r="U23" s="90">
        <v>6.1340000000000003</v>
      </c>
      <c r="V23" s="91">
        <v>3.0910000000000002</v>
      </c>
      <c r="W23" s="91">
        <f t="shared" si="0"/>
        <v>1.4175734019728159</v>
      </c>
    </row>
    <row r="24" spans="1:23" x14ac:dyDescent="0.35">
      <c r="A24" s="81" t="s">
        <v>569</v>
      </c>
      <c r="B24" s="81" t="s">
        <v>585</v>
      </c>
      <c r="C24" s="89">
        <v>5.666147255627263</v>
      </c>
      <c r="D24" s="90">
        <v>6.110859714036887</v>
      </c>
      <c r="E24" s="91">
        <v>5.477732246862832</v>
      </c>
      <c r="G24" s="103" t="s">
        <v>398</v>
      </c>
      <c r="H24" s="101">
        <v>73.01184037118577</v>
      </c>
      <c r="I24" s="93">
        <v>75</v>
      </c>
      <c r="J24" s="94">
        <v>7</v>
      </c>
      <c r="K24" s="81"/>
      <c r="L24" s="89">
        <v>4.811223315687994</v>
      </c>
      <c r="M24" s="90">
        <v>7.1914337214494379</v>
      </c>
      <c r="N24" s="90">
        <v>6.3576790979193039</v>
      </c>
      <c r="O24" s="90">
        <v>1.778</v>
      </c>
      <c r="P24" s="90">
        <v>3.34</v>
      </c>
      <c r="Q24" s="90">
        <v>5.6719999999999997</v>
      </c>
      <c r="R24" s="90">
        <v>6.6970000000000001</v>
      </c>
      <c r="S24" s="90">
        <v>6.8659999999999997</v>
      </c>
      <c r="T24" s="90">
        <v>3.8490000000000002</v>
      </c>
      <c r="U24" s="90">
        <v>7.1550000000000002</v>
      </c>
      <c r="V24" s="91">
        <v>6.0209999999999999</v>
      </c>
      <c r="W24" s="91">
        <f t="shared" si="0"/>
        <v>5.7942959804498599</v>
      </c>
    </row>
    <row r="25" spans="1:23" x14ac:dyDescent="0.35">
      <c r="A25" s="81" t="s">
        <v>565</v>
      </c>
      <c r="B25" s="81" t="s">
        <v>586</v>
      </c>
      <c r="C25" s="89">
        <v>-0.76587225840651918</v>
      </c>
      <c r="D25" s="90">
        <v>1.2676841708430198</v>
      </c>
      <c r="E25" s="91">
        <v>3.3347663550896245</v>
      </c>
      <c r="G25" s="103" t="s">
        <v>567</v>
      </c>
      <c r="H25" s="101">
        <v>55.154482190816807</v>
      </c>
      <c r="I25" s="93">
        <v>132</v>
      </c>
      <c r="J25" s="94">
        <v>28</v>
      </c>
      <c r="K25" s="81"/>
      <c r="L25" s="89">
        <v>5.1184008580053391</v>
      </c>
      <c r="M25" s="90">
        <v>2.1199726329821678</v>
      </c>
      <c r="N25" s="90">
        <v>5.7764956801372422</v>
      </c>
      <c r="O25" s="90">
        <v>6.2210000000000001</v>
      </c>
      <c r="P25" s="90">
        <v>7.4080000000000004</v>
      </c>
      <c r="Q25" s="90">
        <v>6.3220000000000001</v>
      </c>
      <c r="R25" s="90">
        <v>3.835</v>
      </c>
      <c r="S25" s="90">
        <v>4.4249999999999998</v>
      </c>
      <c r="T25" s="90">
        <v>-2.3479999999999999</v>
      </c>
      <c r="U25" s="90">
        <v>-3.3319999999999999</v>
      </c>
      <c r="V25" s="91">
        <v>4.3250000000000002</v>
      </c>
      <c r="W25" s="91">
        <f t="shared" si="0"/>
        <v>2.3012252629663221</v>
      </c>
    </row>
    <row r="26" spans="1:23" x14ac:dyDescent="0.35">
      <c r="A26" s="81" t="s">
        <v>573</v>
      </c>
      <c r="B26" s="81" t="s">
        <v>587</v>
      </c>
      <c r="C26" s="89">
        <v>-2.2304131763273283E-2</v>
      </c>
      <c r="D26" s="90">
        <v>1.2603639469641159</v>
      </c>
      <c r="E26" s="91">
        <v>3.1673454908146104</v>
      </c>
      <c r="G26" s="103" t="s">
        <v>567</v>
      </c>
      <c r="H26" s="101">
        <v>31.085526545532133</v>
      </c>
      <c r="I26" s="93">
        <v>155</v>
      </c>
      <c r="J26" s="94">
        <v>25</v>
      </c>
      <c r="K26" s="81"/>
      <c r="L26" s="89">
        <v>5.122274660983769</v>
      </c>
      <c r="M26" s="90">
        <v>6.7960117055974338</v>
      </c>
      <c r="N26" s="90">
        <v>5.4605671536850453</v>
      </c>
      <c r="O26" s="90">
        <v>4.8570000000000002</v>
      </c>
      <c r="P26" s="90">
        <v>4.2640000000000002</v>
      </c>
      <c r="Q26" s="90">
        <v>4.1950000000000003</v>
      </c>
      <c r="R26" s="90">
        <v>4.2240000000000002</v>
      </c>
      <c r="S26" s="90">
        <v>2.2170000000000001</v>
      </c>
      <c r="T26" s="90">
        <v>-8.7379999999999995</v>
      </c>
      <c r="U26" s="90">
        <v>6.1059999999999999</v>
      </c>
      <c r="V26" s="91">
        <v>3.2</v>
      </c>
      <c r="W26" s="91">
        <f t="shared" si="0"/>
        <v>2.2138547188893631</v>
      </c>
    </row>
    <row r="27" spans="1:23" x14ac:dyDescent="0.35">
      <c r="A27" s="81" t="s">
        <v>227</v>
      </c>
      <c r="B27" s="81" t="s">
        <v>588</v>
      </c>
      <c r="C27" s="89">
        <v>2.6460933550704002</v>
      </c>
      <c r="D27" s="90">
        <v>2.9046927076515017</v>
      </c>
      <c r="E27" s="91">
        <v>2.7421493700034771</v>
      </c>
      <c r="G27" s="103" t="s">
        <v>422</v>
      </c>
      <c r="H27" s="101">
        <v>66.414016463166035</v>
      </c>
      <c r="I27" s="93">
        <v>108</v>
      </c>
      <c r="J27" s="94">
        <v>41</v>
      </c>
      <c r="K27" s="81"/>
      <c r="L27" s="89">
        <v>-0.82183647421687545</v>
      </c>
      <c r="M27" s="90">
        <v>2.3498566632458062</v>
      </c>
      <c r="N27" s="90">
        <v>1.1538510920040257</v>
      </c>
      <c r="O27" s="90">
        <v>4.3140000000000001</v>
      </c>
      <c r="P27" s="90">
        <v>3.242</v>
      </c>
      <c r="Q27" s="90">
        <v>3.2440000000000002</v>
      </c>
      <c r="R27" s="90">
        <v>3.8290000000000002</v>
      </c>
      <c r="S27" s="90">
        <v>2.8860000000000001</v>
      </c>
      <c r="T27" s="90">
        <v>-3.0150000000000001</v>
      </c>
      <c r="U27" s="90">
        <v>7.3920000000000003</v>
      </c>
      <c r="V27" s="91">
        <v>3.8</v>
      </c>
      <c r="W27" s="91">
        <f t="shared" si="0"/>
        <v>2.8234210388274894</v>
      </c>
    </row>
    <row r="28" spans="1:23" x14ac:dyDescent="0.35">
      <c r="A28" s="81" t="s">
        <v>569</v>
      </c>
      <c r="B28" s="81" t="s">
        <v>589</v>
      </c>
      <c r="C28" s="89">
        <v>2.6588943634134665</v>
      </c>
      <c r="D28" s="90">
        <v>1.4503583241093798</v>
      </c>
      <c r="E28" s="91">
        <v>2.7752039527026096</v>
      </c>
      <c r="G28" s="103" t="s">
        <v>398</v>
      </c>
      <c r="H28" s="101">
        <v>74.531513757725932</v>
      </c>
      <c r="I28" s="93">
        <v>70</v>
      </c>
      <c r="J28" s="94">
        <v>6</v>
      </c>
      <c r="K28" s="81"/>
      <c r="L28" s="89">
        <v>4.4561672130978769</v>
      </c>
      <c r="M28" s="90">
        <v>11.343424252775241</v>
      </c>
      <c r="N28" s="90">
        <v>4.149289893135184</v>
      </c>
      <c r="O28" s="90">
        <v>-4.851</v>
      </c>
      <c r="P28" s="90">
        <v>7.202</v>
      </c>
      <c r="Q28" s="90">
        <v>4.1130000000000004</v>
      </c>
      <c r="R28" s="90">
        <v>4.1900000000000004</v>
      </c>
      <c r="S28" s="90">
        <v>3.0329999999999999</v>
      </c>
      <c r="T28" s="90">
        <v>-8.7260000000000009</v>
      </c>
      <c r="U28" s="90">
        <v>11.84</v>
      </c>
      <c r="V28" s="91">
        <v>6.4329999999999998</v>
      </c>
      <c r="W28" s="91">
        <f t="shared" si="0"/>
        <v>2.1127811384059947</v>
      </c>
    </row>
    <row r="29" spans="1:23" x14ac:dyDescent="0.35">
      <c r="A29" s="81" t="s">
        <v>573</v>
      </c>
      <c r="B29" s="81" t="s">
        <v>590</v>
      </c>
      <c r="C29" s="89">
        <v>1.146428167182445</v>
      </c>
      <c r="D29" s="90">
        <v>1.295085878975577</v>
      </c>
      <c r="E29" s="91">
        <v>0.42795301380476047</v>
      </c>
      <c r="G29" s="103" t="s">
        <v>571</v>
      </c>
      <c r="H29" s="101">
        <v>79.569249143394813</v>
      </c>
      <c r="I29" s="93">
        <v>51</v>
      </c>
      <c r="J29" s="94">
        <v>7</v>
      </c>
      <c r="K29" s="81"/>
      <c r="L29" s="89">
        <v>1.9211503183629988</v>
      </c>
      <c r="M29" s="90">
        <v>3.0048463050570873</v>
      </c>
      <c r="N29" s="90">
        <v>0.50395574024224987</v>
      </c>
      <c r="O29" s="90">
        <v>-3.5459999999999998</v>
      </c>
      <c r="P29" s="90">
        <v>-3.2759999999999998</v>
      </c>
      <c r="Q29" s="90">
        <v>1.323</v>
      </c>
      <c r="R29" s="90">
        <v>1.784</v>
      </c>
      <c r="S29" s="90">
        <v>1.2210000000000001</v>
      </c>
      <c r="T29" s="90">
        <v>-3.2770000000000001</v>
      </c>
      <c r="U29" s="90">
        <v>4.9889999999999999</v>
      </c>
      <c r="V29" s="91">
        <v>2.9009999999999998</v>
      </c>
      <c r="W29" s="91">
        <f t="shared" si="0"/>
        <v>0.86151944639016875</v>
      </c>
    </row>
    <row r="30" spans="1:23" x14ac:dyDescent="0.35">
      <c r="A30" s="81" t="s">
        <v>565</v>
      </c>
      <c r="B30" s="81" t="s">
        <v>591</v>
      </c>
      <c r="C30" s="89">
        <v>-0.66374440025495085</v>
      </c>
      <c r="D30" s="90">
        <v>0.37078358077795581</v>
      </c>
      <c r="E30" s="91">
        <v>-0.44114896551331606</v>
      </c>
      <c r="G30" s="103" t="s">
        <v>567</v>
      </c>
      <c r="H30" s="101">
        <v>47.581995606084838</v>
      </c>
      <c r="I30" s="93">
        <v>142</v>
      </c>
      <c r="J30" s="94">
        <v>30</v>
      </c>
      <c r="K30" s="81"/>
      <c r="L30" s="89">
        <v>0.91284167096442625</v>
      </c>
      <c r="M30" s="90">
        <v>-2.1260285174017546</v>
      </c>
      <c r="N30" s="90">
        <v>-2.5083525664456063</v>
      </c>
      <c r="O30" s="90">
        <v>-0.40500000000000003</v>
      </c>
      <c r="P30" s="90">
        <v>-2.4649999999999999</v>
      </c>
      <c r="Q30" s="90">
        <v>1.329</v>
      </c>
      <c r="R30" s="90">
        <v>5.1999999999999998E-2</v>
      </c>
      <c r="S30" s="90">
        <v>3.8690000000000002</v>
      </c>
      <c r="T30" s="90">
        <v>1.1339999999999999</v>
      </c>
      <c r="U30" s="90">
        <v>-1.591</v>
      </c>
      <c r="V30" s="91">
        <v>-1.51</v>
      </c>
      <c r="W30" s="91">
        <f t="shared" si="0"/>
        <v>-3.5182692367680124E-2</v>
      </c>
    </row>
    <row r="31" spans="1:23" x14ac:dyDescent="0.35">
      <c r="A31" s="81" t="s">
        <v>227</v>
      </c>
      <c r="B31" s="81" t="s">
        <v>592</v>
      </c>
      <c r="C31" s="89">
        <v>2.2325090532704595</v>
      </c>
      <c r="D31" s="90">
        <v>2.7879873369299979</v>
      </c>
      <c r="E31" s="91">
        <v>2.7412414949005814</v>
      </c>
      <c r="G31" s="103" t="s">
        <v>571</v>
      </c>
      <c r="H31" s="101">
        <v>82.826908120877093</v>
      </c>
      <c r="I31" s="93">
        <v>40</v>
      </c>
      <c r="J31" s="94">
        <v>26</v>
      </c>
      <c r="K31" s="81"/>
      <c r="L31" s="89">
        <v>0.36058318828756941</v>
      </c>
      <c r="M31" s="90">
        <v>0.31873576132258219</v>
      </c>
      <c r="N31" s="90">
        <v>1.8945471424192788</v>
      </c>
      <c r="O31" s="90">
        <v>3.4279999999999999</v>
      </c>
      <c r="P31" s="90">
        <v>3.04</v>
      </c>
      <c r="Q31" s="90">
        <v>2.762</v>
      </c>
      <c r="R31" s="90">
        <v>2.6850000000000001</v>
      </c>
      <c r="S31" s="90">
        <v>4.0380000000000003</v>
      </c>
      <c r="T31" s="90">
        <v>-3.9590000000000001</v>
      </c>
      <c r="U31" s="90">
        <v>7.6349999999999998</v>
      </c>
      <c r="V31" s="91">
        <v>3.3610000000000002</v>
      </c>
      <c r="W31" s="91">
        <f t="shared" si="0"/>
        <v>2.7646144159152897</v>
      </c>
    </row>
    <row r="32" spans="1:23" x14ac:dyDescent="0.35">
      <c r="A32" s="81" t="s">
        <v>569</v>
      </c>
      <c r="B32" s="81" t="s">
        <v>593</v>
      </c>
      <c r="C32" s="89">
        <v>3.7461786866062718</v>
      </c>
      <c r="D32" s="90">
        <v>4.6060819779328632</v>
      </c>
      <c r="E32" s="91">
        <v>4.9153359042722222</v>
      </c>
      <c r="G32" s="103" t="s">
        <v>398</v>
      </c>
      <c r="H32" s="101">
        <v>71.439342263551737</v>
      </c>
      <c r="I32" s="93">
        <v>81</v>
      </c>
      <c r="J32" s="94">
        <v>11</v>
      </c>
      <c r="K32" s="81"/>
      <c r="L32" s="89">
        <v>6.4526723809054332</v>
      </c>
      <c r="M32" s="90">
        <v>5.7926055919056534</v>
      </c>
      <c r="N32" s="90">
        <v>4.3268456132150384</v>
      </c>
      <c r="O32" s="90">
        <v>3.9209999999999998</v>
      </c>
      <c r="P32" s="90">
        <v>5.9580000000000002</v>
      </c>
      <c r="Q32" s="90">
        <v>6.2030000000000003</v>
      </c>
      <c r="R32" s="90">
        <v>6.6029999999999998</v>
      </c>
      <c r="S32" s="90">
        <v>5.6890000000000001</v>
      </c>
      <c r="T32" s="90">
        <v>1.931</v>
      </c>
      <c r="U32" s="90">
        <v>6.9050000000000002</v>
      </c>
      <c r="V32" s="91">
        <v>2.4729999999999999</v>
      </c>
      <c r="W32" s="91">
        <f t="shared" si="0"/>
        <v>4.7607089411025427</v>
      </c>
    </row>
    <row r="33" spans="1:23" x14ac:dyDescent="0.35">
      <c r="A33" s="81" t="s">
        <v>569</v>
      </c>
      <c r="B33" s="81" t="s">
        <v>594</v>
      </c>
      <c r="C33" s="89">
        <v>1.3140617594302739</v>
      </c>
      <c r="D33" s="90">
        <v>1.4727306023839093</v>
      </c>
      <c r="E33" s="91">
        <v>1.2263384025287261</v>
      </c>
      <c r="G33" s="103" t="s">
        <v>567</v>
      </c>
      <c r="H33" s="101">
        <v>45.872398734881529</v>
      </c>
      <c r="I33" s="93">
        <v>144</v>
      </c>
      <c r="J33" s="94">
        <v>40</v>
      </c>
      <c r="K33" s="81"/>
      <c r="L33" s="89">
        <v>4.4467082221454284</v>
      </c>
      <c r="M33" s="90">
        <v>4.9241952612883146</v>
      </c>
      <c r="N33" s="90">
        <v>4.2406516436807848</v>
      </c>
      <c r="O33" s="90">
        <v>-3.9</v>
      </c>
      <c r="P33" s="90">
        <v>-0.6</v>
      </c>
      <c r="Q33" s="90">
        <v>0.5</v>
      </c>
      <c r="R33" s="90">
        <v>1.61</v>
      </c>
      <c r="S33" s="90">
        <v>1.8420000000000001</v>
      </c>
      <c r="T33" s="90">
        <v>0.33500000000000002</v>
      </c>
      <c r="U33" s="90">
        <v>3.1190000000000002</v>
      </c>
      <c r="V33" s="91">
        <v>1.827</v>
      </c>
      <c r="W33" s="91">
        <f t="shared" si="0"/>
        <v>1.3495345024563177</v>
      </c>
    </row>
    <row r="34" spans="1:23" x14ac:dyDescent="0.35">
      <c r="A34" s="81" t="s">
        <v>569</v>
      </c>
      <c r="B34" s="81" t="s">
        <v>595</v>
      </c>
      <c r="C34" s="89">
        <v>0.23646198785876038</v>
      </c>
      <c r="D34" s="90">
        <v>2.1534613712418604</v>
      </c>
      <c r="E34" s="91">
        <v>2.1525774639498785</v>
      </c>
      <c r="G34" s="103" t="s">
        <v>398</v>
      </c>
      <c r="H34" s="101">
        <v>72.784877013329833</v>
      </c>
      <c r="I34" s="93">
        <v>78</v>
      </c>
      <c r="J34" s="94">
        <v>9</v>
      </c>
      <c r="K34" s="81"/>
      <c r="L34" s="89">
        <v>1.0819182787712764</v>
      </c>
      <c r="M34" s="90">
        <v>0.80279760057422567</v>
      </c>
      <c r="N34" s="90">
        <v>0.61121266620786829</v>
      </c>
      <c r="O34" s="90">
        <v>1.0069999999999999</v>
      </c>
      <c r="P34" s="90">
        <v>4.7060000000000004</v>
      </c>
      <c r="Q34" s="90">
        <v>3.702</v>
      </c>
      <c r="R34" s="90">
        <v>14.566000000000001</v>
      </c>
      <c r="S34" s="90">
        <v>5.6680000000000001</v>
      </c>
      <c r="T34" s="90">
        <v>-14.782999999999999</v>
      </c>
      <c r="U34" s="90">
        <v>7</v>
      </c>
      <c r="V34" s="91">
        <v>10.5</v>
      </c>
      <c r="W34" s="91">
        <f t="shared" si="0"/>
        <v>2.1530194175958695</v>
      </c>
    </row>
    <row r="35" spans="1:23" x14ac:dyDescent="0.35">
      <c r="A35" s="81" t="s">
        <v>565</v>
      </c>
      <c r="B35" s="81" t="s">
        <v>596</v>
      </c>
      <c r="C35" s="89">
        <v>1.5881444792890331</v>
      </c>
      <c r="D35" s="90">
        <v>3.8205347927408928</v>
      </c>
      <c r="E35" s="91">
        <v>5.437149341759695</v>
      </c>
      <c r="G35" s="103" t="s">
        <v>567</v>
      </c>
      <c r="H35" s="101">
        <v>41.696651110677628</v>
      </c>
      <c r="I35" s="93">
        <v>149</v>
      </c>
      <c r="J35" s="94">
        <v>31</v>
      </c>
      <c r="K35" s="81"/>
      <c r="L35" s="89">
        <v>7.3133455053000533</v>
      </c>
      <c r="M35" s="90">
        <v>7.3566651488797472</v>
      </c>
      <c r="N35" s="90">
        <v>7.1425711007429467</v>
      </c>
      <c r="O35" s="90">
        <v>7.0359999999999996</v>
      </c>
      <c r="P35" s="90">
        <v>6.8630000000000004</v>
      </c>
      <c r="Q35" s="90">
        <v>6.9969999999999999</v>
      </c>
      <c r="R35" s="90">
        <v>7.4690000000000003</v>
      </c>
      <c r="S35" s="90">
        <v>7.0540000000000003</v>
      </c>
      <c r="T35" s="90">
        <v>-3.0960000000000001</v>
      </c>
      <c r="U35" s="90">
        <v>3.0259999999999998</v>
      </c>
      <c r="V35" s="91">
        <v>5.0119999999999996</v>
      </c>
      <c r="W35" s="91">
        <f t="shared" si="0"/>
        <v>4.6288420672502939</v>
      </c>
    </row>
    <row r="36" spans="1:23" x14ac:dyDescent="0.35">
      <c r="A36" s="81" t="s">
        <v>569</v>
      </c>
      <c r="B36" s="81" t="s">
        <v>597</v>
      </c>
      <c r="C36" s="89">
        <v>2.4193069652844734</v>
      </c>
      <c r="D36" s="90">
        <v>3.5683606479580687</v>
      </c>
      <c r="E36" s="91">
        <v>4.2936580650607903</v>
      </c>
      <c r="G36" s="103" t="s">
        <v>422</v>
      </c>
      <c r="H36" s="101">
        <v>66.487838229569903</v>
      </c>
      <c r="I36" s="93">
        <v>107</v>
      </c>
      <c r="J36" s="94">
        <v>24</v>
      </c>
      <c r="K36" s="81"/>
      <c r="L36" s="89">
        <v>4.5432650156673571</v>
      </c>
      <c r="M36" s="90">
        <v>5.4042657097173343</v>
      </c>
      <c r="N36" s="90">
        <v>5.8840593266804415</v>
      </c>
      <c r="O36" s="90">
        <v>5.6</v>
      </c>
      <c r="P36" s="90">
        <v>4.4790000000000001</v>
      </c>
      <c r="Q36" s="90">
        <v>3.5409999999999999</v>
      </c>
      <c r="R36" s="90">
        <v>4.0220000000000002</v>
      </c>
      <c r="S36" s="90">
        <v>3.4220000000000002</v>
      </c>
      <c r="T36" s="90">
        <v>0.53900000000000003</v>
      </c>
      <c r="U36" s="90">
        <v>3.649</v>
      </c>
      <c r="V36" s="91">
        <v>3.383</v>
      </c>
      <c r="W36" s="91">
        <f t="shared" si="0"/>
        <v>3.9310093565094295</v>
      </c>
    </row>
    <row r="37" spans="1:23" x14ac:dyDescent="0.35">
      <c r="A37" s="81" t="s">
        <v>573</v>
      </c>
      <c r="B37" s="81" t="s">
        <v>598</v>
      </c>
      <c r="C37" s="89">
        <v>0.80505563787092171</v>
      </c>
      <c r="D37" s="90">
        <v>1.279888102037452</v>
      </c>
      <c r="E37" s="91">
        <v>1.6398804050051563</v>
      </c>
      <c r="G37" s="103" t="s">
        <v>415</v>
      </c>
      <c r="H37" s="101">
        <v>95.837528170961207</v>
      </c>
      <c r="I37" s="93">
        <v>17</v>
      </c>
      <c r="J37" s="94">
        <v>2</v>
      </c>
      <c r="K37" s="81"/>
      <c r="L37" s="89">
        <v>1.762222549554276</v>
      </c>
      <c r="M37" s="90">
        <v>2.3291225223044822</v>
      </c>
      <c r="N37" s="90">
        <v>2.8700360387422155</v>
      </c>
      <c r="O37" s="90">
        <v>0.65900000000000003</v>
      </c>
      <c r="P37" s="90">
        <v>1.0009999999999999</v>
      </c>
      <c r="Q37" s="90">
        <v>3.04</v>
      </c>
      <c r="R37" s="90">
        <v>2.7770000000000001</v>
      </c>
      <c r="S37" s="90">
        <v>1.8879999999999999</v>
      </c>
      <c r="T37" s="90">
        <v>-5.0739999999999998</v>
      </c>
      <c r="U37" s="90">
        <v>5.0119999999999996</v>
      </c>
      <c r="V37" s="91">
        <v>3.3959999999999999</v>
      </c>
      <c r="W37" s="91">
        <f t="shared" si="0"/>
        <v>1.4598842535213041</v>
      </c>
    </row>
    <row r="38" spans="1:23" x14ac:dyDescent="0.35">
      <c r="A38" s="81" t="s">
        <v>569</v>
      </c>
      <c r="B38" s="81" t="s">
        <v>599</v>
      </c>
      <c r="C38" s="89">
        <v>0.72569907638180275</v>
      </c>
      <c r="D38" s="90">
        <v>1.8043988935163791</v>
      </c>
      <c r="E38" s="91">
        <v>-2.2645674209426092</v>
      </c>
      <c r="G38" s="103" t="s">
        <v>567</v>
      </c>
      <c r="H38" s="101">
        <v>41.466247411534134</v>
      </c>
      <c r="I38" s="93">
        <v>150</v>
      </c>
      <c r="J38" s="94">
        <v>44</v>
      </c>
      <c r="K38" s="81"/>
      <c r="L38" s="89">
        <v>5.053761253569192</v>
      </c>
      <c r="M38" s="90">
        <v>-36.391977098388679</v>
      </c>
      <c r="N38" s="90">
        <v>8.1070515326508011E-2</v>
      </c>
      <c r="O38" s="90">
        <v>4.3380000000000001</v>
      </c>
      <c r="P38" s="90">
        <v>4.75</v>
      </c>
      <c r="Q38" s="90">
        <v>4.5279999999999996</v>
      </c>
      <c r="R38" s="90">
        <v>3.82</v>
      </c>
      <c r="S38" s="90">
        <v>2.97</v>
      </c>
      <c r="T38" s="90">
        <v>0.95899999999999996</v>
      </c>
      <c r="U38" s="90">
        <v>0.98299999999999998</v>
      </c>
      <c r="V38" s="91">
        <v>0.378</v>
      </c>
      <c r="W38" s="91">
        <f t="shared" si="0"/>
        <v>-0.23008426371311508</v>
      </c>
    </row>
    <row r="39" spans="1:23" x14ac:dyDescent="0.35">
      <c r="A39" s="81" t="s">
        <v>569</v>
      </c>
      <c r="B39" s="81" t="s">
        <v>600</v>
      </c>
      <c r="C39" s="89">
        <v>-0.11885802228936981</v>
      </c>
      <c r="D39" s="90">
        <v>1.0424126086531427</v>
      </c>
      <c r="E39" s="91">
        <v>1.0693731739606749</v>
      </c>
      <c r="G39" s="103" t="s">
        <v>567</v>
      </c>
      <c r="H39" s="101">
        <v>46.134841898100355</v>
      </c>
      <c r="I39" s="93">
        <v>143</v>
      </c>
      <c r="J39" s="94">
        <v>39</v>
      </c>
      <c r="K39" s="81"/>
      <c r="L39" s="89">
        <v>8.8825760717031557</v>
      </c>
      <c r="M39" s="90">
        <v>5.7000013628586537</v>
      </c>
      <c r="N39" s="90">
        <v>6.8999850453216673</v>
      </c>
      <c r="O39" s="90">
        <v>1.77</v>
      </c>
      <c r="P39" s="90">
        <v>-5.5579999999999998</v>
      </c>
      <c r="Q39" s="90">
        <v>-2.38</v>
      </c>
      <c r="R39" s="90">
        <v>2.355</v>
      </c>
      <c r="S39" s="90">
        <v>3.419</v>
      </c>
      <c r="T39" s="90">
        <v>-2.1419999999999999</v>
      </c>
      <c r="U39" s="90">
        <v>-1.1020000000000001</v>
      </c>
      <c r="V39" s="91">
        <v>2.4940000000000002</v>
      </c>
      <c r="W39" s="91">
        <f t="shared" si="0"/>
        <v>1.0558928913069088</v>
      </c>
    </row>
    <row r="40" spans="1:23" x14ac:dyDescent="0.35">
      <c r="A40" s="81" t="s">
        <v>573</v>
      </c>
      <c r="B40" s="81" t="s">
        <v>601</v>
      </c>
      <c r="C40" s="89">
        <v>2.4572143474803632</v>
      </c>
      <c r="D40" s="90">
        <v>3.0605383736418856</v>
      </c>
      <c r="E40" s="91">
        <v>2.6285168981251106</v>
      </c>
      <c r="G40" s="103" t="s">
        <v>415</v>
      </c>
      <c r="H40" s="101">
        <v>89.938976035792962</v>
      </c>
      <c r="I40" s="93">
        <v>28</v>
      </c>
      <c r="J40" s="94">
        <v>3</v>
      </c>
      <c r="K40" s="81"/>
      <c r="L40" s="89">
        <v>5.3186280004141473</v>
      </c>
      <c r="M40" s="90">
        <v>4.0450042981489593</v>
      </c>
      <c r="N40" s="90">
        <v>1.7667397836386938</v>
      </c>
      <c r="O40" s="90">
        <v>2.1520000000000001</v>
      </c>
      <c r="P40" s="90">
        <v>1.7529999999999999</v>
      </c>
      <c r="Q40" s="90">
        <v>1.3580000000000001</v>
      </c>
      <c r="R40" s="90">
        <v>3.99</v>
      </c>
      <c r="S40" s="90">
        <v>0.74299999999999999</v>
      </c>
      <c r="T40" s="90">
        <v>-6.1449999999999996</v>
      </c>
      <c r="U40" s="90">
        <v>11.737</v>
      </c>
      <c r="V40" s="91">
        <v>2.44</v>
      </c>
      <c r="W40" s="91">
        <f t="shared" si="0"/>
        <v>2.8445276358834981</v>
      </c>
    </row>
    <row r="41" spans="1:23" x14ac:dyDescent="0.35">
      <c r="A41" s="81" t="s">
        <v>565</v>
      </c>
      <c r="B41" s="81" t="s">
        <v>602</v>
      </c>
      <c r="C41" s="89">
        <v>4.4136018906123953</v>
      </c>
      <c r="D41" s="90">
        <v>5.1836523723133077</v>
      </c>
      <c r="E41" s="91">
        <v>6.1897338385474399</v>
      </c>
      <c r="G41" s="103" t="s">
        <v>571</v>
      </c>
      <c r="H41" s="101">
        <v>79.714044846147502</v>
      </c>
      <c r="I41" s="93">
        <v>50</v>
      </c>
      <c r="J41" s="94">
        <v>7</v>
      </c>
      <c r="K41" s="81"/>
      <c r="L41" s="89">
        <v>7.8596274932851555</v>
      </c>
      <c r="M41" s="90">
        <v>7.7686152841281606</v>
      </c>
      <c r="N41" s="90">
        <v>7.4245236561990726</v>
      </c>
      <c r="O41" s="90">
        <v>7.0179999999999998</v>
      </c>
      <c r="P41" s="90">
        <v>6.851</v>
      </c>
      <c r="Q41" s="90">
        <v>6.9470000000000001</v>
      </c>
      <c r="R41" s="90">
        <v>6.7510000000000003</v>
      </c>
      <c r="S41" s="90">
        <v>5.9509999999999996</v>
      </c>
      <c r="T41" s="90">
        <v>2.242</v>
      </c>
      <c r="U41" s="90">
        <v>8.4499999999999993</v>
      </c>
      <c r="V41" s="91">
        <v>2.988</v>
      </c>
      <c r="W41" s="91">
        <f t="shared" si="0"/>
        <v>5.6866931054303738</v>
      </c>
    </row>
    <row r="42" spans="1:23" x14ac:dyDescent="0.35">
      <c r="A42" s="81" t="s">
        <v>573</v>
      </c>
      <c r="B42" s="81" t="s">
        <v>603</v>
      </c>
      <c r="C42" s="89">
        <v>3.4115994769119862</v>
      </c>
      <c r="D42" s="90">
        <v>2.9902381196408978</v>
      </c>
      <c r="E42" s="91">
        <v>3.0937390088282557</v>
      </c>
      <c r="G42" s="103" t="s">
        <v>571</v>
      </c>
      <c r="H42" s="101">
        <v>79.943455242802315</v>
      </c>
      <c r="I42" s="93">
        <v>48</v>
      </c>
      <c r="J42" s="94">
        <v>6</v>
      </c>
      <c r="K42" s="81"/>
      <c r="L42" s="89">
        <v>3.9126357671611296</v>
      </c>
      <c r="M42" s="90">
        <v>5.1339935199566966</v>
      </c>
      <c r="N42" s="90">
        <v>4.4990300011097339</v>
      </c>
      <c r="O42" s="90">
        <v>2.956</v>
      </c>
      <c r="P42" s="90">
        <v>2.0880000000000001</v>
      </c>
      <c r="Q42" s="90">
        <v>1.359</v>
      </c>
      <c r="R42" s="90">
        <v>2.5640000000000001</v>
      </c>
      <c r="S42" s="90">
        <v>3.1869999999999998</v>
      </c>
      <c r="T42" s="90">
        <v>-7.2519999999999998</v>
      </c>
      <c r="U42" s="90">
        <v>11.016</v>
      </c>
      <c r="V42" s="91">
        <v>7.4960000000000004</v>
      </c>
      <c r="W42" s="91">
        <f t="shared" si="0"/>
        <v>3.0419885642345768</v>
      </c>
    </row>
    <row r="43" spans="1:23" x14ac:dyDescent="0.35">
      <c r="A43" s="81" t="s">
        <v>569</v>
      </c>
      <c r="B43" s="81" t="s">
        <v>604</v>
      </c>
      <c r="C43" s="89">
        <v>1.4424277454801349</v>
      </c>
      <c r="D43" s="90">
        <v>1.9425285111170032</v>
      </c>
      <c r="E43" s="91">
        <v>2.451644301489786</v>
      </c>
      <c r="G43" s="103" t="s">
        <v>422</v>
      </c>
      <c r="H43" s="101">
        <v>68.943026951610364</v>
      </c>
      <c r="I43" s="93">
        <v>96</v>
      </c>
      <c r="J43" s="94">
        <v>17</v>
      </c>
      <c r="K43" s="81"/>
      <c r="L43" s="89">
        <v>3.2002729031888046</v>
      </c>
      <c r="M43" s="90">
        <v>4.4998742153082745</v>
      </c>
      <c r="N43" s="90">
        <v>2.1000064383028905</v>
      </c>
      <c r="O43" s="90">
        <v>1.147</v>
      </c>
      <c r="P43" s="90">
        <v>3.32</v>
      </c>
      <c r="Q43" s="90">
        <v>3.8159999999999998</v>
      </c>
      <c r="R43" s="90">
        <v>3.6419999999999999</v>
      </c>
      <c r="S43" s="90">
        <v>1.7609999999999999</v>
      </c>
      <c r="T43" s="90">
        <v>-0.19600000000000001</v>
      </c>
      <c r="U43" s="90">
        <v>2.1120000000000001</v>
      </c>
      <c r="V43" s="91">
        <v>2.431</v>
      </c>
      <c r="W43" s="91">
        <f t="shared" si="0"/>
        <v>2.1970864063033946</v>
      </c>
    </row>
    <row r="44" spans="1:23" x14ac:dyDescent="0.35">
      <c r="A44" s="81" t="s">
        <v>569</v>
      </c>
      <c r="B44" s="81" t="s">
        <v>605</v>
      </c>
      <c r="C44" s="89">
        <v>4.8306254668632809</v>
      </c>
      <c r="D44" s="90">
        <v>4.9384402884992351</v>
      </c>
      <c r="E44" s="91">
        <v>5.5494362942043685</v>
      </c>
      <c r="G44" s="103" t="s">
        <v>567</v>
      </c>
      <c r="H44" s="101">
        <v>40.102703133666751</v>
      </c>
      <c r="I44" s="93">
        <v>151</v>
      </c>
      <c r="J44" s="94">
        <v>45</v>
      </c>
      <c r="K44" s="81"/>
      <c r="L44" s="89">
        <v>7.0868989467193844</v>
      </c>
      <c r="M44" s="90">
        <v>8.4819566360875722</v>
      </c>
      <c r="N44" s="90">
        <v>9.4702880971408341</v>
      </c>
      <c r="O44" s="90">
        <v>6.36</v>
      </c>
      <c r="P44" s="90">
        <v>0.39400000000000002</v>
      </c>
      <c r="Q44" s="90">
        <v>3.6579999999999999</v>
      </c>
      <c r="R44" s="90">
        <v>4.8250000000000002</v>
      </c>
      <c r="S44" s="90">
        <v>4.4850000000000003</v>
      </c>
      <c r="T44" s="90">
        <v>1.671</v>
      </c>
      <c r="U44" s="90">
        <v>6.2290000000000001</v>
      </c>
      <c r="V44" s="91">
        <v>6.6269999999999998</v>
      </c>
      <c r="W44" s="91">
        <f t="shared" si="0"/>
        <v>5.2439382913518013</v>
      </c>
    </row>
    <row r="45" spans="1:23" x14ac:dyDescent="0.35">
      <c r="A45" s="81" t="s">
        <v>569</v>
      </c>
      <c r="B45" s="81" t="s">
        <v>606</v>
      </c>
      <c r="C45" s="89">
        <v>-1.9540231466170455</v>
      </c>
      <c r="D45" s="90">
        <v>-2.1626068363397866</v>
      </c>
      <c r="E45" s="91">
        <v>-2.4351268953680449</v>
      </c>
      <c r="G45" s="103" t="s">
        <v>567</v>
      </c>
      <c r="H45" s="101">
        <v>42.318471362744162</v>
      </c>
      <c r="I45" s="93">
        <v>148</v>
      </c>
      <c r="J45" s="94">
        <v>43</v>
      </c>
      <c r="K45" s="81"/>
      <c r="L45" s="89">
        <v>9.9471531425756439</v>
      </c>
      <c r="M45" s="90">
        <v>-0.71243445187648202</v>
      </c>
      <c r="N45" s="90">
        <v>6.7166793337864945</v>
      </c>
      <c r="O45" s="90">
        <v>-3.5510000000000002</v>
      </c>
      <c r="P45" s="90">
        <v>-10.782999999999999</v>
      </c>
      <c r="Q45" s="90">
        <v>-4.383</v>
      </c>
      <c r="R45" s="90">
        <v>-4.8049999999999997</v>
      </c>
      <c r="S45" s="90">
        <v>1.026</v>
      </c>
      <c r="T45" s="90">
        <v>-6.1980000000000004</v>
      </c>
      <c r="U45" s="90">
        <v>1.5</v>
      </c>
      <c r="V45" s="91">
        <v>2.7850000000000001</v>
      </c>
      <c r="W45" s="91">
        <f t="shared" si="0"/>
        <v>-2.298866865853916</v>
      </c>
    </row>
    <row r="46" spans="1:23" x14ac:dyDescent="0.35">
      <c r="A46" s="81" t="s">
        <v>573</v>
      </c>
      <c r="B46" s="81" t="s">
        <v>607</v>
      </c>
      <c r="C46" s="89">
        <v>2.4986852323448439</v>
      </c>
      <c r="D46" s="90">
        <v>3.7972658363557565</v>
      </c>
      <c r="E46" s="91">
        <v>3.649680120396992</v>
      </c>
      <c r="G46" s="103" t="s">
        <v>571</v>
      </c>
      <c r="H46" s="101">
        <v>86.218051096846139</v>
      </c>
      <c r="I46" s="93">
        <v>34</v>
      </c>
      <c r="J46" s="94">
        <v>4</v>
      </c>
      <c r="K46" s="81"/>
      <c r="L46" s="89">
        <v>4.7969199185815947</v>
      </c>
      <c r="M46" s="90">
        <v>2.2690274004615811</v>
      </c>
      <c r="N46" s="90">
        <v>3.5153385639114227</v>
      </c>
      <c r="O46" s="90">
        <v>3.6520000000000001</v>
      </c>
      <c r="P46" s="90">
        <v>4.2039999999999997</v>
      </c>
      <c r="Q46" s="90">
        <v>4.1580000000000004</v>
      </c>
      <c r="R46" s="90">
        <v>2.6160000000000001</v>
      </c>
      <c r="S46" s="90">
        <v>2.4180000000000001</v>
      </c>
      <c r="T46" s="90">
        <v>-4.2729999999999997</v>
      </c>
      <c r="U46" s="90">
        <v>7.7809999999999997</v>
      </c>
      <c r="V46" s="91">
        <v>4.3239999999999998</v>
      </c>
      <c r="W46" s="91">
        <f t="shared" si="0"/>
        <v>3.7234729783763743</v>
      </c>
    </row>
    <row r="47" spans="1:23" x14ac:dyDescent="0.35">
      <c r="A47" s="81" t="s">
        <v>569</v>
      </c>
      <c r="B47" s="81" t="s">
        <v>608</v>
      </c>
      <c r="C47" s="89">
        <v>5.2133244785906863</v>
      </c>
      <c r="D47" s="90">
        <v>5.7501340546816326</v>
      </c>
      <c r="E47" s="91">
        <v>6.9731316213943906</v>
      </c>
      <c r="G47" s="103" t="s">
        <v>422</v>
      </c>
      <c r="H47" s="101">
        <v>69.121915522328067</v>
      </c>
      <c r="I47" s="93">
        <v>95</v>
      </c>
      <c r="J47" s="94">
        <v>16</v>
      </c>
      <c r="K47" s="81"/>
      <c r="L47" s="89">
        <v>10.706504103485498</v>
      </c>
      <c r="M47" s="90">
        <v>8.8894213015542505</v>
      </c>
      <c r="N47" s="90">
        <v>8.7940773902773532</v>
      </c>
      <c r="O47" s="90">
        <v>8.843</v>
      </c>
      <c r="P47" s="90">
        <v>7.173</v>
      </c>
      <c r="Q47" s="90">
        <v>6.1429999999999998</v>
      </c>
      <c r="R47" s="90">
        <v>3.7509999999999999</v>
      </c>
      <c r="S47" s="90">
        <v>8.31</v>
      </c>
      <c r="T47" s="90">
        <v>1.7</v>
      </c>
      <c r="U47" s="90">
        <v>7</v>
      </c>
      <c r="V47" s="91">
        <v>6.7</v>
      </c>
      <c r="W47" s="91">
        <f t="shared" si="0"/>
        <v>6.3616328380380116</v>
      </c>
    </row>
    <row r="48" spans="1:23" x14ac:dyDescent="0.35">
      <c r="A48" s="81" t="s">
        <v>227</v>
      </c>
      <c r="B48" s="81" t="s">
        <v>609</v>
      </c>
      <c r="C48" s="89">
        <v>3.2016110581527757</v>
      </c>
      <c r="D48" s="90">
        <v>3.6386983370098269</v>
      </c>
      <c r="E48" s="91">
        <v>2.6484109069949024</v>
      </c>
      <c r="G48" s="103" t="s">
        <v>571</v>
      </c>
      <c r="H48" s="101">
        <v>83.891853807505186</v>
      </c>
      <c r="I48" s="93">
        <v>39</v>
      </c>
      <c r="J48" s="94">
        <v>25</v>
      </c>
      <c r="K48" s="81"/>
      <c r="L48" s="89">
        <v>-2.2376475412236791</v>
      </c>
      <c r="M48" s="90">
        <v>-0.54854848857064353</v>
      </c>
      <c r="N48" s="90">
        <v>-0.10392849719394197</v>
      </c>
      <c r="O48" s="90">
        <v>2.524</v>
      </c>
      <c r="P48" s="90">
        <v>3.56</v>
      </c>
      <c r="Q48" s="90">
        <v>3.4140000000000001</v>
      </c>
      <c r="R48" s="90">
        <v>2.7989999999999999</v>
      </c>
      <c r="S48" s="90">
        <v>3.42</v>
      </c>
      <c r="T48" s="90">
        <v>-8.58</v>
      </c>
      <c r="U48" s="90">
        <v>13.07</v>
      </c>
      <c r="V48" s="91">
        <v>6.3319999999999999</v>
      </c>
      <c r="W48" s="91">
        <f t="shared" si="0"/>
        <v>3.1435546220023647</v>
      </c>
    </row>
    <row r="49" spans="1:23" x14ac:dyDescent="0.35">
      <c r="A49" s="81" t="s">
        <v>227</v>
      </c>
      <c r="B49" s="81" t="s">
        <v>610</v>
      </c>
      <c r="C49" s="89">
        <v>2.5096449899315587</v>
      </c>
      <c r="D49" s="90">
        <v>3.8028194592395037</v>
      </c>
      <c r="E49" s="91">
        <v>2.5630103304818297</v>
      </c>
      <c r="G49" s="103" t="s">
        <v>571</v>
      </c>
      <c r="H49" s="101">
        <v>87.255396390154942</v>
      </c>
      <c r="I49" s="93">
        <v>32</v>
      </c>
      <c r="J49" s="94">
        <v>21</v>
      </c>
      <c r="K49" s="81"/>
      <c r="L49" s="89">
        <v>-3.4468220858971224</v>
      </c>
      <c r="M49" s="90">
        <v>-6.5530782549911972</v>
      </c>
      <c r="N49" s="90">
        <v>-1.8293091092200273</v>
      </c>
      <c r="O49" s="90">
        <v>3.4180000000000001</v>
      </c>
      <c r="P49" s="90">
        <v>6.5739999999999998</v>
      </c>
      <c r="Q49" s="90">
        <v>5.7329999999999997</v>
      </c>
      <c r="R49" s="90">
        <v>5.649</v>
      </c>
      <c r="S49" s="90">
        <v>5.5289999999999999</v>
      </c>
      <c r="T49" s="90">
        <v>-4.3710000000000004</v>
      </c>
      <c r="U49" s="90">
        <v>6.6369999999999996</v>
      </c>
      <c r="V49" s="91">
        <v>5.6319999999999997</v>
      </c>
      <c r="W49" s="91">
        <f t="shared" si="0"/>
        <v>3.1829148948606667</v>
      </c>
    </row>
    <row r="50" spans="1:23" x14ac:dyDescent="0.35">
      <c r="A50" s="81" t="s">
        <v>227</v>
      </c>
      <c r="B50" s="81" t="s">
        <v>611</v>
      </c>
      <c r="C50" s="89">
        <v>7.8479275411136307E-2</v>
      </c>
      <c r="D50" s="90">
        <v>1.4620184569118511</v>
      </c>
      <c r="E50" s="91">
        <v>2.1534461321011111</v>
      </c>
      <c r="G50" s="103" t="s">
        <v>415</v>
      </c>
      <c r="H50" s="101">
        <v>91.450544124021832</v>
      </c>
      <c r="I50" s="93">
        <v>23</v>
      </c>
      <c r="J50" s="94">
        <v>15</v>
      </c>
      <c r="K50" s="81"/>
      <c r="L50" s="89">
        <v>-0.79984428098029747</v>
      </c>
      <c r="M50" s="90">
        <v>-0.48367104180935355</v>
      </c>
      <c r="N50" s="90">
        <v>2.7151161333034923</v>
      </c>
      <c r="O50" s="90">
        <v>5.3879999999999999</v>
      </c>
      <c r="P50" s="90">
        <v>2.5369999999999999</v>
      </c>
      <c r="Q50" s="90">
        <v>5.1689999999999996</v>
      </c>
      <c r="R50" s="90">
        <v>3.22</v>
      </c>
      <c r="S50" s="90">
        <v>3.03</v>
      </c>
      <c r="T50" s="90">
        <v>-5.5030000000000001</v>
      </c>
      <c r="U50" s="90">
        <v>3.5529999999999999</v>
      </c>
      <c r="V50" s="91">
        <v>2.4420000000000002</v>
      </c>
      <c r="W50" s="91">
        <f t="shared" si="0"/>
        <v>1.8077322945064811</v>
      </c>
    </row>
    <row r="51" spans="1:23" x14ac:dyDescent="0.35">
      <c r="A51" s="81" t="s">
        <v>227</v>
      </c>
      <c r="B51" s="81" t="s">
        <v>612</v>
      </c>
      <c r="C51" s="89">
        <v>2.1173186821453305</v>
      </c>
      <c r="D51" s="90">
        <v>2.0745382872927598</v>
      </c>
      <c r="E51" s="91">
        <v>2.0535686786969709</v>
      </c>
      <c r="G51" s="103" t="s">
        <v>415</v>
      </c>
      <c r="H51" s="101">
        <v>97.848591628257381</v>
      </c>
      <c r="I51" s="93">
        <v>3</v>
      </c>
      <c r="J51" s="94">
        <v>2</v>
      </c>
      <c r="K51" s="81"/>
      <c r="L51" s="89">
        <v>0.22649979701625131</v>
      </c>
      <c r="M51" s="90">
        <v>0.93334095705108477</v>
      </c>
      <c r="N51" s="90">
        <v>1.6193938166337245</v>
      </c>
      <c r="O51" s="90">
        <v>2.343</v>
      </c>
      <c r="P51" s="90">
        <v>3.2480000000000002</v>
      </c>
      <c r="Q51" s="90">
        <v>2.819</v>
      </c>
      <c r="R51" s="90">
        <v>1.9910000000000001</v>
      </c>
      <c r="S51" s="90">
        <v>1.4930000000000001</v>
      </c>
      <c r="T51" s="90">
        <v>-1.994</v>
      </c>
      <c r="U51" s="90">
        <v>4.8570000000000002</v>
      </c>
      <c r="V51" s="91">
        <v>3.6230000000000002</v>
      </c>
      <c r="W51" s="91">
        <f t="shared" si="0"/>
        <v>2.0640534829948654</v>
      </c>
    </row>
    <row r="52" spans="1:23" x14ac:dyDescent="0.35">
      <c r="A52" s="81" t="s">
        <v>573</v>
      </c>
      <c r="B52" s="81" t="s">
        <v>613</v>
      </c>
      <c r="C52" s="89">
        <v>3.1998461156594438</v>
      </c>
      <c r="D52" s="90">
        <v>4.316018962980106</v>
      </c>
      <c r="E52" s="91">
        <v>5.1698060844696858</v>
      </c>
      <c r="G52" s="103" t="s">
        <v>571</v>
      </c>
      <c r="H52" s="101">
        <v>76.661181476266762</v>
      </c>
      <c r="I52" s="93">
        <v>62</v>
      </c>
      <c r="J52" s="94">
        <v>9</v>
      </c>
      <c r="K52" s="81"/>
      <c r="L52" s="89">
        <v>2.7173678967056243</v>
      </c>
      <c r="M52" s="90">
        <v>4.8752050933227107</v>
      </c>
      <c r="N52" s="90">
        <v>7.0504636896591117</v>
      </c>
      <c r="O52" s="90">
        <v>6.9269999999999996</v>
      </c>
      <c r="P52" s="90">
        <v>6.6589999999999998</v>
      </c>
      <c r="Q52" s="90">
        <v>4.6669999999999998</v>
      </c>
      <c r="R52" s="90">
        <v>6.9829999999999997</v>
      </c>
      <c r="S52" s="90">
        <v>5.0519999999999996</v>
      </c>
      <c r="T52" s="90">
        <v>-6.72</v>
      </c>
      <c r="U52" s="90">
        <v>12.272</v>
      </c>
      <c r="V52" s="91">
        <v>4.9489999999999998</v>
      </c>
      <c r="W52" s="91">
        <f t="shared" si="0"/>
        <v>4.7429125237248959</v>
      </c>
    </row>
    <row r="53" spans="1:23" x14ac:dyDescent="0.35">
      <c r="A53" s="81" t="s">
        <v>573</v>
      </c>
      <c r="B53" s="81" t="s">
        <v>614</v>
      </c>
      <c r="C53" s="89">
        <v>-0.32141867374969602</v>
      </c>
      <c r="D53" s="90">
        <v>6.5490773887200149E-2</v>
      </c>
      <c r="E53" s="91">
        <v>1.0130868701887064</v>
      </c>
      <c r="G53" s="107" t="s">
        <v>422</v>
      </c>
      <c r="H53" s="101">
        <v>61.323621492965962</v>
      </c>
      <c r="I53" s="93">
        <v>123</v>
      </c>
      <c r="J53" s="94">
        <v>20</v>
      </c>
      <c r="K53" s="81"/>
      <c r="L53" s="89">
        <v>5.641962066711991</v>
      </c>
      <c r="M53" s="90">
        <v>4.9465112669062528</v>
      </c>
      <c r="N53" s="90">
        <v>3.7888685492083329</v>
      </c>
      <c r="O53" s="90">
        <v>9.9000000000000005E-2</v>
      </c>
      <c r="P53" s="90">
        <v>-1.226</v>
      </c>
      <c r="Q53" s="90">
        <v>2.3679999999999999</v>
      </c>
      <c r="R53" s="90">
        <v>1.2889999999999999</v>
      </c>
      <c r="S53" s="90">
        <v>1.2E-2</v>
      </c>
      <c r="T53" s="90">
        <v>-7.7880000000000003</v>
      </c>
      <c r="U53" s="90">
        <v>4.2350000000000003</v>
      </c>
      <c r="V53" s="91">
        <v>3.0390000000000001</v>
      </c>
      <c r="W53" s="91">
        <f t="shared" si="0"/>
        <v>0.53928882203795325</v>
      </c>
    </row>
    <row r="54" spans="1:23" x14ac:dyDescent="0.35">
      <c r="A54" s="81" t="s">
        <v>569</v>
      </c>
      <c r="B54" s="81" t="s">
        <v>615</v>
      </c>
      <c r="C54" s="89">
        <v>4.4912036839904523</v>
      </c>
      <c r="D54" s="90">
        <v>4.8680352120142656</v>
      </c>
      <c r="E54" s="91">
        <v>4.2302867143853229</v>
      </c>
      <c r="G54" s="103" t="s">
        <v>422</v>
      </c>
      <c r="H54" s="101">
        <v>63.405428674671668</v>
      </c>
      <c r="I54" s="93">
        <v>119</v>
      </c>
      <c r="J54" s="94">
        <v>28</v>
      </c>
      <c r="K54" s="81"/>
      <c r="L54" s="89">
        <v>2.2261997966213811</v>
      </c>
      <c r="M54" s="90">
        <v>2.1854660547123101</v>
      </c>
      <c r="N54" s="90">
        <v>2.9159118788358169</v>
      </c>
      <c r="O54" s="90">
        <v>4.4340000000000002</v>
      </c>
      <c r="P54" s="90">
        <v>4.5060000000000002</v>
      </c>
      <c r="Q54" s="90">
        <v>2.3690000000000002</v>
      </c>
      <c r="R54" s="90">
        <v>5.3310000000000004</v>
      </c>
      <c r="S54" s="90">
        <v>5.5339999999999998</v>
      </c>
      <c r="T54" s="90">
        <v>3.5139999999999998</v>
      </c>
      <c r="U54" s="90">
        <v>3.3069999999999999</v>
      </c>
      <c r="V54" s="91">
        <v>6.609</v>
      </c>
      <c r="W54" s="91">
        <f t="shared" si="0"/>
        <v>4.5491609631997942</v>
      </c>
    </row>
    <row r="55" spans="1:23" x14ac:dyDescent="0.35">
      <c r="A55" s="81" t="s">
        <v>573</v>
      </c>
      <c r="B55" s="81" t="s">
        <v>616</v>
      </c>
      <c r="C55" s="89">
        <v>1.3471265984384528</v>
      </c>
      <c r="D55" s="90">
        <v>1.776882859029727</v>
      </c>
      <c r="E55" s="91">
        <v>2.0016468394263187</v>
      </c>
      <c r="G55" s="103" t="s">
        <v>398</v>
      </c>
      <c r="H55" s="101">
        <v>69.210174273537845</v>
      </c>
      <c r="I55" s="93">
        <v>94</v>
      </c>
      <c r="J55" s="94">
        <v>13</v>
      </c>
      <c r="K55" s="81"/>
      <c r="L55" s="89">
        <v>2.8155018217952783</v>
      </c>
      <c r="M55" s="90">
        <v>2.2337536818851604</v>
      </c>
      <c r="N55" s="90">
        <v>1.7112232058649222</v>
      </c>
      <c r="O55" s="90">
        <v>2.395</v>
      </c>
      <c r="P55" s="90">
        <v>2.5419999999999998</v>
      </c>
      <c r="Q55" s="90">
        <v>2.2530000000000001</v>
      </c>
      <c r="R55" s="90">
        <v>2.4119999999999999</v>
      </c>
      <c r="S55" s="90">
        <v>2.4350000000000001</v>
      </c>
      <c r="T55" s="90">
        <v>-8.1750000000000007</v>
      </c>
      <c r="U55" s="90">
        <v>10.269</v>
      </c>
      <c r="V55" s="91">
        <v>2.8</v>
      </c>
      <c r="W55" s="91">
        <f t="shared" si="0"/>
        <v>1.8892648492280228</v>
      </c>
    </row>
    <row r="56" spans="1:23" x14ac:dyDescent="0.35">
      <c r="A56" s="81" t="s">
        <v>227</v>
      </c>
      <c r="B56" s="81" t="s">
        <v>617</v>
      </c>
      <c r="C56" s="89">
        <v>1.972770435214799</v>
      </c>
      <c r="D56" s="90">
        <v>2.6853264084946815</v>
      </c>
      <c r="E56" s="91">
        <v>2.7928430899179402</v>
      </c>
      <c r="G56" s="103" t="s">
        <v>571</v>
      </c>
      <c r="H56" s="101">
        <v>82.267245472231053</v>
      </c>
      <c r="I56" s="93">
        <v>41</v>
      </c>
      <c r="J56" s="94">
        <v>27</v>
      </c>
      <c r="K56" s="81"/>
      <c r="L56" s="89">
        <v>3.1248431915696226</v>
      </c>
      <c r="M56" s="90">
        <v>1.346187835760732</v>
      </c>
      <c r="N56" s="90">
        <v>2.9873258188549392</v>
      </c>
      <c r="O56" s="90">
        <v>1.853</v>
      </c>
      <c r="P56" s="90">
        <v>3.1549999999999998</v>
      </c>
      <c r="Q56" s="90">
        <v>5.7919999999999998</v>
      </c>
      <c r="R56" s="90">
        <v>3.7839999999999998</v>
      </c>
      <c r="S56" s="90">
        <v>3.74</v>
      </c>
      <c r="T56" s="90">
        <v>-0.55100000000000005</v>
      </c>
      <c r="U56" s="90">
        <v>8.0129999999999999</v>
      </c>
      <c r="V56" s="91">
        <v>-1.2869999999999999</v>
      </c>
      <c r="W56" s="91">
        <f t="shared" si="0"/>
        <v>2.7390847492063108</v>
      </c>
    </row>
    <row r="57" spans="1:23" x14ac:dyDescent="0.35">
      <c r="A57" s="81" t="s">
        <v>569</v>
      </c>
      <c r="B57" s="81" t="s">
        <v>618</v>
      </c>
      <c r="C57" s="89">
        <v>2.1841699351578647</v>
      </c>
      <c r="D57" s="90">
        <v>2.1180367535848621</v>
      </c>
      <c r="E57" s="91">
        <v>2.094572895591984</v>
      </c>
      <c r="G57" s="103" t="s">
        <v>422</v>
      </c>
      <c r="H57" s="101">
        <v>63.876381030610304</v>
      </c>
      <c r="I57" s="93">
        <v>117</v>
      </c>
      <c r="J57" s="94">
        <v>27</v>
      </c>
      <c r="K57" s="81"/>
      <c r="L57" s="89">
        <v>5.3913093065302364</v>
      </c>
      <c r="M57" s="90">
        <v>3.8622718821819677</v>
      </c>
      <c r="N57" s="90">
        <v>0.91319649477376841</v>
      </c>
      <c r="O57" s="90">
        <v>2.2269999999999999</v>
      </c>
      <c r="P57" s="90">
        <v>1.0629999999999999</v>
      </c>
      <c r="Q57" s="90">
        <v>2.0270000000000001</v>
      </c>
      <c r="R57" s="90">
        <v>2.3690000000000002</v>
      </c>
      <c r="S57" s="90">
        <v>2.7040000000000002</v>
      </c>
      <c r="T57" s="90">
        <v>-1.56</v>
      </c>
      <c r="U57" s="90">
        <v>7.883</v>
      </c>
      <c r="V57" s="91">
        <v>0.46700000000000003</v>
      </c>
      <c r="W57" s="91">
        <f t="shared" si="0"/>
        <v>2.1063048245884231</v>
      </c>
    </row>
    <row r="58" spans="1:23" x14ac:dyDescent="0.35">
      <c r="A58" s="81" t="s">
        <v>569</v>
      </c>
      <c r="B58" s="81" t="s">
        <v>619</v>
      </c>
      <c r="C58" s="89">
        <v>6.0178655257344227</v>
      </c>
      <c r="D58" s="90">
        <v>6.6428861766961944</v>
      </c>
      <c r="E58" s="91">
        <v>8.3305963840047514</v>
      </c>
      <c r="G58" s="103" t="s">
        <v>567</v>
      </c>
      <c r="H58" s="101">
        <v>58.357971531116526</v>
      </c>
      <c r="I58" s="93">
        <v>128</v>
      </c>
      <c r="J58" s="94">
        <v>31</v>
      </c>
      <c r="K58" s="81"/>
      <c r="L58" s="89">
        <v>8.6478116333741841</v>
      </c>
      <c r="M58" s="90">
        <v>10.582270048267214</v>
      </c>
      <c r="N58" s="90">
        <v>10.257492961005118</v>
      </c>
      <c r="O58" s="90">
        <v>10.4</v>
      </c>
      <c r="P58" s="90">
        <v>8</v>
      </c>
      <c r="Q58" s="90">
        <v>10.210000000000001</v>
      </c>
      <c r="R58" s="90">
        <v>7.7030000000000003</v>
      </c>
      <c r="S58" s="90">
        <v>9.0370000000000008</v>
      </c>
      <c r="T58" s="90">
        <v>6.0570000000000004</v>
      </c>
      <c r="U58" s="90">
        <v>6.2649999999999997</v>
      </c>
      <c r="V58" s="91">
        <v>6.3579999999999997</v>
      </c>
      <c r="W58" s="91">
        <f t="shared" si="0"/>
        <v>7.4867412803504729</v>
      </c>
    </row>
    <row r="59" spans="1:23" x14ac:dyDescent="0.35">
      <c r="A59" s="81" t="s">
        <v>227</v>
      </c>
      <c r="B59" s="81" t="s">
        <v>620</v>
      </c>
      <c r="C59" s="89">
        <v>0.92513707934396283</v>
      </c>
      <c r="D59" s="90">
        <v>1.065704979127502</v>
      </c>
      <c r="E59" s="91">
        <v>1.0351636365421246</v>
      </c>
      <c r="G59" s="103" t="s">
        <v>415</v>
      </c>
      <c r="H59" s="101">
        <v>97.443307672167862</v>
      </c>
      <c r="I59" s="93">
        <v>5</v>
      </c>
      <c r="J59" s="94">
        <v>3</v>
      </c>
      <c r="K59" s="81"/>
      <c r="L59" s="89">
        <v>-1.3973545576374944</v>
      </c>
      <c r="M59" s="90">
        <v>-0.90201849743960727</v>
      </c>
      <c r="N59" s="90">
        <v>-0.36494028121428063</v>
      </c>
      <c r="O59" s="90">
        <v>0.54400000000000004</v>
      </c>
      <c r="P59" s="90">
        <v>2.8109999999999999</v>
      </c>
      <c r="Q59" s="90">
        <v>3.1920000000000002</v>
      </c>
      <c r="R59" s="90">
        <v>1.1399999999999999</v>
      </c>
      <c r="S59" s="90">
        <v>1.224</v>
      </c>
      <c r="T59" s="90">
        <v>-2.355</v>
      </c>
      <c r="U59" s="90">
        <v>3.0459999999999998</v>
      </c>
      <c r="V59" s="91">
        <v>2.0840000000000001</v>
      </c>
      <c r="W59" s="91">
        <f t="shared" si="0"/>
        <v>1.0504343078348133</v>
      </c>
    </row>
    <row r="60" spans="1:23" x14ac:dyDescent="0.35">
      <c r="A60" s="81" t="s">
        <v>227</v>
      </c>
      <c r="B60" s="81" t="s">
        <v>621</v>
      </c>
      <c r="C60" s="89">
        <v>0.35484098705607092</v>
      </c>
      <c r="D60" s="90">
        <v>0.85541697677951056</v>
      </c>
      <c r="E60" s="91">
        <v>1.0299722548507528</v>
      </c>
      <c r="G60" s="103" t="s">
        <v>415</v>
      </c>
      <c r="H60" s="101">
        <v>94.937245038342397</v>
      </c>
      <c r="I60" s="93">
        <v>20</v>
      </c>
      <c r="J60" s="94">
        <v>13</v>
      </c>
      <c r="K60" s="81"/>
      <c r="L60" s="89">
        <v>0.31313474167845923</v>
      </c>
      <c r="M60" s="90">
        <v>0.5763266794418439</v>
      </c>
      <c r="N60" s="90">
        <v>0.95618304768384532</v>
      </c>
      <c r="O60" s="90">
        <v>1.0549999999999999</v>
      </c>
      <c r="P60" s="90">
        <v>0.98199999999999998</v>
      </c>
      <c r="Q60" s="90">
        <v>2.4489999999999998</v>
      </c>
      <c r="R60" s="90">
        <v>1.8240000000000001</v>
      </c>
      <c r="S60" s="90">
        <v>1.8839999999999999</v>
      </c>
      <c r="T60" s="90">
        <v>-7.907</v>
      </c>
      <c r="U60" s="90">
        <v>6.77</v>
      </c>
      <c r="V60" s="91">
        <v>2.6059999999999999</v>
      </c>
      <c r="W60" s="91">
        <f t="shared" si="0"/>
        <v>0.9426946158151317</v>
      </c>
    </row>
    <row r="61" spans="1:23" x14ac:dyDescent="0.35">
      <c r="A61" s="81" t="s">
        <v>569</v>
      </c>
      <c r="B61" s="81" t="s">
        <v>622</v>
      </c>
      <c r="C61" s="89">
        <v>0.80490169914342324</v>
      </c>
      <c r="D61" s="90">
        <v>1.4271603442411074</v>
      </c>
      <c r="E61" s="91">
        <v>2.3419356903168431</v>
      </c>
      <c r="G61" s="103" t="s">
        <v>567</v>
      </c>
      <c r="H61" s="101">
        <v>37.219050826761183</v>
      </c>
      <c r="I61" s="93">
        <v>153</v>
      </c>
      <c r="J61" s="94">
        <v>46</v>
      </c>
      <c r="K61" s="81"/>
      <c r="L61" s="89">
        <v>5.251076917504065</v>
      </c>
      <c r="M61" s="90">
        <v>5.6386990033869457</v>
      </c>
      <c r="N61" s="90">
        <v>4.3149644410747063</v>
      </c>
      <c r="O61" s="90">
        <v>3.879</v>
      </c>
      <c r="P61" s="90">
        <v>2.0910000000000002</v>
      </c>
      <c r="Q61" s="90">
        <v>0.47299999999999998</v>
      </c>
      <c r="R61" s="90">
        <v>0.84299999999999997</v>
      </c>
      <c r="S61" s="90">
        <v>3.915</v>
      </c>
      <c r="T61" s="90">
        <v>-1.8640000000000001</v>
      </c>
      <c r="U61" s="90">
        <v>1.484</v>
      </c>
      <c r="V61" s="91">
        <v>2.8479999999999999</v>
      </c>
      <c r="W61" s="91">
        <f t="shared" si="0"/>
        <v>1.8845480172789753</v>
      </c>
    </row>
    <row r="62" spans="1:23" x14ac:dyDescent="0.35">
      <c r="A62" s="81" t="s">
        <v>569</v>
      </c>
      <c r="B62" s="81" t="s">
        <v>623</v>
      </c>
      <c r="C62" s="89">
        <v>3.0839257560593802</v>
      </c>
      <c r="D62" s="90">
        <v>4.5260960958580343</v>
      </c>
      <c r="E62" s="91">
        <v>3.4750911540431417</v>
      </c>
      <c r="G62" s="103" t="s">
        <v>422</v>
      </c>
      <c r="H62" s="101">
        <v>65.416670727464805</v>
      </c>
      <c r="I62" s="93">
        <v>114</v>
      </c>
      <c r="J62" s="94">
        <v>26</v>
      </c>
      <c r="K62" s="81"/>
      <c r="L62" s="89">
        <v>5.2415692463074244</v>
      </c>
      <c r="M62" s="90">
        <v>2.8727687903269969</v>
      </c>
      <c r="N62" s="90">
        <v>-1.4073824951095362</v>
      </c>
      <c r="O62" s="90">
        <v>4.0579999999999998</v>
      </c>
      <c r="P62" s="90">
        <v>1.9430000000000001</v>
      </c>
      <c r="Q62" s="90">
        <v>4.8230000000000004</v>
      </c>
      <c r="R62" s="90">
        <v>7.2350000000000003</v>
      </c>
      <c r="S62" s="90">
        <v>6.2220000000000004</v>
      </c>
      <c r="T62" s="90">
        <v>0.59099999999999997</v>
      </c>
      <c r="U62" s="90">
        <v>4.2649999999999997</v>
      </c>
      <c r="V62" s="91">
        <v>4.4409999999999998</v>
      </c>
      <c r="W62" s="91">
        <f t="shared" si="0"/>
        <v>4.0005936249505876</v>
      </c>
    </row>
    <row r="63" spans="1:23" x14ac:dyDescent="0.35">
      <c r="A63" s="81" t="s">
        <v>227</v>
      </c>
      <c r="B63" s="81" t="s">
        <v>624</v>
      </c>
      <c r="C63" s="89">
        <v>4.283743954922925</v>
      </c>
      <c r="D63" s="90">
        <v>4.5348375618438741</v>
      </c>
      <c r="E63" s="91">
        <v>4.1477466898679483</v>
      </c>
      <c r="G63" s="103" t="s">
        <v>571</v>
      </c>
      <c r="H63" s="101">
        <v>80.727500391697276</v>
      </c>
      <c r="I63" s="93">
        <v>46</v>
      </c>
      <c r="J63" s="94">
        <v>31</v>
      </c>
      <c r="K63" s="81"/>
      <c r="L63" s="89">
        <v>6.3690083063386043</v>
      </c>
      <c r="M63" s="90">
        <v>3.6213053519627643</v>
      </c>
      <c r="N63" s="90">
        <v>4.4319248230907649</v>
      </c>
      <c r="O63" s="90">
        <v>3.0270000000000001</v>
      </c>
      <c r="P63" s="90">
        <v>2.9060000000000001</v>
      </c>
      <c r="Q63" s="90">
        <v>4.843</v>
      </c>
      <c r="R63" s="90">
        <v>4.843</v>
      </c>
      <c r="S63" s="90">
        <v>4.9820000000000002</v>
      </c>
      <c r="T63" s="90">
        <v>-6.76</v>
      </c>
      <c r="U63" s="90">
        <v>10.465999999999999</v>
      </c>
      <c r="V63" s="91">
        <v>10.109</v>
      </c>
      <c r="W63" s="91">
        <f t="shared" si="0"/>
        <v>4.3412921258559116</v>
      </c>
    </row>
    <row r="64" spans="1:23" x14ac:dyDescent="0.35">
      <c r="A64" s="81" t="s">
        <v>227</v>
      </c>
      <c r="B64" s="81" t="s">
        <v>625</v>
      </c>
      <c r="C64" s="89">
        <v>0.19639292345923209</v>
      </c>
      <c r="D64" s="90">
        <v>0.54722001304448042</v>
      </c>
      <c r="E64" s="91">
        <v>1.1791658469401556</v>
      </c>
      <c r="G64" s="103" t="s">
        <v>415</v>
      </c>
      <c r="H64" s="101">
        <v>96.79194200114037</v>
      </c>
      <c r="I64" s="93">
        <v>8</v>
      </c>
      <c r="J64" s="94">
        <v>6</v>
      </c>
      <c r="K64" s="81"/>
      <c r="L64" s="89">
        <v>0.41955108005357267</v>
      </c>
      <c r="M64" s="90">
        <v>0.42824326167218907</v>
      </c>
      <c r="N64" s="90">
        <v>2.2256887491492803</v>
      </c>
      <c r="O64" s="90">
        <v>1.4870000000000001</v>
      </c>
      <c r="P64" s="90">
        <v>2.23</v>
      </c>
      <c r="Q64" s="90">
        <v>2.68</v>
      </c>
      <c r="R64" s="90">
        <v>0.98399999999999999</v>
      </c>
      <c r="S64" s="90">
        <v>1.054</v>
      </c>
      <c r="T64" s="90">
        <v>-3.6920000000000002</v>
      </c>
      <c r="U64" s="90">
        <v>2.625</v>
      </c>
      <c r="V64" s="91">
        <v>1.778</v>
      </c>
      <c r="W64" s="91">
        <f t="shared" si="0"/>
        <v>0.863192929992318</v>
      </c>
    </row>
    <row r="65" spans="1:23" x14ac:dyDescent="0.35">
      <c r="A65" s="81" t="s">
        <v>569</v>
      </c>
      <c r="B65" s="81" t="s">
        <v>626</v>
      </c>
      <c r="C65" s="89">
        <v>3.0107142168638523</v>
      </c>
      <c r="D65" s="90">
        <v>4.8285507296226937</v>
      </c>
      <c r="E65" s="91">
        <v>4.7980640567336197</v>
      </c>
      <c r="G65" s="103" t="s">
        <v>398</v>
      </c>
      <c r="H65" s="101">
        <v>69.704517199471169</v>
      </c>
      <c r="I65" s="93">
        <v>89</v>
      </c>
      <c r="J65" s="94">
        <v>13</v>
      </c>
      <c r="K65" s="81"/>
      <c r="L65" s="89">
        <v>9.2927894045967889</v>
      </c>
      <c r="M65" s="90">
        <v>7.3125250073312458</v>
      </c>
      <c r="N65" s="90">
        <v>2.8974388369154251</v>
      </c>
      <c r="O65" s="90">
        <v>2.121</v>
      </c>
      <c r="P65" s="90">
        <v>3.3730000000000002</v>
      </c>
      <c r="Q65" s="90">
        <v>8.1289999999999996</v>
      </c>
      <c r="R65" s="90">
        <v>6.2</v>
      </c>
      <c r="S65" s="90">
        <v>6.508</v>
      </c>
      <c r="T65" s="90">
        <v>0.51400000000000001</v>
      </c>
      <c r="U65" s="90">
        <v>5.3559999999999999</v>
      </c>
      <c r="V65" s="91">
        <v>3.2189999999999999</v>
      </c>
      <c r="W65" s="91">
        <f t="shared" si="0"/>
        <v>4.8133073931781567</v>
      </c>
    </row>
    <row r="66" spans="1:23" x14ac:dyDescent="0.35">
      <c r="A66" s="81" t="s">
        <v>227</v>
      </c>
      <c r="B66" s="81" t="s">
        <v>627</v>
      </c>
      <c r="C66" s="89">
        <v>1.4800990034344652</v>
      </c>
      <c r="D66" s="90">
        <v>1.2580147511245698</v>
      </c>
      <c r="E66" s="91">
        <v>0.45671215262543807</v>
      </c>
      <c r="G66" s="103" t="s">
        <v>415</v>
      </c>
      <c r="H66" s="101">
        <v>87.308557455608167</v>
      </c>
      <c r="I66" s="93">
        <v>31</v>
      </c>
      <c r="J66" s="94">
        <v>20</v>
      </c>
      <c r="K66" s="81"/>
      <c r="L66" s="89">
        <v>-7.3004939606978656</v>
      </c>
      <c r="M66" s="90">
        <v>-3.2414250560129267</v>
      </c>
      <c r="N66" s="90">
        <v>0.73977713855774985</v>
      </c>
      <c r="O66" s="90">
        <v>-0.19600000000000001</v>
      </c>
      <c r="P66" s="90">
        <v>-0.48699999999999999</v>
      </c>
      <c r="Q66" s="90">
        <v>1.0920000000000001</v>
      </c>
      <c r="R66" s="90">
        <v>1.6679999999999999</v>
      </c>
      <c r="S66" s="90">
        <v>1.8839999999999999</v>
      </c>
      <c r="T66" s="90">
        <v>-9.0039999999999996</v>
      </c>
      <c r="U66" s="90">
        <v>8.4339999999999993</v>
      </c>
      <c r="V66" s="91">
        <v>5.9139999999999997</v>
      </c>
      <c r="W66" s="91">
        <f t="shared" si="0"/>
        <v>0.85736345187500396</v>
      </c>
    </row>
    <row r="67" spans="1:23" x14ac:dyDescent="0.35">
      <c r="A67" s="81" t="s">
        <v>573</v>
      </c>
      <c r="B67" s="81" t="s">
        <v>628</v>
      </c>
      <c r="C67" s="89">
        <v>3.3306625930319189</v>
      </c>
      <c r="D67" s="90">
        <v>3.4919746764532578</v>
      </c>
      <c r="E67" s="91">
        <v>3.5384372691175781</v>
      </c>
      <c r="G67" s="103" t="s">
        <v>398</v>
      </c>
      <c r="H67" s="101">
        <v>71.336652243067974</v>
      </c>
      <c r="I67" s="93">
        <v>82</v>
      </c>
      <c r="J67" s="94">
        <v>10</v>
      </c>
      <c r="K67" s="81"/>
      <c r="L67" s="89">
        <v>2.9698574079878068</v>
      </c>
      <c r="M67" s="90">
        <v>3.6975861001947585</v>
      </c>
      <c r="N67" s="90">
        <v>4.4439780738522474</v>
      </c>
      <c r="O67" s="90">
        <v>4.0919999999999996</v>
      </c>
      <c r="P67" s="90">
        <v>2.6779999999999999</v>
      </c>
      <c r="Q67" s="90">
        <v>3.08</v>
      </c>
      <c r="R67" s="90">
        <v>3.407</v>
      </c>
      <c r="S67" s="90">
        <v>4.0019999999999998</v>
      </c>
      <c r="T67" s="90">
        <v>-1.764</v>
      </c>
      <c r="U67" s="90">
        <v>7.9809999999999999</v>
      </c>
      <c r="V67" s="91">
        <v>4.0090000000000003</v>
      </c>
      <c r="W67" s="91">
        <f t="shared" si="0"/>
        <v>3.5152059727854179</v>
      </c>
    </row>
    <row r="68" spans="1:23" x14ac:dyDescent="0.35">
      <c r="A68" s="81" t="s">
        <v>569</v>
      </c>
      <c r="B68" s="81" t="s">
        <v>629</v>
      </c>
      <c r="C68" s="89">
        <v>4.3705772513408236</v>
      </c>
      <c r="D68" s="90">
        <v>4.9898667622307658</v>
      </c>
      <c r="E68" s="91">
        <v>5.729233966321412</v>
      </c>
      <c r="G68" s="103" t="s">
        <v>567</v>
      </c>
      <c r="H68" s="101">
        <v>50.297438492745087</v>
      </c>
      <c r="I68" s="93">
        <v>138</v>
      </c>
      <c r="J68" s="94">
        <v>36</v>
      </c>
      <c r="K68" s="81"/>
      <c r="L68" s="89">
        <v>5.9152881384417997</v>
      </c>
      <c r="M68" s="90">
        <v>3.9456854305126305</v>
      </c>
      <c r="N68" s="90">
        <v>3.6965411823164165</v>
      </c>
      <c r="O68" s="90">
        <v>3.8260000000000001</v>
      </c>
      <c r="P68" s="90">
        <v>10.821</v>
      </c>
      <c r="Q68" s="90">
        <v>10.3</v>
      </c>
      <c r="R68" s="90">
        <v>6.3579999999999997</v>
      </c>
      <c r="S68" s="90">
        <v>5.617</v>
      </c>
      <c r="T68" s="90">
        <v>4.92</v>
      </c>
      <c r="U68" s="90">
        <v>4.2919999999999998</v>
      </c>
      <c r="V68" s="91">
        <v>4.2939999999999996</v>
      </c>
      <c r="W68" s="91">
        <f t="shared" si="0"/>
        <v>5.3595503642760889</v>
      </c>
    </row>
    <row r="69" spans="1:23" x14ac:dyDescent="0.35">
      <c r="A69" s="81" t="s">
        <v>569</v>
      </c>
      <c r="B69" s="81" t="s">
        <v>630</v>
      </c>
      <c r="C69" s="89">
        <v>1.5927018196488341</v>
      </c>
      <c r="D69" s="90">
        <v>2.1053991541019057</v>
      </c>
      <c r="E69" s="91">
        <v>3.2889383993762955</v>
      </c>
      <c r="G69" s="103" t="s">
        <v>567</v>
      </c>
      <c r="H69" s="101">
        <v>54.70982708603303</v>
      </c>
      <c r="I69" s="93">
        <v>134</v>
      </c>
      <c r="J69" s="94">
        <v>34</v>
      </c>
      <c r="K69" s="81"/>
      <c r="L69" s="89">
        <v>-1.7126830118107121</v>
      </c>
      <c r="M69" s="90">
        <v>3.255904265176933</v>
      </c>
      <c r="N69" s="90">
        <v>0.96456075098132787</v>
      </c>
      <c r="O69" s="90">
        <v>6.1340000000000003</v>
      </c>
      <c r="P69" s="90">
        <v>5.3070000000000004</v>
      </c>
      <c r="Q69" s="90">
        <v>4.7889999999999997</v>
      </c>
      <c r="R69" s="90">
        <v>3.7610000000000001</v>
      </c>
      <c r="S69" s="90">
        <v>4.5</v>
      </c>
      <c r="T69" s="90">
        <v>1.5</v>
      </c>
      <c r="U69" s="90">
        <v>6.4</v>
      </c>
      <c r="V69" s="91">
        <v>3.5</v>
      </c>
      <c r="W69" s="91">
        <f t="shared" si="0"/>
        <v>2.6971687767391006</v>
      </c>
    </row>
    <row r="70" spans="1:23" x14ac:dyDescent="0.35">
      <c r="A70" s="81" t="s">
        <v>573</v>
      </c>
      <c r="B70" s="81" t="s">
        <v>631</v>
      </c>
      <c r="C70" s="89">
        <v>40.872083180158647</v>
      </c>
      <c r="D70" s="90">
        <v>25.198248131969379</v>
      </c>
      <c r="E70" s="91">
        <v>13.395686805616647</v>
      </c>
      <c r="G70" s="103" t="s">
        <v>567</v>
      </c>
      <c r="H70" s="101">
        <v>56.740934863022261</v>
      </c>
      <c r="I70" s="93">
        <v>129</v>
      </c>
      <c r="J70" s="94">
        <v>21</v>
      </c>
      <c r="K70" s="81"/>
      <c r="L70" s="89">
        <v>5.3836234687298372</v>
      </c>
      <c r="M70" s="90">
        <v>3.6535047680067998</v>
      </c>
      <c r="N70" s="90">
        <v>1.6860277321410588</v>
      </c>
      <c r="O70" s="90">
        <v>0.68700000000000006</v>
      </c>
      <c r="P70" s="90">
        <v>3.8069999999999999</v>
      </c>
      <c r="Q70" s="90">
        <v>3.734</v>
      </c>
      <c r="R70" s="90">
        <v>4.4409999999999998</v>
      </c>
      <c r="S70" s="90">
        <v>5.3529999999999998</v>
      </c>
      <c r="T70" s="90">
        <v>43.48</v>
      </c>
      <c r="U70" s="90">
        <v>20.059999999999999</v>
      </c>
      <c r="V70" s="91">
        <v>62.287999999999997</v>
      </c>
      <c r="W70" s="91">
        <f t="shared" si="0"/>
        <v>19.296967468793014</v>
      </c>
    </row>
    <row r="71" spans="1:23" x14ac:dyDescent="0.35">
      <c r="A71" s="81" t="s">
        <v>573</v>
      </c>
      <c r="B71" s="81" t="s">
        <v>632</v>
      </c>
      <c r="C71" s="89">
        <v>-0.34574931867293879</v>
      </c>
      <c r="D71" s="90">
        <v>0.64565822904871784</v>
      </c>
      <c r="E71" s="91">
        <v>2.5156599586003026</v>
      </c>
      <c r="G71" s="103" t="s">
        <v>567</v>
      </c>
      <c r="H71" s="101">
        <v>54.401198784391461</v>
      </c>
      <c r="I71" s="93">
        <v>135</v>
      </c>
      <c r="J71" s="94">
        <v>22</v>
      </c>
      <c r="K71" s="81"/>
      <c r="L71" s="89">
        <v>-7.4695954800602468E-2</v>
      </c>
      <c r="M71" s="90">
        <v>9.2111856449685803</v>
      </c>
      <c r="N71" s="90">
        <v>1.9148137793287729</v>
      </c>
      <c r="O71" s="90">
        <v>2.5630000000000002</v>
      </c>
      <c r="P71" s="90">
        <v>1.8120000000000001</v>
      </c>
      <c r="Q71" s="90">
        <v>2.5099999999999998</v>
      </c>
      <c r="R71" s="90">
        <v>1.6679999999999999</v>
      </c>
      <c r="S71" s="90">
        <v>-1.6850000000000001</v>
      </c>
      <c r="T71" s="90">
        <v>-3.343</v>
      </c>
      <c r="U71" s="90">
        <v>-1.798</v>
      </c>
      <c r="V71" s="91">
        <v>-1.6819999999999999</v>
      </c>
      <c r="W71" s="91">
        <f t="shared" si="0"/>
        <v>1.5806590938245102</v>
      </c>
    </row>
    <row r="72" spans="1:23" x14ac:dyDescent="0.35">
      <c r="A72" s="81" t="s">
        <v>573</v>
      </c>
      <c r="B72" s="81" t="s">
        <v>633</v>
      </c>
      <c r="C72" s="89">
        <v>2.1352529558121391</v>
      </c>
      <c r="D72" s="90">
        <v>2.5786313755856494</v>
      </c>
      <c r="E72" s="91">
        <v>3.1291474397337593</v>
      </c>
      <c r="G72" s="103" t="s">
        <v>567</v>
      </c>
      <c r="H72" s="101">
        <v>39.565152370912173</v>
      </c>
      <c r="I72" s="93">
        <v>152</v>
      </c>
      <c r="J72" s="94">
        <v>24</v>
      </c>
      <c r="K72" s="81"/>
      <c r="L72" s="89">
        <v>4.1286877486693667</v>
      </c>
      <c r="M72" s="90">
        <v>2.7915597574680358</v>
      </c>
      <c r="N72" s="90">
        <v>3.0580805621437066</v>
      </c>
      <c r="O72" s="90">
        <v>3.84</v>
      </c>
      <c r="P72" s="90">
        <v>3.8929999999999998</v>
      </c>
      <c r="Q72" s="90">
        <v>4.843</v>
      </c>
      <c r="R72" s="90">
        <v>3.8450000000000002</v>
      </c>
      <c r="S72" s="90">
        <v>2.653</v>
      </c>
      <c r="T72" s="90">
        <v>-8.9649999999999999</v>
      </c>
      <c r="U72" s="90">
        <v>12.534000000000001</v>
      </c>
      <c r="V72" s="91">
        <v>4</v>
      </c>
      <c r="W72" s="91">
        <f t="shared" si="0"/>
        <v>2.8538894076597043</v>
      </c>
    </row>
    <row r="73" spans="1:23" x14ac:dyDescent="0.35">
      <c r="A73" s="81" t="s">
        <v>565</v>
      </c>
      <c r="B73" s="81" t="s">
        <v>634</v>
      </c>
      <c r="C73" s="89">
        <v>-1.3866109004180949</v>
      </c>
      <c r="D73" s="90">
        <v>-0.61127068207094126</v>
      </c>
      <c r="E73" s="91">
        <v>1.1000622223137801</v>
      </c>
      <c r="G73" s="103" t="s">
        <v>415</v>
      </c>
      <c r="H73" s="101">
        <v>95.561927385722356</v>
      </c>
      <c r="I73" s="93">
        <v>18</v>
      </c>
      <c r="J73" s="94">
        <v>5</v>
      </c>
      <c r="K73" s="81"/>
      <c r="L73" s="89">
        <v>1.7002747714417163</v>
      </c>
      <c r="M73" s="90">
        <v>3.1015497799994041</v>
      </c>
      <c r="N73" s="90">
        <v>2.7623919976975242</v>
      </c>
      <c r="O73" s="90">
        <v>2.3879999999999999</v>
      </c>
      <c r="P73" s="90">
        <v>2.1749999999999998</v>
      </c>
      <c r="Q73" s="90">
        <v>3.7959999999999998</v>
      </c>
      <c r="R73" s="90">
        <v>2.847</v>
      </c>
      <c r="S73" s="90">
        <v>-1.6719999999999999</v>
      </c>
      <c r="T73" s="90">
        <v>-6.5449999999999999</v>
      </c>
      <c r="U73" s="90">
        <v>6.4480000000000004</v>
      </c>
      <c r="V73" s="91">
        <v>-3.5070000000000001</v>
      </c>
      <c r="W73" s="91">
        <f t="shared" si="0"/>
        <v>0.24439577012141944</v>
      </c>
    </row>
    <row r="74" spans="1:23" x14ac:dyDescent="0.35">
      <c r="A74" s="81" t="s">
        <v>227</v>
      </c>
      <c r="B74" s="81" t="s">
        <v>635</v>
      </c>
      <c r="C74" s="89">
        <v>2.362570497371097</v>
      </c>
      <c r="D74" s="90">
        <v>3.4329643388785636</v>
      </c>
      <c r="E74" s="91">
        <v>3.366609258538622</v>
      </c>
      <c r="G74" s="103" t="s">
        <v>398</v>
      </c>
      <c r="H74" s="101">
        <v>75.842312832768172</v>
      </c>
      <c r="I74" s="93">
        <v>67</v>
      </c>
      <c r="J74" s="94">
        <v>37</v>
      </c>
      <c r="K74" s="81"/>
      <c r="L74" s="89">
        <v>-1.4717888510830746</v>
      </c>
      <c r="M74" s="90">
        <v>1.9629840486290608</v>
      </c>
      <c r="N74" s="90">
        <v>4.1950824094780925</v>
      </c>
      <c r="O74" s="90">
        <v>3.7069999999999999</v>
      </c>
      <c r="P74" s="90">
        <v>2.2010000000000001</v>
      </c>
      <c r="Q74" s="90">
        <v>4.2720000000000002</v>
      </c>
      <c r="R74" s="90">
        <v>5.3620000000000001</v>
      </c>
      <c r="S74" s="90">
        <v>4.8579999999999997</v>
      </c>
      <c r="T74" s="90">
        <v>-4.5469999999999997</v>
      </c>
      <c r="U74" s="90">
        <v>7.117</v>
      </c>
      <c r="V74" s="91">
        <v>4.9000000000000004</v>
      </c>
      <c r="W74" s="91">
        <f t="shared" si="0"/>
        <v>3.3997867987085928</v>
      </c>
    </row>
    <row r="75" spans="1:23" x14ac:dyDescent="0.35">
      <c r="A75" s="81" t="s">
        <v>227</v>
      </c>
      <c r="B75" s="81" t="s">
        <v>636</v>
      </c>
      <c r="C75" s="89">
        <v>1.1623871589995449</v>
      </c>
      <c r="D75" s="90">
        <v>2.1481166990517275</v>
      </c>
      <c r="E75" s="91">
        <v>3.1810733517810608</v>
      </c>
      <c r="G75" s="103" t="s">
        <v>415</v>
      </c>
      <c r="H75" s="101">
        <v>95.11269526919466</v>
      </c>
      <c r="I75" s="93">
        <v>19</v>
      </c>
      <c r="J75" s="94">
        <v>12</v>
      </c>
      <c r="K75" s="81"/>
      <c r="L75" s="89">
        <v>1.0636366074376145</v>
      </c>
      <c r="M75" s="90">
        <v>4.5524603201510816</v>
      </c>
      <c r="N75" s="90">
        <v>1.687215017506406</v>
      </c>
      <c r="O75" s="90">
        <v>4.4370000000000003</v>
      </c>
      <c r="P75" s="90">
        <v>6.3040000000000003</v>
      </c>
      <c r="Q75" s="90">
        <v>4.1950000000000003</v>
      </c>
      <c r="R75" s="90">
        <v>4.8890000000000002</v>
      </c>
      <c r="S75" s="90">
        <v>1.8049999999999999</v>
      </c>
      <c r="T75" s="90">
        <v>-7.242</v>
      </c>
      <c r="U75" s="90">
        <v>4.3330000000000002</v>
      </c>
      <c r="V75" s="91">
        <v>6.4450000000000003</v>
      </c>
      <c r="W75" s="91">
        <f t="shared" ref="W75:W138" si="1">AVERAGE(D75,E75)</f>
        <v>2.6645950254163941</v>
      </c>
    </row>
    <row r="76" spans="1:23" x14ac:dyDescent="0.35">
      <c r="A76" s="81" t="s">
        <v>565</v>
      </c>
      <c r="B76" s="81" t="s">
        <v>637</v>
      </c>
      <c r="C76" s="89">
        <v>2.7398620097403459</v>
      </c>
      <c r="D76" s="90">
        <v>3.6623835250989556</v>
      </c>
      <c r="E76" s="91">
        <v>5.5227254922200597</v>
      </c>
      <c r="G76" s="103" t="s">
        <v>422</v>
      </c>
      <c r="H76" s="101">
        <v>66.198052259063019</v>
      </c>
      <c r="I76" s="93">
        <v>109</v>
      </c>
      <c r="J76" s="94">
        <v>21</v>
      </c>
      <c r="K76" s="81"/>
      <c r="L76" s="89">
        <v>5.4563589507228496</v>
      </c>
      <c r="M76" s="90">
        <v>6.3861064009482602</v>
      </c>
      <c r="N76" s="90">
        <v>7.410227605088517</v>
      </c>
      <c r="O76" s="90">
        <v>7.9960000000000004</v>
      </c>
      <c r="P76" s="90">
        <v>8.2560000000000002</v>
      </c>
      <c r="Q76" s="90">
        <v>6.7949999999999999</v>
      </c>
      <c r="R76" s="90">
        <v>6.4539999999999997</v>
      </c>
      <c r="S76" s="90">
        <v>3.871</v>
      </c>
      <c r="T76" s="90">
        <v>-5.8310000000000004</v>
      </c>
      <c r="U76" s="90">
        <v>9.0500000000000007</v>
      </c>
      <c r="V76" s="91">
        <v>6.8310000000000004</v>
      </c>
      <c r="W76" s="91">
        <f t="shared" si="1"/>
        <v>4.5925545086595072</v>
      </c>
    </row>
    <row r="77" spans="1:23" x14ac:dyDescent="0.35">
      <c r="A77" s="81" t="s">
        <v>565</v>
      </c>
      <c r="B77" s="81" t="s">
        <v>638</v>
      </c>
      <c r="C77" s="89">
        <v>2.2622053552423305</v>
      </c>
      <c r="D77" s="90">
        <v>3.3867361875690394</v>
      </c>
      <c r="E77" s="91">
        <v>4.2439953782461792</v>
      </c>
      <c r="G77" s="103" t="s">
        <v>398</v>
      </c>
      <c r="H77" s="101">
        <v>71.158529876167961</v>
      </c>
      <c r="I77" s="93">
        <v>83</v>
      </c>
      <c r="J77" s="94">
        <v>14</v>
      </c>
      <c r="K77" s="81"/>
      <c r="L77" s="89">
        <v>6.0300506530561035</v>
      </c>
      <c r="M77" s="90">
        <v>5.5572636889101181</v>
      </c>
      <c r="N77" s="90">
        <v>5.0066684257549943</v>
      </c>
      <c r="O77" s="90">
        <v>4.8760000000000003</v>
      </c>
      <c r="P77" s="90">
        <v>5.0330000000000004</v>
      </c>
      <c r="Q77" s="90">
        <v>5.07</v>
      </c>
      <c r="R77" s="90">
        <v>5.1740000000000004</v>
      </c>
      <c r="S77" s="90">
        <v>5.0190000000000001</v>
      </c>
      <c r="T77" s="90">
        <v>-2.0659999999999998</v>
      </c>
      <c r="U77" s="90">
        <v>3.7029999999999998</v>
      </c>
      <c r="V77" s="91">
        <v>5.3090000000000002</v>
      </c>
      <c r="W77" s="91">
        <f t="shared" si="1"/>
        <v>3.8153657829076093</v>
      </c>
    </row>
    <row r="78" spans="1:23" x14ac:dyDescent="0.35">
      <c r="A78" s="81" t="s">
        <v>227</v>
      </c>
      <c r="B78" s="81" t="s">
        <v>639</v>
      </c>
      <c r="C78" s="89">
        <v>10.534737934438866</v>
      </c>
      <c r="D78" s="90">
        <v>8.9900271540683807</v>
      </c>
      <c r="E78" s="91">
        <v>9.0332345891797274</v>
      </c>
      <c r="G78" s="103" t="s">
        <v>415</v>
      </c>
      <c r="H78" s="101">
        <v>96.106887509545572</v>
      </c>
      <c r="I78" s="93">
        <v>12</v>
      </c>
      <c r="J78" s="94">
        <v>9</v>
      </c>
      <c r="K78" s="81"/>
      <c r="L78" s="89">
        <v>0.22571484300232808</v>
      </c>
      <c r="M78" s="90">
        <v>1.3516340039407124</v>
      </c>
      <c r="N78" s="90">
        <v>8.5566879851340367</v>
      </c>
      <c r="O78" s="90">
        <v>24.370999999999999</v>
      </c>
      <c r="P78" s="90">
        <v>2.0070000000000001</v>
      </c>
      <c r="Q78" s="90">
        <v>9.0050000000000008</v>
      </c>
      <c r="R78" s="90">
        <v>8.5280000000000005</v>
      </c>
      <c r="S78" s="90">
        <v>5.4409999999999998</v>
      </c>
      <c r="T78" s="90">
        <v>6.1840000000000002</v>
      </c>
      <c r="U78" s="90">
        <v>13.587999999999999</v>
      </c>
      <c r="V78" s="91">
        <v>11.97</v>
      </c>
      <c r="W78" s="91">
        <f t="shared" si="1"/>
        <v>9.0116308716240532</v>
      </c>
    </row>
    <row r="79" spans="1:23" x14ac:dyDescent="0.35">
      <c r="A79" s="81" t="s">
        <v>580</v>
      </c>
      <c r="B79" s="81" t="s">
        <v>640</v>
      </c>
      <c r="C79" s="89">
        <v>4.2964072248328211</v>
      </c>
      <c r="D79" s="90">
        <v>4.3056817639917977</v>
      </c>
      <c r="E79" s="91">
        <v>3.9225915638386066</v>
      </c>
      <c r="G79" s="103" t="s">
        <v>415</v>
      </c>
      <c r="H79" s="101">
        <v>91.08708937267636</v>
      </c>
      <c r="I79" s="93">
        <v>24</v>
      </c>
      <c r="J79" s="94">
        <v>2</v>
      </c>
      <c r="K79" s="81"/>
      <c r="L79" s="89">
        <v>2.2572375479441442</v>
      </c>
      <c r="M79" s="90">
        <v>4.1480545517150818</v>
      </c>
      <c r="N79" s="90">
        <v>3.7582001903069706</v>
      </c>
      <c r="O79" s="90">
        <v>2.4860000000000002</v>
      </c>
      <c r="P79" s="90">
        <v>4.5220000000000002</v>
      </c>
      <c r="Q79" s="90">
        <v>4.2759999999999998</v>
      </c>
      <c r="R79" s="90">
        <v>4.07</v>
      </c>
      <c r="S79" s="90">
        <v>4.1559999999999997</v>
      </c>
      <c r="T79" s="90">
        <v>-1.857</v>
      </c>
      <c r="U79" s="90">
        <v>8.6120000000000001</v>
      </c>
      <c r="V79" s="91">
        <v>6.4320000000000004</v>
      </c>
      <c r="W79" s="91">
        <f t="shared" si="1"/>
        <v>4.1141366639152022</v>
      </c>
    </row>
    <row r="80" spans="1:23" x14ac:dyDescent="0.35">
      <c r="A80" s="81" t="s">
        <v>227</v>
      </c>
      <c r="B80" s="81" t="s">
        <v>641</v>
      </c>
      <c r="C80" s="89">
        <v>0.2182802501019987</v>
      </c>
      <c r="D80" s="90">
        <v>0.31439174572445161</v>
      </c>
      <c r="E80" s="91">
        <v>0.34271436280863821</v>
      </c>
      <c r="G80" s="103" t="s">
        <v>415</v>
      </c>
      <c r="H80" s="101">
        <v>88.947746010825512</v>
      </c>
      <c r="I80" s="93">
        <v>29</v>
      </c>
      <c r="J80" s="94">
        <v>18</v>
      </c>
      <c r="K80" s="81"/>
      <c r="L80" s="89">
        <v>-2.9809057682377182</v>
      </c>
      <c r="M80" s="90">
        <v>-1.8410654508824811</v>
      </c>
      <c r="N80" s="90">
        <v>-4.5475423638333965E-3</v>
      </c>
      <c r="O80" s="90">
        <v>0.77800000000000002</v>
      </c>
      <c r="P80" s="90">
        <v>1.2929999999999999</v>
      </c>
      <c r="Q80" s="90">
        <v>1.6679999999999999</v>
      </c>
      <c r="R80" s="90">
        <v>0.92600000000000005</v>
      </c>
      <c r="S80" s="90">
        <v>0.48299999999999998</v>
      </c>
      <c r="T80" s="90">
        <v>-8.9789999999999992</v>
      </c>
      <c r="U80" s="90">
        <v>6.9870000000000001</v>
      </c>
      <c r="V80" s="91">
        <v>3.6749999999999998</v>
      </c>
      <c r="W80" s="91">
        <f t="shared" si="1"/>
        <v>0.32855305426654491</v>
      </c>
    </row>
    <row r="81" spans="1:23" x14ac:dyDescent="0.35">
      <c r="A81" s="81" t="s">
        <v>573</v>
      </c>
      <c r="B81" s="81" t="s">
        <v>642</v>
      </c>
      <c r="C81" s="89">
        <v>-0.70306474958997667</v>
      </c>
      <c r="D81" s="90">
        <v>0.12887839009743107</v>
      </c>
      <c r="E81" s="91">
        <v>0.51362317164571625</v>
      </c>
      <c r="G81" s="103" t="s">
        <v>567</v>
      </c>
      <c r="H81" s="101">
        <v>53.312824662633638</v>
      </c>
      <c r="I81" s="93">
        <v>137</v>
      </c>
      <c r="J81" s="94">
        <v>23</v>
      </c>
      <c r="K81" s="81"/>
      <c r="L81" s="89">
        <v>-0.61363603986913318</v>
      </c>
      <c r="M81" s="90">
        <v>0.51768601280242099</v>
      </c>
      <c r="N81" s="90">
        <v>0.68982235737431619</v>
      </c>
      <c r="O81" s="90">
        <v>0.86899999999999999</v>
      </c>
      <c r="P81" s="90">
        <v>1.498</v>
      </c>
      <c r="Q81" s="90">
        <v>0.67900000000000005</v>
      </c>
      <c r="R81" s="90">
        <v>1.827</v>
      </c>
      <c r="S81" s="90">
        <v>0.97</v>
      </c>
      <c r="T81" s="90">
        <v>-9.92</v>
      </c>
      <c r="U81" s="90">
        <v>4.601</v>
      </c>
      <c r="V81" s="91">
        <v>4</v>
      </c>
      <c r="W81" s="91">
        <f t="shared" si="1"/>
        <v>0.32125078087157366</v>
      </c>
    </row>
    <row r="82" spans="1:23" x14ac:dyDescent="0.35">
      <c r="A82" s="81" t="s">
        <v>565</v>
      </c>
      <c r="B82" s="81" t="s">
        <v>643</v>
      </c>
      <c r="C82" s="89">
        <v>-0.63095756344230258</v>
      </c>
      <c r="D82" s="90">
        <v>2.4039609383130767E-3</v>
      </c>
      <c r="E82" s="91">
        <v>0.62673306790392846</v>
      </c>
      <c r="G82" s="103" t="s">
        <v>415</v>
      </c>
      <c r="H82" s="101">
        <v>96.063700314273362</v>
      </c>
      <c r="I82" s="93">
        <v>13</v>
      </c>
      <c r="J82" s="94">
        <v>4</v>
      </c>
      <c r="K82" s="81"/>
      <c r="L82" s="89">
        <v>1.495089585949261</v>
      </c>
      <c r="M82" s="90">
        <v>2.0002678411015018</v>
      </c>
      <c r="N82" s="90">
        <v>0.3747194763313248</v>
      </c>
      <c r="O82" s="90">
        <v>1.5609999999999999</v>
      </c>
      <c r="P82" s="90">
        <v>0.754</v>
      </c>
      <c r="Q82" s="90">
        <v>1.675</v>
      </c>
      <c r="R82" s="90">
        <v>0.64300000000000002</v>
      </c>
      <c r="S82" s="90">
        <v>-0.40200000000000002</v>
      </c>
      <c r="T82" s="90">
        <v>-4.2789999999999999</v>
      </c>
      <c r="U82" s="90">
        <v>2.145</v>
      </c>
      <c r="V82" s="91">
        <v>1.075</v>
      </c>
      <c r="W82" s="91">
        <f t="shared" si="1"/>
        <v>0.31456851442112077</v>
      </c>
    </row>
    <row r="83" spans="1:23" x14ac:dyDescent="0.35">
      <c r="A83" s="81" t="s">
        <v>580</v>
      </c>
      <c r="B83" s="81" t="s">
        <v>644</v>
      </c>
      <c r="C83" s="89">
        <v>1.1049470799269878</v>
      </c>
      <c r="D83" s="90">
        <v>1.8757952650954479</v>
      </c>
      <c r="E83" s="91">
        <v>2.1806440475090172</v>
      </c>
      <c r="G83" s="103" t="s">
        <v>571</v>
      </c>
      <c r="H83" s="101">
        <v>79.514216326138751</v>
      </c>
      <c r="I83" s="93">
        <v>53</v>
      </c>
      <c r="J83" s="94">
        <v>5</v>
      </c>
      <c r="K83" s="81"/>
      <c r="L83" s="89">
        <v>2.6511707480297244</v>
      </c>
      <c r="M83" s="90">
        <v>2.8287666404585154</v>
      </c>
      <c r="N83" s="90">
        <v>3.0963303471105994</v>
      </c>
      <c r="O83" s="90">
        <v>2.496</v>
      </c>
      <c r="P83" s="90">
        <v>1.994</v>
      </c>
      <c r="Q83" s="90">
        <v>2.4740000000000002</v>
      </c>
      <c r="R83" s="90">
        <v>1.919</v>
      </c>
      <c r="S83" s="90">
        <v>1.927</v>
      </c>
      <c r="T83" s="90">
        <v>-1.57</v>
      </c>
      <c r="U83" s="90">
        <v>2.2280000000000002</v>
      </c>
      <c r="V83" s="91">
        <v>2.7109999999999999</v>
      </c>
      <c r="W83" s="91">
        <f t="shared" si="1"/>
        <v>2.0282196563022326</v>
      </c>
    </row>
    <row r="84" spans="1:23" x14ac:dyDescent="0.35">
      <c r="A84" s="81" t="s">
        <v>565</v>
      </c>
      <c r="B84" s="81" t="s">
        <v>645</v>
      </c>
      <c r="C84" s="89">
        <v>1.6270169093285825</v>
      </c>
      <c r="D84" s="90">
        <v>2.6878144462378906</v>
      </c>
      <c r="E84" s="91">
        <v>2.9947418753666133</v>
      </c>
      <c r="G84" s="103" t="s">
        <v>398</v>
      </c>
      <c r="H84" s="101">
        <v>70.400737065727981</v>
      </c>
      <c r="I84" s="93">
        <v>88</v>
      </c>
      <c r="J84" s="94">
        <v>16</v>
      </c>
      <c r="K84" s="81"/>
      <c r="L84" s="89">
        <v>4.7999999999927256</v>
      </c>
      <c r="M84" s="90">
        <v>5.9999999992556203</v>
      </c>
      <c r="N84" s="90">
        <v>4.2000000006304088</v>
      </c>
      <c r="O84" s="90">
        <v>1</v>
      </c>
      <c r="P84" s="90">
        <v>0.9</v>
      </c>
      <c r="Q84" s="90">
        <v>3.9009999999999998</v>
      </c>
      <c r="R84" s="90">
        <v>4.0999999999999996</v>
      </c>
      <c r="S84" s="90">
        <v>4.5</v>
      </c>
      <c r="T84" s="90">
        <v>-2.6</v>
      </c>
      <c r="U84" s="90">
        <v>4.0999999999999996</v>
      </c>
      <c r="V84" s="91">
        <v>3.214</v>
      </c>
      <c r="W84" s="91">
        <f t="shared" si="1"/>
        <v>2.8412781608022519</v>
      </c>
    </row>
    <row r="85" spans="1:23" x14ac:dyDescent="0.35">
      <c r="A85" s="81" t="s">
        <v>569</v>
      </c>
      <c r="B85" s="81" t="s">
        <v>646</v>
      </c>
      <c r="C85" s="89">
        <v>4.1600595320631983</v>
      </c>
      <c r="D85" s="90">
        <v>5.4481436952905637</v>
      </c>
      <c r="E85" s="91">
        <v>5.4875646773576481</v>
      </c>
      <c r="G85" s="103" t="s">
        <v>422</v>
      </c>
      <c r="H85" s="101">
        <v>68.853006787769303</v>
      </c>
      <c r="I85" s="93">
        <v>97</v>
      </c>
      <c r="J85" s="94">
        <v>18</v>
      </c>
      <c r="K85" s="81"/>
      <c r="L85" s="89">
        <v>4.5632091307112006</v>
      </c>
      <c r="M85" s="90">
        <v>5.8786805667541637</v>
      </c>
      <c r="N85" s="90">
        <v>5.3571256444996713</v>
      </c>
      <c r="O85" s="90">
        <v>4.968</v>
      </c>
      <c r="P85" s="90">
        <v>4.2140000000000004</v>
      </c>
      <c r="Q85" s="90">
        <v>3.8159999999999998</v>
      </c>
      <c r="R85" s="90">
        <v>5.6710000000000003</v>
      </c>
      <c r="S85" s="90">
        <v>5.1139999999999999</v>
      </c>
      <c r="T85" s="90">
        <v>-0.25</v>
      </c>
      <c r="U85" s="90">
        <v>7.5170000000000003</v>
      </c>
      <c r="V85" s="91">
        <v>5.3689999999999998</v>
      </c>
      <c r="W85" s="91">
        <f t="shared" si="1"/>
        <v>5.4678541863241055</v>
      </c>
    </row>
    <row r="86" spans="1:23" x14ac:dyDescent="0.35">
      <c r="A86" s="81" t="s">
        <v>565</v>
      </c>
      <c r="B86" s="81" t="s">
        <v>647</v>
      </c>
      <c r="C86" s="89">
        <v>1.9788311578699647</v>
      </c>
      <c r="D86" s="90">
        <v>2.1951704861675969</v>
      </c>
      <c r="E86" s="91">
        <v>2.6249033043728831</v>
      </c>
      <c r="G86" s="103" t="s">
        <v>415</v>
      </c>
      <c r="H86" s="101">
        <v>90.58627012288828</v>
      </c>
      <c r="I86" s="93">
        <v>26</v>
      </c>
      <c r="J86" s="94">
        <v>6</v>
      </c>
      <c r="K86" s="81"/>
      <c r="L86" s="89">
        <v>2.4025309924618736</v>
      </c>
      <c r="M86" s="90">
        <v>3.1647086364718322</v>
      </c>
      <c r="N86" s="90">
        <v>3.2024537945736018</v>
      </c>
      <c r="O86" s="90">
        <v>2.8090000000000002</v>
      </c>
      <c r="P86" s="90">
        <v>2.9470000000000001</v>
      </c>
      <c r="Q86" s="90">
        <v>3.16</v>
      </c>
      <c r="R86" s="90">
        <v>2.907</v>
      </c>
      <c r="S86" s="90">
        <v>2.2440000000000002</v>
      </c>
      <c r="T86" s="90">
        <v>-0.70899999999999996</v>
      </c>
      <c r="U86" s="90">
        <v>4.1449999999999996</v>
      </c>
      <c r="V86" s="91">
        <v>2.5609999999999999</v>
      </c>
      <c r="W86" s="91">
        <f t="shared" si="1"/>
        <v>2.41003689527024</v>
      </c>
    </row>
    <row r="87" spans="1:23" x14ac:dyDescent="0.35">
      <c r="A87" s="81" t="s">
        <v>580</v>
      </c>
      <c r="B87" s="81" t="s">
        <v>648</v>
      </c>
      <c r="C87" s="89">
        <v>2.9560258753336122E-2</v>
      </c>
      <c r="D87" s="90">
        <v>0.3483533742255629</v>
      </c>
      <c r="E87" s="91">
        <v>0.20315822263521355</v>
      </c>
      <c r="G87" s="103" t="s">
        <v>422</v>
      </c>
      <c r="H87" s="101">
        <v>67.205820265011681</v>
      </c>
      <c r="I87" s="93">
        <v>105</v>
      </c>
      <c r="J87" s="94">
        <v>10</v>
      </c>
      <c r="K87" s="81"/>
      <c r="L87" s="89">
        <v>6.6258183001417628</v>
      </c>
      <c r="M87" s="90">
        <v>1.1493004370652051</v>
      </c>
      <c r="N87" s="90">
        <v>0.5008769821586383</v>
      </c>
      <c r="O87" s="90">
        <v>0.59299999999999997</v>
      </c>
      <c r="P87" s="90">
        <v>2.9260000000000002</v>
      </c>
      <c r="Q87" s="90">
        <v>-4.7140000000000004</v>
      </c>
      <c r="R87" s="90">
        <v>2.4369999999999998</v>
      </c>
      <c r="S87" s="90">
        <v>-0.55200000000000005</v>
      </c>
      <c r="T87" s="90">
        <v>-8.8550000000000004</v>
      </c>
      <c r="U87" s="90">
        <v>1.3080000000000001</v>
      </c>
      <c r="V87" s="91">
        <v>8.1769999999999996</v>
      </c>
      <c r="W87" s="91">
        <f t="shared" si="1"/>
        <v>0.27575579843038822</v>
      </c>
    </row>
    <row r="88" spans="1:23" x14ac:dyDescent="0.35">
      <c r="A88" s="81" t="s">
        <v>565</v>
      </c>
      <c r="B88" s="81" t="s">
        <v>649</v>
      </c>
      <c r="C88" s="89">
        <v>0.51489333561212103</v>
      </c>
      <c r="D88" s="90">
        <v>1.9645834232370651</v>
      </c>
      <c r="E88" s="91">
        <v>3.7392958747352045</v>
      </c>
      <c r="G88" s="103" t="s">
        <v>398</v>
      </c>
      <c r="H88" s="101">
        <v>70.898067394091115</v>
      </c>
      <c r="I88" s="93">
        <v>86</v>
      </c>
      <c r="J88" s="94">
        <v>15</v>
      </c>
      <c r="K88" s="81"/>
      <c r="L88" s="89">
        <v>-8.8150201010635656E-2</v>
      </c>
      <c r="M88" s="90">
        <v>10.915469454314421</v>
      </c>
      <c r="N88" s="90">
        <v>4.024038625768628</v>
      </c>
      <c r="O88" s="90">
        <v>3.8759999999999999</v>
      </c>
      <c r="P88" s="90">
        <v>4.3360000000000003</v>
      </c>
      <c r="Q88" s="90">
        <v>4.74</v>
      </c>
      <c r="R88" s="90">
        <v>3.4590000000000001</v>
      </c>
      <c r="S88" s="90">
        <v>4.601</v>
      </c>
      <c r="T88" s="90">
        <v>-8.6170000000000009</v>
      </c>
      <c r="U88" s="90">
        <v>3.742</v>
      </c>
      <c r="V88" s="91">
        <v>7</v>
      </c>
      <c r="W88" s="91">
        <f t="shared" si="1"/>
        <v>2.8519396489861348</v>
      </c>
    </row>
    <row r="89" spans="1:23" x14ac:dyDescent="0.35">
      <c r="A89" s="81" t="s">
        <v>565</v>
      </c>
      <c r="B89" s="81" t="s">
        <v>650</v>
      </c>
      <c r="C89" s="89">
        <v>1.7571611332634074</v>
      </c>
      <c r="D89" s="90">
        <v>3.3757795121775569</v>
      </c>
      <c r="E89" s="91">
        <v>5.3509947789500245</v>
      </c>
      <c r="G89" s="103" t="s">
        <v>567</v>
      </c>
      <c r="H89" s="101">
        <v>58.394766440551741</v>
      </c>
      <c r="I89" s="93">
        <v>127</v>
      </c>
      <c r="J89" s="94">
        <v>26</v>
      </c>
      <c r="K89" s="81"/>
      <c r="L89" s="89">
        <v>8.0260984340408665</v>
      </c>
      <c r="M89" s="90">
        <v>8.0263002263775007</v>
      </c>
      <c r="N89" s="90">
        <v>7.6119634407438159</v>
      </c>
      <c r="O89" s="90">
        <v>7.27</v>
      </c>
      <c r="P89" s="90">
        <v>7.0229999999999997</v>
      </c>
      <c r="Q89" s="90">
        <v>6.851</v>
      </c>
      <c r="R89" s="90">
        <v>6.2889999999999997</v>
      </c>
      <c r="S89" s="90">
        <v>4.6520000000000001</v>
      </c>
      <c r="T89" s="90">
        <v>-0.435</v>
      </c>
      <c r="U89" s="90">
        <v>2.0609999999999999</v>
      </c>
      <c r="V89" s="91">
        <v>2.2519999999999998</v>
      </c>
      <c r="W89" s="91">
        <f t="shared" si="1"/>
        <v>4.3633871455637907</v>
      </c>
    </row>
    <row r="90" spans="1:23" x14ac:dyDescent="0.35">
      <c r="A90" s="81" t="s">
        <v>227</v>
      </c>
      <c r="B90" s="81" t="s">
        <v>651</v>
      </c>
      <c r="C90" s="89">
        <v>1.2465800540070626</v>
      </c>
      <c r="D90" s="90">
        <v>2.186383184955365</v>
      </c>
      <c r="E90" s="91">
        <v>2.3979634558628948</v>
      </c>
      <c r="G90" s="103" t="s">
        <v>571</v>
      </c>
      <c r="H90" s="101">
        <v>81.044610107182237</v>
      </c>
      <c r="I90" s="93">
        <v>44</v>
      </c>
      <c r="J90" s="94">
        <v>29</v>
      </c>
      <c r="K90" s="81"/>
      <c r="L90" s="89">
        <v>4.1342316499835752</v>
      </c>
      <c r="M90" s="90">
        <v>2.3280042634440163</v>
      </c>
      <c r="N90" s="90">
        <v>1.9151903779433241</v>
      </c>
      <c r="O90" s="90">
        <v>3.8849999999999998</v>
      </c>
      <c r="P90" s="90">
        <v>2.3690000000000002</v>
      </c>
      <c r="Q90" s="90">
        <v>3.3119999999999998</v>
      </c>
      <c r="R90" s="90">
        <v>3.992</v>
      </c>
      <c r="S90" s="90">
        <v>2.57</v>
      </c>
      <c r="T90" s="90">
        <v>-2.2029999999999998</v>
      </c>
      <c r="U90" s="90">
        <v>4.0640000000000001</v>
      </c>
      <c r="V90" s="91">
        <v>1.976</v>
      </c>
      <c r="W90" s="91">
        <f t="shared" si="1"/>
        <v>2.2921733204091299</v>
      </c>
    </row>
    <row r="91" spans="1:23" x14ac:dyDescent="0.35">
      <c r="A91" s="81" t="s">
        <v>580</v>
      </c>
      <c r="B91" s="81" t="s">
        <v>652</v>
      </c>
      <c r="C91" s="89">
        <v>-11.570507599610414</v>
      </c>
      <c r="D91" s="90">
        <v>-8.8972805759156888</v>
      </c>
      <c r="E91" s="91">
        <v>-3.6804003540223951</v>
      </c>
      <c r="G91" s="103" t="s">
        <v>398</v>
      </c>
      <c r="H91" s="101">
        <v>70.925074776605015</v>
      </c>
      <c r="I91" s="93">
        <v>85</v>
      </c>
      <c r="J91" s="94">
        <v>9</v>
      </c>
      <c r="K91" s="81"/>
      <c r="L91" s="89">
        <v>2.5405417890992656</v>
      </c>
      <c r="M91" s="90">
        <v>3.8110224147865268</v>
      </c>
      <c r="N91" s="90">
        <v>2.4536595719223264</v>
      </c>
      <c r="O91" s="90">
        <v>0.46100000000000002</v>
      </c>
      <c r="P91" s="90">
        <v>1.556</v>
      </c>
      <c r="Q91" s="90">
        <v>0.90300000000000002</v>
      </c>
      <c r="R91" s="90">
        <v>-1.885</v>
      </c>
      <c r="S91" s="90">
        <v>-6.915</v>
      </c>
      <c r="T91" s="90">
        <v>-25.907</v>
      </c>
      <c r="U91" s="90">
        <v>-5.4</v>
      </c>
      <c r="V91" s="91">
        <v>-5.4</v>
      </c>
      <c r="W91" s="91">
        <f t="shared" si="1"/>
        <v>-6.2888404649690415</v>
      </c>
    </row>
    <row r="92" spans="1:23" x14ac:dyDescent="0.35">
      <c r="A92" s="81" t="s">
        <v>569</v>
      </c>
      <c r="B92" s="81" t="s">
        <v>653</v>
      </c>
      <c r="C92" s="89">
        <v>-1.7564836758548363</v>
      </c>
      <c r="D92" s="90">
        <v>-1.6866052500791207</v>
      </c>
      <c r="E92" s="91">
        <v>0.46596555472186996</v>
      </c>
      <c r="G92" s="103" t="s">
        <v>422</v>
      </c>
      <c r="H92" s="101">
        <v>68.290636352612694</v>
      </c>
      <c r="I92" s="93">
        <v>100</v>
      </c>
      <c r="J92" s="94">
        <v>20</v>
      </c>
      <c r="K92" s="81"/>
      <c r="L92" s="89">
        <v>6.7436269408569842</v>
      </c>
      <c r="M92" s="90">
        <v>4.1869122037746749</v>
      </c>
      <c r="N92" s="90">
        <v>2.8839688442816156</v>
      </c>
      <c r="O92" s="90">
        <v>3.2480000000000002</v>
      </c>
      <c r="P92" s="90">
        <v>1.877</v>
      </c>
      <c r="Q92" s="90">
        <v>-2.734</v>
      </c>
      <c r="R92" s="90">
        <v>-1.304</v>
      </c>
      <c r="S92" s="90">
        <v>-1.9710000000000001</v>
      </c>
      <c r="T92" s="90">
        <v>-3.9020000000000001</v>
      </c>
      <c r="U92" s="90">
        <v>2.1019999999999999</v>
      </c>
      <c r="V92" s="91">
        <v>2.093</v>
      </c>
      <c r="W92" s="91">
        <f t="shared" si="1"/>
        <v>-0.61031984767862535</v>
      </c>
    </row>
    <row r="93" spans="1:23" x14ac:dyDescent="0.35">
      <c r="A93" s="81" t="s">
        <v>569</v>
      </c>
      <c r="B93" s="81" t="s">
        <v>654</v>
      </c>
      <c r="C93" s="89">
        <v>2.2030305181955034</v>
      </c>
      <c r="D93" s="90">
        <v>1.043410797540445</v>
      </c>
      <c r="E93" s="91">
        <v>1.5173155129903693</v>
      </c>
      <c r="G93" s="103" t="s">
        <v>567</v>
      </c>
      <c r="H93" s="101">
        <v>56.232966845120316</v>
      </c>
      <c r="I93" s="93">
        <v>130</v>
      </c>
      <c r="J93" s="94">
        <v>32</v>
      </c>
      <c r="K93" s="81"/>
      <c r="L93" s="89">
        <v>7.9938156931364137</v>
      </c>
      <c r="M93" s="90">
        <v>8.6872878163968235</v>
      </c>
      <c r="N93" s="90">
        <v>0.70139310028752089</v>
      </c>
      <c r="O93" s="90">
        <v>7.0000000000000001E-3</v>
      </c>
      <c r="P93" s="90">
        <v>-1.63</v>
      </c>
      <c r="Q93" s="90">
        <v>2.4689999999999999</v>
      </c>
      <c r="R93" s="90">
        <v>1.242</v>
      </c>
      <c r="S93" s="90">
        <v>-2.516</v>
      </c>
      <c r="T93" s="90">
        <v>-2.9670000000000001</v>
      </c>
      <c r="U93" s="90">
        <v>5.0110000000000001</v>
      </c>
      <c r="V93" s="91">
        <v>4.8109999999999999</v>
      </c>
      <c r="W93" s="91">
        <f t="shared" si="1"/>
        <v>1.2803631552654071</v>
      </c>
    </row>
    <row r="94" spans="1:23" x14ac:dyDescent="0.35">
      <c r="A94" s="81" t="s">
        <v>569</v>
      </c>
      <c r="B94" s="81" t="s">
        <v>655</v>
      </c>
      <c r="C94" s="89">
        <v>5.1304452243001952</v>
      </c>
      <c r="D94" s="90">
        <v>3.4484900722276279</v>
      </c>
      <c r="E94" s="91">
        <v>1.2335060569262035</v>
      </c>
      <c r="G94" s="103" t="s">
        <v>567</v>
      </c>
      <c r="H94" s="101">
        <v>48.008478383672035</v>
      </c>
      <c r="I94" s="93">
        <v>140</v>
      </c>
      <c r="J94" s="94">
        <v>38</v>
      </c>
      <c r="K94" s="81"/>
      <c r="L94" s="89">
        <v>274.10446739057375</v>
      </c>
      <c r="M94" s="90">
        <v>-13.994834968637873</v>
      </c>
      <c r="N94" s="90">
        <v>-10.842440326997824</v>
      </c>
      <c r="O94" s="90">
        <v>-0.84299999999999997</v>
      </c>
      <c r="P94" s="90">
        <v>-1.4910000000000001</v>
      </c>
      <c r="Q94" s="90">
        <v>32.491999999999997</v>
      </c>
      <c r="R94" s="90">
        <v>7.9409999999999998</v>
      </c>
      <c r="S94" s="90">
        <v>-11.196</v>
      </c>
      <c r="T94" s="90">
        <v>-29.456</v>
      </c>
      <c r="U94" s="90">
        <v>28.335000000000001</v>
      </c>
      <c r="V94" s="91">
        <v>-12.813000000000001</v>
      </c>
      <c r="W94" s="91">
        <f t="shared" si="1"/>
        <v>2.3409980645769157</v>
      </c>
    </row>
    <row r="95" spans="1:23" x14ac:dyDescent="0.35">
      <c r="A95" s="81" t="s">
        <v>227</v>
      </c>
      <c r="B95" s="81" t="s">
        <v>656</v>
      </c>
      <c r="C95" s="89">
        <v>2.5853990379055336</v>
      </c>
      <c r="D95" s="90">
        <v>3.2350334175799356</v>
      </c>
      <c r="E95" s="91">
        <v>3.2063173772679532</v>
      </c>
      <c r="G95" s="103" t="s">
        <v>571</v>
      </c>
      <c r="H95" s="101">
        <v>80.769738018881156</v>
      </c>
      <c r="I95" s="93">
        <v>45</v>
      </c>
      <c r="J95" s="94">
        <v>30</v>
      </c>
      <c r="K95" s="81"/>
      <c r="L95" s="89">
        <v>3.8333027642866848</v>
      </c>
      <c r="M95" s="90">
        <v>3.5584246313476826</v>
      </c>
      <c r="N95" s="90">
        <v>3.5079712171273361</v>
      </c>
      <c r="O95" s="90">
        <v>2.024</v>
      </c>
      <c r="P95" s="90">
        <v>2.5190000000000001</v>
      </c>
      <c r="Q95" s="90">
        <v>4.282</v>
      </c>
      <c r="R95" s="90">
        <v>3.9929999999999999</v>
      </c>
      <c r="S95" s="90">
        <v>4.625</v>
      </c>
      <c r="T95" s="90">
        <v>-2.1999999999999999E-2</v>
      </c>
      <c r="U95" s="90">
        <v>5.9809999999999999</v>
      </c>
      <c r="V95" s="91">
        <v>1.8879999999999999</v>
      </c>
      <c r="W95" s="91">
        <f t="shared" si="1"/>
        <v>3.2206753974239444</v>
      </c>
    </row>
    <row r="96" spans="1:23" x14ac:dyDescent="0.35">
      <c r="A96" s="81" t="s">
        <v>227</v>
      </c>
      <c r="B96" s="81" t="s">
        <v>657</v>
      </c>
      <c r="C96" s="89">
        <v>1.9225945961039326</v>
      </c>
      <c r="D96" s="90">
        <v>1.8607829332780268</v>
      </c>
      <c r="E96" s="91">
        <v>2.36159954003623</v>
      </c>
      <c r="G96" s="103" t="s">
        <v>415</v>
      </c>
      <c r="H96" s="101">
        <v>96.778306193425522</v>
      </c>
      <c r="I96" s="93">
        <v>9</v>
      </c>
      <c r="J96" s="94">
        <v>7</v>
      </c>
      <c r="K96" s="81"/>
      <c r="L96" s="89">
        <v>1.6499020297865346</v>
      </c>
      <c r="M96" s="90">
        <v>3.1717904991600552</v>
      </c>
      <c r="N96" s="90">
        <v>2.6230860157719222</v>
      </c>
      <c r="O96" s="90">
        <v>2.2679999999999998</v>
      </c>
      <c r="P96" s="90">
        <v>4.9779999999999998</v>
      </c>
      <c r="Q96" s="90">
        <v>1.3169999999999999</v>
      </c>
      <c r="R96" s="90">
        <v>1.2190000000000001</v>
      </c>
      <c r="S96" s="90">
        <v>2.3199999999999998</v>
      </c>
      <c r="T96" s="90">
        <v>-0.79700000000000004</v>
      </c>
      <c r="U96" s="90">
        <v>5.1029999999999998</v>
      </c>
      <c r="V96" s="91">
        <v>1.5489999999999999</v>
      </c>
      <c r="W96" s="91">
        <f t="shared" si="1"/>
        <v>2.1111912366571284</v>
      </c>
    </row>
    <row r="97" spans="1:23" x14ac:dyDescent="0.35">
      <c r="A97" s="81" t="s">
        <v>569</v>
      </c>
      <c r="B97" s="81" t="s">
        <v>658</v>
      </c>
      <c r="C97" s="89">
        <v>0.34284241084634459</v>
      </c>
      <c r="D97" s="90">
        <v>1.7120658983774018</v>
      </c>
      <c r="E97" s="91">
        <v>2.5217225637742979</v>
      </c>
      <c r="G97" s="103" t="s">
        <v>567</v>
      </c>
      <c r="H97" s="101">
        <v>48.940679032016362</v>
      </c>
      <c r="I97" s="93">
        <v>139</v>
      </c>
      <c r="J97" s="94">
        <v>37</v>
      </c>
      <c r="K97" s="81"/>
      <c r="L97" s="89">
        <v>3.0111464075530683</v>
      </c>
      <c r="M97" s="90">
        <v>2.3003869344771051</v>
      </c>
      <c r="N97" s="90">
        <v>3.3392022440733014</v>
      </c>
      <c r="O97" s="90">
        <v>3.1320000000000001</v>
      </c>
      <c r="P97" s="90">
        <v>3.9929999999999999</v>
      </c>
      <c r="Q97" s="90">
        <v>3.9329999999999998</v>
      </c>
      <c r="R97" s="90">
        <v>3.194</v>
      </c>
      <c r="S97" s="90">
        <v>4.4109999999999996</v>
      </c>
      <c r="T97" s="90">
        <v>-7.1379999999999999</v>
      </c>
      <c r="U97" s="90">
        <v>5.74</v>
      </c>
      <c r="V97" s="91">
        <v>4.21</v>
      </c>
      <c r="W97" s="91">
        <f t="shared" si="1"/>
        <v>2.1168942310758498</v>
      </c>
    </row>
    <row r="98" spans="1:23" x14ac:dyDescent="0.35">
      <c r="A98" s="81" t="s">
        <v>569</v>
      </c>
      <c r="B98" s="81" t="s">
        <v>659</v>
      </c>
      <c r="C98" s="89">
        <v>1.446318587345985</v>
      </c>
      <c r="D98" s="90">
        <v>2.8212259957555386</v>
      </c>
      <c r="E98" s="91">
        <v>3.4233840163588436</v>
      </c>
      <c r="G98" s="103" t="s">
        <v>398</v>
      </c>
      <c r="H98" s="101">
        <v>72.879134631330203</v>
      </c>
      <c r="I98" s="93">
        <v>77</v>
      </c>
      <c r="J98" s="94">
        <v>8</v>
      </c>
      <c r="K98" s="81"/>
      <c r="L98" s="89">
        <v>1.8857995075156477</v>
      </c>
      <c r="M98" s="90">
        <v>5.1999999956050429</v>
      </c>
      <c r="N98" s="90">
        <v>5.7000000050572197</v>
      </c>
      <c r="O98" s="90">
        <v>2.95</v>
      </c>
      <c r="P98" s="90">
        <v>2.27</v>
      </c>
      <c r="Q98" s="90">
        <v>4</v>
      </c>
      <c r="R98" s="90">
        <v>4.3920000000000003</v>
      </c>
      <c r="S98" s="90">
        <v>5.4480000000000004</v>
      </c>
      <c r="T98" s="90">
        <v>0.91300000000000003</v>
      </c>
      <c r="U98" s="90">
        <v>4.5670000000000002</v>
      </c>
      <c r="V98" s="91">
        <v>0.8</v>
      </c>
      <c r="W98" s="91">
        <f t="shared" si="1"/>
        <v>3.1223050060571911</v>
      </c>
    </row>
    <row r="99" spans="1:23" x14ac:dyDescent="0.35">
      <c r="A99" s="81" t="s">
        <v>565</v>
      </c>
      <c r="B99" s="81" t="s">
        <v>660</v>
      </c>
      <c r="C99" s="89">
        <v>1.9142421361718398</v>
      </c>
      <c r="D99" s="90">
        <v>3.0011020126644361</v>
      </c>
      <c r="E99" s="91">
        <v>4.0922822936961589</v>
      </c>
      <c r="G99" s="103" t="s">
        <v>398</v>
      </c>
      <c r="H99" s="101">
        <v>76.114633172938127</v>
      </c>
      <c r="I99" s="93">
        <v>66</v>
      </c>
      <c r="J99" s="94">
        <v>9</v>
      </c>
      <c r="K99" s="81"/>
      <c r="L99" s="89">
        <v>5.4734541925385383</v>
      </c>
      <c r="M99" s="90">
        <v>4.6937225255789317</v>
      </c>
      <c r="N99" s="90">
        <v>6.0067219455820462</v>
      </c>
      <c r="O99" s="90">
        <v>5.0069999999999997</v>
      </c>
      <c r="P99" s="90">
        <v>4.45</v>
      </c>
      <c r="Q99" s="90">
        <v>5.8129999999999997</v>
      </c>
      <c r="R99" s="90">
        <v>4.843</v>
      </c>
      <c r="S99" s="90">
        <v>4.4130000000000003</v>
      </c>
      <c r="T99" s="90">
        <v>-5.5339999999999998</v>
      </c>
      <c r="U99" s="90">
        <v>3.0920000000000001</v>
      </c>
      <c r="V99" s="91">
        <v>8.6940000000000008</v>
      </c>
      <c r="W99" s="91">
        <f t="shared" si="1"/>
        <v>3.5466921531802975</v>
      </c>
    </row>
    <row r="100" spans="1:23" x14ac:dyDescent="0.35">
      <c r="A100" s="81" t="s">
        <v>569</v>
      </c>
      <c r="B100" s="81" t="s">
        <v>661</v>
      </c>
      <c r="C100" s="89">
        <v>1.8165870919236937</v>
      </c>
      <c r="D100" s="90">
        <v>2.9671130334121942</v>
      </c>
      <c r="E100" s="91">
        <v>4.1460050619633648</v>
      </c>
      <c r="G100" s="103" t="s">
        <v>567</v>
      </c>
      <c r="H100" s="101">
        <v>43.633236095724527</v>
      </c>
      <c r="I100" s="93">
        <v>146</v>
      </c>
      <c r="J100" s="94">
        <v>41</v>
      </c>
      <c r="K100" s="81"/>
      <c r="L100" s="89">
        <v>-0.83662749707312833</v>
      </c>
      <c r="M100" s="90">
        <v>2.3037669581925009</v>
      </c>
      <c r="N100" s="90">
        <v>7.1014223480749816</v>
      </c>
      <c r="O100" s="90">
        <v>6.1719999999999997</v>
      </c>
      <c r="P100" s="90">
        <v>5.8520000000000003</v>
      </c>
      <c r="Q100" s="90">
        <v>5.3049999999999997</v>
      </c>
      <c r="R100" s="90">
        <v>4.7460000000000004</v>
      </c>
      <c r="S100" s="90">
        <v>4.7649999999999997</v>
      </c>
      <c r="T100" s="90">
        <v>-1.244</v>
      </c>
      <c r="U100" s="90">
        <v>3.0550000000000002</v>
      </c>
      <c r="V100" s="91">
        <v>3.7040000000000002</v>
      </c>
      <c r="W100" s="91">
        <f t="shared" si="1"/>
        <v>3.5565590476877795</v>
      </c>
    </row>
    <row r="101" spans="1:23" x14ac:dyDescent="0.35">
      <c r="A101" s="81" t="s">
        <v>227</v>
      </c>
      <c r="B101" s="81" t="s">
        <v>662</v>
      </c>
      <c r="C101" s="89">
        <v>2.6124059576447589</v>
      </c>
      <c r="D101" s="90">
        <v>4.3931536419201889</v>
      </c>
      <c r="E101" s="91">
        <v>5.6722564665051767</v>
      </c>
      <c r="G101" s="103" t="s">
        <v>571</v>
      </c>
      <c r="H101" s="101">
        <v>86.894246999173433</v>
      </c>
      <c r="I101" s="93">
        <v>33</v>
      </c>
      <c r="J101" s="94">
        <v>22</v>
      </c>
      <c r="K101" s="81"/>
      <c r="L101" s="89">
        <v>4.1177072993516513</v>
      </c>
      <c r="M101" s="90">
        <v>5.4733556954527041</v>
      </c>
      <c r="N101" s="90">
        <v>7.6335381123007346</v>
      </c>
      <c r="O101" s="90">
        <v>9.6080000000000005</v>
      </c>
      <c r="P101" s="90">
        <v>3.3809999999999998</v>
      </c>
      <c r="Q101" s="90">
        <v>10.869</v>
      </c>
      <c r="R101" s="90">
        <v>6.1929999999999996</v>
      </c>
      <c r="S101" s="90">
        <v>7.0090000000000003</v>
      </c>
      <c r="T101" s="90">
        <v>-8.6120000000000001</v>
      </c>
      <c r="U101" s="90">
        <v>11.805999999999999</v>
      </c>
      <c r="V101" s="91">
        <v>6.851</v>
      </c>
      <c r="W101" s="91">
        <f t="shared" si="1"/>
        <v>5.0327050542126823</v>
      </c>
    </row>
    <row r="102" spans="1:23" x14ac:dyDescent="0.35">
      <c r="A102" s="81" t="s">
        <v>569</v>
      </c>
      <c r="B102" s="81" t="s">
        <v>663</v>
      </c>
      <c r="C102" s="89">
        <v>10.380851809157976</v>
      </c>
      <c r="D102" s="90">
        <v>8.3436024853472226</v>
      </c>
      <c r="E102" s="91">
        <v>5.9978829377542953</v>
      </c>
      <c r="G102" s="103" t="s">
        <v>422</v>
      </c>
      <c r="H102" s="101">
        <v>67.535233245846925</v>
      </c>
      <c r="I102" s="93">
        <v>103</v>
      </c>
      <c r="J102" s="94">
        <v>23</v>
      </c>
      <c r="K102" s="81"/>
      <c r="L102" s="89">
        <v>4.4700131823368974</v>
      </c>
      <c r="M102" s="90">
        <v>4.150813186271721</v>
      </c>
      <c r="N102" s="90">
        <v>4.2748232713028473</v>
      </c>
      <c r="O102" s="90">
        <v>5.3760000000000003</v>
      </c>
      <c r="P102" s="90">
        <v>1.2609999999999999</v>
      </c>
      <c r="Q102" s="90">
        <v>6.2709999999999999</v>
      </c>
      <c r="R102" s="90">
        <v>4.7729999999999997</v>
      </c>
      <c r="S102" s="90">
        <v>5.4290000000000003</v>
      </c>
      <c r="T102" s="90">
        <v>-0.93799999999999994</v>
      </c>
      <c r="U102" s="90">
        <v>2.4449999999999998</v>
      </c>
      <c r="V102" s="91">
        <v>4.96</v>
      </c>
      <c r="W102" s="91">
        <f t="shared" si="1"/>
        <v>7.1707427115507585</v>
      </c>
    </row>
    <row r="103" spans="1:23" x14ac:dyDescent="0.35">
      <c r="A103" s="81" t="s">
        <v>569</v>
      </c>
      <c r="B103" s="81" t="s">
        <v>664</v>
      </c>
      <c r="C103" s="89">
        <v>-1.3801179259189</v>
      </c>
      <c r="D103" s="90">
        <v>1.2027047615812192</v>
      </c>
      <c r="E103" s="91">
        <v>2.4249070445692134</v>
      </c>
      <c r="G103" s="103" t="s">
        <v>571</v>
      </c>
      <c r="H103" s="101">
        <v>86.159393229935986</v>
      </c>
      <c r="I103" s="93">
        <v>35</v>
      </c>
      <c r="J103" s="94">
        <v>1</v>
      </c>
      <c r="K103" s="81"/>
      <c r="L103" s="89">
        <v>3.4961183375797935</v>
      </c>
      <c r="M103" s="90">
        <v>3.3604061030308432</v>
      </c>
      <c r="N103" s="90">
        <v>3.7445757725785316</v>
      </c>
      <c r="O103" s="90">
        <v>3.6909999999999998</v>
      </c>
      <c r="P103" s="90">
        <v>3.8620000000000001</v>
      </c>
      <c r="Q103" s="90">
        <v>3.9380000000000002</v>
      </c>
      <c r="R103" s="90">
        <v>4.0069999999999997</v>
      </c>
      <c r="S103" s="90">
        <v>2.891</v>
      </c>
      <c r="T103" s="90">
        <v>-14.598000000000001</v>
      </c>
      <c r="U103" s="90">
        <v>3.4990000000000001</v>
      </c>
      <c r="V103" s="91">
        <v>8.3000000000000007</v>
      </c>
      <c r="W103" s="91">
        <f t="shared" si="1"/>
        <v>1.8138059030752163</v>
      </c>
    </row>
    <row r="104" spans="1:23" x14ac:dyDescent="0.35">
      <c r="A104" s="81" t="s">
        <v>573</v>
      </c>
      <c r="B104" s="81" t="s">
        <v>665</v>
      </c>
      <c r="C104" s="89">
        <v>-0.23058449292154837</v>
      </c>
      <c r="D104" s="90">
        <v>0.18053445950247937</v>
      </c>
      <c r="E104" s="91">
        <v>1.3300326593307599</v>
      </c>
      <c r="G104" s="103" t="s">
        <v>398</v>
      </c>
      <c r="H104" s="101">
        <v>70.665681404041052</v>
      </c>
      <c r="I104" s="93">
        <v>87</v>
      </c>
      <c r="J104" s="94">
        <v>11</v>
      </c>
      <c r="K104" s="81"/>
      <c r="L104" s="89">
        <v>3.6423226794134638</v>
      </c>
      <c r="M104" s="90">
        <v>1.3540919615167941</v>
      </c>
      <c r="N104" s="90">
        <v>2.8043401283809737</v>
      </c>
      <c r="O104" s="90">
        <v>3.2930000000000001</v>
      </c>
      <c r="P104" s="90">
        <v>2.6309999999999998</v>
      </c>
      <c r="Q104" s="90">
        <v>2.113</v>
      </c>
      <c r="R104" s="90">
        <v>2.1949999999999998</v>
      </c>
      <c r="S104" s="90">
        <v>-0.19900000000000001</v>
      </c>
      <c r="T104" s="90">
        <v>-7.9880000000000004</v>
      </c>
      <c r="U104" s="90">
        <v>4.7210000000000001</v>
      </c>
      <c r="V104" s="91">
        <v>3.0659999999999998</v>
      </c>
      <c r="W104" s="91">
        <f t="shared" si="1"/>
        <v>0.75528355941661962</v>
      </c>
    </row>
    <row r="105" spans="1:23" x14ac:dyDescent="0.35">
      <c r="A105" s="81" t="s">
        <v>227</v>
      </c>
      <c r="B105" s="81" t="s">
        <v>666</v>
      </c>
      <c r="C105" s="89">
        <v>-0.11659435485397163</v>
      </c>
      <c r="D105" s="90">
        <v>1.5069892590011902</v>
      </c>
      <c r="E105" s="91">
        <v>3.001683990106474</v>
      </c>
      <c r="G105" s="103" t="s">
        <v>571</v>
      </c>
      <c r="H105" s="101">
        <v>79.52270940766131</v>
      </c>
      <c r="I105" s="93">
        <v>52</v>
      </c>
      <c r="J105" s="94">
        <v>33</v>
      </c>
      <c r="K105" s="81"/>
      <c r="L105" s="89">
        <v>-0.58973412591981322</v>
      </c>
      <c r="M105" s="90">
        <v>9.0438654824314977</v>
      </c>
      <c r="N105" s="90">
        <v>4.9996256689180685</v>
      </c>
      <c r="O105" s="90">
        <v>-0.33800000000000002</v>
      </c>
      <c r="P105" s="90">
        <v>4.4089999999999998</v>
      </c>
      <c r="Q105" s="90">
        <v>4.2</v>
      </c>
      <c r="R105" s="90">
        <v>4.0999999999999996</v>
      </c>
      <c r="S105" s="90">
        <v>3.6</v>
      </c>
      <c r="T105" s="90">
        <v>-8.3000000000000007</v>
      </c>
      <c r="U105" s="90">
        <v>13.945</v>
      </c>
      <c r="V105" s="91">
        <v>-5.5759999999999996</v>
      </c>
      <c r="W105" s="91">
        <f t="shared" si="1"/>
        <v>2.2543366245538321</v>
      </c>
    </row>
    <row r="106" spans="1:23" x14ac:dyDescent="0.35">
      <c r="A106" s="81" t="s">
        <v>565</v>
      </c>
      <c r="B106" s="81" t="s">
        <v>667</v>
      </c>
      <c r="C106" s="89">
        <v>0.5652165458427838</v>
      </c>
      <c r="D106" s="90">
        <v>3.0624452280082259</v>
      </c>
      <c r="E106" s="91">
        <v>4.33160969781623</v>
      </c>
      <c r="G106" s="103" t="s">
        <v>571</v>
      </c>
      <c r="H106" s="101">
        <v>78.890549447741549</v>
      </c>
      <c r="I106" s="93">
        <v>56</v>
      </c>
      <c r="J106" s="94">
        <v>8</v>
      </c>
      <c r="K106" s="81"/>
      <c r="L106" s="89">
        <v>12.319819848483753</v>
      </c>
      <c r="M106" s="90">
        <v>11.648916189886327</v>
      </c>
      <c r="N106" s="90">
        <v>7.8852254815193961</v>
      </c>
      <c r="O106" s="90">
        <v>2.41</v>
      </c>
      <c r="P106" s="90">
        <v>1.49</v>
      </c>
      <c r="Q106" s="90">
        <v>5.6369999999999996</v>
      </c>
      <c r="R106" s="90">
        <v>7.7450000000000001</v>
      </c>
      <c r="S106" s="90">
        <v>5.6020000000000003</v>
      </c>
      <c r="T106" s="90">
        <v>-4.5579999999999998</v>
      </c>
      <c r="U106" s="90">
        <v>1.637</v>
      </c>
      <c r="V106" s="91">
        <v>4.8460000000000001</v>
      </c>
      <c r="W106" s="91">
        <f t="shared" si="1"/>
        <v>3.6970274629122279</v>
      </c>
    </row>
    <row r="107" spans="1:23" x14ac:dyDescent="0.35">
      <c r="A107" s="81" t="s">
        <v>569</v>
      </c>
      <c r="B107" s="81" t="s">
        <v>668</v>
      </c>
      <c r="C107" s="89">
        <v>2.7484311837486786</v>
      </c>
      <c r="D107" s="90">
        <v>3.8040844105169391</v>
      </c>
      <c r="E107" s="91">
        <v>4.437166103247403</v>
      </c>
      <c r="G107" s="103" t="s">
        <v>398</v>
      </c>
      <c r="H107" s="101">
        <v>76.129604349240608</v>
      </c>
      <c r="I107" s="93">
        <v>65</v>
      </c>
      <c r="J107" s="94">
        <v>4</v>
      </c>
      <c r="K107" s="81"/>
      <c r="L107" s="89">
        <v>1.2735415748875247</v>
      </c>
      <c r="M107" s="90">
        <v>4.8919045547561728</v>
      </c>
      <c r="N107" s="90">
        <v>5.1501913509219497</v>
      </c>
      <c r="O107" s="90">
        <v>4.3449999999999998</v>
      </c>
      <c r="P107" s="90">
        <v>0.52100000000000002</v>
      </c>
      <c r="Q107" s="90">
        <v>5.0579999999999998</v>
      </c>
      <c r="R107" s="90">
        <v>3.0659999999999998</v>
      </c>
      <c r="S107" s="90">
        <v>2.891</v>
      </c>
      <c r="T107" s="90">
        <v>-7.1870000000000003</v>
      </c>
      <c r="U107" s="90">
        <v>7.93</v>
      </c>
      <c r="V107" s="91">
        <v>1.135</v>
      </c>
      <c r="W107" s="91">
        <f t="shared" si="1"/>
        <v>4.1206252568821711</v>
      </c>
    </row>
    <row r="108" spans="1:23" x14ac:dyDescent="0.35">
      <c r="A108" s="81" t="s">
        <v>569</v>
      </c>
      <c r="B108" s="81" t="s">
        <v>669</v>
      </c>
      <c r="C108" s="89">
        <v>1.7345974801987962</v>
      </c>
      <c r="D108" s="90">
        <v>2.1902907307407293</v>
      </c>
      <c r="E108" s="91">
        <v>3.9391606371984134</v>
      </c>
      <c r="G108" s="103" t="s">
        <v>422</v>
      </c>
      <c r="H108" s="101">
        <v>66.134592515292979</v>
      </c>
      <c r="I108" s="93">
        <v>110</v>
      </c>
      <c r="J108" s="94">
        <v>25</v>
      </c>
      <c r="K108" s="81"/>
      <c r="L108" s="89">
        <v>7.2584392525877934</v>
      </c>
      <c r="M108" s="90">
        <v>6.9636071348707169</v>
      </c>
      <c r="N108" s="90">
        <v>7.3985127971386246</v>
      </c>
      <c r="O108" s="90">
        <v>6.7229999999999999</v>
      </c>
      <c r="P108" s="90">
        <v>3.8239999999999998</v>
      </c>
      <c r="Q108" s="90">
        <v>3.7410000000000001</v>
      </c>
      <c r="R108" s="90">
        <v>3.444</v>
      </c>
      <c r="S108" s="90">
        <v>2.3149999999999999</v>
      </c>
      <c r="T108" s="90">
        <v>-1.1990000000000001</v>
      </c>
      <c r="U108" s="90">
        <v>2.3279999999999998</v>
      </c>
      <c r="V108" s="91">
        <v>4.1479999999999997</v>
      </c>
      <c r="W108" s="91">
        <f t="shared" si="1"/>
        <v>3.0647256839695713</v>
      </c>
    </row>
    <row r="109" spans="1:23" x14ac:dyDescent="0.35">
      <c r="A109" s="81" t="s">
        <v>565</v>
      </c>
      <c r="B109" s="81" t="s">
        <v>670</v>
      </c>
      <c r="C109" s="89">
        <v>-4.7700497073887238</v>
      </c>
      <c r="D109" s="90">
        <v>-0.38368451177455132</v>
      </c>
      <c r="E109" s="91">
        <v>3.2897594501001937</v>
      </c>
      <c r="G109" s="103" t="s">
        <v>422</v>
      </c>
      <c r="H109" s="101">
        <v>65.606474585171327</v>
      </c>
      <c r="I109" s="93">
        <v>111</v>
      </c>
      <c r="J109" s="94">
        <v>22</v>
      </c>
      <c r="K109" s="81"/>
      <c r="L109" s="89">
        <v>6.4857540044064299</v>
      </c>
      <c r="M109" s="90">
        <v>7.8986694782381086</v>
      </c>
      <c r="N109" s="90">
        <v>8.1996637504261933</v>
      </c>
      <c r="O109" s="90">
        <v>7.4729999999999999</v>
      </c>
      <c r="P109" s="90">
        <v>6.4080000000000004</v>
      </c>
      <c r="Q109" s="90">
        <v>5.75</v>
      </c>
      <c r="R109" s="90">
        <v>6.4050000000000002</v>
      </c>
      <c r="S109" s="90">
        <v>6.75</v>
      </c>
      <c r="T109" s="90">
        <v>3.1890000000000001</v>
      </c>
      <c r="U109" s="90">
        <v>-17.937999999999999</v>
      </c>
      <c r="V109" s="91">
        <v>1.9710000000000001</v>
      </c>
      <c r="W109" s="91">
        <f t="shared" si="1"/>
        <v>1.4530374691628212</v>
      </c>
    </row>
    <row r="110" spans="1:23" x14ac:dyDescent="0.35">
      <c r="A110" s="81" t="s">
        <v>569</v>
      </c>
      <c r="B110" s="81" t="s">
        <v>671</v>
      </c>
      <c r="C110" s="89">
        <v>5.9000128031017951</v>
      </c>
      <c r="D110" s="90">
        <v>3.7913046668829331</v>
      </c>
      <c r="E110" s="91">
        <v>3.4125855123770643</v>
      </c>
      <c r="G110" s="103" t="s">
        <v>398</v>
      </c>
      <c r="H110" s="101">
        <v>72.202169838266542</v>
      </c>
      <c r="I110" s="93">
        <v>79</v>
      </c>
      <c r="J110" s="94">
        <v>10</v>
      </c>
      <c r="K110" s="81"/>
      <c r="L110" s="89">
        <v>5.061682013267613</v>
      </c>
      <c r="M110" s="90">
        <v>5.6147197006409399</v>
      </c>
      <c r="N110" s="90">
        <v>5.7577888470497651</v>
      </c>
      <c r="O110" s="90">
        <v>4.2640000000000002</v>
      </c>
      <c r="P110" s="90">
        <v>3.4000000000000002E-2</v>
      </c>
      <c r="Q110" s="90">
        <v>-1.0269999999999999</v>
      </c>
      <c r="R110" s="90">
        <v>1.06</v>
      </c>
      <c r="S110" s="90">
        <v>-0.83899999999999997</v>
      </c>
      <c r="T110" s="90">
        <v>-8.0359999999999996</v>
      </c>
      <c r="U110" s="90">
        <v>2.6560000000000001</v>
      </c>
      <c r="V110" s="91">
        <v>3.8420000000000001</v>
      </c>
      <c r="W110" s="91">
        <f t="shared" si="1"/>
        <v>3.6019450896299987</v>
      </c>
    </row>
    <row r="111" spans="1:23" x14ac:dyDescent="0.35">
      <c r="A111" s="81" t="s">
        <v>565</v>
      </c>
      <c r="B111" s="81" t="s">
        <v>672</v>
      </c>
      <c r="C111" s="89">
        <v>2.509308980392877</v>
      </c>
      <c r="D111" s="90">
        <v>4.3365366697670549</v>
      </c>
      <c r="E111" s="91">
        <v>4.4414058742941132</v>
      </c>
      <c r="G111" s="103" t="s">
        <v>567</v>
      </c>
      <c r="H111" s="101">
        <v>47.880656607147813</v>
      </c>
      <c r="I111" s="93">
        <v>141</v>
      </c>
      <c r="J111" s="94">
        <v>29</v>
      </c>
      <c r="K111" s="81"/>
      <c r="L111" s="89">
        <v>4.6701221485020756</v>
      </c>
      <c r="M111" s="90">
        <v>3.525153173819251</v>
      </c>
      <c r="N111" s="90">
        <v>6.0114828408077567</v>
      </c>
      <c r="O111" s="90">
        <v>3.976</v>
      </c>
      <c r="P111" s="90">
        <v>0.433</v>
      </c>
      <c r="Q111" s="90">
        <v>8.9770000000000003</v>
      </c>
      <c r="R111" s="90">
        <v>7.6219999999999999</v>
      </c>
      <c r="S111" s="90">
        <v>6.657</v>
      </c>
      <c r="T111" s="90">
        <v>-2.37</v>
      </c>
      <c r="U111" s="90">
        <v>4.2469999999999999</v>
      </c>
      <c r="V111" s="91">
        <v>5.8380000000000001</v>
      </c>
      <c r="W111" s="91">
        <f t="shared" si="1"/>
        <v>4.3889712720305845</v>
      </c>
    </row>
    <row r="112" spans="1:23" x14ac:dyDescent="0.35">
      <c r="A112" s="81" t="s">
        <v>227</v>
      </c>
      <c r="B112" s="81" t="s">
        <v>673</v>
      </c>
      <c r="C112" s="89">
        <v>1.7497887812736312</v>
      </c>
      <c r="D112" s="90">
        <v>1.8172353151896914</v>
      </c>
      <c r="E112" s="91">
        <v>1.7415218308118652</v>
      </c>
      <c r="G112" s="103" t="s">
        <v>415</v>
      </c>
      <c r="H112" s="101">
        <v>97.320188246923195</v>
      </c>
      <c r="I112" s="93">
        <v>6</v>
      </c>
      <c r="J112" s="94">
        <v>4</v>
      </c>
      <c r="K112" s="81"/>
      <c r="L112" s="89">
        <v>-1.0303540066027346</v>
      </c>
      <c r="M112" s="90">
        <v>-0.13017522863902575</v>
      </c>
      <c r="N112" s="90">
        <v>1.4233954098743582</v>
      </c>
      <c r="O112" s="90">
        <v>1.958</v>
      </c>
      <c r="P112" s="90">
        <v>2.1920000000000002</v>
      </c>
      <c r="Q112" s="90">
        <v>2.911</v>
      </c>
      <c r="R112" s="90">
        <v>2.3610000000000002</v>
      </c>
      <c r="S112" s="90">
        <v>1.956</v>
      </c>
      <c r="T112" s="90">
        <v>-3.9129999999999998</v>
      </c>
      <c r="U112" s="90">
        <v>4.883</v>
      </c>
      <c r="V112" s="91">
        <v>4.5179999999999998</v>
      </c>
      <c r="W112" s="91">
        <f t="shared" si="1"/>
        <v>1.7793785730007783</v>
      </c>
    </row>
    <row r="113" spans="1:23" x14ac:dyDescent="0.35">
      <c r="A113" s="81" t="s">
        <v>565</v>
      </c>
      <c r="B113" s="81" t="s">
        <v>674</v>
      </c>
      <c r="C113" s="89">
        <v>1.6101427265492019</v>
      </c>
      <c r="D113" s="90">
        <v>2.5126996765094445</v>
      </c>
      <c r="E113" s="91">
        <v>2.926527233523446</v>
      </c>
      <c r="G113" s="103" t="s">
        <v>415</v>
      </c>
      <c r="H113" s="101">
        <v>98.673978139326721</v>
      </c>
      <c r="I113" s="93">
        <v>1</v>
      </c>
      <c r="J113" s="94">
        <v>1</v>
      </c>
      <c r="K113" s="81"/>
      <c r="L113" s="89">
        <v>2.2395634845413639</v>
      </c>
      <c r="M113" s="90">
        <v>2.6288005896782796</v>
      </c>
      <c r="N113" s="90">
        <v>3.6255957672075687</v>
      </c>
      <c r="O113" s="90">
        <v>3.6909999999999998</v>
      </c>
      <c r="P113" s="90">
        <v>3.8839999999999999</v>
      </c>
      <c r="Q113" s="90">
        <v>3.46</v>
      </c>
      <c r="R113" s="90">
        <v>3.524</v>
      </c>
      <c r="S113" s="90">
        <v>3.0750000000000002</v>
      </c>
      <c r="T113" s="90">
        <v>-1.4770000000000001</v>
      </c>
      <c r="U113" s="90">
        <v>6.0880000000000001</v>
      </c>
      <c r="V113" s="91">
        <v>2.4350000000000001</v>
      </c>
      <c r="W113" s="91">
        <f t="shared" si="1"/>
        <v>2.7196134550164452</v>
      </c>
    </row>
    <row r="114" spans="1:23" x14ac:dyDescent="0.35">
      <c r="A114" s="81" t="s">
        <v>573</v>
      </c>
      <c r="B114" s="81" t="s">
        <v>675</v>
      </c>
      <c r="C114" s="89">
        <v>4.0750139508862748</v>
      </c>
      <c r="D114" s="90">
        <v>0.946067021483743</v>
      </c>
      <c r="E114" s="91">
        <v>2.8253976939387693</v>
      </c>
      <c r="G114" s="103" t="s">
        <v>422</v>
      </c>
      <c r="H114" s="101">
        <v>64.641996561099731</v>
      </c>
      <c r="I114" s="93">
        <v>115</v>
      </c>
      <c r="J114" s="94">
        <v>15</v>
      </c>
      <c r="K114" s="81"/>
      <c r="L114" s="89">
        <v>6.4967472990321502</v>
      </c>
      <c r="M114" s="90">
        <v>4.9267922688301464</v>
      </c>
      <c r="N114" s="90">
        <v>4.7858161704434874</v>
      </c>
      <c r="O114" s="90">
        <v>4.7919999999999998</v>
      </c>
      <c r="P114" s="90">
        <v>4.5629999999999997</v>
      </c>
      <c r="Q114" s="90">
        <v>4.6310000000000002</v>
      </c>
      <c r="R114" s="90">
        <v>-3.363</v>
      </c>
      <c r="S114" s="90">
        <v>-3.78</v>
      </c>
      <c r="T114" s="90">
        <v>-1.7889999999999999</v>
      </c>
      <c r="U114" s="90">
        <v>10.345000000000001</v>
      </c>
      <c r="V114" s="91">
        <v>4.024</v>
      </c>
      <c r="W114" s="91">
        <f t="shared" si="1"/>
        <v>1.8857323577112561</v>
      </c>
    </row>
    <row r="115" spans="1:23" x14ac:dyDescent="0.35">
      <c r="A115" s="81" t="s">
        <v>569</v>
      </c>
      <c r="B115" s="81" t="s">
        <v>676</v>
      </c>
      <c r="C115" s="89">
        <v>5.2681473931170952</v>
      </c>
      <c r="D115" s="90">
        <v>5.8171216819006277</v>
      </c>
      <c r="E115" s="91">
        <v>5.6255556295670361</v>
      </c>
      <c r="G115" s="103" t="s">
        <v>422</v>
      </c>
      <c r="H115" s="101">
        <v>68.812447501404833</v>
      </c>
      <c r="I115" s="93">
        <v>98</v>
      </c>
      <c r="J115" s="94">
        <v>19</v>
      </c>
      <c r="K115" s="81"/>
      <c r="L115" s="89">
        <v>10.599907397446637</v>
      </c>
      <c r="M115" s="90">
        <v>5.5657295960540178</v>
      </c>
      <c r="N115" s="90">
        <v>6.5644262265084619</v>
      </c>
      <c r="O115" s="90">
        <v>4.3929999999999998</v>
      </c>
      <c r="P115" s="90">
        <v>5.7409999999999997</v>
      </c>
      <c r="Q115" s="90">
        <v>5.0010000000000003</v>
      </c>
      <c r="R115" s="90">
        <v>7.0069999999999997</v>
      </c>
      <c r="S115" s="90">
        <v>6.1429999999999998</v>
      </c>
      <c r="T115" s="90">
        <v>3.55</v>
      </c>
      <c r="U115" s="90">
        <v>1.399</v>
      </c>
      <c r="V115" s="91">
        <v>11.111000000000001</v>
      </c>
      <c r="W115" s="91">
        <f t="shared" si="1"/>
        <v>5.7213386557338319</v>
      </c>
    </row>
    <row r="116" spans="1:23" x14ac:dyDescent="0.35">
      <c r="A116" s="81" t="s">
        <v>569</v>
      </c>
      <c r="B116" s="81" t="s">
        <v>677</v>
      </c>
      <c r="C116" s="89">
        <v>1.6711254984559387</v>
      </c>
      <c r="D116" s="90">
        <v>1.8286894595159531</v>
      </c>
      <c r="E116" s="91">
        <v>2.3705025942777347</v>
      </c>
      <c r="G116" s="103" t="s">
        <v>567</v>
      </c>
      <c r="H116" s="101">
        <v>54.117482987279544</v>
      </c>
      <c r="I116" s="93">
        <v>136</v>
      </c>
      <c r="J116" s="94">
        <v>35</v>
      </c>
      <c r="K116" s="81"/>
      <c r="L116" s="89">
        <v>4.2300611751055515</v>
      </c>
      <c r="M116" s="90">
        <v>6.6713353928837664</v>
      </c>
      <c r="N116" s="90">
        <v>6.3097186557238203</v>
      </c>
      <c r="O116" s="90">
        <v>2.653</v>
      </c>
      <c r="P116" s="90">
        <v>-1.617</v>
      </c>
      <c r="Q116" s="90">
        <v>0.80600000000000005</v>
      </c>
      <c r="R116" s="90">
        <v>1.923</v>
      </c>
      <c r="S116" s="90">
        <v>2.2080000000000002</v>
      </c>
      <c r="T116" s="90">
        <v>-1.794</v>
      </c>
      <c r="U116" s="90">
        <v>3.6469999999999998</v>
      </c>
      <c r="V116" s="91">
        <v>3.2519999999999998</v>
      </c>
      <c r="W116" s="91">
        <f t="shared" si="1"/>
        <v>2.0995960268968439</v>
      </c>
    </row>
    <row r="117" spans="1:23" x14ac:dyDescent="0.35">
      <c r="A117" s="81" t="s">
        <v>227</v>
      </c>
      <c r="B117" s="81" t="s">
        <v>678</v>
      </c>
      <c r="C117" s="89">
        <v>-7.5001429328758196E-2</v>
      </c>
      <c r="D117" s="90">
        <v>1.3021650287798892</v>
      </c>
      <c r="E117" s="91">
        <v>2.0797979747829265</v>
      </c>
      <c r="G117" s="103" t="s">
        <v>571</v>
      </c>
      <c r="H117" s="101">
        <v>78.35616814320835</v>
      </c>
      <c r="I117" s="93">
        <v>58</v>
      </c>
      <c r="J117" s="94">
        <v>35</v>
      </c>
      <c r="K117" s="81"/>
      <c r="L117" s="89">
        <v>-0.45618322360793873</v>
      </c>
      <c r="M117" s="90">
        <v>2.9252576645048585</v>
      </c>
      <c r="N117" s="90">
        <v>3.6291235127637393</v>
      </c>
      <c r="O117" s="90">
        <v>3.8559999999999999</v>
      </c>
      <c r="P117" s="90">
        <v>2.8479999999999999</v>
      </c>
      <c r="Q117" s="90">
        <v>1.0820000000000001</v>
      </c>
      <c r="R117" s="90">
        <v>2.8809999999999998</v>
      </c>
      <c r="S117" s="90">
        <v>3.91</v>
      </c>
      <c r="T117" s="90">
        <v>-4.6879999999999997</v>
      </c>
      <c r="U117" s="90">
        <v>3.931</v>
      </c>
      <c r="V117" s="91">
        <v>2.2170000000000001</v>
      </c>
      <c r="W117" s="91">
        <f t="shared" si="1"/>
        <v>1.6909815017814078</v>
      </c>
    </row>
    <row r="118" spans="1:23" x14ac:dyDescent="0.35">
      <c r="A118" s="81" t="s">
        <v>227</v>
      </c>
      <c r="B118" s="81" t="s">
        <v>679</v>
      </c>
      <c r="C118" s="89">
        <v>2.1276786032802697</v>
      </c>
      <c r="D118" s="90">
        <v>2.0038500872442633</v>
      </c>
      <c r="E118" s="91">
        <v>1.8376731142071945</v>
      </c>
      <c r="G118" s="103" t="s">
        <v>415</v>
      </c>
      <c r="H118" s="101">
        <v>96.569623372049904</v>
      </c>
      <c r="I118" s="93">
        <v>10</v>
      </c>
      <c r="J118" s="94">
        <v>8</v>
      </c>
      <c r="K118" s="81"/>
      <c r="L118" s="89">
        <v>2.7030738548426481</v>
      </c>
      <c r="M118" s="90">
        <v>1.0340729135363009</v>
      </c>
      <c r="N118" s="90">
        <v>1.9695443007938924</v>
      </c>
      <c r="O118" s="90">
        <v>1.857</v>
      </c>
      <c r="P118" s="90">
        <v>1.165</v>
      </c>
      <c r="Q118" s="90">
        <v>2.464</v>
      </c>
      <c r="R118" s="90">
        <v>0.82899999999999996</v>
      </c>
      <c r="S118" s="90">
        <v>1.1240000000000001</v>
      </c>
      <c r="T118" s="90">
        <v>-1.278</v>
      </c>
      <c r="U118" s="90">
        <v>3.8980000000000001</v>
      </c>
      <c r="V118" s="91">
        <v>3.2810000000000001</v>
      </c>
      <c r="W118" s="91">
        <f t="shared" si="1"/>
        <v>1.9207616007257289</v>
      </c>
    </row>
    <row r="119" spans="1:23" x14ac:dyDescent="0.35">
      <c r="A119" s="81" t="s">
        <v>580</v>
      </c>
      <c r="B119" s="81" t="s">
        <v>680</v>
      </c>
      <c r="C119" s="89">
        <v>1.2841572452507943</v>
      </c>
      <c r="D119" s="90">
        <v>3.5695383112497314</v>
      </c>
      <c r="E119" s="91">
        <v>3.4884405409466579</v>
      </c>
      <c r="G119" s="103" t="s">
        <v>571</v>
      </c>
      <c r="H119" s="101">
        <v>83.929015692724803</v>
      </c>
      <c r="I119" s="93">
        <v>38</v>
      </c>
      <c r="J119" s="94">
        <v>3</v>
      </c>
      <c r="K119" s="81"/>
      <c r="L119" s="89">
        <v>9.3317368265983944</v>
      </c>
      <c r="M119" s="90">
        <v>4.373453291056836</v>
      </c>
      <c r="N119" s="90">
        <v>2.7522002596044053</v>
      </c>
      <c r="O119" s="90">
        <v>5.0170000000000003</v>
      </c>
      <c r="P119" s="90">
        <v>5.0460000000000003</v>
      </c>
      <c r="Q119" s="90">
        <v>0.30399999999999999</v>
      </c>
      <c r="R119" s="90">
        <v>1.2869999999999999</v>
      </c>
      <c r="S119" s="90">
        <v>-1.1299999999999999</v>
      </c>
      <c r="T119" s="90">
        <v>-3.2</v>
      </c>
      <c r="U119" s="90">
        <v>2.9020000000000001</v>
      </c>
      <c r="V119" s="91">
        <v>4.3109999999999999</v>
      </c>
      <c r="W119" s="91">
        <f t="shared" si="1"/>
        <v>3.5289894260981947</v>
      </c>
    </row>
    <row r="120" spans="1:23" x14ac:dyDescent="0.35">
      <c r="A120" s="81" t="s">
        <v>565</v>
      </c>
      <c r="B120" s="81" t="s">
        <v>681</v>
      </c>
      <c r="C120" s="89">
        <v>-2.8988961286927073</v>
      </c>
      <c r="D120" s="90">
        <v>0.9425802646799708</v>
      </c>
      <c r="E120" s="91">
        <v>2.8446311877570185</v>
      </c>
      <c r="G120" s="103" t="s">
        <v>398</v>
      </c>
      <c r="H120" s="101">
        <v>69.599146780385112</v>
      </c>
      <c r="I120" s="93">
        <v>90</v>
      </c>
      <c r="J120" s="94">
        <v>17</v>
      </c>
      <c r="K120" s="81"/>
      <c r="L120" s="89">
        <v>2.8731257161786412</v>
      </c>
      <c r="M120" s="90">
        <v>4.4745926000517917</v>
      </c>
      <c r="N120" s="90">
        <v>5.7909341243793389</v>
      </c>
      <c r="O120" s="90">
        <v>4.0579999999999998</v>
      </c>
      <c r="P120" s="90">
        <v>4.5629999999999997</v>
      </c>
      <c r="Q120" s="90">
        <v>4.609</v>
      </c>
      <c r="R120" s="90">
        <v>6.0960000000000001</v>
      </c>
      <c r="S120" s="90">
        <v>3.12</v>
      </c>
      <c r="T120" s="90">
        <v>-0.94299999999999995</v>
      </c>
      <c r="U120" s="90">
        <v>5.742</v>
      </c>
      <c r="V120" s="91">
        <v>5.9669999999999996</v>
      </c>
      <c r="W120" s="91">
        <f t="shared" si="1"/>
        <v>1.8936057262184947</v>
      </c>
    </row>
    <row r="121" spans="1:23" x14ac:dyDescent="0.35">
      <c r="A121" s="81" t="s">
        <v>573</v>
      </c>
      <c r="B121" s="81" t="s">
        <v>682</v>
      </c>
      <c r="C121" s="89">
        <v>1.349334889011633</v>
      </c>
      <c r="D121" s="90">
        <v>2.1324418529624634</v>
      </c>
      <c r="E121" s="91">
        <v>3.875737232948695</v>
      </c>
      <c r="G121" s="103" t="s">
        <v>422</v>
      </c>
      <c r="H121" s="101">
        <v>61.957917699729606</v>
      </c>
      <c r="I121" s="93">
        <v>122</v>
      </c>
      <c r="J121" s="94">
        <v>19</v>
      </c>
      <c r="K121" s="81"/>
      <c r="L121" s="89">
        <v>9.7789039456094482</v>
      </c>
      <c r="M121" s="90">
        <v>6.9032725658169563</v>
      </c>
      <c r="N121" s="90">
        <v>5.0667432180278205</v>
      </c>
      <c r="O121" s="90">
        <v>5.7329999999999997</v>
      </c>
      <c r="P121" s="90">
        <v>4.9530000000000003</v>
      </c>
      <c r="Q121" s="90">
        <v>5.5910000000000002</v>
      </c>
      <c r="R121" s="90">
        <v>3.6850000000000001</v>
      </c>
      <c r="S121" s="90">
        <v>2.98</v>
      </c>
      <c r="T121" s="90">
        <v>-17.945</v>
      </c>
      <c r="U121" s="90">
        <v>15.336</v>
      </c>
      <c r="V121" s="91">
        <v>10</v>
      </c>
      <c r="W121" s="91">
        <f t="shared" si="1"/>
        <v>3.0040895429555792</v>
      </c>
    </row>
    <row r="122" spans="1:23" x14ac:dyDescent="0.35">
      <c r="A122" s="81" t="s">
        <v>565</v>
      </c>
      <c r="B122" s="81" t="s">
        <v>683</v>
      </c>
      <c r="C122" s="89">
        <v>0.50696592980361554</v>
      </c>
      <c r="D122" s="90">
        <v>1.127965129390196</v>
      </c>
      <c r="E122" s="91">
        <v>3.7955054005958777</v>
      </c>
      <c r="G122" s="103" t="s">
        <v>567</v>
      </c>
      <c r="H122" s="101">
        <v>55.401075093758223</v>
      </c>
      <c r="I122" s="93">
        <v>131</v>
      </c>
      <c r="J122" s="94">
        <v>27</v>
      </c>
      <c r="K122" s="81"/>
      <c r="L122" s="89">
        <v>4.6571195968623904</v>
      </c>
      <c r="M122" s="90">
        <v>3.8249463280067437</v>
      </c>
      <c r="N122" s="90">
        <v>13.543770621654581</v>
      </c>
      <c r="O122" s="90">
        <v>6.5759999999999996</v>
      </c>
      <c r="P122" s="90">
        <v>5.492</v>
      </c>
      <c r="Q122" s="90">
        <v>3.5350000000000001</v>
      </c>
      <c r="R122" s="90">
        <v>-0.27900000000000003</v>
      </c>
      <c r="S122" s="90">
        <v>4.4800000000000004</v>
      </c>
      <c r="T122" s="90">
        <v>-3.1669999999999998</v>
      </c>
      <c r="U122" s="90">
        <v>7.0000000000000007E-2</v>
      </c>
      <c r="V122" s="91">
        <v>4.5359999999999996</v>
      </c>
      <c r="W122" s="91">
        <f t="shared" si="1"/>
        <v>2.4617352649930369</v>
      </c>
    </row>
    <row r="123" spans="1:23" x14ac:dyDescent="0.35">
      <c r="A123" s="81" t="s">
        <v>573</v>
      </c>
      <c r="B123" s="81" t="s">
        <v>684</v>
      </c>
      <c r="C123" s="89">
        <v>1.1388134852348575</v>
      </c>
      <c r="D123" s="90">
        <v>1.2311721995777125</v>
      </c>
      <c r="E123" s="91">
        <v>3.152890592174673</v>
      </c>
      <c r="G123" s="103" t="s">
        <v>422</v>
      </c>
      <c r="H123" s="101">
        <v>63.814130726333779</v>
      </c>
      <c r="I123" s="93">
        <v>118</v>
      </c>
      <c r="J123" s="94">
        <v>17</v>
      </c>
      <c r="K123" s="81"/>
      <c r="L123" s="89">
        <v>-0.53851294250305837</v>
      </c>
      <c r="M123" s="90">
        <v>8.4174952847030529</v>
      </c>
      <c r="N123" s="90">
        <v>4.8608903705532152</v>
      </c>
      <c r="O123" s="90">
        <v>2.9569999999999999</v>
      </c>
      <c r="P123" s="90">
        <v>4.2679999999999998</v>
      </c>
      <c r="Q123" s="90">
        <v>4.8099999999999996</v>
      </c>
      <c r="R123" s="90">
        <v>3.2040000000000002</v>
      </c>
      <c r="S123" s="90">
        <v>-0.40200000000000002</v>
      </c>
      <c r="T123" s="90">
        <v>-0.82</v>
      </c>
      <c r="U123" s="90">
        <v>4.0170000000000003</v>
      </c>
      <c r="V123" s="91">
        <v>0.2</v>
      </c>
      <c r="W123" s="91">
        <f t="shared" si="1"/>
        <v>2.1920313958761928</v>
      </c>
    </row>
    <row r="124" spans="1:23" x14ac:dyDescent="0.35">
      <c r="A124" s="81" t="s">
        <v>573</v>
      </c>
      <c r="B124" s="81" t="s">
        <v>685</v>
      </c>
      <c r="C124" s="89">
        <v>1.205712245399182</v>
      </c>
      <c r="D124" s="90">
        <v>1.959755918859285</v>
      </c>
      <c r="E124" s="91">
        <v>2.7687545080362863</v>
      </c>
      <c r="G124" s="103" t="s">
        <v>422</v>
      </c>
      <c r="H124" s="101">
        <v>62.494421901152251</v>
      </c>
      <c r="I124" s="93">
        <v>121</v>
      </c>
      <c r="J124" s="94">
        <v>18</v>
      </c>
      <c r="K124" s="81"/>
      <c r="L124" s="89">
        <v>6.1397247056043467</v>
      </c>
      <c r="M124" s="90">
        <v>5.8525182108492944</v>
      </c>
      <c r="N124" s="90">
        <v>2.3821573718054045</v>
      </c>
      <c r="O124" s="90">
        <v>3.2519999999999998</v>
      </c>
      <c r="P124" s="90">
        <v>3.9529999999999998</v>
      </c>
      <c r="Q124" s="90">
        <v>2.5190000000000001</v>
      </c>
      <c r="R124" s="90">
        <v>3.9769999999999999</v>
      </c>
      <c r="S124" s="90">
        <v>2.2330000000000001</v>
      </c>
      <c r="T124" s="90">
        <v>-11.013999999999999</v>
      </c>
      <c r="U124" s="90">
        <v>13.551</v>
      </c>
      <c r="V124" s="91">
        <v>2.7010000000000001</v>
      </c>
      <c r="W124" s="91">
        <f t="shared" si="1"/>
        <v>2.3642552134477857</v>
      </c>
    </row>
    <row r="125" spans="1:23" x14ac:dyDescent="0.35">
      <c r="A125" s="81" t="s">
        <v>565</v>
      </c>
      <c r="B125" s="81" t="s">
        <v>686</v>
      </c>
      <c r="C125" s="89">
        <v>0.96069279950485864</v>
      </c>
      <c r="D125" s="90">
        <v>3.0362820733681239</v>
      </c>
      <c r="E125" s="91">
        <v>4.8545875775876546</v>
      </c>
      <c r="G125" s="103" t="s">
        <v>398</v>
      </c>
      <c r="H125" s="101">
        <v>74.806556985260698</v>
      </c>
      <c r="I125" s="93">
        <v>69</v>
      </c>
      <c r="J125" s="94">
        <v>10</v>
      </c>
      <c r="K125" s="81"/>
      <c r="L125" s="89">
        <v>6.8969517105747951</v>
      </c>
      <c r="M125" s="90">
        <v>6.7505313017782687</v>
      </c>
      <c r="N125" s="90">
        <v>6.3479874825028357</v>
      </c>
      <c r="O125" s="90">
        <v>6.3479999999999999</v>
      </c>
      <c r="P125" s="90">
        <v>7.149</v>
      </c>
      <c r="Q125" s="90">
        <v>6.931</v>
      </c>
      <c r="R125" s="90">
        <v>6.3410000000000002</v>
      </c>
      <c r="S125" s="90">
        <v>6.1189999999999998</v>
      </c>
      <c r="T125" s="90">
        <v>-9.5180000000000007</v>
      </c>
      <c r="U125" s="90">
        <v>5.7030000000000003</v>
      </c>
      <c r="V125" s="91">
        <v>7.5990000000000002</v>
      </c>
      <c r="W125" s="91">
        <f t="shared" si="1"/>
        <v>3.9454348254778893</v>
      </c>
    </row>
    <row r="126" spans="1:23" x14ac:dyDescent="0.35">
      <c r="A126" s="81" t="s">
        <v>227</v>
      </c>
      <c r="B126" s="81" t="s">
        <v>687</v>
      </c>
      <c r="C126" s="89">
        <v>3.162865203018228</v>
      </c>
      <c r="D126" s="90">
        <v>3.8363783613865499</v>
      </c>
      <c r="E126" s="91">
        <v>3.5697088266716248</v>
      </c>
      <c r="G126" s="103" t="s">
        <v>571</v>
      </c>
      <c r="H126" s="101">
        <v>85.420553644487129</v>
      </c>
      <c r="I126" s="93">
        <v>36</v>
      </c>
      <c r="J126" s="94">
        <v>23</v>
      </c>
      <c r="K126" s="81"/>
      <c r="L126" s="89">
        <v>1.6079066445646626</v>
      </c>
      <c r="M126" s="90">
        <v>1.3918923212492256</v>
      </c>
      <c r="N126" s="90">
        <v>3.3184475370007722</v>
      </c>
      <c r="O126" s="90">
        <v>4.383</v>
      </c>
      <c r="P126" s="90">
        <v>2.9540000000000002</v>
      </c>
      <c r="Q126" s="90">
        <v>5.14</v>
      </c>
      <c r="R126" s="90">
        <v>5.9450000000000003</v>
      </c>
      <c r="S126" s="90">
        <v>4.45</v>
      </c>
      <c r="T126" s="90">
        <v>-2.02</v>
      </c>
      <c r="U126" s="90">
        <v>6.8479999999999999</v>
      </c>
      <c r="V126" s="91">
        <v>4.8739999999999997</v>
      </c>
      <c r="W126" s="91">
        <f t="shared" si="1"/>
        <v>3.7030435940290873</v>
      </c>
    </row>
    <row r="127" spans="1:23" x14ac:dyDescent="0.35">
      <c r="A127" s="81" t="s">
        <v>227</v>
      </c>
      <c r="B127" s="81" t="s">
        <v>688</v>
      </c>
      <c r="C127" s="89">
        <v>1.0661443105445922</v>
      </c>
      <c r="D127" s="90">
        <v>1.7172276328006886</v>
      </c>
      <c r="E127" s="91">
        <v>1.5719478894561822</v>
      </c>
      <c r="G127" s="103" t="s">
        <v>415</v>
      </c>
      <c r="H127" s="101">
        <v>91.026987497789847</v>
      </c>
      <c r="I127" s="93">
        <v>25</v>
      </c>
      <c r="J127" s="94">
        <v>16</v>
      </c>
      <c r="K127" s="81"/>
      <c r="L127" s="89">
        <v>-4.0572943594235547</v>
      </c>
      <c r="M127" s="90">
        <v>-0.92264378725787455</v>
      </c>
      <c r="N127" s="90">
        <v>0.79219053837650444</v>
      </c>
      <c r="O127" s="90">
        <v>1.792</v>
      </c>
      <c r="P127" s="90">
        <v>2.0190000000000001</v>
      </c>
      <c r="Q127" s="90">
        <v>3.5059999999999998</v>
      </c>
      <c r="R127" s="90">
        <v>2.8490000000000002</v>
      </c>
      <c r="S127" s="90">
        <v>2.6829999999999998</v>
      </c>
      <c r="T127" s="90">
        <v>-8.3010000000000002</v>
      </c>
      <c r="U127" s="90">
        <v>5.5030000000000001</v>
      </c>
      <c r="V127" s="91">
        <v>6.726</v>
      </c>
      <c r="W127" s="91">
        <f t="shared" si="1"/>
        <v>1.6445877611284354</v>
      </c>
    </row>
    <row r="128" spans="1:23" x14ac:dyDescent="0.35">
      <c r="A128" s="81" t="s">
        <v>580</v>
      </c>
      <c r="B128" s="81" t="s">
        <v>689</v>
      </c>
      <c r="C128" s="89">
        <v>0.67674745765720079</v>
      </c>
      <c r="D128" s="90">
        <v>0.80775193577011795</v>
      </c>
      <c r="E128" s="91">
        <v>2.0997114519337501</v>
      </c>
      <c r="G128" s="103" t="s">
        <v>571</v>
      </c>
      <c r="H128" s="101">
        <v>78.783055534449289</v>
      </c>
      <c r="I128" s="93">
        <v>57</v>
      </c>
      <c r="J128" s="94">
        <v>6</v>
      </c>
      <c r="K128" s="81"/>
      <c r="L128" s="89">
        <v>4.730011843607838</v>
      </c>
      <c r="M128" s="90">
        <v>5.5560406430660754</v>
      </c>
      <c r="N128" s="90">
        <v>5.3343232919645871</v>
      </c>
      <c r="O128" s="90">
        <v>4.7530000000000001</v>
      </c>
      <c r="P128" s="90">
        <v>3.0640000000000001</v>
      </c>
      <c r="Q128" s="90">
        <v>-1.498</v>
      </c>
      <c r="R128" s="90">
        <v>1.2350000000000001</v>
      </c>
      <c r="S128" s="90">
        <v>0.68799999999999994</v>
      </c>
      <c r="T128" s="90">
        <v>-3.5579999999999998</v>
      </c>
      <c r="U128" s="90">
        <v>1.589</v>
      </c>
      <c r="V128" s="91">
        <v>4.2409999999999997</v>
      </c>
      <c r="W128" s="91">
        <f t="shared" si="1"/>
        <v>1.453731693851934</v>
      </c>
    </row>
    <row r="129" spans="1:23" x14ac:dyDescent="0.35">
      <c r="A129" s="81" t="s">
        <v>227</v>
      </c>
      <c r="B129" s="81" t="s">
        <v>690</v>
      </c>
      <c r="C129" s="89">
        <v>1.9886029006319417</v>
      </c>
      <c r="D129" s="90">
        <v>2.9733514596169686</v>
      </c>
      <c r="E129" s="91">
        <v>3.7501787507027151</v>
      </c>
      <c r="G129" s="103" t="s">
        <v>571</v>
      </c>
      <c r="H129" s="101">
        <v>84.261081453729389</v>
      </c>
      <c r="I129" s="93">
        <v>37</v>
      </c>
      <c r="J129" s="94">
        <v>24</v>
      </c>
      <c r="K129" s="81"/>
      <c r="L129" s="89">
        <v>2.0771650065377472</v>
      </c>
      <c r="M129" s="90">
        <v>3.5145518040847694</v>
      </c>
      <c r="N129" s="90">
        <v>3.4108091001793088</v>
      </c>
      <c r="O129" s="90">
        <v>3.1629999999999998</v>
      </c>
      <c r="P129" s="90">
        <v>2.8530000000000002</v>
      </c>
      <c r="Q129" s="90">
        <v>8.2129999999999992</v>
      </c>
      <c r="R129" s="90">
        <v>6.03</v>
      </c>
      <c r="S129" s="90">
        <v>3.8439999999999999</v>
      </c>
      <c r="T129" s="90">
        <v>-3.6920000000000002</v>
      </c>
      <c r="U129" s="90">
        <v>5.8739999999999997</v>
      </c>
      <c r="V129" s="91">
        <v>4.7910000000000004</v>
      </c>
      <c r="W129" s="91">
        <f t="shared" si="1"/>
        <v>3.3617651051598418</v>
      </c>
    </row>
    <row r="130" spans="1:23" x14ac:dyDescent="0.35">
      <c r="A130" s="81" t="s">
        <v>227</v>
      </c>
      <c r="B130" s="81" t="s">
        <v>691</v>
      </c>
      <c r="C130" s="89">
        <v>0.31321455831558875</v>
      </c>
      <c r="D130" s="90">
        <v>1.1211784185926943</v>
      </c>
      <c r="E130" s="91">
        <v>0.80914098391451361</v>
      </c>
      <c r="G130" s="103" t="s">
        <v>398</v>
      </c>
      <c r="H130" s="101">
        <v>76.528749373407479</v>
      </c>
      <c r="I130" s="93">
        <v>64</v>
      </c>
      <c r="J130" s="94">
        <v>36</v>
      </c>
      <c r="K130" s="81"/>
      <c r="L130" s="89">
        <v>4.0240861571797915</v>
      </c>
      <c r="M130" s="90">
        <v>1.7554221491628001</v>
      </c>
      <c r="N130" s="90">
        <v>0.736267221403759</v>
      </c>
      <c r="O130" s="90">
        <v>-1.9730000000000001</v>
      </c>
      <c r="P130" s="90">
        <v>0.19400000000000001</v>
      </c>
      <c r="Q130" s="90">
        <v>1.8260000000000001</v>
      </c>
      <c r="R130" s="90">
        <v>2.8069999999999999</v>
      </c>
      <c r="S130" s="90">
        <v>2.198</v>
      </c>
      <c r="T130" s="90">
        <v>-2.6539999999999999</v>
      </c>
      <c r="U130" s="90">
        <v>5.6239999999999997</v>
      </c>
      <c r="V130" s="91">
        <v>-2.0510000000000002</v>
      </c>
      <c r="W130" s="91">
        <f t="shared" si="1"/>
        <v>0.96515970125360395</v>
      </c>
    </row>
    <row r="131" spans="1:23" x14ac:dyDescent="0.35">
      <c r="A131" s="81" t="s">
        <v>569</v>
      </c>
      <c r="B131" s="81" t="s">
        <v>692</v>
      </c>
      <c r="C131" s="89">
        <v>4.5886571318858538</v>
      </c>
      <c r="D131" s="90">
        <v>6.3388189685080754</v>
      </c>
      <c r="E131" s="91">
        <v>6.1347836953729917</v>
      </c>
      <c r="G131" s="103" t="s">
        <v>398</v>
      </c>
      <c r="H131" s="101">
        <v>76.577775011818801</v>
      </c>
      <c r="I131" s="93">
        <v>63</v>
      </c>
      <c r="J131" s="94">
        <v>3</v>
      </c>
      <c r="K131" s="81"/>
      <c r="L131" s="89">
        <v>8.6415388651712988</v>
      </c>
      <c r="M131" s="90">
        <v>4.7198554996618309</v>
      </c>
      <c r="N131" s="90">
        <v>6.1642772027561934</v>
      </c>
      <c r="O131" s="90">
        <v>8.8539999999999992</v>
      </c>
      <c r="P131" s="90">
        <v>5.9720000000000004</v>
      </c>
      <c r="Q131" s="90">
        <v>3.9729999999999999</v>
      </c>
      <c r="R131" s="90">
        <v>8.5779999999999994</v>
      </c>
      <c r="S131" s="90">
        <v>9.4689999999999994</v>
      </c>
      <c r="T131" s="90">
        <v>-3.3570000000000002</v>
      </c>
      <c r="U131" s="90">
        <v>10.874000000000001</v>
      </c>
      <c r="V131" s="91">
        <v>6.7629999999999999</v>
      </c>
      <c r="W131" s="91">
        <f t="shared" si="1"/>
        <v>6.2368013319405335</v>
      </c>
    </row>
    <row r="132" spans="1:23" x14ac:dyDescent="0.35">
      <c r="A132" s="81" t="s">
        <v>580</v>
      </c>
      <c r="B132" s="81" t="s">
        <v>693</v>
      </c>
      <c r="C132" s="89">
        <v>2.4790435166051283</v>
      </c>
      <c r="D132" s="90">
        <v>2.0533451948943071</v>
      </c>
      <c r="E132" s="91">
        <v>2.158001329255721</v>
      </c>
      <c r="G132" s="103" t="s">
        <v>571</v>
      </c>
      <c r="H132" s="101">
        <v>76.963439522680929</v>
      </c>
      <c r="I132" s="93">
        <v>61</v>
      </c>
      <c r="J132" s="94">
        <v>8</v>
      </c>
      <c r="K132" s="81"/>
      <c r="L132" s="89">
        <v>5.4114449021643543</v>
      </c>
      <c r="M132" s="90">
        <v>2.6992547225567329</v>
      </c>
      <c r="N132" s="90">
        <v>3.6524816975790095</v>
      </c>
      <c r="O132" s="90">
        <v>4.6900000000000004</v>
      </c>
      <c r="P132" s="90">
        <v>2.363</v>
      </c>
      <c r="Q132" s="90">
        <v>-7.0000000000000007E-2</v>
      </c>
      <c r="R132" s="90">
        <v>2.762</v>
      </c>
      <c r="S132" s="90">
        <v>0.83199999999999996</v>
      </c>
      <c r="T132" s="90">
        <v>-4.3410000000000002</v>
      </c>
      <c r="U132" s="90">
        <v>3.9220000000000002</v>
      </c>
      <c r="V132" s="91">
        <v>8.7439999999999998</v>
      </c>
      <c r="W132" s="91">
        <f t="shared" si="1"/>
        <v>2.105673262075014</v>
      </c>
    </row>
    <row r="133" spans="1:23" x14ac:dyDescent="0.35">
      <c r="A133" s="81" t="s">
        <v>569</v>
      </c>
      <c r="B133" s="81" t="s">
        <v>694</v>
      </c>
      <c r="C133" s="89">
        <v>4.0137946463164598</v>
      </c>
      <c r="D133" s="90">
        <v>4.5694149693751296</v>
      </c>
      <c r="E133" s="91">
        <v>5.2331571951220512</v>
      </c>
      <c r="G133" s="103" t="s">
        <v>398</v>
      </c>
      <c r="H133" s="101">
        <v>69.313365081609845</v>
      </c>
      <c r="I133" s="93">
        <v>93</v>
      </c>
      <c r="J133" s="94">
        <v>15</v>
      </c>
      <c r="K133" s="81"/>
      <c r="L133" s="89">
        <v>5.1173942367478444</v>
      </c>
      <c r="M133" s="90">
        <v>2.8221056497235883</v>
      </c>
      <c r="N133" s="90">
        <v>6.6135001033739647</v>
      </c>
      <c r="O133" s="90">
        <v>6.367</v>
      </c>
      <c r="P133" s="90">
        <v>6.3559999999999999</v>
      </c>
      <c r="Q133" s="90">
        <v>7.407</v>
      </c>
      <c r="R133" s="90">
        <v>6.2089999999999996</v>
      </c>
      <c r="S133" s="90">
        <v>4.6139999999999999</v>
      </c>
      <c r="T133" s="90">
        <v>1.3260000000000001</v>
      </c>
      <c r="U133" s="90">
        <v>6.0670000000000002</v>
      </c>
      <c r="V133" s="91">
        <v>4.7089999999999996</v>
      </c>
      <c r="W133" s="91">
        <f t="shared" si="1"/>
        <v>4.9012860822485909</v>
      </c>
    </row>
    <row r="134" spans="1:23" x14ac:dyDescent="0.35">
      <c r="A134" s="81" t="s">
        <v>227</v>
      </c>
      <c r="B134" s="81" t="s">
        <v>695</v>
      </c>
      <c r="C134" s="89">
        <v>2.9071913241700997</v>
      </c>
      <c r="D134" s="90">
        <v>3.5107747978878168</v>
      </c>
      <c r="E134" s="91">
        <v>2.5987412011468258</v>
      </c>
      <c r="G134" s="103" t="s">
        <v>398</v>
      </c>
      <c r="H134" s="101">
        <v>74.50245157918026</v>
      </c>
      <c r="I134" s="93">
        <v>71</v>
      </c>
      <c r="J134" s="94">
        <v>38</v>
      </c>
      <c r="K134" s="81"/>
      <c r="L134" s="89">
        <v>-0.68154236933475798</v>
      </c>
      <c r="M134" s="90">
        <v>2.892636733558092</v>
      </c>
      <c r="N134" s="90">
        <v>-1.5895103199025831</v>
      </c>
      <c r="O134" s="90">
        <v>1.776</v>
      </c>
      <c r="P134" s="90">
        <v>3.339</v>
      </c>
      <c r="Q134" s="90">
        <v>2.101</v>
      </c>
      <c r="R134" s="90">
        <v>4.4950000000000001</v>
      </c>
      <c r="S134" s="90">
        <v>4.3319999999999999</v>
      </c>
      <c r="T134" s="90">
        <v>-0.90300000000000002</v>
      </c>
      <c r="U134" s="90">
        <v>7.55</v>
      </c>
      <c r="V134" s="91">
        <v>2.2509999999999999</v>
      </c>
      <c r="W134" s="91">
        <f t="shared" si="1"/>
        <v>3.0547579995173213</v>
      </c>
    </row>
    <row r="135" spans="1:23" x14ac:dyDescent="0.35">
      <c r="A135" s="81" t="s">
        <v>569</v>
      </c>
      <c r="B135" s="81" t="s">
        <v>696</v>
      </c>
      <c r="C135" s="89">
        <v>1.6001817079933423</v>
      </c>
      <c r="D135" s="90">
        <v>2.5822705421283176</v>
      </c>
      <c r="E135" s="90">
        <v>2.323464181185142</v>
      </c>
      <c r="G135" s="103" t="s">
        <v>567</v>
      </c>
      <c r="H135" s="101">
        <v>58.993492167204309</v>
      </c>
      <c r="I135" s="93">
        <v>126</v>
      </c>
      <c r="J135" s="93">
        <v>30</v>
      </c>
      <c r="K135" s="108"/>
      <c r="L135" s="89">
        <v>15.18176908302255</v>
      </c>
      <c r="M135" s="90">
        <v>20.715768285872748</v>
      </c>
      <c r="N135" s="90">
        <v>4.5567723661529431</v>
      </c>
      <c r="O135" s="90">
        <v>-20.492999999999999</v>
      </c>
      <c r="P135" s="90">
        <v>6.3540000000000001</v>
      </c>
      <c r="Q135" s="90">
        <v>3.7650000000000001</v>
      </c>
      <c r="R135" s="90">
        <v>3.4649999999999999</v>
      </c>
      <c r="S135" s="90">
        <v>5.2539999999999996</v>
      </c>
      <c r="T135" s="90">
        <v>-1.9690000000000001</v>
      </c>
      <c r="U135" s="90">
        <v>4.1050000000000004</v>
      </c>
      <c r="V135" s="90">
        <v>2.766</v>
      </c>
      <c r="W135" s="91">
        <f t="shared" si="1"/>
        <v>2.4528673616567298</v>
      </c>
    </row>
    <row r="136" spans="1:23" x14ac:dyDescent="0.35">
      <c r="A136" s="81" t="s">
        <v>565</v>
      </c>
      <c r="B136" s="81" t="s">
        <v>697</v>
      </c>
      <c r="C136" s="89">
        <v>2.254611894692915</v>
      </c>
      <c r="D136" s="90">
        <v>2.3804077568891469</v>
      </c>
      <c r="E136" s="90">
        <v>3.1207966515608421</v>
      </c>
      <c r="G136" s="103" t="s">
        <v>415</v>
      </c>
      <c r="H136" s="101">
        <v>97.805585083414968</v>
      </c>
      <c r="I136" s="93">
        <v>4</v>
      </c>
      <c r="J136" s="93">
        <v>2</v>
      </c>
      <c r="K136" s="108"/>
      <c r="L136" s="89">
        <v>4.461608951013317</v>
      </c>
      <c r="M136" s="90">
        <v>4.8372986457609866</v>
      </c>
      <c r="N136" s="90">
        <v>3.9380027286605586</v>
      </c>
      <c r="O136" s="90">
        <v>2.9769999999999999</v>
      </c>
      <c r="P136" s="90">
        <v>3.6019999999999999</v>
      </c>
      <c r="Q136" s="90">
        <v>4.5449999999999999</v>
      </c>
      <c r="R136" s="90">
        <v>3.5750000000000002</v>
      </c>
      <c r="S136" s="90">
        <v>1.331</v>
      </c>
      <c r="T136" s="90">
        <v>-3.9009999999999998</v>
      </c>
      <c r="U136" s="90">
        <v>8.8819999999999997</v>
      </c>
      <c r="V136" s="90">
        <v>3.6469999999999998</v>
      </c>
      <c r="W136" s="91">
        <f t="shared" si="1"/>
        <v>2.7506022042249945</v>
      </c>
    </row>
    <row r="137" spans="1:23" x14ac:dyDescent="0.35">
      <c r="A137" s="81" t="s">
        <v>227</v>
      </c>
      <c r="B137" s="81" t="s">
        <v>698</v>
      </c>
      <c r="C137" s="89">
        <v>0.39781205843958389</v>
      </c>
      <c r="D137" s="90">
        <v>0.97590941056187042</v>
      </c>
      <c r="E137" s="90">
        <v>1.8214852479931931</v>
      </c>
      <c r="G137" s="103" t="s">
        <v>571</v>
      </c>
      <c r="H137" s="101">
        <v>80.276897229698847</v>
      </c>
      <c r="I137" s="93">
        <v>47</v>
      </c>
      <c r="J137" s="93">
        <v>32</v>
      </c>
      <c r="K137" s="108"/>
      <c r="L137" s="89">
        <v>1.8958108123027844</v>
      </c>
      <c r="M137" s="90">
        <v>0.67084458223160615</v>
      </c>
      <c r="N137" s="90">
        <v>2.7524343314004627</v>
      </c>
      <c r="O137" s="90">
        <v>5.1669999999999998</v>
      </c>
      <c r="P137" s="90">
        <v>1.944</v>
      </c>
      <c r="Q137" s="90">
        <v>2.9380000000000002</v>
      </c>
      <c r="R137" s="90">
        <v>4.0309999999999997</v>
      </c>
      <c r="S137" s="90">
        <v>2.5190000000000001</v>
      </c>
      <c r="T137" s="90">
        <v>-3.375</v>
      </c>
      <c r="U137" s="90">
        <v>3.0139999999999998</v>
      </c>
      <c r="V137" s="90">
        <v>1.6679999999999999</v>
      </c>
      <c r="W137" s="91">
        <f t="shared" si="1"/>
        <v>1.3986973292775318</v>
      </c>
    </row>
    <row r="138" spans="1:23" x14ac:dyDescent="0.35">
      <c r="A138" s="81" t="s">
        <v>227</v>
      </c>
      <c r="B138" s="81" t="s">
        <v>699</v>
      </c>
      <c r="C138" s="89">
        <v>2.9453399614758569</v>
      </c>
      <c r="D138" s="90">
        <v>3.265722456681952</v>
      </c>
      <c r="E138" s="90">
        <v>2.8132202997918521</v>
      </c>
      <c r="G138" s="103" t="s">
        <v>415</v>
      </c>
      <c r="H138" s="101">
        <v>88.920325519387234</v>
      </c>
      <c r="I138" s="93">
        <v>30</v>
      </c>
      <c r="J138" s="93">
        <v>19</v>
      </c>
      <c r="K138" s="108"/>
      <c r="L138" s="89">
        <v>-2.6394387292630763</v>
      </c>
      <c r="M138" s="90">
        <v>-1.029283831306939</v>
      </c>
      <c r="N138" s="90">
        <v>2.7681580195902979</v>
      </c>
      <c r="O138" s="90">
        <v>2.21</v>
      </c>
      <c r="P138" s="90">
        <v>3.1920000000000002</v>
      </c>
      <c r="Q138" s="90">
        <v>4.8159999999999998</v>
      </c>
      <c r="R138" s="90">
        <v>4.4550000000000001</v>
      </c>
      <c r="S138" s="90">
        <v>3.4510000000000001</v>
      </c>
      <c r="T138" s="90">
        <v>-4.3209999999999997</v>
      </c>
      <c r="U138" s="90">
        <v>8.2110000000000003</v>
      </c>
      <c r="V138" s="90">
        <v>5.3739999999999997</v>
      </c>
      <c r="W138" s="91">
        <f t="shared" si="1"/>
        <v>3.0394713782369021</v>
      </c>
    </row>
    <row r="139" spans="1:23" x14ac:dyDescent="0.35">
      <c r="A139" s="81" t="s">
        <v>569</v>
      </c>
      <c r="B139" s="81" t="s">
        <v>700</v>
      </c>
      <c r="C139" s="89">
        <v>8.8409433265779214E-2</v>
      </c>
      <c r="D139" s="90">
        <v>2.1857023030043443</v>
      </c>
      <c r="E139" s="90">
        <v>1.8249844059199605</v>
      </c>
      <c r="G139" s="103" t="s">
        <v>398</v>
      </c>
      <c r="H139" s="101">
        <v>75.182844770260857</v>
      </c>
      <c r="I139" s="93">
        <v>68</v>
      </c>
      <c r="J139" s="93">
        <v>5</v>
      </c>
      <c r="K139" s="108"/>
      <c r="L139" s="89">
        <v>2.2133548084844037</v>
      </c>
      <c r="M139" s="90">
        <v>2.4852005003105813</v>
      </c>
      <c r="N139" s="90">
        <v>1.8469916036571876</v>
      </c>
      <c r="O139" s="90">
        <v>1.3220000000000001</v>
      </c>
      <c r="P139" s="90">
        <v>0.66500000000000004</v>
      </c>
      <c r="Q139" s="90">
        <v>1.1579999999999999</v>
      </c>
      <c r="R139" s="90">
        <v>1.522</v>
      </c>
      <c r="S139" s="90">
        <v>0.30299999999999999</v>
      </c>
      <c r="T139" s="90">
        <v>-6.3419999999999996</v>
      </c>
      <c r="U139" s="90">
        <v>4.9130000000000003</v>
      </c>
      <c r="V139" s="90">
        <v>2.0419999999999998</v>
      </c>
      <c r="W139" s="91">
        <f t="shared" ref="W139:W165" si="2">AVERAGE(D139,E139)</f>
        <v>2.0053433544621524</v>
      </c>
    </row>
    <row r="140" spans="1:23" x14ac:dyDescent="0.35">
      <c r="A140" s="81" t="s">
        <v>227</v>
      </c>
      <c r="B140" s="81" t="s">
        <v>701</v>
      </c>
      <c r="C140" s="89">
        <v>-0.43793400391870518</v>
      </c>
      <c r="D140" s="90">
        <v>0.55931383652465527</v>
      </c>
      <c r="E140" s="90">
        <v>1.23940470018431</v>
      </c>
      <c r="G140" s="103" t="s">
        <v>415</v>
      </c>
      <c r="H140" s="101">
        <v>90.367632171249966</v>
      </c>
      <c r="I140" s="93">
        <v>27</v>
      </c>
      <c r="J140" s="93">
        <v>17</v>
      </c>
      <c r="K140" s="108"/>
      <c r="L140" s="89">
        <v>-2.9594413017355699</v>
      </c>
      <c r="M140" s="90">
        <v>-1.4353942591932869</v>
      </c>
      <c r="N140" s="90">
        <v>1.3839079426702983</v>
      </c>
      <c r="O140" s="90">
        <v>3.8370000000000002</v>
      </c>
      <c r="P140" s="90">
        <v>3.0379999999999998</v>
      </c>
      <c r="Q140" s="90">
        <v>2.9769999999999999</v>
      </c>
      <c r="R140" s="90">
        <v>2.2829999999999999</v>
      </c>
      <c r="S140" s="90">
        <v>1.9830000000000001</v>
      </c>
      <c r="T140" s="90">
        <v>-11.324999999999999</v>
      </c>
      <c r="U140" s="90">
        <v>5.5220000000000002</v>
      </c>
      <c r="V140" s="90">
        <v>5.4749999999999996</v>
      </c>
      <c r="W140" s="91">
        <f t="shared" si="2"/>
        <v>0.89935926835448265</v>
      </c>
    </row>
    <row r="141" spans="1:23" x14ac:dyDescent="0.35">
      <c r="A141" s="81" t="s">
        <v>565</v>
      </c>
      <c r="B141" s="81" t="s">
        <v>702</v>
      </c>
      <c r="C141" s="89">
        <v>-3.0583991155611168</v>
      </c>
      <c r="D141" s="90">
        <v>7.8407546755454582E-2</v>
      </c>
      <c r="E141" s="90">
        <v>2.1593525209882225</v>
      </c>
      <c r="G141" s="103" t="s">
        <v>398</v>
      </c>
      <c r="H141" s="101">
        <v>73.00518117550061</v>
      </c>
      <c r="I141" s="93">
        <v>76</v>
      </c>
      <c r="J141" s="93">
        <v>13</v>
      </c>
      <c r="K141" s="108"/>
      <c r="L141" s="89">
        <v>9.1445722464256534</v>
      </c>
      <c r="M141" s="90">
        <v>3.3957326498342781</v>
      </c>
      <c r="N141" s="90">
        <v>4.960700591697301</v>
      </c>
      <c r="O141" s="90">
        <v>4.2060000000000004</v>
      </c>
      <c r="P141" s="90">
        <v>5.0540000000000003</v>
      </c>
      <c r="Q141" s="90">
        <v>6.4610000000000003</v>
      </c>
      <c r="R141" s="90">
        <v>2.31</v>
      </c>
      <c r="S141" s="90">
        <v>-0.22</v>
      </c>
      <c r="T141" s="90">
        <v>-3.472</v>
      </c>
      <c r="U141" s="90">
        <v>3.327</v>
      </c>
      <c r="V141" s="90">
        <v>-8.6590000000000007</v>
      </c>
      <c r="W141" s="91">
        <f t="shared" si="2"/>
        <v>1.1188800338718385</v>
      </c>
    </row>
    <row r="142" spans="1:23" x14ac:dyDescent="0.35">
      <c r="A142" s="81" t="s">
        <v>569</v>
      </c>
      <c r="B142" s="81" t="s">
        <v>703</v>
      </c>
      <c r="C142" s="89">
        <v>-2.6688383810210325</v>
      </c>
      <c r="D142" s="90">
        <v>-1.5401833642449736</v>
      </c>
      <c r="E142" s="90">
        <v>1.2842213840550842</v>
      </c>
      <c r="G142" s="103" t="s">
        <v>567</v>
      </c>
      <c r="H142" s="101">
        <v>29.302112762792021</v>
      </c>
      <c r="I142" s="93">
        <v>156</v>
      </c>
      <c r="J142" s="93">
        <v>47</v>
      </c>
      <c r="K142" s="108"/>
      <c r="L142" s="89">
        <v>-1.4398357186292348</v>
      </c>
      <c r="M142" s="90">
        <v>4.3946958327458523</v>
      </c>
      <c r="N142" s="90">
        <v>2.6794256681504725</v>
      </c>
      <c r="O142" s="90">
        <v>4.9059999999999997</v>
      </c>
      <c r="P142" s="90">
        <v>4.7</v>
      </c>
      <c r="Q142" s="90">
        <v>0.76800000000000002</v>
      </c>
      <c r="R142" s="90">
        <v>-2.29</v>
      </c>
      <c r="S142" s="90">
        <v>-2.5</v>
      </c>
      <c r="T142" s="90">
        <v>-3.63</v>
      </c>
      <c r="U142" s="90">
        <v>0.5</v>
      </c>
      <c r="V142" s="90">
        <v>-2.5</v>
      </c>
      <c r="W142" s="91">
        <f t="shared" si="2"/>
        <v>-0.12798099009494468</v>
      </c>
    </row>
    <row r="143" spans="1:23" x14ac:dyDescent="0.35">
      <c r="A143" s="81" t="s">
        <v>573</v>
      </c>
      <c r="B143" s="81" t="s">
        <v>704</v>
      </c>
      <c r="C143" s="89">
        <v>-6.0912921553037958</v>
      </c>
      <c r="D143" s="90">
        <v>-2.539464764773447</v>
      </c>
      <c r="E143" s="90">
        <v>-1.6533032843941364</v>
      </c>
      <c r="G143" s="103" t="s">
        <v>398</v>
      </c>
      <c r="H143" s="101">
        <v>69.385821977853183</v>
      </c>
      <c r="I143" s="93">
        <v>92</v>
      </c>
      <c r="J143" s="93">
        <v>12</v>
      </c>
      <c r="K143" s="108"/>
      <c r="L143" s="89">
        <v>2.6903497466884523</v>
      </c>
      <c r="M143" s="90">
        <v>2.9334416518612043</v>
      </c>
      <c r="N143" s="90">
        <v>0.25550303164546423</v>
      </c>
      <c r="O143" s="90">
        <v>-3.4140000000000001</v>
      </c>
      <c r="P143" s="90">
        <v>-4.9119999999999999</v>
      </c>
      <c r="Q143" s="90">
        <v>1.5660000000000001</v>
      </c>
      <c r="R143" s="90">
        <v>4.9480000000000004</v>
      </c>
      <c r="S143" s="90">
        <v>1.0980000000000001</v>
      </c>
      <c r="T143" s="90">
        <v>-15.906000000000001</v>
      </c>
      <c r="U143" s="90">
        <v>-2.742</v>
      </c>
      <c r="V143" s="90">
        <v>1.3280000000000001</v>
      </c>
      <c r="W143" s="91">
        <f t="shared" si="2"/>
        <v>-2.0963840245837915</v>
      </c>
    </row>
    <row r="144" spans="1:23" x14ac:dyDescent="0.35">
      <c r="A144" s="81" t="s">
        <v>227</v>
      </c>
      <c r="B144" s="81" t="s">
        <v>705</v>
      </c>
      <c r="C144" s="89">
        <v>1.8041121232050594</v>
      </c>
      <c r="D144" s="90">
        <v>1.5622302939160004</v>
      </c>
      <c r="E144" s="90">
        <v>2.0743232215396867</v>
      </c>
      <c r="G144" s="103" t="s">
        <v>415</v>
      </c>
      <c r="H144" s="101">
        <v>96.904206369440487</v>
      </c>
      <c r="I144" s="93">
        <v>7</v>
      </c>
      <c r="J144" s="93">
        <v>5</v>
      </c>
      <c r="K144" s="108"/>
      <c r="L144" s="89">
        <v>-0.58830456899072281</v>
      </c>
      <c r="M144" s="90">
        <v>1.1877757159060018</v>
      </c>
      <c r="N144" s="90">
        <v>2.6577982753164227</v>
      </c>
      <c r="O144" s="90">
        <v>4.4889999999999999</v>
      </c>
      <c r="P144" s="90">
        <v>2.0710000000000002</v>
      </c>
      <c r="Q144" s="90">
        <v>2.5680000000000001</v>
      </c>
      <c r="R144" s="90">
        <v>1.95</v>
      </c>
      <c r="S144" s="90">
        <v>1.986</v>
      </c>
      <c r="T144" s="90">
        <v>-2.17</v>
      </c>
      <c r="U144" s="90">
        <v>5.3860000000000001</v>
      </c>
      <c r="V144" s="90">
        <v>2.6419999999999999</v>
      </c>
      <c r="W144" s="91">
        <f t="shared" si="2"/>
        <v>1.8182767577278436</v>
      </c>
    </row>
    <row r="145" spans="1:23" x14ac:dyDescent="0.35">
      <c r="A145" s="81" t="s">
        <v>227</v>
      </c>
      <c r="B145" s="81" t="s">
        <v>706</v>
      </c>
      <c r="C145" s="89">
        <v>1.2890197152698013</v>
      </c>
      <c r="D145" s="90">
        <v>2.1594279609995271</v>
      </c>
      <c r="E145" s="90">
        <v>1.9949438623463989</v>
      </c>
      <c r="G145" s="103" t="s">
        <v>415</v>
      </c>
      <c r="H145" s="101">
        <v>98.385388118004073</v>
      </c>
      <c r="I145" s="93">
        <v>2</v>
      </c>
      <c r="J145" s="93">
        <v>1</v>
      </c>
      <c r="K145" s="108"/>
      <c r="L145" s="89">
        <v>1.0060240943135659</v>
      </c>
      <c r="M145" s="90">
        <v>1.852039766494749</v>
      </c>
      <c r="N145" s="90">
        <v>2.4492180871562819</v>
      </c>
      <c r="O145" s="90">
        <v>1.59</v>
      </c>
      <c r="P145" s="90">
        <v>2.073</v>
      </c>
      <c r="Q145" s="90">
        <v>1.427</v>
      </c>
      <c r="R145" s="90">
        <v>2.867</v>
      </c>
      <c r="S145" s="90">
        <v>1.161</v>
      </c>
      <c r="T145" s="90">
        <v>-2.5070000000000001</v>
      </c>
      <c r="U145" s="90">
        <v>4.2210000000000001</v>
      </c>
      <c r="V145" s="90">
        <v>2.1339999999999999</v>
      </c>
      <c r="W145" s="91">
        <f t="shared" si="2"/>
        <v>2.077185911672963</v>
      </c>
    </row>
    <row r="146" spans="1:23" x14ac:dyDescent="0.35">
      <c r="A146" s="81" t="s">
        <v>565</v>
      </c>
      <c r="B146" s="81" t="s">
        <v>707</v>
      </c>
      <c r="C146" s="89">
        <v>4.1942484708972883</v>
      </c>
      <c r="D146" s="90">
        <v>3.7202264352869774</v>
      </c>
      <c r="E146" s="90">
        <v>3.3189477234561782</v>
      </c>
      <c r="G146" s="103" t="s">
        <v>398</v>
      </c>
      <c r="H146" s="101">
        <v>74.109663332036064</v>
      </c>
      <c r="I146" s="93">
        <v>72</v>
      </c>
      <c r="J146" s="93">
        <v>11</v>
      </c>
      <c r="K146" s="108"/>
      <c r="L146" s="89">
        <v>2.2704029453876053</v>
      </c>
      <c r="M146" s="90">
        <v>2.5430680885972134</v>
      </c>
      <c r="N146" s="90">
        <v>4.9538203190596066</v>
      </c>
      <c r="O146" s="90">
        <v>1.466</v>
      </c>
      <c r="P146" s="90">
        <v>2.165</v>
      </c>
      <c r="Q146" s="90">
        <v>3.3109999999999999</v>
      </c>
      <c r="R146" s="90">
        <v>2.7869999999999999</v>
      </c>
      <c r="S146" s="90">
        <v>3.0640000000000001</v>
      </c>
      <c r="T146" s="90">
        <v>3.387</v>
      </c>
      <c r="U146" s="90">
        <v>6.5279999999999996</v>
      </c>
      <c r="V146" s="90">
        <v>2.452</v>
      </c>
      <c r="W146" s="91">
        <f t="shared" si="2"/>
        <v>3.5195870793715778</v>
      </c>
    </row>
    <row r="147" spans="1:23" x14ac:dyDescent="0.35">
      <c r="A147" s="81" t="s">
        <v>565</v>
      </c>
      <c r="B147" s="81" t="s">
        <v>708</v>
      </c>
      <c r="C147" s="89">
        <v>7.1805428191797027</v>
      </c>
      <c r="D147" s="90">
        <v>7.3081795758255463</v>
      </c>
      <c r="E147" s="90">
        <v>7.0632908095879854</v>
      </c>
      <c r="G147" s="103" t="s">
        <v>422</v>
      </c>
      <c r="H147" s="101">
        <v>65.502149613905985</v>
      </c>
      <c r="I147" s="93">
        <v>113</v>
      </c>
      <c r="J147" s="93">
        <v>23</v>
      </c>
      <c r="K147" s="108"/>
      <c r="L147" s="89">
        <v>7.4999994632152305</v>
      </c>
      <c r="M147" s="90">
        <v>7.3999997470037826</v>
      </c>
      <c r="N147" s="90">
        <v>6.7000006901625362</v>
      </c>
      <c r="O147" s="90">
        <v>6</v>
      </c>
      <c r="P147" s="90">
        <v>6.9</v>
      </c>
      <c r="Q147" s="90">
        <v>7.1</v>
      </c>
      <c r="R147" s="90">
        <v>7.6</v>
      </c>
      <c r="S147" s="90">
        <v>7.4</v>
      </c>
      <c r="T147" s="90">
        <v>4.3899999999999997</v>
      </c>
      <c r="U147" s="90">
        <v>9.4</v>
      </c>
      <c r="V147" s="90">
        <v>8</v>
      </c>
      <c r="W147" s="91">
        <f t="shared" si="2"/>
        <v>7.1857351927067654</v>
      </c>
    </row>
    <row r="148" spans="1:23" x14ac:dyDescent="0.35">
      <c r="A148" s="81" t="s">
        <v>569</v>
      </c>
      <c r="B148" s="81" t="s">
        <v>709</v>
      </c>
      <c r="C148" s="89">
        <v>3.6476767570704727</v>
      </c>
      <c r="D148" s="90">
        <v>4.4330707554891102</v>
      </c>
      <c r="E148" s="90">
        <v>5.5432278987954442</v>
      </c>
      <c r="G148" s="103" t="s">
        <v>422</v>
      </c>
      <c r="H148" s="101">
        <v>68.134404341049418</v>
      </c>
      <c r="I148" s="93">
        <v>101</v>
      </c>
      <c r="J148" s="93">
        <v>21</v>
      </c>
      <c r="K148" s="108"/>
      <c r="L148" s="89">
        <v>4.500153559821273</v>
      </c>
      <c r="M148" s="90">
        <v>6.7815856006531599</v>
      </c>
      <c r="N148" s="90">
        <v>6.732461868324811</v>
      </c>
      <c r="O148" s="90">
        <v>6.1609999999999996</v>
      </c>
      <c r="P148" s="90">
        <v>6.867</v>
      </c>
      <c r="Q148" s="90">
        <v>6.7729999999999997</v>
      </c>
      <c r="R148" s="90">
        <v>6.9589999999999996</v>
      </c>
      <c r="S148" s="90">
        <v>6.9889999999999999</v>
      </c>
      <c r="T148" s="90">
        <v>4.8159999999999998</v>
      </c>
      <c r="U148" s="90">
        <v>4.9470000000000001</v>
      </c>
      <c r="V148" s="90">
        <v>4.6879999999999997</v>
      </c>
      <c r="W148" s="91">
        <f t="shared" si="2"/>
        <v>4.9881493271422777</v>
      </c>
    </row>
    <row r="149" spans="1:23" x14ac:dyDescent="0.35">
      <c r="A149" s="81" t="s">
        <v>565</v>
      </c>
      <c r="B149" s="81" t="s">
        <v>710</v>
      </c>
      <c r="C149" s="89">
        <v>-0.75178730142027028</v>
      </c>
      <c r="D149" s="90">
        <v>0.80617945124625834</v>
      </c>
      <c r="E149" s="90">
        <v>1.8254251122560072</v>
      </c>
      <c r="G149" s="103" t="s">
        <v>422</v>
      </c>
      <c r="H149" s="101">
        <v>67.301316099527455</v>
      </c>
      <c r="I149" s="93">
        <v>104</v>
      </c>
      <c r="J149" s="93">
        <v>19</v>
      </c>
      <c r="K149" s="108"/>
      <c r="L149" s="89">
        <v>7.2427962024964359</v>
      </c>
      <c r="M149" s="90">
        <v>2.6874955632055553</v>
      </c>
      <c r="N149" s="90">
        <v>0.98442510993386245</v>
      </c>
      <c r="O149" s="90">
        <v>3.1339999999999999</v>
      </c>
      <c r="P149" s="90">
        <v>3.4350000000000001</v>
      </c>
      <c r="Q149" s="90">
        <v>4.1779999999999999</v>
      </c>
      <c r="R149" s="90">
        <v>4.2229999999999999</v>
      </c>
      <c r="S149" s="90">
        <v>2.1150000000000002</v>
      </c>
      <c r="T149" s="90">
        <v>-6.1609999999999996</v>
      </c>
      <c r="U149" s="90">
        <v>1.5629999999999999</v>
      </c>
      <c r="V149" s="90">
        <v>2.6440000000000001</v>
      </c>
      <c r="W149" s="91">
        <f t="shared" si="2"/>
        <v>1.3158022817511328</v>
      </c>
    </row>
    <row r="150" spans="1:23" x14ac:dyDescent="0.35">
      <c r="A150" s="81" t="s">
        <v>569</v>
      </c>
      <c r="B150" s="81" t="s">
        <v>711</v>
      </c>
      <c r="C150" s="89">
        <v>4.1237007551626403</v>
      </c>
      <c r="D150" s="90">
        <v>4.5599643087248731</v>
      </c>
      <c r="E150" s="90">
        <v>5.0461931715429786</v>
      </c>
      <c r="G150" s="103" t="s">
        <v>398</v>
      </c>
      <c r="H150" s="101">
        <v>71.06383353175876</v>
      </c>
      <c r="I150" s="93">
        <v>84</v>
      </c>
      <c r="J150" s="93">
        <v>12</v>
      </c>
      <c r="K150" s="108"/>
      <c r="L150" s="89">
        <v>6.543507029266066</v>
      </c>
      <c r="M150" s="90">
        <v>6.1123430766482372</v>
      </c>
      <c r="N150" s="90">
        <v>5.9205885732303445</v>
      </c>
      <c r="O150" s="90">
        <v>5.74</v>
      </c>
      <c r="P150" s="90">
        <v>5.6</v>
      </c>
      <c r="Q150" s="90">
        <v>4.3479999999999999</v>
      </c>
      <c r="R150" s="90">
        <v>4.9669999999999996</v>
      </c>
      <c r="S150" s="90">
        <v>5.4640000000000004</v>
      </c>
      <c r="T150" s="90">
        <v>1.758</v>
      </c>
      <c r="U150" s="90">
        <v>5.2590000000000003</v>
      </c>
      <c r="V150" s="90">
        <v>5.399</v>
      </c>
      <c r="W150" s="91">
        <f t="shared" si="2"/>
        <v>4.8030787401339259</v>
      </c>
    </row>
    <row r="151" spans="1:23" x14ac:dyDescent="0.35">
      <c r="A151" s="81" t="s">
        <v>573</v>
      </c>
      <c r="B151" s="81" t="s">
        <v>712</v>
      </c>
      <c r="C151" s="89">
        <v>-2.1662761553291388</v>
      </c>
      <c r="D151" s="90">
        <v>-0.32249691451342599</v>
      </c>
      <c r="E151" s="90">
        <v>-0.73360970360328848</v>
      </c>
      <c r="G151" s="103" t="s">
        <v>422</v>
      </c>
      <c r="H151" s="101">
        <v>65.576173252463747</v>
      </c>
      <c r="I151" s="93">
        <v>112</v>
      </c>
      <c r="J151" s="93">
        <v>14</v>
      </c>
      <c r="K151" s="108"/>
      <c r="L151" s="89">
        <v>1.2699643652024184</v>
      </c>
      <c r="M151" s="90">
        <v>2.2290748047658071</v>
      </c>
      <c r="N151" s="90">
        <v>-0.91254496880826241</v>
      </c>
      <c r="O151" s="90">
        <v>-0.75600000000000001</v>
      </c>
      <c r="P151" s="90">
        <v>-6.7640000000000002</v>
      </c>
      <c r="Q151" s="90">
        <v>-4.7069999999999999</v>
      </c>
      <c r="R151" s="90">
        <v>-0.871</v>
      </c>
      <c r="S151" s="90">
        <v>0.11</v>
      </c>
      <c r="T151" s="90">
        <v>-7.6779999999999999</v>
      </c>
      <c r="U151" s="90">
        <v>-1.0269999999999999</v>
      </c>
      <c r="V151" s="90">
        <v>2.4809999999999999</v>
      </c>
      <c r="W151" s="91">
        <f t="shared" si="2"/>
        <v>-0.52805330905835723</v>
      </c>
    </row>
    <row r="152" spans="1:23" x14ac:dyDescent="0.35">
      <c r="A152" s="81" t="s">
        <v>569</v>
      </c>
      <c r="B152" s="81" t="s">
        <v>713</v>
      </c>
      <c r="C152" s="89">
        <v>-0.76139414796470017</v>
      </c>
      <c r="D152" s="90">
        <v>1.515468696628397</v>
      </c>
      <c r="E152" s="90">
        <v>1.7677168413122724</v>
      </c>
      <c r="G152" s="103" t="s">
        <v>422</v>
      </c>
      <c r="H152" s="101">
        <v>68.074683718311135</v>
      </c>
      <c r="I152" s="93">
        <v>102</v>
      </c>
      <c r="J152" s="93">
        <v>22</v>
      </c>
      <c r="K152" s="108"/>
      <c r="L152" s="89">
        <v>3.9976740023093633</v>
      </c>
      <c r="M152" s="90">
        <v>2.8755238423073424</v>
      </c>
      <c r="N152" s="90">
        <v>2.9713983451090038</v>
      </c>
      <c r="O152" s="90">
        <v>0.96799999999999997</v>
      </c>
      <c r="P152" s="90">
        <v>1.117</v>
      </c>
      <c r="Q152" s="90">
        <v>2.238</v>
      </c>
      <c r="R152" s="90">
        <v>2.625</v>
      </c>
      <c r="S152" s="90">
        <v>1.5880000000000001</v>
      </c>
      <c r="T152" s="90">
        <v>-8.8179999999999996</v>
      </c>
      <c r="U152" s="90">
        <v>4.4050000000000002</v>
      </c>
      <c r="V152" s="90">
        <v>2.5219999999999998</v>
      </c>
      <c r="W152" s="91">
        <f t="shared" si="2"/>
        <v>1.6415927689703347</v>
      </c>
    </row>
    <row r="153" spans="1:23" x14ac:dyDescent="0.35">
      <c r="A153" s="81" t="s">
        <v>580</v>
      </c>
      <c r="B153" s="81" t="s">
        <v>714</v>
      </c>
      <c r="C153" s="89">
        <v>6.2162334826369348</v>
      </c>
      <c r="D153" s="90">
        <v>4.4468380199269797</v>
      </c>
      <c r="E153" s="90">
        <v>5.2521474880545149</v>
      </c>
      <c r="G153" s="103" t="s">
        <v>571</v>
      </c>
      <c r="H153" s="101">
        <v>79.725975588542326</v>
      </c>
      <c r="I153" s="93">
        <v>49</v>
      </c>
      <c r="J153" s="93">
        <v>4</v>
      </c>
      <c r="K153" s="108"/>
      <c r="L153" s="89">
        <v>4.7899402070344061</v>
      </c>
      <c r="M153" s="90">
        <v>8.4913093926863557</v>
      </c>
      <c r="N153" s="90">
        <v>5.1666907030455222</v>
      </c>
      <c r="O153" s="90">
        <v>6.0839999999999996</v>
      </c>
      <c r="P153" s="90">
        <v>3.323</v>
      </c>
      <c r="Q153" s="90">
        <v>7.5019999999999998</v>
      </c>
      <c r="R153" s="90">
        <v>2.98</v>
      </c>
      <c r="S153" s="90">
        <v>0.78400000000000003</v>
      </c>
      <c r="T153" s="90">
        <v>1.94</v>
      </c>
      <c r="U153" s="90">
        <v>11.353</v>
      </c>
      <c r="V153" s="90">
        <v>5.5659999999999998</v>
      </c>
      <c r="W153" s="91">
        <f t="shared" si="2"/>
        <v>4.8494927539907469</v>
      </c>
    </row>
    <row r="154" spans="1:23" x14ac:dyDescent="0.35">
      <c r="A154" s="81" t="s">
        <v>565</v>
      </c>
      <c r="B154" s="81" t="s">
        <v>715</v>
      </c>
      <c r="C154" s="89">
        <v>5.7825311290508274</v>
      </c>
      <c r="D154" s="90">
        <v>5.9692666570670072</v>
      </c>
      <c r="E154" s="90">
        <v>6.9419375690879193</v>
      </c>
      <c r="G154" s="103" t="s">
        <v>398</v>
      </c>
      <c r="H154" s="101">
        <v>73.971445285212496</v>
      </c>
      <c r="I154" s="93">
        <v>74</v>
      </c>
      <c r="J154" s="93">
        <v>12</v>
      </c>
      <c r="K154" s="108"/>
      <c r="L154" s="89">
        <v>11.099999961554488</v>
      </c>
      <c r="M154" s="90">
        <v>10.200000101398992</v>
      </c>
      <c r="N154" s="90">
        <v>10.299999970545908</v>
      </c>
      <c r="O154" s="90">
        <v>2.9860000000000002</v>
      </c>
      <c r="P154" s="90">
        <v>-0.97699999999999998</v>
      </c>
      <c r="Q154" s="90">
        <v>4.7069999999999999</v>
      </c>
      <c r="R154" s="90">
        <v>0.88200000000000001</v>
      </c>
      <c r="S154" s="90">
        <v>-3.3889999999999998</v>
      </c>
      <c r="T154" s="90">
        <v>-2.9369999999999998</v>
      </c>
      <c r="U154" s="90">
        <v>4.62</v>
      </c>
      <c r="V154" s="90">
        <v>1.7889999999999999</v>
      </c>
      <c r="W154" s="91">
        <f t="shared" si="2"/>
        <v>6.4556021130774628</v>
      </c>
    </row>
    <row r="155" spans="1:23" x14ac:dyDescent="0.35">
      <c r="A155" s="81" t="s">
        <v>569</v>
      </c>
      <c r="B155" s="81" t="s">
        <v>716</v>
      </c>
      <c r="C155" s="89">
        <v>3.8036415692147996</v>
      </c>
      <c r="D155" s="90">
        <v>4.8231874950755982</v>
      </c>
      <c r="E155" s="90">
        <v>4.6664450945707259</v>
      </c>
      <c r="G155" s="103" t="s">
        <v>398</v>
      </c>
      <c r="H155" s="101">
        <v>69.556086736265442</v>
      </c>
      <c r="I155" s="93">
        <v>91</v>
      </c>
      <c r="J155" s="93">
        <v>14</v>
      </c>
      <c r="K155" s="108"/>
      <c r="L155" s="89">
        <v>3.8374556059033003</v>
      </c>
      <c r="M155" s="90">
        <v>3.586905826320109</v>
      </c>
      <c r="N155" s="90">
        <v>5.1063073243118193</v>
      </c>
      <c r="O155" s="90">
        <v>8.0060000000000002</v>
      </c>
      <c r="P155" s="90">
        <v>0.159</v>
      </c>
      <c r="Q155" s="90">
        <v>6.83</v>
      </c>
      <c r="R155" s="90">
        <v>5.5019999999999998</v>
      </c>
      <c r="S155" s="90">
        <v>7.782</v>
      </c>
      <c r="T155" s="90">
        <v>-1.3009999999999999</v>
      </c>
      <c r="U155" s="90">
        <v>6.0039999999999996</v>
      </c>
      <c r="V155" s="90">
        <v>4.9329999999999998</v>
      </c>
      <c r="W155" s="91">
        <f t="shared" si="2"/>
        <v>4.7448162948231616</v>
      </c>
    </row>
    <row r="156" spans="1:23" x14ac:dyDescent="0.35">
      <c r="A156" s="81" t="s">
        <v>227</v>
      </c>
      <c r="B156" s="81" t="s">
        <v>717</v>
      </c>
      <c r="C156" s="89">
        <v>-11.461901799668306</v>
      </c>
      <c r="D156" s="90">
        <v>-5.8295559101049328</v>
      </c>
      <c r="E156" s="90">
        <v>-4.15839598326132</v>
      </c>
      <c r="G156" s="103" t="s">
        <v>398</v>
      </c>
      <c r="H156" s="101">
        <v>74.079326507080765</v>
      </c>
      <c r="I156" s="93">
        <v>73</v>
      </c>
      <c r="J156" s="93">
        <v>39</v>
      </c>
      <c r="K156" s="108"/>
      <c r="L156" s="89">
        <v>0.23868172076808841</v>
      </c>
      <c r="M156" s="90">
        <v>-2.66978900718703E-2</v>
      </c>
      <c r="N156" s="90">
        <v>-6.5526312936576572</v>
      </c>
      <c r="O156" s="90">
        <v>-9.7880000000000003</v>
      </c>
      <c r="P156" s="90">
        <v>2.4169999999999998</v>
      </c>
      <c r="Q156" s="90">
        <v>2.36</v>
      </c>
      <c r="R156" s="90">
        <v>3.488</v>
      </c>
      <c r="S156" s="90">
        <v>3.1989999999999998</v>
      </c>
      <c r="T156" s="90">
        <v>-3.7530000000000001</v>
      </c>
      <c r="U156" s="90">
        <v>3.3530000000000002</v>
      </c>
      <c r="V156" s="90">
        <v>-30.26</v>
      </c>
      <c r="W156" s="91">
        <f t="shared" si="2"/>
        <v>-4.9939759466831264</v>
      </c>
    </row>
    <row r="157" spans="1:23" x14ac:dyDescent="0.35">
      <c r="A157" s="81" t="s">
        <v>580</v>
      </c>
      <c r="B157" s="81" t="s">
        <v>718</v>
      </c>
      <c r="C157" s="89">
        <v>1.9883983839421138</v>
      </c>
      <c r="D157" s="90">
        <v>1.9344501122165347</v>
      </c>
      <c r="E157" s="90">
        <v>2.9471413005852209</v>
      </c>
      <c r="G157" s="103" t="s">
        <v>415</v>
      </c>
      <c r="H157" s="101">
        <v>91.971735408895199</v>
      </c>
      <c r="I157" s="93">
        <v>22</v>
      </c>
      <c r="J157" s="93">
        <v>1</v>
      </c>
      <c r="K157" s="108"/>
      <c r="L157" s="89">
        <v>4.4846260849086921</v>
      </c>
      <c r="M157" s="90">
        <v>5.0533458252665762</v>
      </c>
      <c r="N157" s="90">
        <v>4.2843036857947956</v>
      </c>
      <c r="O157" s="90">
        <v>6.7869999999999999</v>
      </c>
      <c r="P157" s="90">
        <v>5.5609999999999999</v>
      </c>
      <c r="Q157" s="90">
        <v>0.73499999999999999</v>
      </c>
      <c r="R157" s="90">
        <v>1.3140000000000001</v>
      </c>
      <c r="S157" s="90">
        <v>1.1080000000000001</v>
      </c>
      <c r="T157" s="90">
        <v>-4.9569999999999999</v>
      </c>
      <c r="U157" s="90">
        <v>3.9159999999999999</v>
      </c>
      <c r="V157" s="90">
        <v>7.4109999999999996</v>
      </c>
      <c r="W157" s="91">
        <f t="shared" si="2"/>
        <v>2.4407957064008778</v>
      </c>
    </row>
    <row r="158" spans="1:23" x14ac:dyDescent="0.35">
      <c r="A158" s="81" t="s">
        <v>227</v>
      </c>
      <c r="B158" s="81" t="s">
        <v>719</v>
      </c>
      <c r="C158" s="89">
        <v>-0.15570963242206304</v>
      </c>
      <c r="D158" s="90">
        <v>0.73784192060712961</v>
      </c>
      <c r="E158" s="90">
        <v>1.4574433295258649</v>
      </c>
      <c r="G158" s="103" t="s">
        <v>415</v>
      </c>
      <c r="H158" s="101">
        <v>95.869504572225566</v>
      </c>
      <c r="I158" s="93">
        <v>16</v>
      </c>
      <c r="J158" s="93">
        <v>11</v>
      </c>
      <c r="K158" s="108"/>
      <c r="L158" s="89">
        <v>1.4789239471568232</v>
      </c>
      <c r="M158" s="90">
        <v>2.1394857010831609</v>
      </c>
      <c r="N158" s="90">
        <v>2.6074759063105102</v>
      </c>
      <c r="O158" s="90">
        <v>2.3929999999999998</v>
      </c>
      <c r="P158" s="90">
        <v>2.165</v>
      </c>
      <c r="Q158" s="90">
        <v>2.444</v>
      </c>
      <c r="R158" s="90">
        <v>1.7050000000000001</v>
      </c>
      <c r="S158" s="90">
        <v>1.6040000000000001</v>
      </c>
      <c r="T158" s="90">
        <v>-11.031000000000001</v>
      </c>
      <c r="U158" s="90">
        <v>7.5970000000000004</v>
      </c>
      <c r="V158" s="90">
        <v>4.0449999999999999</v>
      </c>
      <c r="W158" s="91">
        <f t="shared" si="2"/>
        <v>1.0976426250664972</v>
      </c>
    </row>
    <row r="159" spans="1:23" x14ac:dyDescent="0.35">
      <c r="A159" s="81" t="s">
        <v>573</v>
      </c>
      <c r="B159" s="81" t="s">
        <v>720</v>
      </c>
      <c r="C159" s="89">
        <v>1.6858959431595322</v>
      </c>
      <c r="D159" s="90">
        <v>2.0522235488571683</v>
      </c>
      <c r="E159" s="90">
        <v>2.1214909700318696</v>
      </c>
      <c r="G159" s="103" t="s">
        <v>415</v>
      </c>
      <c r="H159" s="101">
        <v>95.916666666666671</v>
      </c>
      <c r="I159" s="93">
        <v>14</v>
      </c>
      <c r="J159" s="93">
        <v>1</v>
      </c>
      <c r="K159" s="108"/>
      <c r="L159" s="89">
        <v>2.249545852369943</v>
      </c>
      <c r="M159" s="90">
        <v>1.8420810710110016</v>
      </c>
      <c r="N159" s="90">
        <v>2.4519730353603584</v>
      </c>
      <c r="O159" s="90">
        <v>2.7069999999999999</v>
      </c>
      <c r="P159" s="90">
        <v>1.6679999999999999</v>
      </c>
      <c r="Q159" s="90">
        <v>2.242</v>
      </c>
      <c r="R159" s="90">
        <v>2.9449999999999998</v>
      </c>
      <c r="S159" s="90">
        <v>2.2949999999999999</v>
      </c>
      <c r="T159" s="90">
        <v>-2.7679999999999998</v>
      </c>
      <c r="U159" s="90">
        <v>5.9470000000000001</v>
      </c>
      <c r="V159" s="90">
        <v>2.0680000000000001</v>
      </c>
      <c r="W159" s="91">
        <f t="shared" si="2"/>
        <v>2.0868572594445189</v>
      </c>
    </row>
    <row r="160" spans="1:23" x14ac:dyDescent="0.35">
      <c r="A160" s="81" t="s">
        <v>573</v>
      </c>
      <c r="B160" s="81" t="s">
        <v>721</v>
      </c>
      <c r="C160" s="89">
        <v>0.91343850289404838</v>
      </c>
      <c r="D160" s="90">
        <v>2.2569945604846264</v>
      </c>
      <c r="E160" s="90">
        <v>2.3762166744240032</v>
      </c>
      <c r="G160" s="103" t="s">
        <v>571</v>
      </c>
      <c r="H160" s="101">
        <v>81.172173305315454</v>
      </c>
      <c r="I160" s="93">
        <v>43</v>
      </c>
      <c r="J160" s="93">
        <v>5</v>
      </c>
      <c r="K160" s="108"/>
      <c r="L160" s="89">
        <v>3.5381787068568795</v>
      </c>
      <c r="M160" s="90">
        <v>4.6375386431141186</v>
      </c>
      <c r="N160" s="90">
        <v>3.2387912162160193</v>
      </c>
      <c r="O160" s="90">
        <v>0.371</v>
      </c>
      <c r="P160" s="90">
        <v>1.69</v>
      </c>
      <c r="Q160" s="90">
        <v>1.6279999999999999</v>
      </c>
      <c r="R160" s="90">
        <v>0.47799999999999998</v>
      </c>
      <c r="S160" s="90">
        <v>0.35</v>
      </c>
      <c r="T160" s="90">
        <v>-6.1150000000000002</v>
      </c>
      <c r="U160" s="90">
        <v>4.4020000000000001</v>
      </c>
      <c r="V160" s="90">
        <v>4.8860000000000001</v>
      </c>
      <c r="W160" s="91">
        <f t="shared" si="2"/>
        <v>2.3166056174543148</v>
      </c>
    </row>
    <row r="161" spans="1:23" x14ac:dyDescent="0.35">
      <c r="A161" s="81" t="s">
        <v>565</v>
      </c>
      <c r="B161" s="81" t="s">
        <v>722</v>
      </c>
      <c r="C161" s="89">
        <v>4.966226080132774</v>
      </c>
      <c r="D161" s="90">
        <v>5.1922367720162121</v>
      </c>
      <c r="E161" s="90">
        <v>5.7634254597189516</v>
      </c>
      <c r="G161" s="103" t="s">
        <v>422</v>
      </c>
      <c r="H161" s="101">
        <v>68.759088115548678</v>
      </c>
      <c r="I161" s="93">
        <v>99</v>
      </c>
      <c r="J161" s="93">
        <v>18</v>
      </c>
      <c r="K161" s="108"/>
      <c r="L161" s="89">
        <v>7.1024448870695505</v>
      </c>
      <c r="M161" s="90">
        <v>7.2965503696402285</v>
      </c>
      <c r="N161" s="90">
        <v>6.8738384408295845</v>
      </c>
      <c r="O161" s="90">
        <v>7.2190000000000003</v>
      </c>
      <c r="P161" s="90">
        <v>5.9320000000000004</v>
      </c>
      <c r="Q161" s="90">
        <v>4.3949999999999996</v>
      </c>
      <c r="R161" s="90">
        <v>5.88</v>
      </c>
      <c r="S161" s="90">
        <v>5.9820000000000002</v>
      </c>
      <c r="T161" s="90">
        <v>1.996</v>
      </c>
      <c r="U161" s="90">
        <v>7.4029999999999996</v>
      </c>
      <c r="V161" s="90">
        <v>5.6689999999999996</v>
      </c>
      <c r="W161" s="91">
        <f t="shared" si="2"/>
        <v>5.4778311158675823</v>
      </c>
    </row>
    <row r="162" spans="1:23" x14ac:dyDescent="0.35">
      <c r="A162" s="81" t="s">
        <v>565</v>
      </c>
      <c r="B162" s="81" t="s">
        <v>723</v>
      </c>
      <c r="C162" s="89">
        <v>6.367284609117374</v>
      </c>
      <c r="D162" s="90">
        <v>8.0753375154714711</v>
      </c>
      <c r="E162" s="90">
        <v>8.6445538917790046</v>
      </c>
      <c r="G162" s="103" t="s">
        <v>422</v>
      </c>
      <c r="H162" s="101">
        <v>62.623537935388953</v>
      </c>
      <c r="I162" s="93">
        <v>120</v>
      </c>
      <c r="J162" s="93">
        <v>24</v>
      </c>
      <c r="K162" s="108"/>
      <c r="L162" s="89">
        <v>12.410056463111571</v>
      </c>
      <c r="M162" s="90">
        <v>7.2891294784445284</v>
      </c>
      <c r="N162" s="90">
        <v>9.6841913021478785</v>
      </c>
      <c r="O162" s="90">
        <v>6.9870000000000001</v>
      </c>
      <c r="P162" s="90">
        <v>6.69</v>
      </c>
      <c r="Q162" s="90">
        <v>6.94</v>
      </c>
      <c r="R162" s="90">
        <v>7.4649999999999999</v>
      </c>
      <c r="S162" s="90">
        <v>7.359</v>
      </c>
      <c r="T162" s="90">
        <v>2.867</v>
      </c>
      <c r="U162" s="90">
        <v>2.5619999999999998</v>
      </c>
      <c r="V162" s="90">
        <v>8.0180000000000007</v>
      </c>
      <c r="W162" s="91">
        <f t="shared" si="2"/>
        <v>8.3599457036252378</v>
      </c>
    </row>
    <row r="163" spans="1:23" x14ac:dyDescent="0.35">
      <c r="A163" s="81" t="s">
        <v>580</v>
      </c>
      <c r="B163" s="81" t="s">
        <v>724</v>
      </c>
      <c r="C163" s="89">
        <v>-1.1017371120758623</v>
      </c>
      <c r="D163" s="90">
        <v>-1.4008554823266794</v>
      </c>
      <c r="E163" s="90">
        <v>0.43888765074564517</v>
      </c>
      <c r="G163" s="103" t="s">
        <v>567</v>
      </c>
      <c r="H163" s="101">
        <v>44.737558430285063</v>
      </c>
      <c r="I163" s="93">
        <v>145</v>
      </c>
      <c r="J163" s="93">
        <v>11</v>
      </c>
      <c r="K163" s="108"/>
      <c r="L163" s="89">
        <v>16.665428768467855</v>
      </c>
      <c r="M163" s="90">
        <v>1.9894927620720551</v>
      </c>
      <c r="N163" s="90">
        <v>2.3769293269800476</v>
      </c>
      <c r="O163" s="90">
        <v>-27.995000000000001</v>
      </c>
      <c r="P163" s="90">
        <v>-9.375</v>
      </c>
      <c r="Q163" s="90">
        <v>-5.0720000000000001</v>
      </c>
      <c r="R163" s="90">
        <v>0.752</v>
      </c>
      <c r="S163" s="90">
        <v>1.4</v>
      </c>
      <c r="T163" s="90">
        <v>-8.5</v>
      </c>
      <c r="U163" s="90">
        <v>-1</v>
      </c>
      <c r="V163" s="90">
        <v>1.5</v>
      </c>
      <c r="W163" s="91">
        <f t="shared" si="2"/>
        <v>-0.48098391579051714</v>
      </c>
    </row>
    <row r="164" spans="1:23" x14ac:dyDescent="0.35">
      <c r="A164" s="81" t="s">
        <v>569</v>
      </c>
      <c r="B164" s="81" t="s">
        <v>725</v>
      </c>
      <c r="C164" s="89">
        <v>1.6991659105087376</v>
      </c>
      <c r="D164" s="90">
        <v>2.110140268966143</v>
      </c>
      <c r="E164" s="90">
        <v>3.0449788505192199</v>
      </c>
      <c r="G164" s="103" t="s">
        <v>422</v>
      </c>
      <c r="H164" s="101">
        <v>61.004320674622747</v>
      </c>
      <c r="I164" s="93">
        <v>124</v>
      </c>
      <c r="J164" s="93">
        <v>29</v>
      </c>
      <c r="K164" s="108"/>
      <c r="L164" s="89">
        <v>7.5975932105319126</v>
      </c>
      <c r="M164" s="90">
        <v>5.0572317397973361</v>
      </c>
      <c r="N164" s="90">
        <v>4.6979923625298614</v>
      </c>
      <c r="O164" s="90">
        <v>2.92</v>
      </c>
      <c r="P164" s="90">
        <v>3.7770000000000001</v>
      </c>
      <c r="Q164" s="90">
        <v>3.504</v>
      </c>
      <c r="R164" s="90">
        <v>4.0350000000000001</v>
      </c>
      <c r="S164" s="90">
        <v>1.4410000000000001</v>
      </c>
      <c r="T164" s="90">
        <v>-2.7850000000000001</v>
      </c>
      <c r="U164" s="90">
        <v>4.5990000000000002</v>
      </c>
      <c r="V164" s="90">
        <v>3.4409999999999998</v>
      </c>
      <c r="W164" s="91">
        <f t="shared" si="2"/>
        <v>2.5775595597426815</v>
      </c>
    </row>
    <row r="165" spans="1:23" x14ac:dyDescent="0.35">
      <c r="A165" s="81" t="s">
        <v>569</v>
      </c>
      <c r="B165" s="81" t="s">
        <v>726</v>
      </c>
      <c r="C165" s="89">
        <v>3.5464749905308901</v>
      </c>
      <c r="D165" s="90">
        <v>2.7818952866475843</v>
      </c>
      <c r="E165" s="90">
        <v>2.7261309103552733</v>
      </c>
      <c r="G165" s="103" t="s">
        <v>567</v>
      </c>
      <c r="H165" s="101">
        <v>55.033873809516088</v>
      </c>
      <c r="I165" s="93">
        <v>133</v>
      </c>
      <c r="J165" s="93">
        <v>33</v>
      </c>
      <c r="K165" s="108"/>
      <c r="L165" s="89">
        <v>17.615397198362849</v>
      </c>
      <c r="M165" s="90">
        <v>10.75800212279124</v>
      </c>
      <c r="N165" s="90">
        <v>3.9762602630956336</v>
      </c>
      <c r="O165" s="90">
        <v>1.794</v>
      </c>
      <c r="P165" s="90">
        <v>0.47799999999999998</v>
      </c>
      <c r="Q165" s="90">
        <v>4.9829999999999997</v>
      </c>
      <c r="R165" s="90">
        <v>4.7320000000000002</v>
      </c>
      <c r="S165" s="90">
        <v>-6.1219999999999999</v>
      </c>
      <c r="T165" s="90">
        <v>-7.8250000000000002</v>
      </c>
      <c r="U165" s="90">
        <v>8.4619999999999997</v>
      </c>
      <c r="V165" s="90">
        <v>3.0289999999999999</v>
      </c>
      <c r="W165" s="91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28"/>
  <sheetViews>
    <sheetView zoomScale="86" zoomScaleNormal="190" workbookViewId="0">
      <selection activeCell="B13" sqref="B1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508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387</v>
      </c>
      <c r="G2" s="39" t="s">
        <v>386</v>
      </c>
      <c r="H2" s="39" t="s">
        <v>477</v>
      </c>
      <c r="I2" s="39" t="s">
        <v>409</v>
      </c>
      <c r="J2" s="39" t="s">
        <v>471</v>
      </c>
      <c r="L2" s="46" t="s">
        <v>474</v>
      </c>
      <c r="M2" s="39" t="s">
        <v>475</v>
      </c>
      <c r="N2" s="39" t="s">
        <v>476</v>
      </c>
      <c r="O2" t="s">
        <v>488</v>
      </c>
      <c r="P2" t="s">
        <v>489</v>
      </c>
      <c r="Q2" t="s">
        <v>491</v>
      </c>
    </row>
    <row r="3" spans="1:21" x14ac:dyDescent="0.35">
      <c r="A3" t="s">
        <v>431</v>
      </c>
      <c r="B3" t="s">
        <v>469</v>
      </c>
      <c r="C3" t="str" cm="1">
        <f t="array" ref="C3">_xll.FDSB(B3,"FG_COMPANY_NAME")</f>
        <v>New Zealand Dollar per U.S. Dollar</v>
      </c>
      <c r="D3" cm="1">
        <f t="array" ref="D3">_xll.FDSB(B3,"FG_PRICE(0)")</f>
        <v>1.6410929999999999</v>
      </c>
      <c r="E3" cm="1">
        <f t="array" ref="E3">_xll.FDSB(B3,"FG_PRICE_CHANGE(0,-1AY)")</f>
        <v>-0.22974610000000001</v>
      </c>
      <c r="F3" cm="1">
        <f t="array" ref="F3">_xll.FDSB(B3,"FG_PRICE_CHANGE(0,-1AM)")</f>
        <v>1.0092734999999999</v>
      </c>
      <c r="G3" cm="1">
        <f t="array" ref="G3">_xll.FDSB(B3,"FG_PRICE_CHANGE(0,-3AM)")</f>
        <v>-1.8380224999999999</v>
      </c>
      <c r="H3" cm="1">
        <f t="array" ref="H3">_xll.FDSB(B3,"FG_PRICE_CHANGE(0,-6AM)")</f>
        <v>4.3324829999999999</v>
      </c>
      <c r="I3" cm="1">
        <f t="array" ref="I3">_xll.FDS(B3,"STD(FG_PRICE_CHANGE(0,-1AY,AM))")</f>
        <v>2.88521952836666</v>
      </c>
      <c r="J3" cm="1">
        <f t="array" ref="J3">_xll.FDS(B3,"STD(FG_PRICE_CHANGE(0,-3AY,M))")*SQRT(12)</f>
        <v>12.016027875187968</v>
      </c>
      <c r="L3">
        <f>(1-(_xlfn.PERCENTRANK.EXC($F$3:$F$15,F3)))*100</f>
        <v>35.799999999999997</v>
      </c>
      <c r="M3">
        <f>(1-(_xlfn.PERCENTRANK.EXC($G$3:$G$15,G3)))*100</f>
        <v>85.8</v>
      </c>
      <c r="N3">
        <f>(1-(_xlfn.PERCENTRANK.EXC($H$3:$H$15,H3)))*100</f>
        <v>35.799999999999997</v>
      </c>
      <c r="O3">
        <f>SUMPRODUCT($L$1:$N$1,L3:N3)</f>
        <v>55.800000000000004</v>
      </c>
      <c r="P3">
        <f>100- (_xlfn.PERCENTRANK.EXC($J$3:$J$15,J3)*100)</f>
        <v>7.1999999999999886</v>
      </c>
      <c r="Q3">
        <f>VLOOKUP(A3,CAD!$A$3:$J$15, 10, FALSE)</f>
        <v>7.1</v>
      </c>
      <c r="S3">
        <f t="shared" ref="S3:S11" si="0">SUMPRODUCT($O$1:$Q$1,O3:Q3)</f>
        <v>31.479999999999997</v>
      </c>
      <c r="U3" cm="1">
        <f t="array" ref="U3">_xlfn.PERCENTRANK.EXC(_xlfn._xlws.FILTER(S$3:S$15, ISNUMBER(S$3:S$15)),S3)*100</f>
        <v>14.2</v>
      </c>
    </row>
    <row r="4" spans="1:21" x14ac:dyDescent="0.35">
      <c r="A4" t="s">
        <v>44</v>
      </c>
      <c r="B4" t="s">
        <v>466</v>
      </c>
      <c r="C4" t="str" cm="1">
        <f t="array" ref="C4">_xll.FDSB(B4,"FG_COMPANY_NAME")</f>
        <v>Australian Dollar per U.S. Dollar</v>
      </c>
      <c r="D4" cm="1">
        <f t="array" ref="D4">_xll.FDSB(B4,"FG_PRICE(0)")</f>
        <v>1.4973422000000001</v>
      </c>
      <c r="E4" cm="1">
        <f t="array" ref="E4">_xll.FDSB(B4,"FG_PRICE_CHANGE(0,-1AY)")</f>
        <v>-1.1679231999999999</v>
      </c>
      <c r="F4" cm="1">
        <f t="array" ref="F4">_xll.FDSB(B4,"FG_PRICE_CHANGE(0,-1AM)")</f>
        <v>-0.22460221999999999</v>
      </c>
      <c r="G4" cm="1">
        <f t="array" ref="G4">_xll.FDSB(B4,"FG_PRICE_CHANGE(0,-3AM)")</f>
        <v>-2.3133933999999998</v>
      </c>
      <c r="H4" cm="1">
        <f t="array" ref="H4">_xll.FDSB(B4,"FG_PRICE_CHANGE(0,-6AM)")</f>
        <v>2.7251720000000001</v>
      </c>
      <c r="I4" cm="1">
        <f t="array" ref="I4">_xll.FDS(B4,"STD(FG_PRICE_CHANGE(0,-1AY,AM))")</f>
        <v>2.4380390323952099</v>
      </c>
      <c r="J4" cm="1">
        <f t="array" ref="J4">_xll.FDS(B4,"STD(FG_PRICE_CHANGE(0,-3AY,M))")*SQRT(12)</f>
        <v>10.571494610716657</v>
      </c>
      <c r="L4">
        <f t="shared" ref="L4:L15" si="1">(1-(_xlfn.PERCENTRANK.EXC($F$3:$F$15,F4)))*100</f>
        <v>78.600000000000009</v>
      </c>
      <c r="M4">
        <f t="shared" ref="M4:M15" si="2">(1-(_xlfn.PERCENTRANK.EXC($G$3:$G$15,G4)))*100</f>
        <v>92.9</v>
      </c>
      <c r="N4">
        <f t="shared" ref="N4:N15" si="3">(1-(_xlfn.PERCENTRANK.EXC($H$3:$H$15,H4)))*100</f>
        <v>64.3</v>
      </c>
      <c r="O4">
        <f t="shared" ref="O4:O11" si="4">SUMPRODUCT($L$1:$N$1,L4:N4)</f>
        <v>78.600000000000009</v>
      </c>
      <c r="P4">
        <f t="shared" ref="P4:P15" si="5">100- (_xlfn.PERCENTRANK.EXC($J$3:$J$15,J4)*100)</f>
        <v>14.299999999999997</v>
      </c>
      <c r="Q4">
        <f>VLOOKUP(A4,CAD!$A$3:$J$15, 10, FALSE)</f>
        <v>50</v>
      </c>
      <c r="S4">
        <f t="shared" si="0"/>
        <v>53.59</v>
      </c>
      <c r="U4" cm="1">
        <f t="array" ref="U4">_xlfn.PERCENTRANK.EXC(_xlfn._xlws.FILTER(S$3:S$15, ISNUMBER(S$3:S$15)),S4)*100</f>
        <v>64.2</v>
      </c>
    </row>
    <row r="5" spans="1:21" x14ac:dyDescent="0.35">
      <c r="A5" t="s">
        <v>49</v>
      </c>
      <c r="B5" t="s">
        <v>467</v>
      </c>
      <c r="C5" t="str" cm="1">
        <f t="array" ref="C5">_xll.FDSB(B5,"FG_COMPANY_NAME")</f>
        <v>Canadian Dollar per U.S. Dollar</v>
      </c>
      <c r="D5" cm="1">
        <f t="array" ref="D5">_xll.FDSB(B5,"FG_PRICE(0)")</f>
        <v>1.36835</v>
      </c>
      <c r="E5" cm="1">
        <f t="array" ref="E5">_xll.FDSB(B5,"FG_PRICE_CHANGE(0,-1AY)")</f>
        <v>3.1588077999999999</v>
      </c>
      <c r="F5" cm="1">
        <f t="array" ref="F5">_xll.FDSB(B5,"FG_PRICE_CHANGE(0,-1AM)")</f>
        <v>0.35202503000000002</v>
      </c>
      <c r="G5" cm="1">
        <f t="array" ref="G5">_xll.FDSB(B5,"FG_PRICE_CHANGE(0,-3AM)")</f>
        <v>1.1158347</v>
      </c>
      <c r="H5" cm="1">
        <f t="array" ref="H5">_xll.FDSB(B5,"FG_PRICE_CHANGE(0,-6AM)")</f>
        <v>3.7690043000000002</v>
      </c>
      <c r="I5" cm="1">
        <f t="array" ref="I5">_xll.FDS(B5,"STD(FG_PRICE_CHANGE(0,-1AY,AM))")</f>
        <v>1.8483612510157701</v>
      </c>
      <c r="J5" cm="1">
        <f t="array" ref="J5">_xll.FDS(B5,"STD(FG_PRICE_CHANGE(0,-3AY,M))")*SQRT(12)</f>
        <v>6.2199216829347703</v>
      </c>
      <c r="L5">
        <f t="shared" si="1"/>
        <v>50</v>
      </c>
      <c r="M5">
        <f t="shared" si="2"/>
        <v>14.3</v>
      </c>
      <c r="N5">
        <f t="shared" si="3"/>
        <v>42.900000000000006</v>
      </c>
      <c r="O5">
        <f t="shared" si="4"/>
        <v>32.880000000000003</v>
      </c>
      <c r="P5">
        <f t="shared" si="5"/>
        <v>71.5</v>
      </c>
      <c r="Q5">
        <f>VLOOKUP(A5,CAD!$A$3:$J$15, 10, FALSE)</f>
        <v>35.699999999999996</v>
      </c>
      <c r="S5">
        <f t="shared" si="0"/>
        <v>45.03</v>
      </c>
      <c r="U5" cm="1">
        <f t="array" ref="U5">_xlfn.PERCENTRANK.EXC(_xlfn._xlws.FILTER(S$3:S$15, ISNUMBER(S$3:S$15)),S5)*100</f>
        <v>21.4</v>
      </c>
    </row>
    <row r="6" spans="1:21" x14ac:dyDescent="0.35">
      <c r="A6" t="s">
        <v>11</v>
      </c>
      <c r="B6" t="s">
        <v>464</v>
      </c>
      <c r="C6" t="str" cm="1">
        <f t="array" ref="C6">_xll.FDSB(B6,"FG_COMPANY_NAME")</f>
        <v>Euro per U.S. Dollar</v>
      </c>
      <c r="D6" cm="1">
        <f t="array" ref="D6">_xll.FDSB(B6,"FG_PRICE(0)")</f>
        <v>0.93305342999999996</v>
      </c>
      <c r="E6" cm="1">
        <f t="array" ref="E6">_xll.FDSB(B6,"FG_PRICE_CHANGE(0,-1AY)")</f>
        <v>1.7074943</v>
      </c>
      <c r="F6" cm="1">
        <f t="array" ref="F6">_xll.FDSB(B6,"FG_PRICE_CHANGE(0,-1AM)")</f>
        <v>1.4649034000000001</v>
      </c>
      <c r="G6" cm="1">
        <f t="array" ref="G6">_xll.FDSB(B6,"FG_PRICE_CHANGE(0,-3AM)")</f>
        <v>0.76977015000000004</v>
      </c>
      <c r="H6" cm="1">
        <f t="array" ref="H6">_xll.FDSB(B6,"FG_PRICE_CHANGE(0,-6AM)")</f>
        <v>3.6202549999999998</v>
      </c>
      <c r="I6" cm="1">
        <f t="array" ref="I6">_xll.FDS(B6,"STD(FG_PRICE_CHANGE(0,-1AY,AM))")</f>
        <v>1.84751147829851</v>
      </c>
      <c r="J6" cm="1">
        <f t="array" ref="J6">_xll.FDS(B6,"STD(FG_PRICE_CHANGE(0,-3AY,M))")*SQRT(12)</f>
        <v>7.4606786097428897</v>
      </c>
      <c r="L6">
        <f t="shared" si="1"/>
        <v>21.499999999999996</v>
      </c>
      <c r="M6">
        <f t="shared" si="2"/>
        <v>28.6</v>
      </c>
      <c r="N6">
        <f t="shared" si="3"/>
        <v>57.2</v>
      </c>
      <c r="O6">
        <f t="shared" si="4"/>
        <v>38.620000000000005</v>
      </c>
      <c r="P6">
        <f t="shared" si="5"/>
        <v>57.2</v>
      </c>
      <c r="Q6">
        <f>VLOOKUP(A6,CAD!$A$3:$J$15, 10, FALSE)</f>
        <v>78.5</v>
      </c>
      <c r="S6">
        <f t="shared" si="0"/>
        <v>52.17</v>
      </c>
      <c r="U6" cm="1">
        <f t="array" ref="U6">_xlfn.PERCENTRANK.EXC(_xlfn._xlws.FILTER(S$3:S$15, ISNUMBER(S$3:S$15)),S6)*100</f>
        <v>57.099999999999994</v>
      </c>
    </row>
    <row r="7" spans="1:21" x14ac:dyDescent="0.35">
      <c r="A7" t="s">
        <v>46</v>
      </c>
      <c r="B7" t="s">
        <v>465</v>
      </c>
      <c r="C7" t="str" cm="1">
        <f t="array" ref="C7">_xll.FDSB(B7,"FG_COMPANY_NAME")</f>
        <v>Japanese Yen per U.S. Dollar</v>
      </c>
      <c r="D7" cm="1">
        <f t="array" ref="D7">_xll.FDSB(B7,"FG_PRICE(0)")</f>
        <v>160.86000000000001</v>
      </c>
      <c r="E7" cm="1">
        <f t="array" ref="E7">_xll.FDSB(B7,"FG_PRICE_CHANGE(0,-1AY)")</f>
        <v>11.287141</v>
      </c>
      <c r="F7" cm="1">
        <f t="array" ref="F7">_xll.FDSB(B7,"FG_PRICE_CHANGE(0,-1AM)")</f>
        <v>2.5598526000000001</v>
      </c>
      <c r="G7" cm="1">
        <f t="array" ref="G7">_xll.FDSB(B7,"FG_PRICE_CHANGE(0,-3AM)")</f>
        <v>6.2869549999999998</v>
      </c>
      <c r="H7" cm="1">
        <f t="array" ref="H7">_xll.FDSB(B7,"FG_PRICE_CHANGE(0,-6AM)")</f>
        <v>14.170121999999999</v>
      </c>
      <c r="I7" cm="1">
        <f t="array" ref="I7">_xll.FDS(B7,"STD(FG_PRICE_CHANGE(0,-1AY,AM))")</f>
        <v>2.8978346864021001</v>
      </c>
      <c r="J7" cm="1">
        <f t="array" ref="J7">_xll.FDS(B7,"STD(FG_PRICE_CHANGE(0,-3AY,M))")*SQRT(12)</f>
        <v>10.422185356892532</v>
      </c>
      <c r="L7">
        <f t="shared" si="1"/>
        <v>7.1999999999999957</v>
      </c>
      <c r="M7">
        <f t="shared" si="2"/>
        <v>7.1999999999999957</v>
      </c>
      <c r="N7">
        <f t="shared" si="3"/>
        <v>7.1999999999999957</v>
      </c>
      <c r="O7">
        <f t="shared" si="4"/>
        <v>7.1999999999999957</v>
      </c>
      <c r="P7">
        <f t="shared" si="5"/>
        <v>21.5</v>
      </c>
      <c r="Q7">
        <f>VLOOKUP(A7,CAD!$A$3:$J$15, 10, FALSE)</f>
        <v>64.2</v>
      </c>
      <c r="S7">
        <f t="shared" si="0"/>
        <v>22.89</v>
      </c>
      <c r="U7" cm="1">
        <f t="array" ref="U7">_xlfn.PERCENTRANK.EXC(_xlfn._xlws.FILTER(S$3:S$15, ISNUMBER(S$3:S$15)),S7)*100</f>
        <v>7.1</v>
      </c>
    </row>
    <row r="8" spans="1:21" x14ac:dyDescent="0.35">
      <c r="A8" t="s">
        <v>42</v>
      </c>
      <c r="B8" t="s">
        <v>470</v>
      </c>
      <c r="C8" t="str" cm="1">
        <f t="array" ref="C8">_xll.FDSB(B8,"FG_COMPANY_NAME")</f>
        <v>Swiss Franc per U.S. Dollar</v>
      </c>
      <c r="D8" cm="1">
        <f t="array" ref="D8">_xll.FDSB(B8,"FG_PRICE(0)")</f>
        <v>0.89859999999999995</v>
      </c>
      <c r="E8" cm="1">
        <f t="array" ref="E8">_xll.FDSB(B8,"FG_PRICE_CHANGE(0,-1AY)")</f>
        <v>0.13929605</v>
      </c>
      <c r="F8" cm="1">
        <f t="array" ref="F8">_xll.FDSB(B8,"FG_PRICE_CHANGE(0,-1AM)")</f>
        <v>-1.2690246000000001</v>
      </c>
      <c r="G8" cm="1">
        <f t="array" ref="G8">_xll.FDSB(B8,"FG_PRICE_CHANGE(0,-3AM)")</f>
        <v>-0.23314952999999999</v>
      </c>
      <c r="H8" cm="1">
        <f t="array" ref="H8">_xll.FDSB(B8,"FG_PRICE_CHANGE(0,-6AM)")</f>
        <v>7.4430465999999997</v>
      </c>
      <c r="I8" cm="1">
        <f t="array" ref="I8">_xll.FDS(B8,"STD(FG_PRICE_CHANGE(0,-1AY,AM))")</f>
        <v>2.6637609358768999</v>
      </c>
      <c r="J8" cm="1">
        <f t="array" ref="J8">_xll.FDS(B8,"STD(FG_PRICE_CHANGE(0,-3AY,M))")*SQRT(12)</f>
        <v>8.4058320697574622</v>
      </c>
      <c r="L8">
        <f t="shared" si="1"/>
        <v>92.9</v>
      </c>
      <c r="M8">
        <f t="shared" si="2"/>
        <v>71.500000000000014</v>
      </c>
      <c r="N8">
        <f t="shared" si="3"/>
        <v>21.499999999999996</v>
      </c>
      <c r="O8">
        <f t="shared" si="4"/>
        <v>55.780000000000008</v>
      </c>
      <c r="P8">
        <f t="shared" si="5"/>
        <v>42.900000000000006</v>
      </c>
      <c r="Q8">
        <f>VLOOKUP(A8,CAD!$A$3:$J$15, 10, FALSE)</f>
        <v>85.7</v>
      </c>
      <c r="S8">
        <f t="shared" si="0"/>
        <v>57.900000000000006</v>
      </c>
      <c r="U8" cm="1">
        <f t="array" ref="U8">_xlfn.PERCENTRANK.EXC(_xlfn._xlws.FILTER(S$3:S$15, ISNUMBER(S$3:S$15)),S8)*100</f>
        <v>71.399999999999991</v>
      </c>
    </row>
    <row r="9" spans="1:21" x14ac:dyDescent="0.35">
      <c r="A9" t="s">
        <v>48</v>
      </c>
      <c r="B9" t="s">
        <v>468</v>
      </c>
      <c r="C9" t="str" cm="1">
        <f t="array" ref="C9">_xll.FDSB(B9,"FG_COMPANY_NAME")</f>
        <v>British Pounds per U.S. Dollar</v>
      </c>
      <c r="D9" cm="1">
        <f t="array" ref="D9">_xll.FDSB(B9,"FG_PRICE(0)")</f>
        <v>0.79107665999999999</v>
      </c>
      <c r="E9" cm="1">
        <f t="array" ref="E9">_xll.FDSB(B9,"FG_PRICE_CHANGE(0,-1AY)")</f>
        <v>-0.23336409999999999</v>
      </c>
      <c r="F9" cm="1">
        <f t="array" ref="F9">_xll.FDSB(B9,"FG_PRICE_CHANGE(0,-1AM)")</f>
        <v>1.0798216</v>
      </c>
      <c r="G9" cm="1">
        <f t="array" ref="G9">_xll.FDSB(B9,"FG_PRICE_CHANGE(0,-3AM)")</f>
        <v>-6.7239999999999994E-2</v>
      </c>
      <c r="H9" cm="1">
        <f t="array" ref="H9">_xll.FDSB(B9,"FG_PRICE_CHANGE(0,-6AM)")</f>
        <v>1.0204911000000001</v>
      </c>
      <c r="I9" cm="1">
        <f t="array" ref="I9">_xll.FDS(B9,"STD(FG_PRICE_CHANGE(0,-1AY,AM))")</f>
        <v>2.0721814605637499</v>
      </c>
      <c r="J9" cm="1">
        <f t="array" ref="J9">_xll.FDS(B9,"STD(FG_PRICE_CHANGE(0,-3AY,M))")*SQRT(12)</f>
        <v>8.1259492183285875</v>
      </c>
      <c r="L9">
        <f t="shared" si="1"/>
        <v>28.6</v>
      </c>
      <c r="M9">
        <f t="shared" si="2"/>
        <v>57.2</v>
      </c>
      <c r="N9">
        <f t="shared" si="3"/>
        <v>71.500000000000014</v>
      </c>
      <c r="O9">
        <f>SUMPRODUCT($L$1:$N$1,L9:N9)</f>
        <v>57.20000000000001</v>
      </c>
      <c r="P9">
        <f t="shared" si="5"/>
        <v>50</v>
      </c>
      <c r="Q9">
        <f>VLOOKUP(A9,CAD!$A$3:$J$15, 10, FALSE)</f>
        <v>28.499999999999996</v>
      </c>
      <c r="S9">
        <f t="shared" si="0"/>
        <v>49.300000000000011</v>
      </c>
      <c r="U9" cm="1">
        <f t="array" ref="U9">_xlfn.PERCENTRANK.EXC(_xlfn._xlws.FILTER(S$3:S$15, ISNUMBER(S$3:S$15)),S9)*100</f>
        <v>42.8</v>
      </c>
    </row>
    <row r="10" spans="1:21" x14ac:dyDescent="0.35">
      <c r="A10" t="s">
        <v>51</v>
      </c>
      <c r="B10" t="s">
        <v>554</v>
      </c>
      <c r="C10" t="str" cm="1">
        <f t="array" ref="C10">_xll.FDSB(B10,"FG_COMPANY_NAME")</f>
        <v>U.S. Dollar per U.S. Dollar</v>
      </c>
      <c r="D10" cm="1">
        <f t="array" ref="D10">_xll.FDSB(B10,"FG_PRICE(0)")</f>
        <v>1</v>
      </c>
      <c r="E10" cm="1">
        <f t="array" ref="E10">_xll.FDSB(B10,"FG_PRICE_CHANGE(0,-1AY)")</f>
        <v>0</v>
      </c>
      <c r="F10" cm="1">
        <f t="array" ref="F10">_xll.FDSB(B10,"FG_PRICE_CHANGE(0,-1AM)")</f>
        <v>0</v>
      </c>
      <c r="G10" cm="1">
        <f t="array" ref="G10">_xll.FDSB(B10,"FG_PRICE_CHANGE(0,-3AM)")</f>
        <v>0</v>
      </c>
      <c r="H10" cm="1">
        <f t="array" ref="H10">_xll.FDSB(B10,"FG_PRICE_CHANGE(0,-6AM)")</f>
        <v>0</v>
      </c>
      <c r="I10" cm="1">
        <f t="array" ref="I10">_xll.FDS(B10,"STD(FG_PRICE_CHANGE(0,-1AY,AM))")</f>
        <v>0</v>
      </c>
      <c r="J10" cm="1">
        <f t="array" ref="J10">_xll.FDS(B10,"STD(FG_PRICE_CHANGE(0,-3AY,M))")*SQRT(12)</f>
        <v>0</v>
      </c>
      <c r="L10">
        <f t="shared" si="1"/>
        <v>71.500000000000014</v>
      </c>
      <c r="M10">
        <f t="shared" si="2"/>
        <v>50</v>
      </c>
      <c r="N10">
        <f t="shared" si="3"/>
        <v>92.9</v>
      </c>
      <c r="O10">
        <f t="shared" si="4"/>
        <v>71.460000000000008</v>
      </c>
      <c r="P10">
        <f t="shared" si="5"/>
        <v>92.9</v>
      </c>
      <c r="Q10">
        <f>VLOOKUP(A10,CAD!$A$3:$J$15, 10, FALSE)</f>
        <v>14.2</v>
      </c>
      <c r="S10">
        <f t="shared" si="0"/>
        <v>66.440000000000012</v>
      </c>
      <c r="U10" cm="1">
        <f t="array" ref="U10">_xlfn.PERCENTRANK.EXC(_xlfn._xlws.FILTER(S$3:S$15, ISNUMBER(S$3:S$15)),S10)*100</f>
        <v>78.5</v>
      </c>
    </row>
    <row r="11" spans="1:21" x14ac:dyDescent="0.35">
      <c r="A11" t="s">
        <v>1</v>
      </c>
      <c r="B11" t="s">
        <v>554</v>
      </c>
      <c r="C11" t="str" cm="1">
        <f t="array" ref="C11">_xll.FDSB(B11,"FG_COMPANY_NAME")</f>
        <v>U.S. Dollar per U.S. Dollar</v>
      </c>
      <c r="D11" cm="1">
        <f t="array" ref="D11">_xll.FDSB(B11,"FG_PRICE(0)")</f>
        <v>1</v>
      </c>
      <c r="E11" cm="1">
        <f t="array" ref="E11">_xll.FDSB(B11,"FG_PRICE_CHANGE(0,-1AY)")</f>
        <v>0</v>
      </c>
      <c r="F11" cm="1">
        <f t="array" ref="F11">_xll.FDSB(B11,"FG_PRICE_CHANGE(0,-1AM)")</f>
        <v>0</v>
      </c>
      <c r="G11" cm="1">
        <f t="array" ref="G11">_xll.FDSB(B11,"FG_PRICE_CHANGE(0,-3AM)")</f>
        <v>0</v>
      </c>
      <c r="H11" cm="1">
        <f t="array" ref="H11">_xll.FDSB(B11,"FG_PRICE_CHANGE(0,-6AM)")</f>
        <v>0</v>
      </c>
      <c r="I11" cm="1">
        <f t="array" ref="I11">_xll.FDS(B11,"STD(FG_PRICE_CHANGE(0,-1AY,AM))")</f>
        <v>0</v>
      </c>
      <c r="J11" cm="1">
        <f t="array" ref="J11">_xll.FDS(B11,"STD(FG_PRICE_CHANGE(0,-3AY,M))")*SQRT(12)</f>
        <v>0</v>
      </c>
      <c r="L11">
        <f t="shared" si="1"/>
        <v>71.500000000000014</v>
      </c>
      <c r="M11">
        <f t="shared" si="2"/>
        <v>50</v>
      </c>
      <c r="N11">
        <f t="shared" si="3"/>
        <v>92.9</v>
      </c>
      <c r="O11">
        <f t="shared" si="4"/>
        <v>71.460000000000008</v>
      </c>
      <c r="P11">
        <f t="shared" si="5"/>
        <v>92.9</v>
      </c>
      <c r="Q11">
        <f>VLOOKUP(A11,CAD!$A$3:$J$15, 10, FALSE)</f>
        <v>14.2</v>
      </c>
      <c r="S11">
        <f t="shared" si="0"/>
        <v>66.440000000000012</v>
      </c>
      <c r="U11" cm="1">
        <f t="array" ref="U11">_xlfn.PERCENTRANK.EXC(_xlfn._xlws.FILTER(S$3:S$15, ISNUMBER(S$3:S$15)),S11)*100</f>
        <v>78.5</v>
      </c>
    </row>
    <row r="12" spans="1:21" x14ac:dyDescent="0.35">
      <c r="A12" t="s">
        <v>865</v>
      </c>
      <c r="B12" t="s">
        <v>470</v>
      </c>
      <c r="C12" t="str" cm="1">
        <f t="array" ref="C12">_xll.FDSB(B12,"FG_COMPANY_NAME")</f>
        <v>Swiss Franc per U.S. Dollar</v>
      </c>
      <c r="D12" cm="1">
        <f t="array" ref="D12">_xll.FDSB(B12,"FG_PRICE(0)")</f>
        <v>0.89859999999999995</v>
      </c>
      <c r="E12" cm="1">
        <f t="array" ref="E12">_xll.FDSB(B12,"FG_PRICE_CHANGE(0,-1AY)")</f>
        <v>0.13929605</v>
      </c>
      <c r="F12" cm="1">
        <f t="array" ref="F12">_xll.FDSB(B12,"FG_PRICE_CHANGE(0,-1AM)")</f>
        <v>-1.2690246000000001</v>
      </c>
      <c r="G12" cm="1">
        <f t="array" ref="G12">_xll.FDSB(B12,"FG_PRICE_CHANGE(0,-3AM)")</f>
        <v>-0.23314952999999999</v>
      </c>
      <c r="H12" cm="1">
        <f t="array" ref="H12">_xll.FDSB(B12,"FG_PRICE_CHANGE(0,-6AM)")</f>
        <v>7.4430465999999997</v>
      </c>
      <c r="I12" cm="1">
        <f t="array" ref="I12">_xll.FDS(B12,"STD(FG_PRICE_CHANGE(0,-1AY,AM))")</f>
        <v>2.6637609358768999</v>
      </c>
      <c r="J12" cm="1">
        <f t="array" ref="J12">_xll.FDS(B12,"STD(FG_PRICE_CHANGE(0,-3AY,M))")*SQRT(12)</f>
        <v>8.4058320697574622</v>
      </c>
      <c r="L12">
        <f t="shared" si="1"/>
        <v>92.9</v>
      </c>
      <c r="M12">
        <f t="shared" si="2"/>
        <v>71.500000000000014</v>
      </c>
      <c r="N12">
        <f t="shared" si="3"/>
        <v>21.499999999999996</v>
      </c>
      <c r="O12">
        <f t="shared" ref="O12:O15" si="6">SUMPRODUCT($L$1:$N$1,L12:N12)</f>
        <v>55.780000000000008</v>
      </c>
      <c r="P12">
        <f t="shared" si="5"/>
        <v>42.900000000000006</v>
      </c>
      <c r="Q12">
        <f>VLOOKUP(A12,CAD!$A$3:$J$15, 10, FALSE)</f>
        <v>42.8</v>
      </c>
      <c r="S12">
        <f t="shared" ref="S12:S15" si="7">SUMPRODUCT($O$1:$Q$1,O12:Q12)</f>
        <v>49.320000000000007</v>
      </c>
      <c r="U12" cm="1">
        <f t="array" ref="U12">_xlfn.PERCENTRANK.EXC(_xlfn._xlws.FILTER(S$3:S$15, ISNUMBER(S$3:S$15)),S12)*100</f>
        <v>50</v>
      </c>
    </row>
    <row r="13" spans="1:21" s="183" customFormat="1" x14ac:dyDescent="0.35">
      <c r="A13" s="183" t="s">
        <v>867</v>
      </c>
      <c r="B13" s="183" t="s">
        <v>880</v>
      </c>
      <c r="C13" s="183" t="str" cm="1">
        <f t="array" ref="C13">_xll.FDSB(B13,"FG_COMPANY_NAME")</f>
        <v>Netherlands Antilles Guilder per U.S. Dollar</v>
      </c>
      <c r="D13" s="183" cm="1">
        <f t="array" ref="D13">_xll.FDSB(B13,"FG_PRICE(0)")</f>
        <v>1.79</v>
      </c>
      <c r="E13" s="183" cm="1">
        <f t="array" ref="E13">_xll.FDSB(B13,"FG_PRICE_CHANGE(0,-1AY)")</f>
        <v>0</v>
      </c>
      <c r="F13" s="183" cm="1">
        <f t="array" ref="F13">_xll.FDSB(B13,"FG_PRICE_CHANGE(0,-1AM)")</f>
        <v>0</v>
      </c>
      <c r="G13" s="183" cm="1">
        <f t="array" ref="G13">_xll.FDSB(B13,"FG_PRICE_CHANGE(0,-3AM)")</f>
        <v>0</v>
      </c>
      <c r="H13" s="183" cm="1">
        <f t="array" ref="H13">_xll.FDSB(B13,"FG_PRICE_CHANGE(0,-6AM)")</f>
        <v>0</v>
      </c>
      <c r="I13" s="183" cm="1">
        <f t="array" ref="I13">_xll.FDS(B13,"STD(FG_PRICE_CHANGE(0,-1AY,AM))")</f>
        <v>0</v>
      </c>
      <c r="J13" s="183" cm="1">
        <f t="array" ref="J13">_xll.FDS(B13,"STD(FG_PRICE_CHANGE(0,-3AY,M))")*SQRT(12)</f>
        <v>0.20309479713463402</v>
      </c>
      <c r="L13" s="183">
        <f t="shared" si="1"/>
        <v>71.500000000000014</v>
      </c>
      <c r="M13" s="183">
        <f t="shared" si="2"/>
        <v>50</v>
      </c>
      <c r="N13" s="183">
        <f t="shared" si="3"/>
        <v>92.9</v>
      </c>
      <c r="O13" s="183">
        <f t="shared" si="6"/>
        <v>71.460000000000008</v>
      </c>
      <c r="P13" s="183">
        <f t="shared" si="5"/>
        <v>78.599999999999994</v>
      </c>
      <c r="Q13" s="183">
        <f>VLOOKUP(A13,CAD!$A$3:$J$15, 10, FALSE)</f>
        <v>92.800000000000011</v>
      </c>
      <c r="S13" s="183">
        <f t="shared" si="7"/>
        <v>77.87</v>
      </c>
      <c r="U13" s="183" cm="1">
        <f t="array" ref="U13">_xlfn.PERCENTRANK.EXC(_xlfn._xlws.FILTER(S$3:S$15, ISNUMBER(S$3:S$15)),S13)*100</f>
        <v>92.800000000000011</v>
      </c>
    </row>
    <row r="14" spans="1:21" x14ac:dyDescent="0.35">
      <c r="A14" t="s">
        <v>864</v>
      </c>
      <c r="B14" t="s">
        <v>881</v>
      </c>
      <c r="C14" t="str" cm="1">
        <f t="array" ref="C14">_xll.FDSB(B14,"FG_COMPANY_NAME")</f>
        <v>Swedish Krona per U.S. Dollar</v>
      </c>
      <c r="D14" cm="1">
        <f t="array" ref="D14">_xll.FDSB(B14,"FG_PRICE(0)")</f>
        <v>10.590199999999999</v>
      </c>
      <c r="E14" cm="1">
        <f t="array" ref="E14">_xll.FDSB(B14,"FG_PRICE_CHANGE(0,-1AY)")</f>
        <v>-2.0776867999999999</v>
      </c>
      <c r="F14" cm="1">
        <f t="array" ref="F14">_xll.FDSB(B14,"FG_PRICE_CHANGE(0,-1AM)")</f>
        <v>0.41673183000000003</v>
      </c>
      <c r="G14" cm="1">
        <f t="array" ref="G14">_xll.FDSB(B14,"FG_PRICE_CHANGE(0,-3AM)")</f>
        <v>-0.95766779999999996</v>
      </c>
      <c r="H14" cm="1">
        <f t="array" ref="H14">_xll.FDSB(B14,"FG_PRICE_CHANGE(0,-6AM)")</f>
        <v>6.4336419999999999</v>
      </c>
      <c r="I14" cm="1">
        <f t="array" ref="I14">_xll.FDS(B14,"STD(FG_PRICE_CHANGE(0,-1AY,AM))")</f>
        <v>3.5257497929954802</v>
      </c>
      <c r="J14" cm="1">
        <f t="array" ref="J14">_xll.FDS(B14,"STD(FG_PRICE_CHANGE(0,-3AY,M))")*SQRT(12)</f>
        <v>10.237977413052276</v>
      </c>
      <c r="L14">
        <f t="shared" si="1"/>
        <v>42.900000000000006</v>
      </c>
      <c r="M14">
        <f t="shared" si="2"/>
        <v>78.600000000000009</v>
      </c>
      <c r="N14">
        <f t="shared" si="3"/>
        <v>28.6</v>
      </c>
      <c r="O14">
        <f t="shared" si="6"/>
        <v>51.460000000000008</v>
      </c>
      <c r="P14">
        <f t="shared" si="5"/>
        <v>28.600000000000009</v>
      </c>
      <c r="Q14">
        <f>VLOOKUP(A14,CAD!$A$3:$J$15, 10, FALSE)</f>
        <v>71.399999999999991</v>
      </c>
      <c r="S14">
        <f t="shared" si="7"/>
        <v>48.59</v>
      </c>
      <c r="U14" cm="1">
        <f t="array" ref="U14">_xlfn.PERCENTRANK.EXC(_xlfn._xlws.FILTER(S$3:S$15, ISNUMBER(S$3:S$15)),S14)*100</f>
        <v>28.499999999999996</v>
      </c>
    </row>
    <row r="15" spans="1:21" x14ac:dyDescent="0.35">
      <c r="A15" t="s">
        <v>866</v>
      </c>
      <c r="B15" t="s">
        <v>882</v>
      </c>
      <c r="C15" t="str" cm="1">
        <f t="array" ref="C15">_xll.FDSB(B15,"FG_COMPANY_NAME")</f>
        <v>Italian Lira per U.S. Dollar</v>
      </c>
      <c r="D15" cm="1">
        <f t="array" ref="D15">_xll.FDSB(B15,"FG_PRICE(0)")</f>
        <v>1806.6433999999999</v>
      </c>
      <c r="E15" cm="1">
        <f t="array" ref="E15">_xll.FDSB(B15,"FG_PRICE_CHANGE(0,-1AY)")</f>
        <v>1.7074943</v>
      </c>
      <c r="F15" cm="1">
        <f t="array" ref="F15">_xll.FDSB(B15,"FG_PRICE_CHANGE(0,-1AM)")</f>
        <v>1.4649034000000001</v>
      </c>
      <c r="G15" cm="1">
        <f t="array" ref="G15">_xll.FDSB(B15,"FG_PRICE_CHANGE(0,-3AM)")</f>
        <v>0.76978206999999998</v>
      </c>
      <c r="H15" cm="1">
        <f t="array" ref="H15">_xll.FDSB(B15,"FG_PRICE_CHANGE(0,-6AM)")</f>
        <v>3.6202549999999998</v>
      </c>
      <c r="I15" cm="1">
        <f t="array" ref="I15">_xll.FDS(B15,"STD(FG_PRICE_CHANGE(0,-1AY,AM))")</f>
        <v>1.84751268008856</v>
      </c>
      <c r="J15" cm="1">
        <f t="array" ref="J15">_xll.FDS(B15,"STD(FG_PRICE_CHANGE(0,-3AY,M))")*SQRT(12)</f>
        <v>7.4606771694482443</v>
      </c>
      <c r="L15">
        <f t="shared" si="1"/>
        <v>21.499999999999996</v>
      </c>
      <c r="M15">
        <f t="shared" si="2"/>
        <v>21.499999999999996</v>
      </c>
      <c r="N15">
        <f t="shared" si="3"/>
        <v>57.2</v>
      </c>
      <c r="O15">
        <f t="shared" si="6"/>
        <v>35.78</v>
      </c>
      <c r="P15">
        <f t="shared" si="5"/>
        <v>64.300000000000011</v>
      </c>
      <c r="Q15">
        <f>VLOOKUP(A15,CAD!$A$3:$J$15, 10, FALSE)</f>
        <v>57.099999999999994</v>
      </c>
      <c r="S15">
        <f t="shared" si="7"/>
        <v>48.600000000000009</v>
      </c>
      <c r="U15" cm="1">
        <f t="array" ref="U15">_xlfn.PERCENTRANK.EXC(_xlfn._xlws.FILTER(S$3:S$15, ISNUMBER(S$3:S$15)),S15)*100</f>
        <v>35.699999999999996</v>
      </c>
    </row>
    <row r="24" spans="10:10" x14ac:dyDescent="0.35">
      <c r="J24" s="53"/>
    </row>
    <row r="26" spans="10:10" x14ac:dyDescent="0.35">
      <c r="J26" s="67"/>
    </row>
    <row r="28" spans="10:10" x14ac:dyDescent="0.35">
      <c r="J28" s="6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15"/>
  <sheetViews>
    <sheetView topLeftCell="C1" zoomScale="145" zoomScaleNormal="145" workbookViewId="0">
      <selection activeCell="J8" sqref="J8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481</v>
      </c>
      <c r="G1" t="s">
        <v>482</v>
      </c>
      <c r="H1" t="s">
        <v>483</v>
      </c>
      <c r="J1" t="s">
        <v>492</v>
      </c>
    </row>
    <row r="2" spans="1:10" x14ac:dyDescent="0.35">
      <c r="C2" t="s">
        <v>484</v>
      </c>
      <c r="D2" t="s">
        <v>152</v>
      </c>
      <c r="E2" t="s">
        <v>485</v>
      </c>
      <c r="F2" t="s">
        <v>486</v>
      </c>
      <c r="G2" t="s">
        <v>479</v>
      </c>
      <c r="H2" t="s">
        <v>480</v>
      </c>
    </row>
    <row r="3" spans="1:10" x14ac:dyDescent="0.35">
      <c r="A3" t="s">
        <v>431</v>
      </c>
      <c r="B3" t="s">
        <v>469</v>
      </c>
      <c r="C3" t="str" cm="1">
        <f t="array" ref="C3">_xll.FDS($E3,"FG_COMPANY_NAME")</f>
        <v>New Zealand</v>
      </c>
      <c r="D3" t="s">
        <v>197</v>
      </c>
      <c r="E3" t="s">
        <v>198</v>
      </c>
      <c r="F3" t="str">
        <f t="shared" ref="F3:F15" si="0">_xlfn.CONCAT($F$1,D3)</f>
        <v>CAGDPY@NZ</v>
      </c>
      <c r="G3" cm="1">
        <f t="array" ref="G3">IFERROR(_xll.FDS($F3,"EE_ACTUAL_ANNUAL(MED,0)"),0)</f>
        <v>-6.9</v>
      </c>
      <c r="H3" cm="1">
        <f t="array" ref="H3">IFERROR(_xll.FDS($F3,"EE_ACTUAL_ANNUAL(MED,+1)"),0)</f>
        <v>-5.7</v>
      </c>
      <c r="J3" cm="1">
        <f t="array" ref="J3">_xlfn.PERCENTRANK.EXC(_xlfn._xlws.FILTER(H$3:H$15, ISNUMBER(H$3:H$15)),H3)*100</f>
        <v>7.1</v>
      </c>
    </row>
    <row r="4" spans="1:10" x14ac:dyDescent="0.35">
      <c r="A4" t="s">
        <v>44</v>
      </c>
      <c r="B4" t="s">
        <v>466</v>
      </c>
      <c r="C4" t="str" cm="1">
        <f t="array" ref="C4">_xll.FDS($E4,"FG_COMPANY_NAME")</f>
        <v>Australia</v>
      </c>
      <c r="D4" t="s">
        <v>113</v>
      </c>
      <c r="E4" t="s">
        <v>174</v>
      </c>
      <c r="F4" t="str">
        <f t="shared" si="0"/>
        <v>CAGDPY@AU</v>
      </c>
      <c r="G4" cm="1">
        <f t="array" ref="G4">IFERROR(_xll.FDS($F4,"EE_ACTUAL_ANNUAL(MED,0)"),0)</f>
        <v>0.27577682550316901</v>
      </c>
      <c r="H4" cm="1">
        <f t="array" ref="H4">IFERROR(_xll.FDS($F4,"EE_ACTUAL_ANNUAL(MED,+1)"),0)</f>
        <v>0.5</v>
      </c>
      <c r="J4" cm="1">
        <f t="array" ref="J4">_xlfn.PERCENTRANK.EXC(_xlfn._xlws.FILTER(H$3:H$15, ISNUMBER(H$3:H$15)),H4)*100</f>
        <v>50</v>
      </c>
    </row>
    <row r="5" spans="1:10" x14ac:dyDescent="0.35">
      <c r="A5" t="s">
        <v>49</v>
      </c>
      <c r="B5" t="s">
        <v>467</v>
      </c>
      <c r="C5" t="str" cm="1">
        <f t="array" ref="C5">_xll.FDS($E5,"FG_COMPANY_NAME")</f>
        <v>Canada</v>
      </c>
      <c r="D5" t="s">
        <v>116</v>
      </c>
      <c r="E5" t="s">
        <v>157</v>
      </c>
      <c r="F5" t="str">
        <f t="shared" si="0"/>
        <v>CAGDPY@CA</v>
      </c>
      <c r="G5" cm="1">
        <f t="array" ref="G5">IFERROR(_xll.FDS($F5,"EE_ACTUAL_ANNUAL(MED,0)"),0)</f>
        <v>-0.72541439902632698</v>
      </c>
      <c r="H5" cm="1">
        <f t="array" ref="H5">IFERROR(_xll.FDS($F5,"EE_ACTUAL_ANNUAL(MED,+1)"),0)</f>
        <v>-0.6</v>
      </c>
      <c r="J5" cm="1">
        <f t="array" ref="J5">_xlfn.PERCENTRANK.EXC(_xlfn._xlws.FILTER(H$3:H$15, ISNUMBER(H$3:H$15)),H5)*100</f>
        <v>35.699999999999996</v>
      </c>
    </row>
    <row r="6" spans="1:10" x14ac:dyDescent="0.35">
      <c r="A6" t="s">
        <v>11</v>
      </c>
      <c r="B6" t="s">
        <v>464</v>
      </c>
      <c r="C6" t="str" cm="1">
        <f t="array" ref="C6">_xll.FDS($E6,"FG_COMPANY_NAME")</f>
        <v>Germany</v>
      </c>
      <c r="D6" t="s">
        <v>102</v>
      </c>
      <c r="E6" t="s">
        <v>555</v>
      </c>
      <c r="F6" t="str">
        <f t="shared" si="0"/>
        <v>CAGDPY@DE</v>
      </c>
      <c r="G6" cm="1">
        <f t="array" ref="G6">IFERROR(_xll.FDS($F6,"EE_ACTUAL_ANNUAL(MED,0)"),0)</f>
        <v>6.0995975976701802</v>
      </c>
      <c r="H6" cm="1">
        <f t="array" ref="H6">IFERROR(_xll.FDS($F6,"EE_ACTUAL_ANNUAL(MED,+1)"),0)</f>
        <v>6.5</v>
      </c>
      <c r="J6" cm="1">
        <f t="array" ref="J6">_xlfn.PERCENTRANK.EXC(_xlfn._xlws.FILTER(H$3:H$15, ISNUMBER(H$3:H$15)),H6)*100</f>
        <v>78.5</v>
      </c>
    </row>
    <row r="7" spans="1:10" x14ac:dyDescent="0.35">
      <c r="A7" t="s">
        <v>46</v>
      </c>
      <c r="B7" t="s">
        <v>465</v>
      </c>
      <c r="C7" t="str" cm="1">
        <f t="array" ref="C7">_xll.FDS($E7,"FG_COMPANY_NAME")</f>
        <v>Japan</v>
      </c>
      <c r="D7" t="s">
        <v>114</v>
      </c>
      <c r="E7" t="s">
        <v>164</v>
      </c>
      <c r="F7" t="str">
        <f t="shared" si="0"/>
        <v>CAGDPY@JP</v>
      </c>
      <c r="G7" cm="1">
        <f t="array" ref="G7">IFERROR(_xll.FDS($F7,"EE_ACTUAL_ANNUAL(MED,0)"),0)</f>
        <v>3.61295912215857</v>
      </c>
      <c r="H7" cm="1">
        <f t="array" ref="H7">IFERROR(_xll.FDS($F7,"EE_ACTUAL_ANNUAL(MED,+1)"),0)</f>
        <v>3.8</v>
      </c>
      <c r="J7" cm="1">
        <f t="array" ref="J7">_xlfn.PERCENTRANK.EXC(_xlfn._xlws.FILTER(H$3:H$15, ISNUMBER(H$3:H$15)),H7)*100</f>
        <v>64.2</v>
      </c>
    </row>
    <row r="8" spans="1:10" x14ac:dyDescent="0.35">
      <c r="A8" t="s">
        <v>42</v>
      </c>
      <c r="B8" t="s">
        <v>470</v>
      </c>
      <c r="C8" t="str" cm="1">
        <f t="array" ref="C8">_xll.FDS($E8,"FG_COMPANY_NAME")</f>
        <v>Switzerland</v>
      </c>
      <c r="D8" t="s">
        <v>110</v>
      </c>
      <c r="E8" t="s">
        <v>276</v>
      </c>
      <c r="F8" t="str">
        <f t="shared" si="0"/>
        <v>CAGDPY@CH</v>
      </c>
      <c r="G8" cm="1">
        <f t="array" ref="G8">IFERROR(_xll.FDS($F8,"EE_ACTUAL_ANNUAL(MED,0)"),0)</f>
        <v>6.9808755786158398</v>
      </c>
      <c r="H8" cm="1">
        <f t="array" ref="H8">IFERROR(_xll.FDS($F8,"EE_ACTUAL_ANNUAL(MED,+1)"),0)</f>
        <v>8</v>
      </c>
      <c r="J8" cm="1">
        <f t="array" ref="J8">_xlfn.PERCENTRANK.EXC(_xlfn._xlws.FILTER(H$3:H$15, ISNUMBER(H$3:H$15)),H8)*100</f>
        <v>85.7</v>
      </c>
    </row>
    <row r="9" spans="1:10" x14ac:dyDescent="0.35">
      <c r="A9" t="s">
        <v>48</v>
      </c>
      <c r="B9" t="s">
        <v>468</v>
      </c>
      <c r="C9" t="str" cm="1">
        <f t="array" ref="C9">_xll.FDS($E9,"FG_COMPANY_NAME")</f>
        <v>United Kingdom</v>
      </c>
      <c r="D9" t="s">
        <v>115</v>
      </c>
      <c r="E9" t="s">
        <v>167</v>
      </c>
      <c r="F9" t="str">
        <f t="shared" si="0"/>
        <v>CAGDPY@GB</v>
      </c>
      <c r="G9" cm="1">
        <f t="array" ref="G9">IFERROR(_xll.FDS($F9,"EE_ACTUAL_ANNUAL(MED,0)"),0)</f>
        <v>-3.3</v>
      </c>
      <c r="H9" cm="1">
        <f t="array" ref="H9">IFERROR(_xll.FDS($F9,"EE_ACTUAL_ANNUAL(MED,+1)"),0)</f>
        <v>-2.75</v>
      </c>
      <c r="J9" cm="1">
        <f t="array" ref="J9">_xlfn.PERCENTRANK.EXC(_xlfn._xlws.FILTER(H$3:H$15, ISNUMBER(H$3:H$15)),H9)*100</f>
        <v>28.499999999999996</v>
      </c>
    </row>
    <row r="10" spans="1:10" x14ac:dyDescent="0.35">
      <c r="A10" t="s">
        <v>51</v>
      </c>
      <c r="B10" t="s">
        <v>554</v>
      </c>
      <c r="C10" t="str" cm="1">
        <f t="array" ref="C10">_xll.FDS($E10,"FG_COMPANY_NAME")</f>
        <v>United States</v>
      </c>
      <c r="D10" t="s">
        <v>119</v>
      </c>
      <c r="E10" t="s">
        <v>170</v>
      </c>
      <c r="F10" t="str">
        <f>_xlfn.CONCAT($F$1,D10)</f>
        <v>CAGDPY@US</v>
      </c>
      <c r="G10" cm="1">
        <f t="array" ref="G10">IFERROR(_xll.FDS($F10,"EE_ACTUAL_ANNUAL(MED,0)"),0)</f>
        <v>-3.3110866828871801</v>
      </c>
      <c r="H10" cm="1">
        <f t="array" ref="H10">IFERROR(_xll.FDS($F10,"EE_ACTUAL_ANNUAL(MED,+1)"),0)</f>
        <v>-3.1</v>
      </c>
      <c r="J10" cm="1">
        <f t="array" ref="J10">_xlfn.PERCENTRANK.EXC(_xlfn._xlws.FILTER(H$3:H$15, ISNUMBER(H$3:H$15)),H10)*100</f>
        <v>14.2</v>
      </c>
    </row>
    <row r="11" spans="1:10" x14ac:dyDescent="0.35">
      <c r="A11" t="s">
        <v>1</v>
      </c>
      <c r="B11" t="s">
        <v>554</v>
      </c>
      <c r="C11" t="str" cm="1">
        <f t="array" ref="C11">_xll.FDS($E11,"FG_COMPANY_NAME")</f>
        <v>United States</v>
      </c>
      <c r="D11" t="s">
        <v>119</v>
      </c>
      <c r="E11" t="s">
        <v>170</v>
      </c>
      <c r="F11" t="str">
        <f t="shared" si="0"/>
        <v>CAGDPY@US</v>
      </c>
      <c r="G11" cm="1">
        <f t="array" ref="G11">IFERROR(_xll.FDS($F11,"EE_ACTUAL_ANNUAL(MED,0)"),0)</f>
        <v>-3.3110866828871801</v>
      </c>
      <c r="H11" cm="1">
        <f t="array" ref="H11">IFERROR(_xll.FDS($F11,"EE_ACTUAL_ANNUAL(MED,+1)"),0)</f>
        <v>-3.1</v>
      </c>
      <c r="J11" cm="1">
        <f t="array" ref="J11">_xlfn.PERCENTRANK.EXC(_xlfn._xlws.FILTER(H$3:H$15, ISNUMBER(H$3:H$15)),H11)*100</f>
        <v>14.2</v>
      </c>
    </row>
    <row r="12" spans="1:10" x14ac:dyDescent="0.35">
      <c r="A12" t="s">
        <v>865</v>
      </c>
      <c r="B12" t="s">
        <v>470</v>
      </c>
      <c r="C12" t="s">
        <v>621</v>
      </c>
      <c r="D12" t="s">
        <v>106</v>
      </c>
      <c r="E12" t="s">
        <v>869</v>
      </c>
      <c r="F12" t="str">
        <f t="shared" si="0"/>
        <v>CAGDPY@FR</v>
      </c>
      <c r="G12" cm="1">
        <f t="array" ref="G12">IFERROR(_xll.FDS($F12,"EE_ACTUAL_ANNUAL(MED,0)"),0)</f>
        <v>-0.75681715730573196</v>
      </c>
      <c r="H12" cm="1">
        <f t="array" ref="H12">IFERROR(_xll.FDS($F12,"EE_ACTUAL_ANNUAL(MED,+1)"),0)</f>
        <v>-0.55000000000000004</v>
      </c>
      <c r="J12" cm="1">
        <f t="array" ref="J12">_xlfn.PERCENTRANK.EXC(_xlfn._xlws.FILTER(H$3:H$15, ISNUMBER(H$3:H$15)),H12)*100</f>
        <v>42.8</v>
      </c>
    </row>
    <row r="13" spans="1:10" x14ac:dyDescent="0.35">
      <c r="A13" t="s">
        <v>867</v>
      </c>
      <c r="B13" t="s">
        <v>880</v>
      </c>
      <c r="C13" t="s">
        <v>673</v>
      </c>
      <c r="D13" t="s">
        <v>875</v>
      </c>
      <c r="E13" t="s">
        <v>870</v>
      </c>
      <c r="F13" t="str">
        <f t="shared" si="0"/>
        <v>CAGDPY@NL</v>
      </c>
      <c r="G13" cm="1">
        <f t="array" ref="G13">IFERROR(_xll.FDS($F13,"EE_ACTUAL_ANNUAL(MED,0)"),0)</f>
        <v>10.163156516841701</v>
      </c>
      <c r="H13" cm="1">
        <f t="array" ref="H13">IFERROR(_xll.FDS($F13,"EE_ACTUAL_ANNUAL(MED,+1)"),0)</f>
        <v>9.3000000000000007</v>
      </c>
      <c r="J13" cm="1">
        <f t="array" ref="J13">_xlfn.PERCENTRANK.EXC(_xlfn._xlws.FILTER(H$3:H$15, ISNUMBER(H$3:H$15)),H13)*100</f>
        <v>92.800000000000011</v>
      </c>
    </row>
    <row r="14" spans="1:10" x14ac:dyDescent="0.35">
      <c r="A14" t="s">
        <v>864</v>
      </c>
      <c r="B14" t="s">
        <v>881</v>
      </c>
      <c r="C14" t="s">
        <v>705</v>
      </c>
      <c r="D14" t="s">
        <v>272</v>
      </c>
      <c r="E14" t="s">
        <v>273</v>
      </c>
      <c r="F14" t="str">
        <f t="shared" si="0"/>
        <v>CAGDPY@SE</v>
      </c>
      <c r="G14" cm="1">
        <f t="array" ref="G14">IFERROR(_xll.FDS($F14,"EE_ACTUAL_ANNUAL(MED,0)"),0)</f>
        <v>6.4686639012956002</v>
      </c>
      <c r="H14" cm="1">
        <f t="array" ref="H14">IFERROR(_xll.FDS($F14,"EE_ACTUAL_ANNUAL(MED,+1)"),0)</f>
        <v>5.8</v>
      </c>
      <c r="J14" cm="1">
        <f t="array" ref="J14">_xlfn.PERCENTRANK.EXC(_xlfn._xlws.FILTER(H$3:H$15, ISNUMBER(H$3:H$15)),H14)*100</f>
        <v>71.399999999999991</v>
      </c>
    </row>
    <row r="15" spans="1:10" x14ac:dyDescent="0.35">
      <c r="A15" t="s">
        <v>866</v>
      </c>
      <c r="B15" t="s">
        <v>882</v>
      </c>
      <c r="C15" t="s">
        <v>641</v>
      </c>
      <c r="D15" t="s">
        <v>876</v>
      </c>
      <c r="E15" t="s">
        <v>868</v>
      </c>
      <c r="F15" t="str">
        <f t="shared" si="0"/>
        <v>CAGDPY@IT</v>
      </c>
      <c r="G15" cm="1">
        <f t="array" ref="G15">IFERROR(_xll.FDS($F15,"EE_ACTUAL_ANNUAL(MED,0)"),0)</f>
        <v>0.46420208426721798</v>
      </c>
      <c r="H15" cm="1">
        <f t="array" ref="H15">IFERROR(_xll.FDS($F15,"EE_ACTUAL_ANNUAL(MED,+1)"),0)</f>
        <v>0.9</v>
      </c>
      <c r="J15" cm="1">
        <f t="array" ref="J15">_xlfn.PERCENTRANK.EXC(_xlfn._xlws.FILTER(H$3:H$15, ISNUMBER(H$3:H$15)),H15)*100</f>
        <v>57.099999999999994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topLeftCell="Y1" workbookViewId="0">
      <selection activeCell="AP4" sqref="AP4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 t="e">
        <v>#N/A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 t="e">
        <v>#N/A</v>
      </c>
      <c r="AI7">
        <v>6.4626409999999996</v>
      </c>
      <c r="AJ7" t="e">
        <v>#N/A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 t="e">
        <v>#N/A</v>
      </c>
      <c r="AI8">
        <v>8.1481829999999995</v>
      </c>
      <c r="AJ8" t="e">
        <v>#N/A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 t="e">
        <v>#N/A</v>
      </c>
      <c r="AI9">
        <v>7.2635839999999998</v>
      </c>
      <c r="AJ9" t="e">
        <v>#N/A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9.1794989999999999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 t="e">
        <v>#N/A</v>
      </c>
      <c r="AI10">
        <v>5.9022059999999996</v>
      </c>
      <c r="AJ10" t="e">
        <v>#N/A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 t="e">
        <v>#N/A</v>
      </c>
      <c r="AI11">
        <v>6.4582829999999998</v>
      </c>
      <c r="AJ11" t="e">
        <v>#N/A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 t="e">
        <v>#N/A</v>
      </c>
      <c r="AI12">
        <v>6.9365790000000001</v>
      </c>
      <c r="AJ12" t="e">
        <v>#N/A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 t="e">
        <v>#N/A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394</v>
      </c>
      <c r="B17">
        <f>MEDIAN(_xlfn.ANCHORARRAY(B4))</f>
        <v>9.2785794999999993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496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 t="e">
        <f t="shared" si="2"/>
        <v>#N/A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Q25"/>
  <sheetViews>
    <sheetView workbookViewId="0">
      <selection activeCell="K1" sqref="K1:N1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ht="25.5" customHeight="1" x14ac:dyDescent="0.35">
      <c r="A2" s="2" cm="1">
        <f t="array" ref="A2:A21">_xll.FDS(C1,"JULIAN(FMA_ROE(NTMA,-20AY,NOW,FY,""PORTAGG"",""MEANR"").dates)")</f>
        <v>38352</v>
      </c>
      <c r="B2" t="str" cm="1">
        <f t="array" ref="B2:B21">_xll.FDSB(B1,"FMA_ROE(NTMA,-20AY,NOW,FY,""PORTAGG"",""MEANR"")")</f>
        <v/>
      </c>
      <c r="C2" cm="1">
        <f t="array" ref="C2:C21">_xll.FDSB(C1,"FMA_ROE(NTMA,-20AY,NOW,FY,""PORTAGG"",""MEANR"")")</f>
        <v>15.4970825561621</v>
      </c>
      <c r="D2" cm="1">
        <f t="array" ref="D2:D21">_xll.FDSB(D1,"FMA_ROE(NTMA,-20AY,NOW,FY,""PORTAGG"",""MEANR"")")</f>
        <v>14.6738571923606</v>
      </c>
      <c r="E2" cm="1">
        <f t="array" ref="E2:E21">_xll.FDSB(E1,"FMA_ROE(NTMA,-20AY,NOW,FY,""PORTAGG"",""MEANR"")")</f>
        <v>11.827555059993299</v>
      </c>
      <c r="F2" cm="1">
        <f t="array" ref="F2:F21">_xll.FDSB(F1,"FMA_ROE(NTMA,-20AY,NOW,FY,""PORTAGG"",""MEANR"")")</f>
        <v>9.4722639547096605</v>
      </c>
      <c r="G2" cm="1">
        <f t="array" ref="G2:G21">_xll.FDSB(G1,"FMA_ROE(NTMA,-20AY,NOW,FY,""PORTAGG"",""MEANR"")")</f>
        <v>15.9587717941353</v>
      </c>
      <c r="H2" cm="1">
        <f t="array" ref="H2:H21">_xll.FDSB(H1,"FMA_ROE(NTMA,-20AY,NOW,FY,""PORTAGG"",""MEANR"")")</f>
        <v>17.001374333558701</v>
      </c>
      <c r="I2" cm="1">
        <f t="array" ref="I2:I21">_xll.FDSB(I1,"FMA_ROE(NTMA,-20AY,NOW,FY,""PORTAGG"",""MEANR"")")</f>
        <v>14.817843581598</v>
      </c>
      <c r="J2" cm="1">
        <f t="array" ref="J2:J21">_xll.FDSB(J1,"FMA_ROE(NTMA,-20AY,NOW,FY,""PORTAGG"",""MEANR"")")</f>
        <v>15.586179020045901</v>
      </c>
      <c r="K2" cm="1">
        <f t="array" ref="K2:K21">_xll.FDSB(K1,"FMA_ROE(NTMA,-20AY,NOW,FY,""PORTAGG"",""MEANR"")")</f>
        <v>15.378510988127299</v>
      </c>
      <c r="L2" cm="1">
        <f t="array" ref="L2:L21">_xll.FDSB(L1,"FMA_ROE(NTMA,-20AY,NOW,FY,""PORTAGG"",""MEANR"")")</f>
        <v>20.502702273176801</v>
      </c>
      <c r="M2" cm="1">
        <f t="array" ref="M2:M21">_xll.FDSB(M1,"FMA_ROE(NTMA,-20AY,NOW,FY,""PORTAGG"",""MEANR"")")</f>
        <v>16.226109086479301</v>
      </c>
      <c r="N2" cm="1">
        <f t="array" ref="N2:N21">_xll.FDSB(N1,"FMA_ROE(NTMA,-20AY,NOW,FY,""PORTAGG"",""MEANR"")")</f>
        <v>12.7201174133668</v>
      </c>
    </row>
    <row r="3" spans="1:14" ht="25.5" customHeight="1" x14ac:dyDescent="0.35">
      <c r="A3" s="2">
        <v>38716</v>
      </c>
      <c r="B3" t="str">
        <v/>
      </c>
      <c r="C3">
        <v>16.532509518013999</v>
      </c>
      <c r="D3">
        <v>15.7709471724654</v>
      </c>
      <c r="E3">
        <v>12.5810872006639</v>
      </c>
      <c r="F3">
        <v>9.7108092859513899</v>
      </c>
      <c r="G3">
        <v>16.670944245646201</v>
      </c>
      <c r="H3">
        <v>17.4840740170497</v>
      </c>
      <c r="I3">
        <v>15.486694777592099</v>
      </c>
      <c r="J3">
        <v>16.732203856681899</v>
      </c>
      <c r="K3">
        <v>16.630213142081299</v>
      </c>
      <c r="L3">
        <v>18.438843283905701</v>
      </c>
      <c r="M3">
        <v>17.2247287220762</v>
      </c>
      <c r="N3">
        <v>14.3538872460945</v>
      </c>
    </row>
    <row r="4" spans="1:14" ht="25.5" customHeight="1" x14ac:dyDescent="0.35">
      <c r="A4" s="2">
        <v>39080</v>
      </c>
      <c r="B4" t="str">
        <v/>
      </c>
      <c r="C4">
        <v>17.019399648616702</v>
      </c>
      <c r="D4">
        <v>15.854713654361101</v>
      </c>
      <c r="E4">
        <v>13.372977849048</v>
      </c>
      <c r="F4">
        <v>9.9459490206900902</v>
      </c>
      <c r="G4">
        <v>17.319056104251299</v>
      </c>
      <c r="H4">
        <v>19.442574250405301</v>
      </c>
      <c r="I4">
        <v>16.833970499812899</v>
      </c>
      <c r="J4">
        <v>17.387356208818399</v>
      </c>
      <c r="K4">
        <v>15.408967362426599</v>
      </c>
      <c r="L4">
        <v>17.2963282197402</v>
      </c>
      <c r="M4">
        <v>18.210010684159698</v>
      </c>
      <c r="N4">
        <v>15.068908602684299</v>
      </c>
    </row>
    <row r="5" spans="1:14" ht="25.5" customHeight="1" x14ac:dyDescent="0.35">
      <c r="A5" s="2">
        <v>39447</v>
      </c>
      <c r="B5" t="str">
        <v/>
      </c>
      <c r="C5">
        <v>15.560991405865201</v>
      </c>
      <c r="D5">
        <v>16.5705490516163</v>
      </c>
      <c r="E5">
        <v>14.712722857709</v>
      </c>
      <c r="F5">
        <v>9.9106258464836792</v>
      </c>
      <c r="G5">
        <v>18.194046530628999</v>
      </c>
      <c r="H5">
        <v>18.922548163306399</v>
      </c>
      <c r="I5">
        <v>17.9560593685279</v>
      </c>
      <c r="J5">
        <v>17.7935626477889</v>
      </c>
      <c r="K5">
        <v>15.0205314626708</v>
      </c>
      <c r="L5">
        <v>16.622012430445402</v>
      </c>
      <c r="M5">
        <v>18.887175762553799</v>
      </c>
      <c r="N5">
        <v>13.812143044596301</v>
      </c>
    </row>
    <row r="6" spans="1:14" ht="25.5" customHeight="1" x14ac:dyDescent="0.35">
      <c r="A6" s="2">
        <v>39813</v>
      </c>
      <c r="B6" t="str">
        <v/>
      </c>
      <c r="C6">
        <v>13.5690116283254</v>
      </c>
      <c r="D6">
        <v>13.8099900139916</v>
      </c>
      <c r="E6">
        <v>11.5210886767193</v>
      </c>
      <c r="F6">
        <v>6.3264501132521804</v>
      </c>
      <c r="G6">
        <v>15.513687428345399</v>
      </c>
      <c r="H6">
        <v>14.973545163604699</v>
      </c>
      <c r="I6">
        <v>16.5654843697708</v>
      </c>
      <c r="J6">
        <v>13.938459770768899</v>
      </c>
      <c r="K6">
        <v>11.8797489821456</v>
      </c>
      <c r="L6">
        <v>13.982183103512799</v>
      </c>
      <c r="M6">
        <v>13.942889841066</v>
      </c>
      <c r="N6">
        <v>10.789750222635099</v>
      </c>
    </row>
    <row r="7" spans="1:14" ht="25.5" customHeight="1" x14ac:dyDescent="0.35">
      <c r="A7" s="2">
        <v>40178</v>
      </c>
      <c r="B7" t="str">
        <v/>
      </c>
      <c r="C7">
        <v>12.8492110125335</v>
      </c>
      <c r="D7">
        <v>11.8327104416904</v>
      </c>
      <c r="E7">
        <v>11.009433764833901</v>
      </c>
      <c r="F7">
        <v>5.7137456034125096</v>
      </c>
      <c r="G7">
        <v>17.2258858021045</v>
      </c>
      <c r="H7">
        <v>14.6457818658238</v>
      </c>
      <c r="I7">
        <v>17.596574126271399</v>
      </c>
      <c r="J7">
        <v>14.004346429543</v>
      </c>
      <c r="K7">
        <v>10.993409183456601</v>
      </c>
      <c r="L7">
        <v>13.3304023919735</v>
      </c>
      <c r="M7">
        <v>10.346174503291101</v>
      </c>
      <c r="N7">
        <v>8.0585564947070996</v>
      </c>
    </row>
    <row r="8" spans="1:14" ht="25.5" customHeight="1" x14ac:dyDescent="0.35">
      <c r="A8" s="2">
        <v>40543</v>
      </c>
      <c r="B8">
        <v>10.853226729587799</v>
      </c>
      <c r="C8">
        <v>14.2386354612725</v>
      </c>
      <c r="D8">
        <v>12.6984457284378</v>
      </c>
      <c r="E8">
        <v>13.0475804034897</v>
      </c>
      <c r="F8">
        <v>7.7760884645659401</v>
      </c>
      <c r="G8">
        <v>16.663378494351999</v>
      </c>
      <c r="H8">
        <v>16.154296497439798</v>
      </c>
      <c r="I8">
        <v>20.000374237164401</v>
      </c>
      <c r="J8">
        <v>15.039943345393599</v>
      </c>
      <c r="K8">
        <v>12.025937598748101</v>
      </c>
      <c r="L8">
        <v>14.659480994909201</v>
      </c>
      <c r="M8">
        <v>15.818215992178599</v>
      </c>
      <c r="N8">
        <v>8.8199042369870302</v>
      </c>
    </row>
    <row r="9" spans="1:14" ht="25.5" customHeight="1" x14ac:dyDescent="0.35">
      <c r="A9" s="2">
        <v>40907</v>
      </c>
      <c r="B9">
        <v>10.904873441364501</v>
      </c>
      <c r="C9">
        <v>14.168071267681</v>
      </c>
      <c r="D9">
        <v>13.509284892423301</v>
      </c>
      <c r="E9">
        <v>12.3546044213534</v>
      </c>
      <c r="F9">
        <v>7.2930951173439702</v>
      </c>
      <c r="G9">
        <v>15.1353221205521</v>
      </c>
      <c r="H9">
        <v>15.199607837615799</v>
      </c>
      <c r="I9">
        <v>20.959156893823899</v>
      </c>
      <c r="J9">
        <v>15.5262408812809</v>
      </c>
      <c r="K9">
        <v>10.817665506629901</v>
      </c>
      <c r="L9">
        <v>13.0989988533626</v>
      </c>
      <c r="M9">
        <v>15.7255547384444</v>
      </c>
      <c r="N9">
        <v>8.1166013658542493</v>
      </c>
    </row>
    <row r="10" spans="1:14" ht="25.5" customHeight="1" x14ac:dyDescent="0.35">
      <c r="A10" s="2">
        <v>41274</v>
      </c>
      <c r="B10">
        <v>11.45876758647</v>
      </c>
      <c r="C10">
        <v>12.692165288154101</v>
      </c>
      <c r="D10">
        <v>12.804929450575001</v>
      </c>
      <c r="E10">
        <v>12.103787649179401</v>
      </c>
      <c r="F10">
        <v>7.6046390639022201</v>
      </c>
      <c r="G10">
        <v>15.5882414428409</v>
      </c>
      <c r="H10">
        <v>14.4781479669762</v>
      </c>
      <c r="I10">
        <v>20.792196377515399</v>
      </c>
      <c r="J10">
        <v>15.3796547722071</v>
      </c>
      <c r="K10">
        <v>10.4079638226552</v>
      </c>
      <c r="L10">
        <v>12.002383507737299</v>
      </c>
      <c r="M10">
        <v>14.800794930168999</v>
      </c>
      <c r="N10">
        <v>7.8393954249384699</v>
      </c>
    </row>
    <row r="11" spans="1:14" ht="25.5" customHeight="1" x14ac:dyDescent="0.35">
      <c r="A11" s="2">
        <v>41639</v>
      </c>
      <c r="B11">
        <v>11.083258915241499</v>
      </c>
      <c r="C11">
        <v>13.1922555858139</v>
      </c>
      <c r="D11">
        <v>12.2925364029644</v>
      </c>
      <c r="E11">
        <v>12.1465108243325</v>
      </c>
      <c r="F11">
        <v>8.9088475830290008</v>
      </c>
      <c r="G11">
        <v>15.248395144965301</v>
      </c>
      <c r="H11">
        <v>13.364031588609899</v>
      </c>
      <c r="I11">
        <v>20.047298915306001</v>
      </c>
      <c r="J11">
        <v>15.870243784691599</v>
      </c>
      <c r="K11">
        <v>10.3975296667646</v>
      </c>
      <c r="L11">
        <v>12.148614557293399</v>
      </c>
      <c r="M11">
        <v>14.1943515647563</v>
      </c>
      <c r="N11">
        <v>7.3457599670942102</v>
      </c>
    </row>
    <row r="12" spans="1:14" ht="25.5" customHeight="1" x14ac:dyDescent="0.35">
      <c r="A12" s="2">
        <v>42004</v>
      </c>
      <c r="B12">
        <v>9.9451743168813902</v>
      </c>
      <c r="C12">
        <v>12.5644042089263</v>
      </c>
      <c r="D12">
        <v>11.8034021278505</v>
      </c>
      <c r="E12">
        <v>11.887358161661499</v>
      </c>
      <c r="F12">
        <v>9.0803886544970194</v>
      </c>
      <c r="G12">
        <v>14.502800920484599</v>
      </c>
      <c r="H12">
        <v>12.232650330571399</v>
      </c>
      <c r="I12">
        <v>22.0568276514703</v>
      </c>
      <c r="J12">
        <v>15.810673900759699</v>
      </c>
      <c r="K12">
        <v>9.8706002317655095</v>
      </c>
      <c r="L12">
        <v>12.219782956479699</v>
      </c>
      <c r="M12">
        <v>13.790896513923</v>
      </c>
      <c r="N12">
        <v>7.2987048712399796</v>
      </c>
    </row>
    <row r="13" spans="1:14" ht="25.5" customHeight="1" x14ac:dyDescent="0.35">
      <c r="A13" s="2">
        <v>42369</v>
      </c>
      <c r="B13">
        <v>9.9024265265903395</v>
      </c>
      <c r="C13">
        <v>10.732136523471301</v>
      </c>
      <c r="D13">
        <v>10.9923508764539</v>
      </c>
      <c r="E13">
        <v>12.028464941777401</v>
      </c>
      <c r="F13">
        <v>8.7788981831763504</v>
      </c>
      <c r="G13">
        <v>13.2798091113486</v>
      </c>
      <c r="H13">
        <v>11.1900784012713</v>
      </c>
      <c r="I13">
        <v>21.8504635786249</v>
      </c>
      <c r="J13">
        <v>15.858031312821501</v>
      </c>
      <c r="K13">
        <v>9.8254824560818506</v>
      </c>
      <c r="L13">
        <v>12.4442703427853</v>
      </c>
      <c r="M13">
        <v>13.0367586478869</v>
      </c>
      <c r="N13">
        <v>7.2893784265994803</v>
      </c>
    </row>
    <row r="14" spans="1:14" ht="25.5" customHeight="1" x14ac:dyDescent="0.35">
      <c r="A14" s="2">
        <v>42734</v>
      </c>
      <c r="B14">
        <v>9.7998658290307095</v>
      </c>
      <c r="C14">
        <v>11.5035211675747</v>
      </c>
      <c r="D14">
        <v>11.4792366602027</v>
      </c>
      <c r="E14">
        <v>11.8967042128795</v>
      </c>
      <c r="F14">
        <v>8.62096827520989</v>
      </c>
      <c r="G14">
        <v>13.3994953105419</v>
      </c>
      <c r="H14">
        <v>12.1967915012023</v>
      </c>
      <c r="I14">
        <v>21.114607645969102</v>
      </c>
      <c r="J14">
        <v>16.049912492851799</v>
      </c>
      <c r="K14">
        <v>9.8831539131807205</v>
      </c>
      <c r="L14">
        <v>11.8415876112609</v>
      </c>
      <c r="M14">
        <v>12.322553154201101</v>
      </c>
      <c r="N14">
        <v>7.6448050780743202</v>
      </c>
    </row>
    <row r="15" spans="1:14" ht="25.5" customHeight="1" x14ac:dyDescent="0.35">
      <c r="A15" s="2">
        <v>43098</v>
      </c>
      <c r="B15">
        <v>9.8479289685659399</v>
      </c>
      <c r="C15">
        <v>11.907299006987801</v>
      </c>
      <c r="D15">
        <v>11.3979128674428</v>
      </c>
      <c r="E15">
        <v>12.246920794364801</v>
      </c>
      <c r="F15">
        <v>9.2398651910043395</v>
      </c>
      <c r="G15">
        <v>13.9322208239423</v>
      </c>
      <c r="H15">
        <v>12.7329318595365</v>
      </c>
      <c r="I15">
        <v>22.078426350894102</v>
      </c>
      <c r="J15">
        <v>16.907948658911</v>
      </c>
      <c r="K15">
        <v>10.4363064842242</v>
      </c>
      <c r="L15">
        <v>13.007558022754999</v>
      </c>
      <c r="M15">
        <v>13.8549633296522</v>
      </c>
      <c r="N15">
        <v>9.0538496506424107</v>
      </c>
    </row>
    <row r="16" spans="1:14" ht="25.5" customHeight="1" x14ac:dyDescent="0.35">
      <c r="A16" s="2">
        <v>43465</v>
      </c>
      <c r="B16">
        <v>9.5217714261901296</v>
      </c>
      <c r="C16">
        <v>12.400931175281199</v>
      </c>
      <c r="D16">
        <v>12.499008182247699</v>
      </c>
      <c r="E16">
        <v>11.651015241557801</v>
      </c>
      <c r="F16">
        <v>9.4957067852596193</v>
      </c>
      <c r="G16">
        <v>14.645799683639201</v>
      </c>
      <c r="H16">
        <v>13.1887832891224</v>
      </c>
      <c r="I16">
        <v>26.490229336787198</v>
      </c>
      <c r="J16">
        <v>18.8923615036562</v>
      </c>
      <c r="K16">
        <v>11.328389580600501</v>
      </c>
      <c r="L16">
        <v>13.222867771113201</v>
      </c>
      <c r="M16">
        <v>13.3193557094803</v>
      </c>
      <c r="N16">
        <v>10.3909656073461</v>
      </c>
    </row>
    <row r="17" spans="1:17" ht="25.5" customHeight="1" x14ac:dyDescent="0.35">
      <c r="A17" s="2">
        <v>43830</v>
      </c>
      <c r="B17">
        <v>9.0038870875203099</v>
      </c>
      <c r="C17">
        <v>11.727245321809701</v>
      </c>
      <c r="D17">
        <v>11.978678386383701</v>
      </c>
      <c r="E17">
        <v>10.4475672102116</v>
      </c>
      <c r="F17">
        <v>8.3559627813130994</v>
      </c>
      <c r="G17">
        <v>14.538819869127099</v>
      </c>
      <c r="H17">
        <v>12.871054505932801</v>
      </c>
      <c r="I17">
        <v>25.011729151921301</v>
      </c>
      <c r="J17">
        <v>18.292929263868299</v>
      </c>
      <c r="K17">
        <v>10.914009645236099</v>
      </c>
      <c r="L17">
        <v>13.0917636337237</v>
      </c>
      <c r="M17">
        <v>13.453133629896801</v>
      </c>
      <c r="N17">
        <v>10.235305358457801</v>
      </c>
    </row>
    <row r="18" spans="1:17" ht="25.5" customHeight="1" x14ac:dyDescent="0.35">
      <c r="A18" s="2">
        <v>44196</v>
      </c>
      <c r="B18">
        <v>7.5322638919868998</v>
      </c>
      <c r="C18">
        <v>11.050859206460901</v>
      </c>
      <c r="D18">
        <v>11.192208682288101</v>
      </c>
      <c r="E18">
        <v>9.7147154363071309</v>
      </c>
      <c r="F18">
        <v>7.4385992870476203</v>
      </c>
      <c r="G18">
        <v>14.667779515581</v>
      </c>
      <c r="H18">
        <v>11.2050609778507</v>
      </c>
      <c r="I18">
        <v>24.534442850508999</v>
      </c>
      <c r="J18">
        <v>17.2298191446197</v>
      </c>
      <c r="K18">
        <v>8.9422344840844303</v>
      </c>
      <c r="L18">
        <v>9.7785656650372808</v>
      </c>
      <c r="M18">
        <v>11.9734316080377</v>
      </c>
      <c r="N18">
        <v>8.27578853786002</v>
      </c>
    </row>
    <row r="19" spans="1:17" ht="25.5" customHeight="1" x14ac:dyDescent="0.35">
      <c r="A19" s="2">
        <v>44561</v>
      </c>
      <c r="B19">
        <v>6.44400181202057</v>
      </c>
      <c r="C19">
        <v>12.8471719199911</v>
      </c>
      <c r="D19">
        <v>14.1061782856045</v>
      </c>
      <c r="E19">
        <v>12.199709394090799</v>
      </c>
      <c r="F19">
        <v>9.2207656765267707</v>
      </c>
      <c r="G19">
        <v>16.3837417700754</v>
      </c>
      <c r="H19">
        <v>13.922769951646799</v>
      </c>
      <c r="I19">
        <v>26.637202164256799</v>
      </c>
      <c r="J19">
        <v>20.6862902761839</v>
      </c>
      <c r="K19">
        <v>12.253955548559601</v>
      </c>
      <c r="L19">
        <v>10.899145951859399</v>
      </c>
      <c r="M19">
        <v>15.4719420327405</v>
      </c>
      <c r="N19">
        <v>11.7277999998841</v>
      </c>
    </row>
    <row r="20" spans="1:17" ht="25.5" customHeight="1" x14ac:dyDescent="0.35">
      <c r="A20" s="2">
        <v>44925</v>
      </c>
      <c r="B20">
        <v>7.7689690341126996</v>
      </c>
      <c r="C20">
        <v>14.6580605840091</v>
      </c>
      <c r="D20">
        <v>14.002940310619</v>
      </c>
      <c r="E20">
        <v>11.818711551142201</v>
      </c>
      <c r="F20">
        <v>9.2254455739887007</v>
      </c>
      <c r="G20">
        <v>16.690651733527702</v>
      </c>
      <c r="H20">
        <v>15.8587443966116</v>
      </c>
      <c r="I20">
        <v>24.0483215676458</v>
      </c>
      <c r="J20">
        <v>20.598310591567401</v>
      </c>
      <c r="K20">
        <v>13.1476341706421</v>
      </c>
      <c r="L20">
        <v>12.015889153241799</v>
      </c>
      <c r="M20">
        <v>14.7406058144791</v>
      </c>
      <c r="N20">
        <v>13.320278986082799</v>
      </c>
    </row>
    <row r="21" spans="1:17" ht="25.5" customHeight="1" x14ac:dyDescent="0.35">
      <c r="A21" s="2">
        <v>45289</v>
      </c>
      <c r="B21">
        <v>6.5791075391831502</v>
      </c>
      <c r="C21">
        <v>13.226137995013501</v>
      </c>
      <c r="D21">
        <v>13.147116166704</v>
      </c>
      <c r="E21">
        <v>11.9489916743573</v>
      </c>
      <c r="F21">
        <v>9.2993797225733807</v>
      </c>
      <c r="G21">
        <v>19.299686812780902</v>
      </c>
      <c r="H21">
        <v>14.7207288829901</v>
      </c>
      <c r="I21">
        <v>25.3199155980355</v>
      </c>
      <c r="J21">
        <v>20.350503776961101</v>
      </c>
      <c r="K21">
        <v>13.221250861669199</v>
      </c>
      <c r="L21">
        <v>12.745985665341101</v>
      </c>
      <c r="M21">
        <v>15.368050598586001</v>
      </c>
      <c r="N21">
        <v>13.3572149047324</v>
      </c>
    </row>
    <row r="23" spans="1:17" x14ac:dyDescent="0.35">
      <c r="A23" t="s">
        <v>91</v>
      </c>
      <c r="B23" s="8">
        <f t="shared" ref="B23:N23" si="0">MIN(_xlfn.ANCHORARRAY(B2))</f>
        <v>6.44400181202057</v>
      </c>
      <c r="C23" s="8">
        <f t="shared" si="0"/>
        <v>10.732136523471301</v>
      </c>
      <c r="D23" s="8">
        <f t="shared" si="0"/>
        <v>10.9923508764539</v>
      </c>
      <c r="E23" s="8">
        <f t="shared" si="0"/>
        <v>9.7147154363071309</v>
      </c>
      <c r="F23" s="8">
        <f t="shared" si="0"/>
        <v>5.7137456034125096</v>
      </c>
      <c r="G23" s="8">
        <f t="shared" si="0"/>
        <v>13.2798091113486</v>
      </c>
      <c r="H23" s="8">
        <f t="shared" si="0"/>
        <v>11.1900784012713</v>
      </c>
      <c r="I23" s="8">
        <f t="shared" si="0"/>
        <v>14.817843581598</v>
      </c>
      <c r="J23" s="8">
        <f t="shared" si="0"/>
        <v>13.938459770768899</v>
      </c>
      <c r="K23" s="8">
        <f t="shared" si="0"/>
        <v>8.9422344840844303</v>
      </c>
      <c r="L23" s="8">
        <f t="shared" si="0"/>
        <v>9.7785656650372808</v>
      </c>
      <c r="M23" s="8">
        <f t="shared" si="0"/>
        <v>10.346174503291101</v>
      </c>
      <c r="N23" s="8">
        <f t="shared" si="0"/>
        <v>7.2893784265994803</v>
      </c>
      <c r="O23" s="8"/>
      <c r="P23" s="8"/>
      <c r="Q23" s="8"/>
    </row>
    <row r="24" spans="1:17" x14ac:dyDescent="0.35">
      <c r="A24" t="s">
        <v>394</v>
      </c>
      <c r="B24" s="8">
        <f t="shared" ref="B24:N24" si="1">MEDIAN(_xlfn.ANCHORARRAY(B2))</f>
        <v>9.8238973987983247</v>
      </c>
      <c r="C24" s="8">
        <f t="shared" si="1"/>
        <v>13.020733299173699</v>
      </c>
      <c r="D24" s="8">
        <f t="shared" si="1"/>
        <v>12.7516875895064</v>
      </c>
      <c r="E24" s="8">
        <f t="shared" si="1"/>
        <v>11.988728308067351</v>
      </c>
      <c r="F24" s="8">
        <f t="shared" si="1"/>
        <v>8.994618118763011</v>
      </c>
      <c r="G24" s="8">
        <f t="shared" si="1"/>
        <v>15.55096443559315</v>
      </c>
      <c r="H24" s="8">
        <f t="shared" si="1"/>
        <v>14.561964916400001</v>
      </c>
      <c r="I24" s="8">
        <f t="shared" si="1"/>
        <v>21.036882269896502</v>
      </c>
      <c r="J24" s="8">
        <f t="shared" si="1"/>
        <v>16.391058174766847</v>
      </c>
      <c r="K24" s="8">
        <f t="shared" si="1"/>
        <v>11.16089938202855</v>
      </c>
      <c r="L24" s="8">
        <f t="shared" si="1"/>
        <v>13.04966082823935</v>
      </c>
      <c r="M24" s="8">
        <f t="shared" si="1"/>
        <v>14.4674786896177</v>
      </c>
      <c r="N24" s="8">
        <f t="shared" si="1"/>
        <v>9.6445775045501065</v>
      </c>
      <c r="O24" s="8"/>
      <c r="P24" s="8"/>
      <c r="Q24" s="8"/>
    </row>
    <row r="25" spans="1:17" x14ac:dyDescent="0.35">
      <c r="A25" t="s">
        <v>496</v>
      </c>
      <c r="B25" s="8">
        <f t="shared" ref="B25:N25" si="2">B21</f>
        <v>6.5791075391831502</v>
      </c>
      <c r="C25" s="8">
        <f t="shared" si="2"/>
        <v>13.226137995013501</v>
      </c>
      <c r="D25" s="8">
        <f t="shared" si="2"/>
        <v>13.147116166704</v>
      </c>
      <c r="E25" s="8">
        <f t="shared" si="2"/>
        <v>11.9489916743573</v>
      </c>
      <c r="F25" s="8">
        <f t="shared" si="2"/>
        <v>9.2993797225733807</v>
      </c>
      <c r="G25" s="8">
        <f t="shared" si="2"/>
        <v>19.299686812780902</v>
      </c>
      <c r="H25" s="8">
        <f t="shared" si="2"/>
        <v>14.7207288829901</v>
      </c>
      <c r="I25" s="8">
        <f t="shared" si="2"/>
        <v>25.3199155980355</v>
      </c>
      <c r="J25" s="8">
        <f t="shared" si="2"/>
        <v>20.350503776961101</v>
      </c>
      <c r="K25" s="8">
        <f t="shared" si="2"/>
        <v>13.221250861669199</v>
      </c>
      <c r="L25" s="8">
        <f t="shared" si="2"/>
        <v>12.745985665341101</v>
      </c>
      <c r="M25" s="8">
        <f t="shared" si="2"/>
        <v>15.368050598586001</v>
      </c>
      <c r="N25" s="8">
        <f t="shared" si="2"/>
        <v>13.3572149047324</v>
      </c>
      <c r="O25" s="8"/>
      <c r="P25" s="8"/>
      <c r="Q25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T20"/>
  <sheetViews>
    <sheetView topLeftCell="G1" zoomScale="88" zoomScaleNormal="10" workbookViewId="0">
      <selection activeCell="O10" sqref="O10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0" ht="18.5" x14ac:dyDescent="0.55000000000000004">
      <c r="K1" s="62" t="s">
        <v>771</v>
      </c>
      <c r="L1" s="186">
        <f ca="1">EDATE(TODAY(), -1)</f>
        <v>45444</v>
      </c>
      <c r="M1" s="116"/>
    </row>
    <row r="2" spans="1:20" ht="15" thickBot="1" x14ac:dyDescent="0.4">
      <c r="K2" s="12" t="s">
        <v>772</v>
      </c>
      <c r="L2" s="187">
        <f ca="1">EDATE(TODAY(), -4)</f>
        <v>45352</v>
      </c>
    </row>
    <row r="3" spans="1:20" ht="50.25" customHeight="1" x14ac:dyDescent="0.35">
      <c r="E3" t="s">
        <v>747</v>
      </c>
      <c r="F3" t="s">
        <v>748</v>
      </c>
      <c r="H3" t="s">
        <v>764</v>
      </c>
      <c r="I3" t="s">
        <v>561</v>
      </c>
      <c r="J3" t="s">
        <v>518</v>
      </c>
      <c r="M3" s="114" t="s">
        <v>765</v>
      </c>
      <c r="N3" t="str" cm="1">
        <f t="array" aca="1" ref="N3" ca="1">_xll.FDSRC("-","DUMMY","ECON_DATE("&amp;$L$1&amp;",,, 'MM/YYYY')")</f>
        <v>05/2024</v>
      </c>
      <c r="O3" t="str" cm="1">
        <f t="array" aca="1" ref="O3" ca="1">_xll.FDSRC("-","DUMMY","ECON_DATE("&amp;$L$2&amp;",,, 'MM/YYYY')")</f>
        <v>03/2024</v>
      </c>
      <c r="P3" s="114" t="s">
        <v>768</v>
      </c>
      <c r="Q3" s="114" t="s">
        <v>774</v>
      </c>
      <c r="R3" s="117" t="s">
        <v>775</v>
      </c>
      <c r="S3" s="117" t="s">
        <v>550</v>
      </c>
      <c r="T3" s="117" t="s">
        <v>737</v>
      </c>
    </row>
    <row r="4" spans="1:20" x14ac:dyDescent="0.35">
      <c r="A4" t="s">
        <v>431</v>
      </c>
      <c r="B4" t="s">
        <v>446</v>
      </c>
      <c r="C4" t="s">
        <v>431</v>
      </c>
      <c r="D4" t="s">
        <v>750</v>
      </c>
      <c r="E4">
        <v>53.7</v>
      </c>
      <c r="F4">
        <v>5.3</v>
      </c>
      <c r="G4" t="s">
        <v>197</v>
      </c>
      <c r="H4" s="111" t="s">
        <v>755</v>
      </c>
      <c r="I4" s="112" t="s">
        <v>674</v>
      </c>
      <c r="J4" s="113" t="str" cm="1">
        <f t="array" ref="J4">_xll.FDS(K4,"FG_COMPANY_NAME")</f>
        <v>iShares MSCI New Zealand ETF</v>
      </c>
      <c r="K4" s="113" t="s">
        <v>431</v>
      </c>
      <c r="L4" t="s">
        <v>750</v>
      </c>
      <c r="M4" cm="1">
        <f t="array" aca="1" ref="M4" ca="1">IF(_xll.FDSRC(,"DUMMY","ECON_EXPR_DATA('FDS_ECON["&amp;H4&amp;"]',,,M)")=0,$J$19,_xll.FDSRC(,"DUMMY","ECON_EXPR_DATA('FDS_ECON["&amp;H4&amp;"]',,,M)"))</f>
        <v>49.135437000000003</v>
      </c>
      <c r="N4" cm="1">
        <f t="array" aca="1" ref="N4" ca="1">_xll.FDSRC("-","DUMMY","ECON_EXPR_DATA('FDS_ECON["&amp;H4&amp;"]',"&amp;$N$3&amp;",,Q)")</f>
        <v>47.779373</v>
      </c>
      <c r="O4" cm="1">
        <f t="array" aca="1" ref="O4" ca="1">_xll.FDSRC("-","DUMMY","ECON_EXPR_DATA('FDS_ECON["&amp;H4&amp;"]',"&amp;$O$3&amp;",,Q)")</f>
        <v>47.779373</v>
      </c>
      <c r="P4">
        <f t="shared" ref="P4:P12" ca="1" si="0">IFERROR(N4-O4,$M$20)</f>
        <v>0</v>
      </c>
      <c r="Q4" cm="1">
        <f t="array" aca="1" ref="Q4" ca="1">_xlfn.PERCENTRANK.EXC(_xlfn._xlws.FILTER(M$4:M$16, ISNUMBER(M$4:M$16)),M4)*100</f>
        <v>28.499999999999996</v>
      </c>
      <c r="R4" cm="1">
        <f t="array" aca="1" ref="R4" ca="1">_xlfn.PERCENTRANK.EXC(_xlfn._xlws.FILTER(P$4:P$16, ISNUMBER(P$4:P$16)),P4)*100</f>
        <v>7.1</v>
      </c>
      <c r="S4">
        <f ca="1">Q4*Assumption!$E$27 + R4*Assumption!$F$27</f>
        <v>19.939999999999998</v>
      </c>
      <c r="T4" cm="1">
        <f t="array" aca="1" ref="T4" ca="1">_xlfn.PERCENTRANK.EXC(_xlfn._xlws.FILTER(S$4:S$16, ISNUMBER(S$4:S$16)),S4)*100</f>
        <v>28.499999999999996</v>
      </c>
    </row>
    <row r="5" spans="1:20" x14ac:dyDescent="0.35">
      <c r="A5" t="s">
        <v>44</v>
      </c>
      <c r="B5" t="s">
        <v>45</v>
      </c>
      <c r="C5" t="s">
        <v>44</v>
      </c>
      <c r="D5" t="s">
        <v>750</v>
      </c>
      <c r="E5">
        <v>53</v>
      </c>
      <c r="F5">
        <v>4.5</v>
      </c>
      <c r="G5" t="s">
        <v>113</v>
      </c>
      <c r="H5" s="111" t="s">
        <v>753</v>
      </c>
      <c r="I5" s="112" t="s">
        <v>576</v>
      </c>
      <c r="J5" s="113" t="str" cm="1">
        <f t="array" ref="J5">_xll.FDS(K5,"FG_COMPANY_NAME")</f>
        <v>iShares MSCI Australia ETF</v>
      </c>
      <c r="K5" s="113" t="s">
        <v>44</v>
      </c>
      <c r="L5" t="s">
        <v>750</v>
      </c>
      <c r="M5" cm="1">
        <f t="array" ref="M5">IF(_xll.FDSRC(,"DUMMY","ECON_EXPR_DATA('FDS_ECON["&amp;H5&amp;"]',,,M)")=0,$J$19,_xll.FDSRC(,"DUMMY","ECON_EXPR_DATA('FDS_ECON["&amp;H5&amp;"]',,,M)"))</f>
        <v>47.17306</v>
      </c>
      <c r="N5" cm="1">
        <f t="array" aca="1" ref="N5" ca="1">_xll.FDSRC("-","DUMMY","ECON_EXPR_DATA('FDS_ECON["&amp;H5&amp;"]',"&amp;$N$3&amp;",,Q)")</f>
        <v>48.395470000000003</v>
      </c>
      <c r="O5" cm="1">
        <f t="array" aca="1" ref="O5" ca="1">_xll.FDSRC("-","DUMMY","ECON_EXPR_DATA('FDS_ECON["&amp;H5&amp;"]',"&amp;$O$3&amp;",,Q)")</f>
        <v>48.395470000000003</v>
      </c>
      <c r="P5">
        <f t="shared" ca="1" si="0"/>
        <v>0</v>
      </c>
      <c r="Q5" cm="1">
        <f t="array" aca="1" ref="Q5" ca="1">_xlfn.PERCENTRANK.EXC(_xlfn._xlws.FILTER(M$4:M$16, ISNUMBER(M$4:M$16)),M5)*100</f>
        <v>21.4</v>
      </c>
      <c r="R5" cm="1">
        <f t="array" aca="1" ref="R5" ca="1">_xlfn.PERCENTRANK.EXC(_xlfn._xlws.FILTER(P$4:P$16, ISNUMBER(P$4:P$16)),P5)*100</f>
        <v>7.1</v>
      </c>
      <c r="S5">
        <f ca="1">Q5*Assumption!$E$27 + R5*Assumption!$F$27</f>
        <v>15.679999999999998</v>
      </c>
      <c r="T5" cm="1">
        <f t="array" aca="1" ref="T5" ca="1">_xlfn.PERCENTRANK.EXC(_xlfn._xlws.FILTER(S$4:S$16, ISNUMBER(S$4:S$16)),S5)*100</f>
        <v>21.4</v>
      </c>
    </row>
    <row r="6" spans="1:20" x14ac:dyDescent="0.35">
      <c r="A6" t="s">
        <v>49</v>
      </c>
      <c r="B6" t="s">
        <v>50</v>
      </c>
      <c r="C6" t="s">
        <v>49</v>
      </c>
      <c r="D6" t="s">
        <v>750</v>
      </c>
      <c r="E6">
        <v>53.7</v>
      </c>
      <c r="F6">
        <v>5.3</v>
      </c>
      <c r="G6" t="s">
        <v>116</v>
      </c>
      <c r="H6" s="111" t="s">
        <v>752</v>
      </c>
      <c r="I6" s="112" t="s">
        <v>598</v>
      </c>
      <c r="J6" s="113" t="str" cm="1">
        <f t="array" ref="J6">_xll.FDS(K6,"FG_COMPANY_NAME")</f>
        <v>iShares MSCI Canada ETF</v>
      </c>
      <c r="K6" s="113" t="s">
        <v>49</v>
      </c>
      <c r="L6" t="s">
        <v>750</v>
      </c>
      <c r="M6" cm="1">
        <f t="array" aca="1" ref="M6" ca="1">IF(_xll.FDSRC(,"DUMMY","ECON_EXPR_DATA('FDS_ECON["&amp;H6&amp;"]',,,M)")=0,$J$19,_xll.FDSRC(,"DUMMY","ECON_EXPR_DATA('FDS_ECON["&amp;H6&amp;"]',,,M)"))</f>
        <v>49.135437000000003</v>
      </c>
      <c r="N6" cm="1">
        <f t="array" aca="1" ref="N6" ca="1">_xll.FDSRC("-","DUMMY","ECON_EXPR_DATA('FDS_ECON["&amp;H6&amp;"]',"&amp;$N$3&amp;",,Q)")</f>
        <v>49.300910000000002</v>
      </c>
      <c r="O6" cm="1">
        <f t="array" aca="1" ref="O6" ca="1">_xll.FDSRC("-","DUMMY","ECON_EXPR_DATA('FDS_ECON["&amp;H6&amp;"]',"&amp;$O$3&amp;",,Q)")</f>
        <v>49.300910000000002</v>
      </c>
      <c r="P6">
        <f t="shared" ca="1" si="0"/>
        <v>0</v>
      </c>
      <c r="Q6" cm="1">
        <f t="array" aca="1" ref="Q6" ca="1">_xlfn.PERCENTRANK.EXC(_xlfn._xlws.FILTER(M$4:M$16, ISNUMBER(M$4:M$16)),M6)*100</f>
        <v>28.499999999999996</v>
      </c>
      <c r="R6" cm="1">
        <f t="array" aca="1" ref="R6" ca="1">_xlfn.PERCENTRANK.EXC(_xlfn._xlws.FILTER(P$4:P$16, ISNUMBER(P$4:P$16)),P6)*100</f>
        <v>7.1</v>
      </c>
      <c r="S6">
        <f ca="1">Q6*Assumption!$E$27 + R6*Assumption!$F$27</f>
        <v>19.939999999999998</v>
      </c>
      <c r="T6" cm="1">
        <f t="array" aca="1" ref="T6" ca="1">_xlfn.PERCENTRANK.EXC(_xlfn._xlws.FILTER(S$4:S$16, ISNUMBER(S$4:S$16)),S6)*100</f>
        <v>28.499999999999996</v>
      </c>
    </row>
    <row r="7" spans="1:20" x14ac:dyDescent="0.35">
      <c r="A7" t="s">
        <v>11</v>
      </c>
      <c r="B7" t="s">
        <v>39</v>
      </c>
      <c r="C7" t="s">
        <v>11</v>
      </c>
      <c r="D7" t="s">
        <v>750</v>
      </c>
      <c r="E7">
        <v>54.2</v>
      </c>
      <c r="F7">
        <v>3.4</v>
      </c>
      <c r="G7" t="s">
        <v>102</v>
      </c>
      <c r="H7" s="111" t="s">
        <v>756</v>
      </c>
      <c r="I7" s="112" t="s">
        <v>625</v>
      </c>
      <c r="J7" s="113" t="str" cm="1">
        <f t="array" ref="J7">_xll.FDS(K7,"FG_COMPANY_NAME")</f>
        <v>iShares MSCI Germany ETF</v>
      </c>
      <c r="K7" s="113" t="s">
        <v>11</v>
      </c>
      <c r="L7" t="s">
        <v>750</v>
      </c>
      <c r="M7" cm="1">
        <f t="array" ref="M7">IF(_xll.FDSRC(,"DUMMY","ECON_EXPR_DATA('FDS_ECON["&amp;H7&amp;"]',,,M)")=0,$J$19,_xll.FDSRC(,"DUMMY","ECON_EXPR_DATA('FDS_ECON["&amp;H7&amp;"]',,,M)"))</f>
        <v>43.363315999999998</v>
      </c>
      <c r="N7" cm="1">
        <f t="array" aca="1" ref="N7" ca="1">_xll.FDSRC("-","DUMMY","ECON_EXPR_DATA('FDS_ECON["&amp;H7&amp;"]',"&amp;$N$3&amp;",,Q)")</f>
        <v>43.319096000000002</v>
      </c>
      <c r="O7" cm="1">
        <f t="array" aca="1" ref="O7" ca="1">_xll.FDSRC("-","DUMMY","ECON_EXPR_DATA('FDS_ECON["&amp;H7&amp;"]',"&amp;$O$3&amp;",,Q)")</f>
        <v>43.319096000000002</v>
      </c>
      <c r="P7">
        <f t="shared" ca="1" si="0"/>
        <v>0</v>
      </c>
      <c r="Q7" cm="1">
        <f t="array" aca="1" ref="Q7" ca="1">_xlfn.PERCENTRANK.EXC(_xlfn._xlws.FILTER(M$4:M$16, ISNUMBER(M$4:M$16)),M7)*100</f>
        <v>7.1</v>
      </c>
      <c r="R7" cm="1">
        <f t="array" aca="1" ref="R7" ca="1">_xlfn.PERCENTRANK.EXC(_xlfn._xlws.FILTER(P$4:P$16, ISNUMBER(P$4:P$16)),P7)*100</f>
        <v>7.1</v>
      </c>
      <c r="S7">
        <f ca="1">Q7*Assumption!$E$27 + R7*Assumption!$F$27</f>
        <v>7.1</v>
      </c>
      <c r="T7" cm="1">
        <f t="array" aca="1" ref="T7" ca="1">_xlfn.PERCENTRANK.EXC(_xlfn._xlws.FILTER(S$4:S$16, ISNUMBER(S$4:S$16)),S7)*100</f>
        <v>7.1</v>
      </c>
    </row>
    <row r="8" spans="1:20" x14ac:dyDescent="0.35">
      <c r="A8" t="s">
        <v>46</v>
      </c>
      <c r="B8" t="s">
        <v>47</v>
      </c>
      <c r="C8" t="s">
        <v>46</v>
      </c>
      <c r="D8" t="s">
        <v>750</v>
      </c>
      <c r="E8">
        <v>52.9</v>
      </c>
      <c r="F8">
        <v>2.2000000000000002</v>
      </c>
      <c r="G8" t="s">
        <v>114</v>
      </c>
      <c r="H8" s="111" t="s">
        <v>754</v>
      </c>
      <c r="I8" s="112" t="s">
        <v>643</v>
      </c>
      <c r="J8" s="113" t="str" cm="1">
        <f t="array" ref="J8">_xll.FDS(K8,"FG_COMPANY_NAME")</f>
        <v>iShares MSCI Japan ETF</v>
      </c>
      <c r="K8" s="113" t="s">
        <v>46</v>
      </c>
      <c r="L8" t="s">
        <v>750</v>
      </c>
      <c r="M8" cm="1">
        <f t="array" ref="M8">IF(_xll.FDSRC(,"DUMMY","ECON_EXPR_DATA('FDS_ECON["&amp;H8&amp;"]',,,M)")=0,$J$19,_xll.FDSRC(,"DUMMY","ECON_EXPR_DATA('FDS_ECON["&amp;H8&amp;"]',,,M)"))</f>
        <v>50.046066000000003</v>
      </c>
      <c r="N8" cm="1">
        <f t="array" aca="1" ref="N8" ca="1">_xll.FDSRC("-","DUMMY","ECON_EXPR_DATA('FDS_ECON["&amp;H8&amp;"]',"&amp;$N$3&amp;",,Q)")</f>
        <v>47.808857000000003</v>
      </c>
      <c r="O8" cm="1">
        <f t="array" aca="1" ref="O8" ca="1">_xll.FDSRC("-","DUMMY","ECON_EXPR_DATA('FDS_ECON["&amp;H8&amp;"]',"&amp;$O$3&amp;",,Q)")</f>
        <v>47.808857000000003</v>
      </c>
      <c r="P8">
        <f t="shared" ca="1" si="0"/>
        <v>0</v>
      </c>
      <c r="Q8" cm="1">
        <f t="array" aca="1" ref="Q8" ca="1">_xlfn.PERCENTRANK.EXC(_xlfn._xlws.FILTER(M$4:M$16, ISNUMBER(M$4:M$16)),M8)*100</f>
        <v>71.399999999999991</v>
      </c>
      <c r="R8" cm="1">
        <f t="array" aca="1" ref="R8" ca="1">_xlfn.PERCENTRANK.EXC(_xlfn._xlws.FILTER(P$4:P$16, ISNUMBER(P$4:P$16)),P8)*100</f>
        <v>7.1</v>
      </c>
      <c r="S8">
        <f ca="1">Q8*Assumption!$E$27 + R8*Assumption!$F$27</f>
        <v>45.679999999999993</v>
      </c>
      <c r="T8" cm="1">
        <f t="array" aca="1" ref="T8" ca="1">_xlfn.PERCENTRANK.EXC(_xlfn._xlws.FILTER(S$4:S$16, ISNUMBER(S$4:S$16)),S8)*100</f>
        <v>71.399999999999991</v>
      </c>
    </row>
    <row r="9" spans="1:20" x14ac:dyDescent="0.35">
      <c r="A9" t="s">
        <v>42</v>
      </c>
      <c r="B9" t="s">
        <v>43</v>
      </c>
      <c r="C9" t="s">
        <v>42</v>
      </c>
      <c r="D9" t="s">
        <v>750</v>
      </c>
      <c r="E9">
        <v>53.7</v>
      </c>
      <c r="F9">
        <v>5.3</v>
      </c>
      <c r="G9" t="s">
        <v>110</v>
      </c>
      <c r="H9" s="111" t="s">
        <v>758</v>
      </c>
      <c r="I9" s="112" t="s">
        <v>706</v>
      </c>
      <c r="J9" s="113" t="str" cm="1">
        <f t="array" ref="J9">_xll.FDS(K9,"FG_COMPANY_NAME")</f>
        <v>iShares MSCI Switzerland ETF</v>
      </c>
      <c r="K9" s="113" t="s">
        <v>42</v>
      </c>
      <c r="L9" t="s">
        <v>750</v>
      </c>
      <c r="M9" cm="1">
        <f t="array" aca="1" ref="M9" ca="1">IF(_xll.FDSRC(,"DUMMY","ECON_EXPR_DATA('FDS_ECON["&amp;H9&amp;"]',,,M)")=0,$J$19,_xll.FDSRC(,"DUMMY","ECON_EXPR_DATA('FDS_ECON["&amp;H9&amp;"]',,,M)"))</f>
        <v>49.135437000000003</v>
      </c>
      <c r="N9" cm="1">
        <f t="array" aca="1" ref="N9" ca="1">_xll.FDSRC("-","DUMMY","ECON_EXPR_DATA('FDS_ECON["&amp;H9&amp;"]',"&amp;$N$3&amp;",,Q)")</f>
        <v>44.08605</v>
      </c>
      <c r="O9" cm="1">
        <f t="array" aca="1" ref="O9" ca="1">_xll.FDSRC("-","DUMMY","ECON_EXPR_DATA('FDS_ECON["&amp;H9&amp;"]',"&amp;$O$3&amp;",,Q)")</f>
        <v>44.08605</v>
      </c>
      <c r="P9">
        <f t="shared" ca="1" si="0"/>
        <v>0</v>
      </c>
      <c r="Q9" cm="1">
        <f t="array" aca="1" ref="Q9" ca="1">_xlfn.PERCENTRANK.EXC(_xlfn._xlws.FILTER(M$4:M$16, ISNUMBER(M$4:M$16)),M9)*100</f>
        <v>28.499999999999996</v>
      </c>
      <c r="R9" cm="1">
        <f t="array" aca="1" ref="R9" ca="1">_xlfn.PERCENTRANK.EXC(_xlfn._xlws.FILTER(P$4:P$16, ISNUMBER(P$4:P$16)),P9)*100</f>
        <v>7.1</v>
      </c>
      <c r="S9">
        <f ca="1">Q9*Assumption!$E$27 + R9*Assumption!$F$27</f>
        <v>19.939999999999998</v>
      </c>
      <c r="T9" cm="1">
        <f t="array" aca="1" ref="T9" ca="1">_xlfn.PERCENTRANK.EXC(_xlfn._xlws.FILTER(S$4:S$16, ISNUMBER(S$4:S$16)),S9)*100</f>
        <v>28.499999999999996</v>
      </c>
    </row>
    <row r="10" spans="1:20" x14ac:dyDescent="0.35">
      <c r="A10" t="s">
        <v>48</v>
      </c>
      <c r="B10" t="s">
        <v>447</v>
      </c>
      <c r="C10" t="s">
        <v>48</v>
      </c>
      <c r="D10" t="s">
        <v>750</v>
      </c>
      <c r="E10">
        <v>54.9</v>
      </c>
      <c r="F10">
        <v>6.4</v>
      </c>
      <c r="G10" t="s">
        <v>115</v>
      </c>
      <c r="H10" s="111" t="s">
        <v>757</v>
      </c>
      <c r="I10" s="112" t="s">
        <v>447</v>
      </c>
      <c r="J10" s="113" t="str" cm="1">
        <f t="array" ref="J10">_xll.FDS(K10,"FG_COMPANY_NAME")</f>
        <v>iShares MSCI United Kingdom ETF</v>
      </c>
      <c r="K10" s="113" t="s">
        <v>48</v>
      </c>
      <c r="L10" t="s">
        <v>750</v>
      </c>
      <c r="M10" cm="1">
        <f t="array" ref="M10">IF(_xll.FDSRC(,"DUMMY","ECON_EXPR_DATA('FDS_ECON["&amp;H10&amp;"]',,,M)")=0,$J$19,_xll.FDSRC(,"DUMMY","ECON_EXPR_DATA('FDS_ECON["&amp;H10&amp;"]',,,M)"))</f>
        <v>51.413432999999998</v>
      </c>
      <c r="N10" cm="1">
        <f t="array" aca="1" ref="N10" ca="1">_xll.FDSRC("-","DUMMY","ECON_EXPR_DATA('FDS_ECON["&amp;H10&amp;"]',"&amp;$N$3&amp;",,Q)")</f>
        <v>48.247959999999999</v>
      </c>
      <c r="O10" cm="1">
        <f t="array" aca="1" ref="O10" ca="1">_xll.FDSRC("-","DUMMY","ECON_EXPR_DATA('FDS_ECON["&amp;H10&amp;"]',"&amp;$O$3&amp;",,Q)")</f>
        <v>48.247959999999999</v>
      </c>
      <c r="P10">
        <f t="shared" ca="1" si="0"/>
        <v>0</v>
      </c>
      <c r="Q10" cm="1">
        <f t="array" aca="1" ref="Q10" ca="1">_xlfn.PERCENTRANK.EXC(_xlfn._xlws.FILTER(M$4:M$16, ISNUMBER(M$4:M$16)),M10)*100</f>
        <v>78.5</v>
      </c>
      <c r="R10" cm="1">
        <f t="array" aca="1" ref="R10" ca="1">_xlfn.PERCENTRANK.EXC(_xlfn._xlws.FILTER(P$4:P$16, ISNUMBER(P$4:P$16)),P10)*100</f>
        <v>7.1</v>
      </c>
      <c r="S10">
        <f ca="1">Q10*Assumption!$E$27 + R10*Assumption!$F$27</f>
        <v>49.94</v>
      </c>
      <c r="T10" cm="1">
        <f t="array" aca="1" ref="T10" ca="1">_xlfn.PERCENTRANK.EXC(_xlfn._xlws.FILTER(S$4:S$16, ISNUMBER(S$4:S$16)),S10)*100</f>
        <v>78.5</v>
      </c>
    </row>
    <row r="11" spans="1:20" x14ac:dyDescent="0.35">
      <c r="A11" t="s">
        <v>51</v>
      </c>
      <c r="B11" t="s">
        <v>448</v>
      </c>
      <c r="C11" t="s">
        <v>51</v>
      </c>
      <c r="D11" t="s">
        <v>750</v>
      </c>
      <c r="E11">
        <v>53.4</v>
      </c>
      <c r="F11">
        <v>6.5</v>
      </c>
      <c r="G11" t="s">
        <v>119</v>
      </c>
      <c r="H11" s="111" t="s">
        <v>751</v>
      </c>
      <c r="I11" s="112" t="s">
        <v>763</v>
      </c>
      <c r="J11" s="113" t="str" cm="1">
        <f t="array" ref="J11">_xll.FDS(K11,"FG_COMPANY_NAME")</f>
        <v>Invesco QQQ Trust Series I</v>
      </c>
      <c r="K11" s="113" t="s">
        <v>51</v>
      </c>
      <c r="L11" t="s">
        <v>750</v>
      </c>
      <c r="M11" cm="1">
        <f t="array" ref="M11">IF(_xll.FDSRC(,"DUMMY","ECON_EXPR_DATA('FDS_ECON["&amp;H11&amp;"]',,,M)")=0,$J$19,_xll.FDSRC(,"DUMMY","ECON_EXPR_DATA('FDS_ECON["&amp;H11&amp;"]',,,M)"))</f>
        <v>51.655030000000004</v>
      </c>
      <c r="N11" cm="1">
        <f t="array" aca="1" ref="N11" ca="1">_xll.FDSRC("-","DUMMY","ECON_EXPR_DATA('FDS_ECON["&amp;H11&amp;"]',"&amp;$N$3&amp;",,Q)")</f>
        <v>51.582687</v>
      </c>
      <c r="O11" cm="1">
        <f t="array" aca="1" ref="O11" ca="1">_xll.FDSRC("-","DUMMY","ECON_EXPR_DATA('FDS_ECON["&amp;H11&amp;"]',"&amp;$O$3&amp;",,Q)")</f>
        <v>51.582687</v>
      </c>
      <c r="P11">
        <f t="shared" ca="1" si="0"/>
        <v>0</v>
      </c>
      <c r="Q11" cm="1">
        <f t="array" aca="1" ref="Q11" ca="1">_xlfn.PERCENTRANK.EXC(_xlfn._xlws.FILTER(M$4:M$16, ISNUMBER(M$4:M$16)),M11)*100</f>
        <v>85.7</v>
      </c>
      <c r="R11" cm="1">
        <f t="array" aca="1" ref="R11" ca="1">_xlfn.PERCENTRANK.EXC(_xlfn._xlws.FILTER(P$4:P$16, ISNUMBER(P$4:P$16)),P11)*100</f>
        <v>7.1</v>
      </c>
      <c r="S11">
        <f ca="1">Q11*Assumption!$E$27 + R11*Assumption!$F$27</f>
        <v>54.260000000000005</v>
      </c>
      <c r="T11" cm="1">
        <f t="array" aca="1" ref="T11" ca="1">_xlfn.PERCENTRANK.EXC(_xlfn._xlws.FILTER(S$4:S$16, ISNUMBER(S$4:S$16)),S11)*100</f>
        <v>85.7</v>
      </c>
    </row>
    <row r="12" spans="1:20" x14ac:dyDescent="0.35">
      <c r="A12" t="s">
        <v>1</v>
      </c>
      <c r="B12" t="s">
        <v>1</v>
      </c>
      <c r="C12" t="s">
        <v>1</v>
      </c>
      <c r="D12" t="s">
        <v>750</v>
      </c>
      <c r="E12">
        <v>53.4</v>
      </c>
      <c r="F12">
        <v>6.5</v>
      </c>
      <c r="G12" t="s">
        <v>119</v>
      </c>
      <c r="H12" s="111" t="s">
        <v>751</v>
      </c>
      <c r="I12" s="112" t="s">
        <v>763</v>
      </c>
      <c r="J12" s="113" t="str" cm="1">
        <f t="array" ref="J12">_xll.FDS(K12,"FG_COMPANY_NAME")</f>
        <v>SPDR S&amp;P 500 ETF Trust</v>
      </c>
      <c r="K12" s="113" t="s">
        <v>1</v>
      </c>
      <c r="L12" t="s">
        <v>750</v>
      </c>
      <c r="M12" cm="1">
        <f t="array" ref="M12">IF(_xll.FDSRC(,"DUMMY","ECON_EXPR_DATA('FDS_ECON["&amp;H12&amp;"]',,,M)")=0,$J$19,_xll.FDSRC(,"DUMMY","ECON_EXPR_DATA('FDS_ECON["&amp;H12&amp;"]',,,M)"))</f>
        <v>51.655030000000004</v>
      </c>
      <c r="N12" cm="1">
        <f t="array" aca="1" ref="N12" ca="1">_xll.FDSRC("-","DUMMY","ECON_EXPR_DATA('FDS_ECON["&amp;H12&amp;"]',"&amp;$N$3&amp;",,Q)")</f>
        <v>51.582687</v>
      </c>
      <c r="O12" cm="1">
        <f t="array" aca="1" ref="O12" ca="1">_xll.FDSRC("-","DUMMY","ECON_EXPR_DATA('FDS_ECON["&amp;H12&amp;"]',"&amp;$O$3&amp;",,Q)")</f>
        <v>51.582687</v>
      </c>
      <c r="P12">
        <f t="shared" ca="1" si="0"/>
        <v>0</v>
      </c>
      <c r="Q12" cm="1">
        <f t="array" aca="1" ref="Q12" ca="1">_xlfn.PERCENTRANK.EXC(_xlfn._xlws.FILTER(M$4:M$16, ISNUMBER(M$4:M$16)),M12)*100</f>
        <v>85.7</v>
      </c>
      <c r="R12" cm="1">
        <f t="array" aca="1" ref="R12" ca="1">_xlfn.PERCENTRANK.EXC(_xlfn._xlws.FILTER(P$4:P$16, ISNUMBER(P$4:P$16)),P12)*100</f>
        <v>7.1</v>
      </c>
      <c r="S12">
        <f ca="1">Q12*Assumption!$E$27 + R12*Assumption!$F$27</f>
        <v>54.260000000000005</v>
      </c>
      <c r="T12" cm="1">
        <f t="array" aca="1" ref="T12" ca="1">_xlfn.PERCENTRANK.EXC(_xlfn._xlws.FILTER(S$4:S$16, ISNUMBER(S$4:S$16)),S12)*100</f>
        <v>85.7</v>
      </c>
    </row>
    <row r="13" spans="1:20" x14ac:dyDescent="0.35">
      <c r="G13" t="s">
        <v>106</v>
      </c>
      <c r="H13" s="111" t="s">
        <v>883</v>
      </c>
      <c r="I13" t="s">
        <v>621</v>
      </c>
      <c r="J13" s="113" t="str" cm="1">
        <f t="array" ref="J13">_xll.FDS(K13,"FG_COMPANY_NAME")</f>
        <v>iShares MSCI France ETF</v>
      </c>
      <c r="K13" t="s">
        <v>865</v>
      </c>
      <c r="L13" t="s">
        <v>750</v>
      </c>
      <c r="M13" cm="1">
        <f t="array" ref="M13">IF(_xll.FDSRC(,"DUMMY","ECON_EXPR_DATA('FDS_ECON["&amp;H13&amp;"]',,,M)")=0,$J$19,_xll.FDSRC(,"DUMMY","ECON_EXPR_DATA('FDS_ECON["&amp;H13&amp;"]',,,M)"))</f>
        <v>45.262805999999998</v>
      </c>
      <c r="N13" cm="1">
        <f t="array" aca="1" ref="N13" ca="1">_xll.FDSRC("-","DUMMY","ECON_EXPR_DATA('FDS_ECON["&amp;H13&amp;"]',"&amp;$N$3&amp;",,Q)")</f>
        <v>45.498753000000001</v>
      </c>
      <c r="O13" cm="1">
        <f t="array" aca="1" ref="O13" ca="1">_xll.FDSRC("-","DUMMY","ECON_EXPR_DATA('FDS_ECON["&amp;H13&amp;"]',"&amp;$O$3&amp;",,Q)")</f>
        <v>45.498753000000001</v>
      </c>
      <c r="P13">
        <f t="shared" ref="P13:P16" ca="1" si="1">IFERROR(N13-O13,$M$20)</f>
        <v>0</v>
      </c>
      <c r="Q13" cm="1">
        <f t="array" aca="1" ref="Q13" ca="1">_xlfn.PERCENTRANK.EXC(_xlfn._xlws.FILTER(M$4:M$16, ISNUMBER(M$4:M$16)),M13)*100</f>
        <v>14.2</v>
      </c>
      <c r="R13" cm="1">
        <f t="array" aca="1" ref="R13" ca="1">_xlfn.PERCENTRANK.EXC(_xlfn._xlws.FILTER(P$4:P$16, ISNUMBER(P$4:P$16)),P13)*100</f>
        <v>7.1</v>
      </c>
      <c r="S13">
        <f ca="1">Q13*Assumption!$E$27 + R13*Assumption!$F$27</f>
        <v>11.36</v>
      </c>
      <c r="T13" cm="1">
        <f t="array" aca="1" ref="T13" ca="1">_xlfn.PERCENTRANK.EXC(_xlfn._xlws.FILTER(S$4:S$16, ISNUMBER(S$4:S$16)),S13)*100</f>
        <v>14.2</v>
      </c>
    </row>
    <row r="14" spans="1:20" x14ac:dyDescent="0.35">
      <c r="G14" t="s">
        <v>875</v>
      </c>
      <c r="H14" s="111" t="s">
        <v>884</v>
      </c>
      <c r="I14" t="s">
        <v>673</v>
      </c>
      <c r="J14" s="113" t="str" cm="1">
        <f t="array" ref="J14">_xll.FDS(K14,"FG_COMPANY_NAME")</f>
        <v>iShares MSCI Netherlands ETF</v>
      </c>
      <c r="K14" t="s">
        <v>867</v>
      </c>
      <c r="L14" t="s">
        <v>750</v>
      </c>
      <c r="M14" cm="1">
        <f t="array" aca="1" ref="M14" ca="1">IF(_xll.FDSRC(,"DUMMY","ECON_EXPR_DATA('FDS_ECON["&amp;H14&amp;"]',,,M)")=0,$J$19,_xll.FDSRC(,"DUMMY","ECON_EXPR_DATA('FDS_ECON["&amp;H14&amp;"]',,,M)"))</f>
        <v>49.135437000000003</v>
      </c>
      <c r="N14" cm="1">
        <f t="array" aca="1" ref="N14" ca="1">_xll.FDSRC("-","DUMMY","ECON_EXPR_DATA('FDS_ECON["&amp;H14&amp;"]',"&amp;$N$3&amp;",,Q)")</f>
        <v>49.325873999999999</v>
      </c>
      <c r="O14" cm="1">
        <f t="array" aca="1" ref="O14" ca="1">_xll.FDSRC("-","DUMMY","ECON_EXPR_DATA('FDS_ECON["&amp;H14&amp;"]',"&amp;$O$3&amp;",,Q)")</f>
        <v>49.325873999999999</v>
      </c>
      <c r="P14">
        <f t="shared" ca="1" si="1"/>
        <v>0</v>
      </c>
      <c r="Q14" cm="1">
        <f t="array" aca="1" ref="Q14" ca="1">_xlfn.PERCENTRANK.EXC(_xlfn._xlws.FILTER(M$4:M$16, ISNUMBER(M$4:M$16)),M14)*100</f>
        <v>28.499999999999996</v>
      </c>
      <c r="R14" cm="1">
        <f t="array" aca="1" ref="R14" ca="1">_xlfn.PERCENTRANK.EXC(_xlfn._xlws.FILTER(P$4:P$16, ISNUMBER(P$4:P$16)),P14)*100</f>
        <v>7.1</v>
      </c>
      <c r="S14">
        <f ca="1">Q14*Assumption!$E$27 + R14*Assumption!$F$27</f>
        <v>19.939999999999998</v>
      </c>
      <c r="T14" cm="1">
        <f t="array" aca="1" ref="T14" ca="1">_xlfn.PERCENTRANK.EXC(_xlfn._xlws.FILTER(S$4:S$16, ISNUMBER(S$4:S$16)),S14)*100</f>
        <v>28.499999999999996</v>
      </c>
    </row>
    <row r="15" spans="1:20" x14ac:dyDescent="0.35">
      <c r="G15" t="s">
        <v>272</v>
      </c>
      <c r="H15" s="111"/>
      <c r="I15" t="s">
        <v>705</v>
      </c>
      <c r="J15" s="113" t="str" cm="1">
        <f t="array" ref="J15">_xll.FDS(K15,"FG_COMPANY_NAME")</f>
        <v>iShares MSCI Sweden ETF</v>
      </c>
      <c r="K15" t="s">
        <v>864</v>
      </c>
      <c r="L15" t="s">
        <v>750</v>
      </c>
      <c r="M15" cm="1">
        <f t="array" aca="1" ref="M15" ca="1">IF(_xll.FDSRC(,"DUMMY","ECON_EXPR_DATA('FDS_ECON["&amp;H15&amp;"]',,,M)")=0,$J$19,_xll.FDSRC(,"DUMMY","ECON_EXPR_DATA('FDS_ECON["&amp;H15&amp;"]',,,M)"))</f>
        <v>49.135437000000003</v>
      </c>
      <c r="N15" t="str" cm="1">
        <f t="array" aca="1" ref="N15" ca="1">_xll.FDSRC("-","DUMMY","ECON_EXPR_DATA('FDS_ECON["&amp;H15&amp;"]',"&amp;$N$3&amp;",,Q)")</f>
        <v>-</v>
      </c>
      <c r="O15" t="str" cm="1">
        <f t="array" aca="1" ref="O15" ca="1">_xll.FDSRC("-","DUMMY","ECON_EXPR_DATA('FDS_ECON["&amp;H15&amp;"]',"&amp;$O$3&amp;",,Q)")</f>
        <v>-</v>
      </c>
      <c r="P15">
        <f t="shared" ca="1" si="1"/>
        <v>0</v>
      </c>
      <c r="Q15" cm="1">
        <f t="array" aca="1" ref="Q15" ca="1">_xlfn.PERCENTRANK.EXC(_xlfn._xlws.FILTER(M$4:M$16, ISNUMBER(M$4:M$16)),M15)*100</f>
        <v>28.499999999999996</v>
      </c>
      <c r="R15" cm="1">
        <f t="array" aca="1" ref="R15" ca="1">_xlfn.PERCENTRANK.EXC(_xlfn._xlws.FILTER(P$4:P$16, ISNUMBER(P$4:P$16)),P15)*100</f>
        <v>7.1</v>
      </c>
      <c r="S15">
        <f ca="1">Q15*Assumption!$E$27 + R15*Assumption!$F$27</f>
        <v>19.939999999999998</v>
      </c>
      <c r="T15" cm="1">
        <f t="array" aca="1" ref="T15" ca="1">_xlfn.PERCENTRANK.EXC(_xlfn._xlws.FILTER(S$4:S$16, ISNUMBER(S$4:S$16)),S15)*100</f>
        <v>28.499999999999996</v>
      </c>
    </row>
    <row r="16" spans="1:20" x14ac:dyDescent="0.35">
      <c r="G16" t="s">
        <v>876</v>
      </c>
      <c r="H16" s="111" t="s">
        <v>885</v>
      </c>
      <c r="I16" t="s">
        <v>641</v>
      </c>
      <c r="J16" s="113" t="str" cm="1">
        <f t="array" ref="J16">_xll.FDS(K16,"FG_COMPANY_NAME")</f>
        <v>iShares MSCI Italy ETF</v>
      </c>
      <c r="K16" t="s">
        <v>866</v>
      </c>
      <c r="L16" t="s">
        <v>750</v>
      </c>
      <c r="M16" cm="1">
        <f t="array" aca="1" ref="M16" ca="1">IF(_xll.FDSRC(,"DUMMY","ECON_EXPR_DATA('FDS_ECON["&amp;H16&amp;"]',,,M)")=0,$J$19,_xll.FDSRC(,"DUMMY","ECON_EXPR_DATA('FDS_ECON["&amp;H16&amp;"]',,,M)"))</f>
        <v>49.135437000000003</v>
      </c>
      <c r="N16" cm="1">
        <f t="array" aca="1" ref="N16" ca="1">_xll.FDSRC("-","DUMMY","ECON_EXPR_DATA('FDS_ECON["&amp;H16&amp;"]',"&amp;$N$3&amp;",,Q)")</f>
        <v>49.208153000000003</v>
      </c>
      <c r="O16" cm="1">
        <f t="array" aca="1" ref="O16" ca="1">_xll.FDSRC("-","DUMMY","ECON_EXPR_DATA('FDS_ECON["&amp;H16&amp;"]',"&amp;$O$3&amp;",,Q)")</f>
        <v>49.208153000000003</v>
      </c>
      <c r="P16">
        <f t="shared" ca="1" si="1"/>
        <v>0</v>
      </c>
      <c r="Q16" cm="1">
        <f t="array" aca="1" ref="Q16" ca="1">_xlfn.PERCENTRANK.EXC(_xlfn._xlws.FILTER(M$4:M$16, ISNUMBER(M$4:M$16)),M16)*100</f>
        <v>28.499999999999996</v>
      </c>
      <c r="R16" cm="1">
        <f t="array" aca="1" ref="R16" ca="1">_xlfn.PERCENTRANK.EXC(_xlfn._xlws.FILTER(P$4:P$16, ISNUMBER(P$4:P$16)),P16)*100</f>
        <v>7.1</v>
      </c>
      <c r="S16">
        <f ca="1">Q16*Assumption!$E$27 + R16*Assumption!$F$27</f>
        <v>19.939999999999998</v>
      </c>
      <c r="T16" cm="1">
        <f t="array" aca="1" ref="T16" ca="1">_xlfn.PERCENTRANK.EXC(_xlfn._xlws.FILTER(S$4:S$16, ISNUMBER(S$4:S$16)),S16)*100</f>
        <v>28.499999999999996</v>
      </c>
    </row>
    <row r="18" spans="8:13" x14ac:dyDescent="0.35">
      <c r="K18" t="str" cm="1">
        <f t="array" aca="1" ref="K18" ca="1">_xll.FDSRC("-","DUMMY","ECON_DATE("&amp;$L$1&amp;",,, 'MM/YYYY')")</f>
        <v>05/2024</v>
      </c>
      <c r="L18" t="str" cm="1">
        <f t="array" aca="1" ref="L18" ca="1">_xll.FDSRC("-","DUMMY","ECON_DATE("&amp;$L$2&amp;",,, 'MM/YYYY')")</f>
        <v>03/2024</v>
      </c>
      <c r="M18" t="s">
        <v>773</v>
      </c>
    </row>
    <row r="19" spans="8:13" x14ac:dyDescent="0.35">
      <c r="H19" s="111" t="s">
        <v>759</v>
      </c>
      <c r="I19" s="111" t="s">
        <v>760</v>
      </c>
      <c r="J19" cm="1">
        <f t="array" aca="1" ref="J19" ca="1">IF(_xll.FDSRC("-","DUMMY","ECON_EXPR_DATA('FDS_ECON["&amp;H19&amp;"]',,,M)") = "-",$K$19,_xll.FDSRC("-","DUMMY","ECON_EXPR_DATA('FDS_ECON["&amp;H19&amp;"]',,,M)"))</f>
        <v>49.135437000000003</v>
      </c>
      <c r="K19" cm="1">
        <f t="array" aca="1" ref="K19" ca="1">_xll.FDSRC("-","DUMMY","ECON_EXPR_DATA('FDS_ECON["&amp;H19&amp;"]',"&amp;$K$18&amp;",,Q)")</f>
        <v>49.135437000000003</v>
      </c>
      <c r="L19" cm="1">
        <f t="array" aca="1" ref="L19" ca="1">_xll.FDSRC("-","DUMMY","ECON_EXPR_DATA('FDS_ECON["&amp;H19&amp;"]',"&amp;$L$18&amp;",,Q)")</f>
        <v>49.135437000000003</v>
      </c>
      <c r="M19">
        <f ca="1">K19-L19</f>
        <v>0</v>
      </c>
    </row>
    <row r="20" spans="8:13" x14ac:dyDescent="0.35">
      <c r="H20" s="111" t="s">
        <v>761</v>
      </c>
      <c r="I20" s="111" t="s">
        <v>762</v>
      </c>
      <c r="J20" cm="1">
        <f t="array" aca="1" ref="J20" ca="1">IF(_xll.FDSRC("-","DUMMY","ECON_EXPR_DATA('FDS_ECON["&amp;H20&amp;"]',,,M)") = "-",$K$20,_xll.FDSRC("-","DUMMY","ECON_EXPR_DATA('FDS_ECON["&amp;H20&amp;"]',,,M)"))</f>
        <v>51.512165000000003</v>
      </c>
      <c r="K20" cm="1">
        <f t="array" aca="1" ref="K20" ca="1">_xll.FDSRC("-","DUMMY","ECON_EXPR_DATA('FDS_ECON["&amp;H20&amp;"]',"&amp;$K$18&amp;",,Q)")</f>
        <v>51.512165000000003</v>
      </c>
      <c r="L20" cm="1">
        <f t="array" aca="1" ref="L20" ca="1">_xll.FDSRC("-","DUMMY","ECON_EXPR_DATA('FDS_ECON["&amp;H20&amp;"]',"&amp;$L$18&amp;",,Q)")</f>
        <v>51.512165000000003</v>
      </c>
      <c r="M20">
        <f ca="1">K20-L20</f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17"/>
  <sheetViews>
    <sheetView workbookViewId="0">
      <selection activeCell="F21" sqref="F21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740</v>
      </c>
      <c r="B1" t="s">
        <v>519</v>
      </c>
      <c r="C1" t="s">
        <v>820</v>
      </c>
      <c r="D1" t="s">
        <v>846</v>
      </c>
      <c r="E1" t="s">
        <v>561</v>
      </c>
      <c r="F1" t="s">
        <v>847</v>
      </c>
      <c r="G1" t="s">
        <v>848</v>
      </c>
    </row>
    <row r="2" spans="1:7" x14ac:dyDescent="0.35">
      <c r="A2" t="s">
        <v>198</v>
      </c>
      <c r="B2" t="s">
        <v>446</v>
      </c>
      <c r="C2" t="s">
        <v>431</v>
      </c>
      <c r="D2" s="143" cm="1">
        <f t="array" ref="D2">_xll.FDS(C2,"FREF_MARKET_VALUE_COMPANY(0,,,USD,,0,,""LEGACY"")")</f>
        <v>84.100999999999999</v>
      </c>
      <c r="E2" t="s">
        <v>674</v>
      </c>
      <c r="F2" t="str">
        <f t="shared" ref="F2:F14" si="0">_xlfn.CONCAT("FC0000",RIGHT(A2,2))</f>
        <v>FC0000NZ</v>
      </c>
      <c r="G2" s="142" cm="1">
        <f t="array" ref="G2">_xll.FDSZ(F2,"FMA_MCAP(0,,,USD,""PORTAGG"")")</f>
        <v>91336.335999999996</v>
      </c>
    </row>
    <row r="3" spans="1:7" x14ac:dyDescent="0.35">
      <c r="A3" t="s">
        <v>174</v>
      </c>
      <c r="B3" t="s">
        <v>45</v>
      </c>
      <c r="C3" t="s">
        <v>44</v>
      </c>
      <c r="D3" s="143" cm="1">
        <f t="array" ref="D3">_xll.FDS(C3,"FREF_MARKET_VALUE_COMPANY(0,,,USD,,0,,""LEGACY"")")</f>
        <v>1587.95</v>
      </c>
      <c r="E3" t="s">
        <v>576</v>
      </c>
      <c r="F3" t="str">
        <f t="shared" si="0"/>
        <v>FC0000AU</v>
      </c>
      <c r="G3" s="142" cm="1">
        <f t="array" ref="G3">_xll.FDSZ(F3,"FMA_MCAP(0,,,USD,""PORTAGG"")")</f>
        <v>1706446</v>
      </c>
    </row>
    <row r="4" spans="1:7" x14ac:dyDescent="0.35">
      <c r="A4" t="s">
        <v>157</v>
      </c>
      <c r="B4" t="s">
        <v>50</v>
      </c>
      <c r="C4" t="s">
        <v>49</v>
      </c>
      <c r="D4" s="143" cm="1">
        <f t="array" ref="D4">_xll.FDS(C4,"FREF_MARKET_VALUE_COMPANY(0,,,USD,,0,,""LEGACY"")")</f>
        <v>2425.6860000000001</v>
      </c>
      <c r="E4" t="s">
        <v>598</v>
      </c>
      <c r="F4" t="str">
        <f t="shared" si="0"/>
        <v>FC0000CA</v>
      </c>
      <c r="G4" s="142" cm="1">
        <f t="array" ref="G4">_xll.FDSZ(F4,"FMA_MCAP(0,,,USD,""PORTAGG"")")</f>
        <v>2695164.3</v>
      </c>
    </row>
    <row r="5" spans="1:7" s="1" customFormat="1" x14ac:dyDescent="0.35">
      <c r="A5" s="145" t="s">
        <v>555</v>
      </c>
      <c r="B5" s="145" t="s">
        <v>39</v>
      </c>
      <c r="C5" s="145" t="s">
        <v>11</v>
      </c>
      <c r="D5" s="143" cm="1">
        <f t="array" ref="D5">_xll.FDS(C5,"FREF_MARKET_VALUE_COMPANY(0,,,USD,,0,,""LEGACY"")")</f>
        <v>909.41399999999999</v>
      </c>
      <c r="E5" s="145" t="s">
        <v>625</v>
      </c>
      <c r="F5" s="145" t="str">
        <f t="shared" si="0"/>
        <v>FC0000DE</v>
      </c>
      <c r="G5" s="146" cm="1">
        <f t="array" ref="G5">_xll.FDSZ(F5,"FMA_MCAP(0,,,USD,""PORTAGG"")")</f>
        <v>2229665.5</v>
      </c>
    </row>
    <row r="6" spans="1:7" x14ac:dyDescent="0.35">
      <c r="A6" t="s">
        <v>164</v>
      </c>
      <c r="B6" t="s">
        <v>47</v>
      </c>
      <c r="C6" t="s">
        <v>46</v>
      </c>
      <c r="D6" s="143" cm="1">
        <f t="array" ref="D6">_xll.FDS(C6,"FREF_MARKET_VALUE_COMPANY(0,,,USD,,0,,""LEGACY"")")</f>
        <v>15732.732</v>
      </c>
      <c r="E6" t="s">
        <v>643</v>
      </c>
      <c r="F6" t="str">
        <f t="shared" si="0"/>
        <v>FC0000JP</v>
      </c>
      <c r="G6" s="142" cm="1">
        <f t="array" ref="G6">_xll.FDSZ(F6,"FMA_MCAP(0,,,USD,""PORTAGG"")")</f>
        <v>6342091</v>
      </c>
    </row>
    <row r="7" spans="1:7" x14ac:dyDescent="0.35">
      <c r="A7" t="s">
        <v>276</v>
      </c>
      <c r="B7" t="s">
        <v>43</v>
      </c>
      <c r="C7" t="s">
        <v>42</v>
      </c>
      <c r="D7" s="143" cm="1">
        <f t="array" ref="D7">_xll.FDS(C7,"FREF_MARKET_VALUE_COMPANY(0,,,USD,,0,,""LEGACY"")")</f>
        <v>1151.0137500000001</v>
      </c>
      <c r="E7" t="s">
        <v>706</v>
      </c>
      <c r="F7" t="str">
        <f t="shared" si="0"/>
        <v>FC0000CH</v>
      </c>
      <c r="G7" s="142" cm="1">
        <f t="array" ref="G7">_xll.FDSZ(F7,"FMA_MCAP(0,,,USD,""PORTAGG"")")</f>
        <v>2163202.2999999998</v>
      </c>
    </row>
    <row r="8" spans="1:7" x14ac:dyDescent="0.35">
      <c r="A8" t="s">
        <v>167</v>
      </c>
      <c r="B8" t="s">
        <v>447</v>
      </c>
      <c r="C8" t="s">
        <v>48</v>
      </c>
      <c r="D8" s="143" cm="1">
        <f t="array" ref="D8">_xll.FDS(C8,"FREF_MARKET_VALUE_COMPANY(0,,,USD,,0,,""LEGACY"")")</f>
        <v>2828.768</v>
      </c>
      <c r="E8" t="s">
        <v>719</v>
      </c>
      <c r="F8" t="str">
        <f t="shared" si="0"/>
        <v>FC0000GB</v>
      </c>
      <c r="G8" s="142" cm="1">
        <f t="array" ref="G8">_xll.FDSZ(F8,"FMA_MCAP(0,,,USD,""PORTAGG"")")</f>
        <v>3203385</v>
      </c>
    </row>
    <row r="9" spans="1:7" x14ac:dyDescent="0.35">
      <c r="A9" t="s">
        <v>170</v>
      </c>
      <c r="B9" t="s">
        <v>448</v>
      </c>
      <c r="C9" t="s">
        <v>51</v>
      </c>
      <c r="D9" s="143" cm="1">
        <f t="array" ref="D9">_xll.FDS(C9,"FREF_MARKET_VALUE_COMPANY(0,,,USD,,0,,""LEGACY"")")</f>
        <v>286747.33500000002</v>
      </c>
      <c r="E9" t="s">
        <v>720</v>
      </c>
      <c r="F9" t="str">
        <f t="shared" si="0"/>
        <v>FC0000US</v>
      </c>
      <c r="G9" s="142" cm="1">
        <f t="array" ref="G9">_xll.FDSZ(F9,"FMA_MCAP(0,,,USD,""PORTAGG"")")</f>
        <v>56486140</v>
      </c>
    </row>
    <row r="10" spans="1:7" x14ac:dyDescent="0.35">
      <c r="A10" t="s">
        <v>170</v>
      </c>
      <c r="B10" t="s">
        <v>1</v>
      </c>
      <c r="C10" t="s">
        <v>1</v>
      </c>
      <c r="D10" s="143" cm="1">
        <f t="array" ref="D10">_xll.FDS(C10,"FREF_MARKET_VALUE_COMPANY(0,,,USD,,0,,""LEGACY"")")</f>
        <v>541135.41546199995</v>
      </c>
      <c r="E10" t="s">
        <v>720</v>
      </c>
      <c r="F10" t="str">
        <f t="shared" si="0"/>
        <v>FC0000US</v>
      </c>
      <c r="G10" s="142" cm="1">
        <f t="array" ref="G10">_xll.FDSZ(F10,"FMA_MCAP(0,,,USD,""PORTAGG"")")</f>
        <v>56486140</v>
      </c>
    </row>
    <row r="11" spans="1:7" x14ac:dyDescent="0.35">
      <c r="A11" t="s">
        <v>869</v>
      </c>
      <c r="B11" t="s">
        <v>874</v>
      </c>
      <c r="C11" t="s">
        <v>865</v>
      </c>
      <c r="D11" s="143" cm="1">
        <f t="array" ref="D11">_xll.FDS(C11,"FREF_MARKET_VALUE_COMPANY(0,,,USD,,0,,""LEGACY"")")</f>
        <v>619.59199999999998</v>
      </c>
      <c r="E11" t="s">
        <v>621</v>
      </c>
      <c r="F11" t="str">
        <f t="shared" si="0"/>
        <v>FC0000FR</v>
      </c>
      <c r="G11" s="142" cm="1">
        <f t="array" ref="G11">_xll.FDSZ(F11,"FMA_MCAP(0,,,USD,""PORTAGG"")")</f>
        <v>3095495</v>
      </c>
    </row>
    <row r="12" spans="1:7" x14ac:dyDescent="0.35">
      <c r="A12" t="s">
        <v>870</v>
      </c>
      <c r="B12" t="s">
        <v>872</v>
      </c>
      <c r="C12" t="s">
        <v>867</v>
      </c>
      <c r="D12" s="143" cm="1">
        <f t="array" ref="D12">_xll.FDS(C12,"FREF_MARKET_VALUE_COMPANY(0,,,USD,,0,,""LEGACY"")")</f>
        <v>286.31099999999998</v>
      </c>
      <c r="E12" t="s">
        <v>673</v>
      </c>
      <c r="F12" t="str">
        <f t="shared" si="0"/>
        <v>FC0000NL</v>
      </c>
      <c r="G12" s="142" cm="1">
        <f t="array" ref="G12">_xll.FDSZ(F12,"FMA_MCAP(0,,,USD,""PORTAGG"")")</f>
        <v>1161401.5</v>
      </c>
    </row>
    <row r="13" spans="1:7" x14ac:dyDescent="0.35">
      <c r="A13" t="s">
        <v>273</v>
      </c>
      <c r="B13" t="s">
        <v>873</v>
      </c>
      <c r="C13" t="s">
        <v>864</v>
      </c>
      <c r="D13" s="143" cm="1">
        <f t="array" ref="D13">_xll.FDS(C13,"FREF_MARKET_VALUE_COMPANY(0,,,USD,,0,,""LEGACY"")")</f>
        <v>377.34375</v>
      </c>
      <c r="E13" t="s">
        <v>705</v>
      </c>
      <c r="F13" t="str">
        <f t="shared" si="0"/>
        <v>FC0000SE</v>
      </c>
      <c r="G13" s="142" cm="1">
        <f t="array" ref="G13">_xll.FDSZ(F13,"FMA_MCAP(0,,,USD,""PORTAGG"")")</f>
        <v>1011404.6</v>
      </c>
    </row>
    <row r="14" spans="1:7" x14ac:dyDescent="0.35">
      <c r="A14" t="s">
        <v>868</v>
      </c>
      <c r="B14" t="s">
        <v>871</v>
      </c>
      <c r="C14" t="s">
        <v>866</v>
      </c>
      <c r="D14" s="143" cm="1">
        <f t="array" ref="D14">_xll.FDS(C14,"FREF_MARKET_VALUE_COMPANY(0,,,USD,,0,,""LEGACY"")")</f>
        <v>440.95499999999998</v>
      </c>
      <c r="E14" t="s">
        <v>641</v>
      </c>
      <c r="F14" t="str">
        <f t="shared" si="0"/>
        <v>FC0000IT</v>
      </c>
      <c r="G14" s="142" cm="1">
        <f t="array" ref="G14">_xll.FDSZ(F14,"FMA_MCAP(0,,,USD,""PORTAGG"")")</f>
        <v>844926.94</v>
      </c>
    </row>
    <row r="15" spans="1:7" x14ac:dyDescent="0.35">
      <c r="D15" s="143"/>
      <c r="G15" s="142"/>
    </row>
    <row r="17" spans="1:7" x14ac:dyDescent="0.35">
      <c r="A17" s="46" t="s">
        <v>366</v>
      </c>
      <c r="B17" s="46" t="str" cm="1">
        <f t="array" ref="B17">_xll.FDS(C17,"FG_COMPANY_NAME")</f>
        <v>Nasdaq South Africa</v>
      </c>
      <c r="C17" s="46" t="s">
        <v>852</v>
      </c>
      <c r="D17" s="149" cm="1">
        <f t="array" ref="D17">_xll.FDSZ(C17,"FMA_MCAP(0,,,USD,""PORTAGG"")")</f>
        <v>0</v>
      </c>
      <c r="E17" s="46" t="str" cm="1">
        <f t="array" ref="E17">_xll.FDS(A17,"FG_COMPANY_NAME")</f>
        <v>South Africa</v>
      </c>
      <c r="F17" s="46" t="str">
        <f>_xlfn.CONCAT("FC0000",RIGHT(A17,2))</f>
        <v>FC0000ZA</v>
      </c>
      <c r="G17" s="149" cm="1">
        <f t="array" ref="G17">_xll.FDS(F17,"FG_MCAP_IDX(0,,,USD)")</f>
        <v>326495.38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9802181"><![CDATA[{"FC0000ZA^FG_MCAP_IDX(0,,,USD)":326495.38,"FC0000NL^FMA_MCAP(0,,,USD,\"PORTAGG\")":1161401.5,"FC0000IT^FMA_MCAP(0,,,USD,\"PORTAGG\")":844926.94,"EWD^FREF_MARKET_VALUE_COMPANY(0,,,USD,,0,,\"LEGACY\")":377.34375,"FC0000SE^FMA_MCAP(0,,,USD,\"PORTAGG\")":1011404.6,"EWN^FREF_MARKET_VALUE_COMPANY(0,,,USD,,0,,\"LEGACY\")":286.311,"EWQ^FREF_MARKET_VALUE_COMPANY(0,,,USD,,0,,\"LEGACY\")":619.592,"SPY^FREF_MARKET_VALUE_COMPANY(0,,,USD,,0,,\"LEGACY\")":541135.415462,"EWJ^FREF_MARKET_VALUE_COMPANY(0,,,USD,,0,,\"LEGACY\")":15732.732,"ENZL^FREF_MARKET_VALUE_COMPANY(0,,,USD,,0,,\"LEGACY\")":84.101,"FC0000FR^FMA_MCAP(0,,,USD,\"PORTAGG\")":3095495.0,"FC0000GB^FMA_MCAP(0,,,USD,\"PORTAGG\")":3203385.0,"FC0000NZ^FMA_MCAP(0,,,USD,\"PORTAGG\")":91336.336,"NQG00809^FMA_MCAP(0,,,USD,\"PORTAGG\")":null,"QQQ^FREF_MARKET_VALUE_COMPANY(0,,,USD,,0,,\"LEGACY\")":286747.335,"FC0000JP^FMA_MCAP(0,,,USD,\"PORTAGG\")":6342091.0,"FC0000US^FMA_MCAP(0,,,USD,\"PORTAGG\")":56486140.0,"FC0000CH^FMA_MCAP(0,,,USD,\"PORTAGG\")":2163202.3,"EWU^FREF_MARKET_VALUE_COMPANY(0,,,USD,,0,,\"LEGACY\")":2828.768,"EWG^FREF_MARKET_VALUE_COMPANY(0,,,USD,,0,,\"LEGACY\")":909.414,"NQG00809^FG_COMPANY_NAME":"Nasdaq South Africa","EWL^FREF_MARKET_VALUE_COMPANY(0,,,USD,,0,,\"LEGACY\")":1151.01375,"CC_ZA^FG_COMPANY_NAME":"South Africa","FC0000DE^FMA_MCAP(0,,,USD,\"PORTAGG\")":2229665.5,"EWC^FREF_MARKET_VALUE_COMPANY(0,,,USD,,0,,\"LEGACY\")":2425.686,"FC0000CA^FMA_MCAP(0,,,USD,\"PORTAGG\")":2695164.3,"EWA^FREF_MARKET_VALUE_COMPANY(0,,,USD,,0,,\"LEGACY\")":1587.95,"FC0000AU^FMA_MCAP(0,,,USD,\"PORTAGG\")":1706446.0,"EWI^FREF_MARKET_VALUE_COMPANY(0,,,USD,,0,,\"LEGACY\")":440.955,"DUMMY^ECON_EXPR_DATA('FDS_ECON[NTCPMIMFGSA@IT]',,,M)":null,"DUMMY^ECON_EXPR_DATA('FDS_ECON[NTCPMIMFGSA@FR]',,,M)":45.262806,"DUMMY^ECON_EXPR_DATA('FDS_ECON[NTCPMIMFGMESA@US]',,,M)":51.65503,"DUMMY^ECON_EXPR_DATA('FDS_ECON[NTCPMIMFGSA@JP]',,,M)":50.046066,"DUMMY^ECON_EXPR_DATA('FDS_ECON[]',,,M)":null,"DUMMY^ECON_EXPR_DATA('FDS_ECON[NTCPMIMFGSA@DE]',,,M)":43.363316,"DUMMY^ECON_EXPR_DATA('FDS_ECON[NTCPMIMFGSA@AU]',,,M)":47.17306,"DUMMY^ECON_EXPR_DATA('FDS_ECON[NTCPMIMFGSA@NZ]',,,M)":null,"DUMMY^ECON_EXPR_DATA('FDS_ECON[NTCPMIMFGSA@NL]',,,M)":null,"DUMMY^ECON_EXPR_DATA('FDS_ECON[NTCPMIMFGSA@GB]',,,M)":51.413433,"DUMMY^ECON_EXPR_DATA('FDS_ECON[NTCPMIMFGSA@CA]',,,M)":null,"DUMMY^ECON_EXPR_DATA('FDS_ECON[NTCPMIMFGSA@CH]',,,M)":null,"CAGDPY@FR^EE_ACTUAL_ANNUAL(MED,+1)":-0.55,"CAGDPY@AU^EE_ACTUAL_ANNUAL(MED,+1)":0.5,"USDITL^FG_PRICE_CHANGE(0,-3AM)":0.76978207,"USDANG^FG_PRICE_CHANGE(0,-3AM)":0.0,"USDUSD^FG_PRICE_CHANGE(0,-3AM)":0.0,"USDGBP^FG_PRICE_CHANGE(0,-3AM)":-0.06724,"USDJPY^FG_PRICE_CHANGE(0,-3AM)":6.286955,"USDCAD^FG_PRICE_CHANGE(0,-3AM)":1.1158347,"USDNZD^FG_PRICE_CHANGE(0,-3AM)":-1.8380225,"EWA^FMA_EPS(NTMA,-20AY,0,CY,,\"PORTAGG\",\"MEANR\")":[1.18421421757289,1.35622936034371,1.68223219538503,2.01218211762237,1.47822239950882,1.49861477471222,2.04832230944667,2.08841813329258,1.8915836506348,1.71909344341549,1.51920222936301,1.20321447580294,1.28201594869045,1.44580701527009,1.37894957605166,1.3179970851092,1.26256164176903,1.41909398824033,1.56850336770513,1.47892717787447],"ENZL^JULIAN(P_PRICE_RETURNS_PR('52W',2,-10AY,0,AM).DATES)":[41817,41848,41879,41908,41940,41971,41999,42032,42062,42090,42122,42152,42181,42213,42244,42275,42305,42335,42366,42397,42426,42457,42488,42517,42549,42579,42608,42641,42671,42702,42732,42762,42794,42822,42853,42881,42914,42944,42975,43006,43035,43067,43097,43126,43159,43187,43217,43245,43279,43308,43340,43371,43399,43432,43462,43493,43524,43552,43581,43613,43644,43672,43705,43735,43766,43796,43826,43858,43889,43917,43949,43979,44008,44040,44071,44102,44132,44162,44193,44224,44253,44281,44314,44344,44375,44405,44435,44467,44497,44526,44558,44589,44620,44648,44679,44708,44740,44770,44799,44832,44862,44893,44923,44953,44985,45013,45044,45072,45105,45135,45166,45197,45226,45258,45288,45317,45350,45379,45408,45440,45471],"EWD^FMA_DIV_YLD(NTMA,-10AY,0,AM,\"PORTAGG\",\"MEANR\")":[4.14366834561586,4.1590352043512,4.22699350230925,4.22701266814486,4.27360811637742,4.08056320879611,4.08193514473521,3.86918531109162,3.59445421457265,3.67953371607997,3.66727238375401,3.74354328001162,3.90332220593368,4.01585078004664,4.27366645677998,4.66238064930307,4.19905705095526,4.12339469056765,4.35775153857203,4.56016578788988,4.38417959520216,4.45740504807114,4.25872949546466,4.34675776980667,4.67647912582528,4.32336439944831,4.24310777583996,4.23073020550496,4.08819600530304,4.05408297753872,3.87850273798374,3.69026279021395,3.6475444971784,3.65359504925721,3.54135253784062,3.3724479854966,3.54525933043174,3.7140747519073,3.80274371560731,3.58256004346463,3.51776099160286,3.64071536692558,3.74580584868218,3.69100088675786,3.83889594769335,4.09256266702985,4.00281943337679,4.03765198311249,4.19980805850455,4.09231742101807,3.99559485145145,4.02562062467823,4.50752086522776,4.50268657259803,4.74857239704533,4.43631432879185,4.16382933288108,4.19226800678173,3.96308358728241,4.28927964484998,4.15795574555105,4.01312313789192,4.2820842388045,3.89454439455924,3.67407678127877,3.6896454151092,3.56829711076583,3.60039115468056,3.83184335373668,4.36061186694969,3.31668966109155,3.10928175228524,3.07075310818974,2.99568894924515,2.9979516755906,2.98278924230567,3.31458741543097,2.98356070894042,3.0885106468028,3.00427883873266,2.99054585448251,2.75954887939403,2.7943249513684,2.70462097375517,2.71266695836899,2.72027687201918,2.71239570144373,2.89705862124726,3.02034194537931,3.11705468052097,2.82455412135335,2.92207672576209,3.14735600064147,3.13187686161295,3.30765576383873,3.32529454579672,3.55875572054093,3.51180303407089,3.63903179423528,3.7740158635006,3.72219013922109,3.61674723699526,3.74234722842663,3.55803608624744,3.55284359218596,3.81696918486876,3.63869488743079,3.75433610133141,3.7844931291467,3.76861323945965,3.96076079652876,4.03887263943127,4.0256975178892,3.66833189377264,2.92393535200844,3.33853646170127,3.31148933860691,3.2305999509816,3.27893195417718,3.17962930073421,3.24313109850871],"EWQ^FMA_PE(NTMA,-10AY,0,AM,\"PORTAGG\",\"MEANR\")":[13.9745747198545,13.630406003076,13.6190467026111,13.5612155928874,12.8545623088732,13.8444256314468,13.8024253492795,15.2892106027747,16.3806904032679,16.4766337219812,16.6811454200977,16.4982002184389,16.0871155859939,15.6109609805381,14.4035168111627,13.6002140884976,15.1162199543607,15.3275994586794,14.493071421489,13.9536374449081,14.089952151828,14.1511381953065,14.856221773323,14.5972036241849,13.1117937533636,14.0882422899937,13.9714251082896,13.8216793857239,14.0642348596708,13.6806016984979,14.5218964462997,14.4162397548059,14.1974243755866,14.7543122372716,15.211280112837,15.235447872678,14.8974876219555,14.6070460869743,14.4239917701341,15.0200130530021,15.378269150774,15.0418138289398,14.8499230852568,15.3227740976272,14.6426222392187,14.1219306667875,14.7820471397329,14.7040720812829,13.8635512570652,14.2527946614026,14.0012270086228,13.8591447188231,12.5029569648839,12.473837076528,11.7632820738411,12.5966183032045,13.4777878618813,13.4641559710416,14.0997020785202,13.4252287593379,13.9078203954288,14.210611540928,13.5176127892728,14.1300461883432,14.4504167692316,14.8108168167262,15.0434682522783,14.7937596934945,13.4531981354815,12.3962681448673,16.1528348268056,17.7815027306489,18.62925378242,19.3596763023408,19.5381197528457,18.1902202718965,16.571032549755,19.2150152316124,18.1516697857936,17.6130478417819,17.7312658944218,18.1280030318589,18.226102916479,17.9229278592178,17.5654722161058,16.9879725763806,16.3091946435646,15.5948672839709,15.7249458492231,15.1145108309173,15.8595114931945,14.8219614480132,13.8957966733355,13.427134416997,12.8253897965847,12.4278904995655,11.5200377777343,11.5954501756186,11.2848215826281,10.1937168575442,11.215168756183,12.0031617766309,11.8547032767154,13.1722922652377,13.2122055873261,12.8622285095557,13.7329079964191,13.138907797509,13.1229007008614,13.3599250306245,12.9283206335162,12.4331984058885,11.9561600879339,12.8506610496173,13.4134009251206,13.730600731457,14.3183469610544,14.713062026363,14.5275707597126,14.4052188926765,13.6060361326933],"QQQ^FMA_PE(LTMA,-10AY,0,AM,\"PORTAGG\",\"MEANR\")":[19.0156736381135,19.1510077194945,19.4203312711593,19.3297191370039,19.4766134249901,20.5332905806804,20.4750692443012,19.4181617465448,20.7927523096553,20.4998593963006,20.4953388007681,20.3229104393772,20.0829378723056,20.2834744209352,19.6136027137307,18.7199923154411,20.4189102703026,20.4328732407483,20.2229332658725,18.4186555142115,18.3305613531365,18.3036355067851,18.3441091797808,18.6109432734689,18.3242562138647,19.3373277653709,19.5341477318184,19.9624370816696,19.7606111521239,20.0627780995207,20.5457249698541,21.3319746049565,21.7141306880179,21.648121982513,21.7013956552269,21.9680667752675,21.8561540786161,22.1489490097429,21.9320799000611,22.1748780410655,22.7761542647425,23.3772687825864,23.6889723356534,25.4918676147698,24.1192849747836,23.5642764964998,23.2433827500108,23.2120399352541,22.9700658587207,23.0798570563249,23.3102764210423,23.2714903030339,20.9812123471486,20.6853494780668,18.6396623122827,19.7912055667868,20.8978946598702,20.9920423363588,21.4597946368253,20.9688632271641,21.60538969715,22.2538715825275,21.6312886504405,21.9502091891086,22.9918044988389,24.2519364723533,25.5340956655059,26.1398679691272,23.8036531168872,23.360727749194,24.648968037669,26.2765503893548,27.1492678973021,28.6681656589726,31.2232506279688,30.6852353000913,30.6057710432071,33.0475065324974,35.0240437497514,34.9006899409573,32.9457007699314,32.5759048381364,32.497013344028,31.5157306079637,31.8694763697887,31.6358024722443,31.5937221368654,30.3510064235981,31.2271356914752,31.4643746474466,32.2542267718528,27.8008877138336,26.7028018254998,26.9037896020206,26.048941437429,25.4113662977862,24.2006172726988,25.2235237435424,25.2338284187733,23.4327844333361,23.5412008294461,23.3376557832058,22.2139052396555,25.234562926582,25.2426632927157,25.3839567308272,25.6688300089147,26.3439779815786,27.0553861324632,27.1331021781593,26.2879146946139,25.932053480946,24.9776401651035,27.7276261190803,29.2767789365031,29.8688750860768,30.0446265109657,30.0751683026612,29.5474081164702,29.7826604652331,30.1310192570343],"DDR3512M-FDS^FG_PRICE(0)":0.93317926,"PASP-FDS^FG_PRICE(0)":950.0,"PLATI-FDS^FG_PRICE(0)":1008.0,"W-FDS^FG_PRICE(0)":5.535,"COPP-FDS^FG_PRICE(0)":4.3905,"FC0000US^FG_PRICE(0)":407.30222,"FC0000GR^FG_PRICE(0)":9.346842,"EWI^FG_PRICE(0)":35.85,"SPY^FG_PRICE(0)":544.22,"EWJ^FG_PRICE(0)":68.24,"ENZL^FG_PRICE(0)":45.46,"EWA^FG_COMPANY_NAME":"iShares MSCI Australia ETF","FXI^P_PRICE(0)/P_PRICE_LOW_PR(0,,,,,,\"PRICE\",\"INTRA\",\"52W\")-1":0.24592519,"SPY^FMA_PCT_ABOVE_MAVG(200,0,,,,\"PORTAGG\")":66.4670658682635,"URTH^PERCENT_CHANGE(FMA_EPS(+1,0,,,,\"PORTAGG\",\"MEAN\"),FMA_EPS(+1,-3AM,,,,\"PORTAGG\",\"MEAN\"))":-0.529560430365778,"VGK^FG_TOTAL_RETURNC(0,-3AM)":0.6790042,"EWD^P_PRICE(0)/P_PRICE_HIGH_PR(0,,,,,,\"PRICE\",\"INTRA\",\"52W\")":0.94372797,"EWQ^FG_TOTAL_RETURNC(0,-12AM)":2.5551796,"EWU^FG_TOTAL_RETURNC(0,-1AM)":-1.5146196,"EWJ^FG_TOTAL_RETURNC(0,-6AM)":7.354772,"EWA^FMA_PCT_ABOVE_MAVG(200,0,,,,\"PORTAGG\")":54.2372881355932,"EWD^FMA_COS_DOWN(\"EPS\",\"1M\",+1,0,,,\"PORTAGG\",\"MEANR\")":24.0,"EWU^FMA_COS_UP(\"EPS\",\"1M\",+1,0,,,\"PORTAGG\",\"MEANR\")":39.0,"ENZL^SIZE(FG_CONSTITUENTS)":14,"TRYGB10Y-FDS^FG_YIELD_NAME":"United Kingdom Benchmark Bond - 10 Year","REFEUREFI-FDS^FG_YIELD(NOW,,,0)":4.25,"TRYNL10Y-FDS^PCTCHG(FG_YIELD(0,,,,\"YTM\"),FG_YIELD(-1AM,,,,\"YTM\"))":-1.8821855,"TRYCA10Y-FDS^PCTCHG(FG_YIELD(0,,,,\"YTM\"),FG_YIELD(-1AM,,,,\"YTM\"))":-5.3717556,"TRYUS10Y-FDS^FG_YIELD_NAME":"US Benchmark Bond - 10 Year","DUMMY^ECON_EXPR_DATA('FDS_ECON[NTCPMIMFGSA@EME]',,,M)":null,"EWD^FMA_ROE(NTMA,-20AY,NOW,FY,\"PORTAGG\",\"MEANR\")":[16.2261090864793,17.2247287220762,18.2100106841597,18.8871757625538,13.942889841066,10.3461745032911,15.8182159921786,15.7255547384444,14.800794930169,14.1943515647563,13.790896513923,13.0367586478869,12.3225531542011,13.8549633296522,13.3193557094803,13.4531336298968,11.9734316080377,15.4719420327405,14.7406058144791,15.368050598586],"^FG_YIELD(-10AY,0,Y,,\"YTM\")":[null,null,null,null,null,null,null,null,null,null],"TRYCA10Y-FDS^FG_YIELD(-10AY,0,Y,,\"YTM\")":[1.79,1.39,1.72,2.04,1.96,1.7,0.67,1.42,3.3,3.0987],"TRYDE10Y-FDS^FG_YIELD(-10AY,0,Y,,\"YTM\")":[0.5475,0.636,0.22,0.47,0.239,-0.189,-0.575,-0.181,2.534,2.004],"WL-FDS^MAX(FG_PRICE(0,-5AY))":763.4,"FC0000GB^FG_PRICE(0)":125.9208,"FC0000CA^FG_PRICE(0)":287.57983,"EWD^FG_PRICE_MAVG(0,,,,200)":37.64645,"QQQ^FG_PRICE_MAVG(0,,,,200)":415.66074,"EWG^FG_PRICE_MAVG(0,,,,200)":29.3109,"EWI^FG_COMPANY_NAME":"iShares MSCI Italy ETF","ENZL^FG_COMPANY_NAME":"iShares MSCI New Zealand ETF","FXI^P_PRICE(0)/P_PRICE_HIGH_PR(0,,,,,,\"PRICE\",\"INTRA\",\"52W\")":0.85101503,"EWJ^FG_TOTAL_RETURNC(0,-12AM)":12.77746,"URTH^PERCENT_CHANGE(FMA_EPS(+1,0,,,,\"PORTAGG\",\"MEAN\"),FMA_EPS(+1,-1AM,,,,\"PORTAGG\",\"MEAN\"))":-1.0969415184057,"VGK^FG_TOTAL_RETURNC(0,-1AM)":-2.5761783,"EWD^FG_TOTAL_RETURNC(0,-6AM)":2.8894782,"EWQ^P_PRICE(0)/P_PRICE_LOW_PR(0,,,,,,\"PRICE\",\"INTRA\",\"52W\")-1":0.1224004,"CAGDPY@FR^EE_ACTUAL_ANNUAL(MED,0)":-0.756817157305732,"CAGDPY@AU^EE_ACTUAL_ANNUAL(MED,0)":0.275776825503169,"USDITL^FG_PRICE_CHANGE(0,-1AM)":1.4649034,"USDANG^FG_PRICE_CHANGE(0,-1AM)":0.0,"USDUSD^FG_PRICE_CHANGE(0,-1AM)":0.0,"USDGBP^FG_PRICE_CHANGE(0,-1AM)":1.0798216,"USDJPY^FG_PRICE_CHANGE(0,-1AM)":2.5598526,"USDCAD^FG_PRICE_CHANGE(0,-1AM)":0.35202503,"USDNZD^FG_PRICE_CHANGE(0,-1AM)":1.0092735,"ENZL^FMA_EPS(NTMA,-20AY,0,CY,,\"PORTAGG\",\"MEANR\")":[null,null,null,null,null,null,2.40890596176463,2.24117429803946,2.40285148565594,2.31210808961864,2.19492193820354,2.04943671601749,2.14962845087329,2.26706810161072,2.29721148308571,2.24732564412744,1.98522618259249,1.82093688879477,2.11037846476333,2.11106621771878],"EWI^FG_TOTAL_RETURNC(-10AY,0,AM)":[0.64918995,-3.0442297,-5.4502306,-1.0025024,-5.886078,0.06724596,-4.854065,-3.7695646,9.977829,0.13440847,3.4228206,1.8818974,2.2803068,-2.0278811,-3.8809836,-6.5948844,7.9250693,-4.072094,-1.791811,-15.422887,-4.873949,7.508838,4.0262938,-3.2385468,-12.683159,5.480778,2.0054579,-1.8766761,3.0965447,-7.9063535,15.58919,2.0519376,-2.9544592,9.556031,2.084136,7.14556,1.4608026,4.67422,3.044653,2.1011233,-1.5755594,0.8820653,-0.099527836,12.255537,-7.9268274,0.7568598,5.539906,-9.223014,-4.116237,2.872157,-5.413687,-0.43196678,-9.8698435,2.6875257,-4.577279,7.2968364,4.9072623,1.6206264,1.232326,-4.9051228,7.3370337,0.6533623,-4.3274403,3.0531406,4.8280954,1.7445922,2.2847295,-0.27008653,-7.7860594,-23.861969,-0.048214197,7.959473,6.735122,8.41794,1.4436245,-5.576926,-6.761712,27.304506,2.6943803,-2.5943398,3.493607,5.080211,2.7035594,3.778255,-1.2575924,-0.948292,1.7294526,-2.914387,5.284548,-6.0588064,5.528319,-2.9474318,-5.29117,-3.3388436,-5.3009567,4.6226025,-12.086779,-2.913797,-2.8761983,-5.6652365,10.41857,11.907697,-0.028580427,12.149536,0.033330917,-1.1329591,6.707108,-3.7586868,4.8074365,6.9939017,-4.5877037,-4.556876,-4.2476177,12.861073,4.655504,-1.3561308,6.485367,5.865848,-1.2725353,4.296446,-5.4123697],"EWN^FMA_DIV_YLD(NTMA,-10AY,0,AM,\"PORTAGG\",\"MEANR\")":[2.85559188977059,2.9333147308296,2.99239945293699,3.00692373312957,3.18073719744831,3.01764484263218,3.06613499294765,2.9132130305838,2.71372282178949,2.70236145819363,2.66701093644489,2.77303444113385,2.83154020248197,2.91488070264759,3.39730929229893,3.64112380215782,3.25536144541342,3.10197971102992,3.29558352861622,3.32164085642916,3.38990219841549,3.3177084735624,3.28432491202584,3.25821120153716,3.48496862323098,3.21315017240436,3.13844750914302,3.14749653220455,3.11284710232072,3.13568527397787,2.95447665290583,2.95485150127102,2.86927841261977,2.77988219475308,2.73730496310731,2.72590854398477,2.77005418402983,2.76606719988563,2.8509020993489,2.80908398191909,2.7456784637202,2.81581828541524,2.84340405721775,2.77665802260765,2.93299424388678,3.00004532786415,2.93298881130635,2.88086523098899,2.97321527157434,2.84594917176049,2.89357906128988,3.01457564624423,3.26781195888478,3.22242287193273,3.49314416410446,3.30538223782852,3.12172646058908,3.08817898271736,2.9731074703266,3.11518218402919,3.00769132725033,2.88271115152012,3.00108232849327,2.75516504851131,2.72862019127629,2.64261937617804,2.57386219012914,2.64283657689247,2.87032197535569,3.40646050637911,2.71991556145998,2.46200147208993,2.39351188293154,2.33410641229993,2.3054843949615,2.35348347356427,2.40349491588261,2.15235241634423,2.01057233752912,1.99663796701948,2.00890154501115,1.96464460993529,1.91941201195055,2.00382871388999,1.99198842904144,1.95928286181643,1.83017579400906,1.94424189974657,1.90245697522397,1.96408127467891,1.92754063658601,2.22872037765147,2.3362342781575,2.25308256820242,2.3938328443916,2.52813053355561,3.39366244221195,3.0822551449029,3.65377868406087,3.05431675494306,2.93802522270526,2.66779816567375,2.81518218521266,2.52918838411431,2.67094595739118,2.74651693825077,2.68570320957914,2.63115429164613,2.72407946562718,2.6189842810053,2.88070216884162,3.07691888794276,3.11887852164135,2.8186618373774,2.67719669234165,2.58088213735721,2.48466498744342,2.51934391403883,2.57091523369297,2.46529936725711,2.49639276686077],"SPY^FMA_PE(NTMA,-10AY,0,AM,\"PORTAGG\",\"MEANR\")":[15.3620119206919,15.2777456846935,15.3147791733683,15.0996256442277,15.2298156856194,15.8455797276342,16.2067799251663,16.0426938347458,16.9007316344402,16.4871616525574,16.8039443223265,16.6548356206206,16.4037494531471,16.3334875439225,15.4793400021232,14.6509569055214,16.3678090376146,16.3453959893433,16.0681780258511,15.1165930381123,15.5099438140132,15.5167363536305,16.5004635460184,16.6302500091477,16.0044433286824,16.9260089390796,16.7898861437351,16.6869900264486,16.2198885352384,16.7134458665167,16.903087763392,17.1831954500388,17.6584703048047,17.4956678268454,17.4451564315849,17.5333988469441,17.5525575827646,17.6595847875922,17.3234410626692,17.667046883964,18.0047984906939,18.1178333882905,18.245036114521,18.4548114831502,16.8778820674624,16.115482674124,16.2202375877396,16.2864337875311,16.1140399930557,16.5215982660723,16.8013698976228,16.7792914495823,15.1753382120886,15.662264394687,14.2844791781706,15.3641861254762,16.2188096213021,16.3193336851721,16.9022021743168,15.9803064734461,16.733424257917,17.2145266357384,16.3584663945072,16.7218892373367,17.1824798025032,17.7922813978348,18.227378145262,18.3273424867398,16.5763463017686,15.1716266482048,19.8325325389708,21.5575904693814,21.1139260242967,21.8998171433725,22.9593907564053,21.4625482147933,20.3655889469441,21.9177894152854,22.3688398361436,21.7741699001034,21.3859405351436,21.9523869394809,21.9781685032312,21.2541114716447,21.3564705886965,21.1107547617595,21.1741945368406,20.3176326885276,21.1047389968577,20.8352854015569,21.467277868605,19.5832845488313,19.1028318156466,19.687000788278,18.1055680420805,17.4728508262599,15.9530540020575,17.1515885509173,17.1003655260285,15.6881805872521,16.8108038341876,17.127311499039,16.3996895193391,17.9442693848726,17.494295522878,17.4164770011936,18.17380244714,18.1577603674421,18.8192289836483,19.5588609059171,18.5633212937525,17.8886448979181,17.0472682051371,18.6905245947628,19.586478080029,20.0333249049287,20.3888907378367,20.9579180074501,20.1038862107031,20.6017111541718,21.0940854669369],"EWU^FMA_PE(LTMA,-10AY,0,AM,\"PORTAGG\",\"MEANR\")":[14.3476904055075,14.4127443675764,14.2627490341747,13.9623481142743,13.6170235587688,14.0070217222602,13.8644898471586,14.3382241588239,15.1831166741616,15.2523439769646,15.6324154337094,15.7889609436138,15.6923925093541,15.5519418817328,15.1453950613454,14.7433309870007,15.860765286844,15.9742211220741,15.7471989535684,14.9670336694555,15.4662677386287,15.6795641950174,16.0226497008596,16.0587747235594,15.7886264504255,16.636898762043,16.9559030916199,16.9517570160123,16.8184541061946,16.4179257118622,17.09589747555,17.1323924705446,17.3731213198354,17.154540050985,16.8675870270699,16.8136230856051,16.4759250687072,16.3993122723276,16.1075215813025,15.7752405364998,15.6351413269906,15.2706022224601,15.3922323163988,15.6340012196857,13.9107841959167,13.8938960693043,14.0497003335159,14.0316553883031,13.8196633568247,13.8951113267335,13.6980708629214,13.6250788663895,12.6539028754221,12.5957458687338,11.9783817310037,12.1926488759032,12.9344829141285,12.9354645003288,13.0001250357299,12.8505675803097,13.051374320424,13.1404600147309,12.7182661745922,13.1973419010802,13.3317489658726,13.6515337990513,14.2293095880323,13.9900459815579,12.3303979979974,12.2222757799427,13.552982219674,14.6701007143871,15.0645360588096,15.7255977510655,16.5603307165323,16.8241226128079,15.9219154646082,18.6428869009661,19.6370717925479,19.4252586425322,18.808343681971,18.3630477875942,17.7266806275937,17.1742917334659,16.4745812652808,15.5837810667946,14.8130755698662,13.9358871295146,13.6810017938783,12.5323337685648,12.3802735524177,12.5177287789853,12.5497929145834,12.3526536024706,12.0195966728931,11.7889356226987,11.3399814037475,10.9877283063263,10.5408336070185,9.43306071044559,9.55920184573381,9.81575329320155,9.6370709633986,10.1496892327098,10.2542852962988,10.1836330690066,10.4410805323432,10.2670102572405,10.2880170627562,10.6564179813602,10.3426821120384,10.5965801644843,10.2410690822346,10.8009486254906,11.3106048116134,11.3663186587574,11.4234030305992,11.5365399738271,11.6038359264721,11.7171094497798,11.6614111481866],"NI-FDS^MAX(FG_PRICE(0,-5AY))":48241.0,"CPALM-FDS^MAX(FG_PRICE(0,-5AY))":8163.0,"BRENT-FDS^MAX(FG_PRICE(0,-5AY))":140.85,"TIOS-FDS^MAX(FG_PRICE(0,-5AY))":219.77,"DUMMY^ECON_EXPR_DATA('FDS_ECON[PMIDMMANHE]',,,M)":null,"EWN^FMA_ROE(NTMA,-20AY,NOW,FY,\"PORTAGG\",\"MEANR\")":[20.5027022731768,18.4388432839057,17.2963282197402,16.6220124304454,13.9821831035128,13.3304023919735,14.6594809949092,13.0989988533626,12.0023835077373,12.1486145572934,12.2197829564797,12.4442703427853,11.8415876112609,13.007558022755,13.2228677711132,13.0917636337237,9.77856566503728,10.8991459518594,12.0158891532418,12.7459856653411],"TRYSA10Y-FDS^FG_YIELD(-10AY,0,Y,,\"YTM\")":[null,null,null,null,null,null,null,null,null,null],"TRYGB10Y-FDS^FG_YIELD(-10AY,0,Y,,\"YTM\")":[1.8155,2.0248,1.2817,1.2536,1.3339,0.822,0.197,0.966,3.662,3.534],"TRYKR10Y-FDS^FG_YIELD(-10AY,0,Y,,\"YTM\")":[2.6272,2.0852,2.0916,2.4797,1.9804,1.6728,1.7238,2.2417,3.6906,3.1928],"EWQ^FMA_DIV_YLD(NTMA,-10AY,0,AM,\"PORTAGG\",\"MEANR\")":[3.44090799080347,3.52268747184234,3.5456119016497,3.57565333497623,3.79405465011136,3.56431452312046,3.6279729413225,3.36176314481194,3.12865411889008,3.19378604686373,3.18687330144606,3.22068933881431,3.27726834042018,3.34099397600254,3.59015840176273,3.84814729503435,3.4361160682585,3.40791727778393,3.61413505386495,3.85003895637742,3.84812314720219,3.82224788750355,3.6337869153613,3.6820882209492,4.05170221964229,3.74608817699215,3.73095252396423,3.74125361274178,3.70661878784429,3.72289472662035,3.48502551065019,3.47527578284128,3.51220981378499,3.39106797965082,3.26205326860896,3.23198180743746,3.30780974709071,3.3835391734679,3.43216926749566,3.31332956216036,3.24307618743418,3.29879848433149,3.30333929869983,3.20099865215138,3.36432495116874,3.48301097896068,3.31632075908034,3.3072336356364,3.49305620220971,3.36982915012033,3.40095252912343,3.43057471304561,3.79993301081582,3.81032182228079,4.04822311899557,3.86899234788604,3.63806080754626,3.64336592363527,3.47858465226856,3.65715615770081,3.52589895119471,3.49586977148978,3.67547697560856,3.50862384277518,3.45419994143023,3.36469945973506,3.32075569020494,3.37499090546635,3.72782087677705,4.39591839734673,3.6057526994121,3.28053450395218,3.18345497155422,3.14276083047193,3.11206784043943,3.2703090356009,3.4604192881723,2.86594112571329,2.91695445464321,2.96670863617709,2.88006278485536,2.78257739142418,2.68509406295128,2.66882639191992,2.68349031686802,2.70331472886753,2.75791849640837,2.86695339137405,2.79898801466283,2.88322404376377,2.7327687709311,2.87554980172638,3.08298630312566,3.12879550145153,3.16360634382825,3.19031015269252,3.44924940792143,3.32247785263007,3.42917776421481,3.77774652978431,3.49612863278984,3.29082320407584,3.36706853486524,3.10197589553721,3.15712768282322,3.26623367748628,3.11736703334176,3.25052866940322,3.27047157884833,3.23244609194429,3.33059166012923,3.43685057592572,3.58907671426783,3.36363671084999,3.22771694603953,3.17631855056986,3.12111337935859,3.0531297120642,3.11550624305345,3.13412229627396,3.33988948464241],"EWL^FMA_PE(LTMA,-10AY,0,AM,\"PORTAGG\",\"MEANR\")":[17.1255364192644,17.2370581344769,17.3162319225498,17.2698775866963,17.0641615522577,17.86211683113,17.3627595471822,16.5583273480514,17.9927049686476,18.0057057591524,18.1676722768929,18.1821671365354,17.8976156300915,18.0982661675534,17.371847139995,16.7649993478922,17.8102104844999,17.6137578222839,17.3935208048145,16.5494606385118,16.6073382950339,16.6000234772925,16.8923886544019,17.1775544307544,16.8191376177785,17.4100851925885,17.8529501611658,18.088803378154,17.6943701688787,17.4120952434169,18.2078939651457,18.5772824353765,19.6747100975888,19.4984008422965,19.4973317145334,19.5386254545056,19.4875462313174,19.2997632097881,19.0885695638908,19.3618901336433,20.13607810303,20.4532793036296,20.7677823424859,22.2579310036866,21.2302793261804,20.7411992849604,20.3370620961571,19.9247140924011,19.147670852596,19.3572772057617,18.9030897306829,18.5872699523067,17.492504930415,17.5338817120285,16.2499286151444,17.3873076936444,18.3536329338024,18.248405710456,18.2908046453804,18.1475295578305,18.3689302500905,18.3386740551822,18.1500259788642,18.4172927386057,18.6520067582501,19.10292979348,19.7716261654978,19.9710842750475,18.0103108276406,17.6569427540259,18.6498794382076,19.1726513677578,19.4727075203472,20.1690948364988,20.6185257422787,20.8082020788042,19.8244362905827,21.3947244321635,21.7842472204699,21.5341760774601,20.4823143891709,20.4682490884232,20.1828601488829,20.6227092593136,20.9407574870349,20.8690411647521,21.2304273567212,19.9261891696618,20.7009173390803,20.4141359545974,21.7445151286515,19.8370875217287,18.497536832785,18.557451744809,18.4907738807627,18.2521042374855,17.6228575891195,18.2412347513843,17.9994950947415,16.9424392387942,17.8235640318276,19.7185292332096,20.1621736710781,21.1456451258013,20.6998200244037,20.3464487631687,20.3020936492928,19.9348962068841,19.2285731079152,19.2995228603663,18.7699518650556,18.3614145452163,17.4701798910784,17.8851870942545,18.3544702898259,18.6725129516703,19.161113246565,19.168285254005,18.821903394914,18.8118601023662,18.8026398621155],"WL-FDS^FG_PRICE(0)/MAX(FG_PRICE(0,-1AY))":0.783861671469741,"NI-FDS^FG_PRICE(0)/MAX(FG_PRICE(0,-1AY))":0.758666964884813,"CPALM-FDS^FG_PRICE(0)/MAX(FG_PRICE(0,-1AY))":0.868311858484385,"BRENT-FDS^FG_PRICE(0)/MAX(FG_PRICE(0,-1AY))":0.870614479821537,"TIOS-FDS^FG_PRICE(0)/MAX(FG_PRICE(0,-1AY))":0.738831853496115,"EWD^FG_PRICE_MAVG(0,,,,60)":40.366917,"QQQ^FG_PRICE_MAVG(0,,,,60)":450.10318,"EWG^FG_PRICE_MAVG(0,,,,60)":31.231833,"EWD^FG_COMPANY_NAME":"iShares MSCI Sweden ETF","FXI^FG_TOTAL_RETURNC(0,-6AM)":9.184527,"URTH^FMA_PCT_ABOVE_MAVG(200,0,,,,\"PORTAGG\")":63.1837307152875,"EWD^FG_TOTAL_RETURNC(0,-3AM)":2.3487687,"EWQ^P_PRICE(0)/P_PRICE_HIGH_PR(0,,,,,,\"PRICE\",\"INTRA\",\"52W\")":0.88685447,"EWN^SIZE(FG_CONSTITUENTS)":53,"EWL^FMA_COS_DOWN(\"EPS\",\"1M\",+1,0,,,\"PORTAGG\",\"MEANR\")":17.0,"ENZL^FMA_COS_UP(\"EPS\",\"1M\",+1,0,,,\"PORTAGG\",\"MEANR\")":6.0,"EWN^FMA_RBICS_REV_CURRENT(30, LOC, \"PORTAGG\")":25.3332048466312,"QQQ^FG_ROE(0)":22.5735468148193,"TRYJP10Y-FDS^FG_YIELD_NAME":"Japan Benchmark Bond - 10 Year","CAGDPY@US^EE_ACTUAL_ANNUAL(MED,+1)":-3.1,"CAGDPY@NZ^EE_ACTUAL_ANNUAL(MED,+1)":-5.7,"USDITL^FG_PRICE_CHANGE(0,-1AY)":1.7074943,"USDANG^FG_PRICE_CHANGE(0,-1AY)":0.0,"USDUSD^FG_PRICE_CHANGE(0,-1AY)":0.0,"USDGBP^FG_PRICE_CHANGE(0,-1AY)":-0.2333641,"USDJPY^FG_PRICE_CHANGE(0,-1AY)":11.287141,"USDCAD^FG_PRICE_CHANGE(0,-1AY)":3.1588078,"USDNZD^FG_PRICE_CHANGE(0,-1AY)":-0.2297461,"EWA^JULIAN(FMA_EPS(NTMA,-20AY,0,CY,,\"PORTAGG\",\"MEANR\").DATES)":[38352,38716,39080,39447,39813,40178,40543,40907,41274,41639,42004,42369,42734,43098,43465,43830,44196,44561,44925,45289],"EWD^FG_TOTAL_RETURNC(-10AY,0,AM)":[-2.0084977,-0.22727847,-3.0751646,-3.2608688,-1.5791059,3.4557223,-3.4717023,-1.1515737,9.319901,-3.1682074,2.647233,0.3477335,-1.0252595,-4.0471134,-4.0289583,-8.232206,8.041453,-0.89315176,-1.0137022,-8.673638,1.8107891,3.7386537,6.578028,-2.462244,-7.937956,5.625248,3.0226588,1.2224913,-4.1752872,-1.2963653,3.9214015,6.1446667,0.2646327,4.289019,4.7453284,2.9598236,1.7911673,0.91364384,0.5549073,3.3691525,0.0,-2.1354258,-1.4638841,7.44555,-7.0939484,-3.3018827,2.0121932,-0.2988577,-5.7246804,6.4891815,0.093746185,2.4664402,-12.827539,2.411735,-4.994476,5.427754,2.8298616,0.19893646,6.915951,-8.077997,7.1628213,-2.7237356,-7.766664,6.360686,7.7132225,0.7570982,5.850184,-2.8751075,-6.321311,-18.926924,10.475027,10.584343,2.8147817,12.094677,4.1365385,-1.9722223,-3.797108,17.466867,1.0010242,3.5017489999999998,1.5466452,7.5202227,5.422759,1.7635942,-2.0625472,4.2681575,-0.37212968,-6.391364,7.337618,-7.9512596,7.671201,-11.383284,-8.270675,2.8820753,-6.8619847,0.8553982,-12.870413,6.720507,-7.9927325,-9.27937,9.466815,9.112,-1.5356302,10.018611,-0.42289495,-4.3601394,10.153937,-6.04676,-0.5720854,2.8768659,-7.270688,-0.8443892,-6.3260374,17.662346,12.394023,-6.2138376,5.8208227,1.2927771,-2.202195,7.1136117,-2.2967875],"QQQ^FMA_PE(NTMA,-10AY,0,AM,\"PORTAGG\",\"MEANR\")":[17.4271803958638,17.5620708437782,17.8285240633594,17.4832505886197,17.4573933373663,18.3086652065781,17.958339907237,16.811354372378,18.0987091619455,17.6059471023599,18.2313617506728,18.1305377509047,17.8320799132451,18.3707486218743,17.5018453826991,16.4661681596843,18.6339316093328,18.7137447256753,18.4502415167865,16.9408076828584,17.0070253303169,17.5544551278449,17.5605252249485,18.0088908096734,17.1183092934264,18.6541624178674,18.5830552838314,18.6846576624765,18.179631471741,18.2248643856533,18.2920330198058,19.3264981523412,20.0414707039038,20.0679073043341,20.3610006572493,20.9496030825611,20.4878718598744,20.7942796579655,20.2101293569955,20.2203405517916,20.7484258693142,21.1020756648671,20.9500434620772,22.1227892939184,20.7809153180452,19.420287002416,19.496332881483,20.0789911940664,20.0660350693844,20.4605850933668,20.9248347140596,20.8792510819679,18.5113702674783,18.7319258819136,17.1033334043296,18.4224088615026,19.6719211421104,20.1693726510221,21.4071283731247,19.7683611790171,20.8118707355088,21.5314584509037,20.1948913528691,20.2764991444722,21.1792421788701,22.1225216618421,22.8643638243043,23.3487998659509,21.3634002551656,19.9634009432814,24.1427861530808,26.9787751559122,27.5830899963908,28.6550301420038,31.2978925523577,29.0914702792064,27.9046564223428,29.6785103816682,30.0452782538016,29.5694033911208,27.8476226580619,27.7774013556308,28.6940959316861,26.96006760419,28.3054473909607,28.3301461265243,28.4368664013987,26.9515492950265,28.6048403711645,28.8558290214199,29.4804663998334,25.3824193330765,24.7940749699699,25.9057710860222,23.1653845772526,21.9131373563549,20.0147607879352,22.3851086022708,22.4622741277032,20.3645586806711,21.3641207465486,21.531469410165,20.3851810446972,23.5583325300899,23.0997179705721,23.9342325298896,24.5979455999281,25.7886788949487,26.4191770691698,25.8894637130551,24.0449406224975,23.1651650742786,21.9615320829712,24.3569886625905,25.2104566929403,25.9391300349741,25.9734027994959,26.1894573135549,25.1629826121472,26.2500698495266,26.9530959549853],"EWJ^P_PRICE(0)/P_PRICE_LOW_PR(0,,,,,,\"PRICE\",\"INTRA\",\"52W\")-1":0.19300699,"VGK^PERCENT_CHANGE(FMA_EPS(+1,0,,,,\"PORTAGG\",\"MEAN\"),FMA_EPS(+1,-3AM,,,,\"PORTAGG\",\"MEAN\"))":3.24349920809798,"QQQ^FG_TOTAL_RETURNC(0,-12AM)":32.334282,"EWU^PERCENT_CHANGE(FMA_EPS(+1,0,,,,\"PORTAGG\",\"MEAN\"),FMA_EPS(+1,-1AM,,,,\"PORTAGG\",\"MEAN\"))":-1.1977452345413,"EWJ^FG_TOTAL_RETURNC(0,-1AM)":-0.1452446,"EWC^FG_TOTAL_RETURNC(0,-6AM)":2.0195603,"ENZL^P_PRICE(0)/P_PRICE_LOW_PR(0,,,,,,\"PRICE\",\"INTRA\",\"52W\")-1":0.10796702,"EWJ^FMA_COS_UP(\"EPS\",\"1M\",+1,0,,,\"PORTAGG\",\"MEANR\")":105.0,"EWQ^FMA_ROE(NTMA,-20AY,NOW,FY,\"PORTAGG\",\"MEANR\")":[15.3785109881273,16.6302131420813,15.4089673624266,15.0205314626708,11.8797489821456,10.9934091834566,12.0259375987481,10.8176655066299,10.4079638226552,10.3975296667646,9.87060023176551,9.82548245608185,9.88315391318072,10.4363064842242,11.3283895806005,10.9140096452361,8.94223448408443,12.2539555485596,13.1476341706421,13.2212508616692],"TRYID10Y-FDS^FG_YIELD(-10AY,0,Y,,\"YTM\")":[7.922017,8.942368,7.89735,6.462641,8.148183,7.263584,5.902206,6.458283,6.936579,6.498571],"TRY10Y-FDS^FG_YIELD(-10AY,0,Y,,\"YTM\")":[null,null,null,null,null,null,null,null,null,null],"TRYPL10Y-FDS^FG_YIELD(-10AY,0,Y,,\"YTM\")":[2.5048,2.9303,3.6245,3.292,2.8144,2.1086,1.235,3.6216,6.8411,5.1912],"EWJ^FMA_PE(LTMA,-10AY,0,AM,\"PORTAGG\",\"MEANR\")":[15.2732560155619,15.2961851183302,15.0388786468174,15.4286075255403,14.5952034646291,15.8589010011577,16.1917123386014,15.715664294823,16.9321203067015,16.8725663433186,17.0028097472945,17.2226749517889,16.9564519391573,16.671297480139,16.0226881239397,15.0123193662971,15.7985945062323,16.2670470739019,15.6478952289697,14.2151614502338,13.9581702484063,13.9147502655131,13.8055137135317,14.0067677039624,13.5279216116996,14.002295852338,13.9603365984447,14.2420005238139,14.7716916195493,15.6607786730166,16.477734664664,16.6807875682828,15.9475569637409,15.7967294472504,15.5963855462278,15.643490033175,15.5831472454186,15.42324775254,14.9160641970185,15.0656593724804,15.5211225833806,15.9044439456265,16.3840730703526,16.7916737310796,14.4932574540538,14.2548837887132,14.3063805276655,14.1790860343976,13.9033393239296,13.9870392098219,13.6639756069486,13.9803538867761,12.5601466172745,12.7409304588056,11.5056854632034,12.0294790212843,12.6835180820457,12.6714663882389,12.7783669493114,12.7035798948341,12.8569130440768,13.0178773542043,12.7260933366476,13.501323209726,13.9611179471289,14.790672291721,15.37172446624,15.0764066823579,13.9774595347207,13.8489007305841,14.2532331191907,15.4929090570526,16.9739037482188,17.7756653342717,18.6932055325946,20.2736435427326,20.5288948943601,22.7867985629143,23.2899692233571,23.409847916782,21.6770993626188,21.4281337200162,20.8056540037078,20.3594317914714,19.9017868057596,19.1289240433795,18.3007115165668,18.494670101606,17.5012892327685,16.8716341648696,16.2953964360879,14.9729035588058,14.753576483141,14.6789198330136,14.3710677823238,14.1735912872714,13.9869372750357,13.977985350762,13.9565336969122,13.0784889982305,13.1162986073597,13.6156313287895,12.8804642499641,13.4952020611622,13.6544223947898,13.5943726642691,13.756685204465,14.0471854054301,14.6038899492215,14.659680573186,14.6442041324055,14.8928593245332,14.5037108399096,15.230184920549,15.2612626243209,16.1481322909648,17.0001546424827,17.00755909476,16.7469549713854,16.8130741135423,16.7669028490146],"WL-FDS^FG_PRICE_CHANGE(0,-1AY)":-4.83460559796437,"NI-FDS^FG_PRICE_CHANGE(0,-1AY)":-14.5807101485772,"CPALM-FDS^FG_PRICE_CHANGE(0,-1AY)":5.99840042655293,"BRENT-FDS^FG_PRICE_CHANGE(0,-1AY)":16.8322220710301,"TIOS-FDS^FG_PRICE_CHANGE(0,-1AY)":-5.40852575488454,"EWD^FG_PRICE_MAVG(0,,,,30)":41.204334,"QQQ^FG_PRICE_MAVG(0,,,,30)":466.22568,"EWG^FG_PRICE_MAVG(0,,,,30)":31.414667,"EWN^FG_COMPANY_NAME":"iShares MSCI Netherlands ETF","FXI^FG_TOTAL_RETURNC(0,-3AM)":8.322657,"EWJ^P_PRICE(0)/P_PRICE_HIGH_PR(0,,,,,,\"PRICE\",\"INTRA\",\"52W\")":0.94692284,"VWO^FG_TOTAL_RETURNC(0,-12AM)":11.809158,"VGK^PERCENT_CHANGE(FMA_EPS(+1,0,,,,\"PORTAGG\",\"MEAN\"),FMA_EPS(+1,-1AM,,,,\"PORTAGG\",\"MEAN\"))":4.05347791155184,"EWD^FG_TOTAL_RETURNC(0,-1AM)":-2.2967875,"EWQ^FG_TOTAL_RETURNC(0,-6AM)":-1.2071073,"QQQ^P_PRICE(0)/P_PRICE_LOW_PR(0,,,,,,\"PRICE\",\"INTRA\",\"52W\")-1":0.39947414,"EWU^FMA_PCT_ABOVE_MAVG(200,0,,,,\"PORTAGG\")":60.0,"EWJ^PERCENT_CHANGE(FMA_EPS(+1,0,,,,\"PORTAGG\",\"MEAN\"),FMA_EPS(+1,-3AM,,,,\"PORTAGG\",\"MEAN\"))":-6.39438576682918,"CAGDPY@US^EE_ACTUAL_ANNUAL(MED,0)":-3.31108668288718,"CAGDPY@NZ^EE_ACTUAL_ANNUAL(MED,0)":-6.9,"USDITL^FG_PRICE(0)":1806.6434,"USDANG^FG_PRICE(0)":1.79,"USDUSD^FG_PRICE(0)":1.0,"USDGBP^FG_PRICE(0)":0.79107666,"USDJPY^FG_PRICE(0)":160.86,"USDCAD^FG_PRICE(0)":1.36835,"USDNZD^FG_PRICE(0)":1.641093,"EWI^P_PRICE_RETURNS_PR('52W',2,-10AY,0,AM)":[48.440765,31.607712,22.654486,11.902988,-2.0266056,-0.22152662,-6.7184687,-13.059354,-7.9752026,-11.855668,-11.355198,-8.605719,-7.337493,-6.1510143,-4.593396,-9.982925,3.2270074,-1.7036259,2.141869,-10.227323,-21.930801,-16.632015,-16.145557,-20.105522,-32.01119,-26.800472,-22.212952,-18.393642,-22.044682,-25.160576,-11.915398,4.9610734,8.428764,10.493469,8.430576,19.481743,39.51591,38.44911,39.85957,45.529305,38.68921,52.192627,31.535793,44.272923,37.27392,26.248539,30.374468,10.0389,4.5040607,2.7049303,-5.725515,-8.064437,-16.736746,-14.305204,-18.146223,-21.761972,-10.856366,-10.092157,-14.295459,-9.659708,1.1313915,-0.6439209,0.08649826,-0.16402006,20.482613,21.463943,27.327358,18.936586,4.545784,-22.178047,-22.661167,-12.198633,-11.955953,-5.955821,-0.28297305,-8.633667,-18.735146,1.6799212,2.087152,-0.29203892,9.492564,48.293137,58.694195,52.548027,41.12468,28.932905,30.856407,32.94208,50.11802,11.004424,13.832819,13.420189,3.7928224,-4.5230985,-11.96438,-11.168587,-20.98162,-22.549599,-25.193083,-28.151196,-24.647617,-10.236281,-14.963049,-1.5193403,3.789258,6.1578155,19.618881,10.455645,31.181824,44.569004,42.02143,43.690075,25.64001,25.666164,31.55415,15.982306,23.174942,31.894516,23.395466,32.245018,19.349766],"EWN^FG_TOTAL_RETURNC(-10AY,0,AM)":[0.64907074,-3.7204742,0.59292316,-1.5040696,-2.3937285,5.3277016,-1.6720116,-2.9496074,8.020258,-0.50801635,4.281223,1.2052774,0.8767009,-1.6050756,-7.283765,-6.546646,9.785461,-0.7776737,-2.2158027,-5.4590583,-0.56868196,6.9951653,2.014804,0.84643364,-9.988064,7.477474,3.3109784,1.2575984,-1.883012,-4.328293,3.320384,4.016745,2.37329,6.1689615,3.9230227,4.914522,0.40133,4.825461,-0.1958847,1.6355872,1.2552261,0.79466105,0.59764385,7.3140025,-6.5511227,-0.047153234,1.7141104,-1.3296247,-3.7878156,5.0314426,-0.75638294,-4.128295,-9.274596,4.8923016,-8.646738,7.350695,5.7061315,-0.03373623,4.9949408,-3.375125,5.1196218,2.2697806,-4.6607494,3.4585953,2.9251099,2.1548986,3.8489342,-1.9509435,-8.230323,-15.76873,9.243369,8.532667,7.119751,7.5378537,3.045094,-2.955109,-1.9247413,15.289986,5.7052374,3.9064407,2.1582723,5.270326,5.826497,0.9380102,-0.8629322,1.7641068,5.9060693,-4.4156847,4.639578,-5.994284,1.814878,-10.037917,-4.991126,-0.37357807,-8.600884,0.69230795,-8.5457325,6.036675,-6.8103256,-10.904938,6.312084,14.466548,-2.001816,14.733707,-3.8642764,-0.88235736,4.6488643,1.6304374,0.72067976,5.0653577,-8.75361,-8.205503,-2.5331616,14.382911,7.011175,2.9121876,3.352201,4.212296,-2.1624923,7.3125362,-2.2201061],"SPY^FMA_DIV_YLD(NTMA,-10AY,0,AM,\"PORTAGG\",\"MEANR\")":[2.09616261797429,2.09679683887117,2.09288288737331,2.12250204907716,2.13745259334701,2.07002631581591,2.06843741436269,2.18160459204693,2.09873762013911,2.19605947647737,2.14151704010202,2.1474633446557,2.17301212413257,2.19923048823181,2.32980610957663,2.47551279928342,2.23623020683139,2.26973449566627,2.29970238559253,2.51242647285341,2.45182025901469,2.47519773454617,2.29179874134034,2.26932855728746,2.35135019466144,2.21579780309139,2.22173968410025,2.21690703255046,2.27525181909795,2.21149766462339,2.17715958897896,2.15083471997405,2.10455079975663,2.11654440530261,2.10879459552998,2.0939789692741,2.08668264186575,2.0833066114422,2.11931212912579,2.06805920636476,2.02373699685138,1.9860746408279,1.95122174585902,1.84898557050246,1.98433360458719,2.08453509421225,2.05587288441969,2.03316253960472,2.0536921419518,2.00019565306877,1.95789644153684,1.95598188865906,2.16452284016852,2.09479993062665,2.33784327559332,2.20887892763971,2.10759963480262,2.09920786066891,2.02766781883059,2.13831798582438,2.04816008865621,2.00179795781519,2.10682905412284,2.06091678882783,2.02373113347008,1.96738312519604,1.92659429082904,1.91882663543346,2.14572950235156,2.47778136302994,2.13993883393737,1.99468375813004,1.99332583885325,1.84607075748446,1.69965822951804,1.77884493703779,1.82953473394895,1.64990023990683,1.58560974335372,1.57272270607381,1.57925339428522,1.52023547252381,1.45854592163576,1.45861702641558,1.44336777142337,1.42518671736282,1.40218617487049,1.45653831234983,1.39565780818524,1.40079731914144,1.34866841936388,1.4757363215327,1.51096902067065,1.44036530893996,1.54222331998013,1.59571010648572,1.75470976062928,1.65530307642458,1.6808590489803,1.84110221584017,1.77070889886799,1.74948437201515,1.83523687132007,1.71547665497975,1.76861393148077,1.77332381521735,1.69249471079009,1.68529155025753,1.62272109461464,1.55892674404757,1.62062955710557,1.68396696509742,1.76478752659449,1.60232816826,1.53882979077885,1.5124502275018,1.4788643654365,1.42705400807704,1.4846160631513,1.44357722402793,1.40175999121007],"EWU^FMA_PE(NTMA,-10AY,0,AM,\"PORTAGG\",\"MEANR\")":[13.6060499107967,13.7012718108646,13.509124252747,13.1154853356456,12.9309815100391,13.5634694393154,13.8539601253447,15.1400845919468,15.7673388929755,15.5444133060368,16.2474818260781,16.1327737062824,15.5215753531369,15.0800423215756,14.3473149702538,13.9953689735731,15.373236758085,15.4114620864583,15.3009302111067,15.1749053163545,15.5831509287384,15.9154668014441,16.4400632657574,16.0303554522739,15.1073058149085,16.0843952506222,16.127938229516,15.6052012472971,14.9845031846469,14.2577616826239,14.3252451373352,14.3254374262404,14.3874260448601,14.4569844497295,14.3108472927418,14.7786969487001,14.5046939726998,14.7127350565832,14.5630859535617,14.4564845846064,14.490782578503,14.3047893034294,14.6200229675334,14.6387740817537,13.116669102772,13.2337698897246,13.8111767484273,13.7359389527835,13.2311073181351,13.2538713603503,12.9027840177377,12.7726243200956,11.5781202997867,11.7394929801213,11.4061714361872,11.7772538177348,12.3996300525624,12.4851157516733,12.6611740084252,12.2052430056584,12.587925071526,12.6408697076779,11.891111988874,12.4869752746618,12.66220815534,13.1141800806023,13.5903505889699,13.2472348286091,11.8680038855101,11.3526142832942,14.8314860720547,16.1436799749623,15.8076456505569,15.7017417074386,15.335029835533,14.5235903331533,13.1183934414986,14.6359822290463,14.4442344170005,13.9445339930213,13.7601498222767,13.6360097869677,13.3032487987073,13.1852922087574,12.7969057529553,12.3018527182608,12.1586100627239,11.8054140894632,12.2472338100218,11.6061237458364,12.1608793069177,12.1739906327401,11.9513201635206,11.3447872360482,10.6850860072099,10.5375737626959,9.96369962538384,9.807477301186,9.56632661980907,8.46069238226658,8.99902759767491,9.72486187464425,9.89028286759276,10.5585204946028,10.5158700643212,10.063177479152,10.83191178982,10.236786674451,10.249336323992,10.7778646738848,10.1610437936525,10.4184758408587,9.92114613595752,10.4843512680928,10.9659703246106,11.0939412923279,11.1296865740317,11.5418551152803,11.5914405774216,11.6828989895422,11.4267743223151],"SPY^FMA_ROE(NTMA,-20AY,NOW,FY,\"PORTAGG\",\"MEANR\")":[15.5861790200459,16.7322038566819,17.3873562088184,17.7935626477889,13.9384597707689,14.004346429543,15.0399433453936,15.5262408812809,15.3796547722071,15.8702437846916,15.8106739007597,15.8580313128215,16.0499124928518,16.907948658911,18.8923615036562,18.2929292638683,17.2298191446197,20.6862902761839,20.5983105915674,20.3505037769611],"TRYAE10Y-FDS^FG_YIELD(-10AY,0,Y,,\"YTM\")":[null,null,null,null,null,null,null,null,null,null],"TRYJP10Y-FDS^FG_YIELD(-10AY,0,Y,,\"YTM\")":[0.3138,0.2604,0.0315,0.0465,-0.0051,-0.0208,0.0201,0.0672,0.4224,0.6127],"TRYZA10Y-FDS^FG_YIELD(-10AY,0,Y,,\"YTM\")":[7.9537,9.7513,8.9047,8.58389,9.37766,9.011772,9.179499,9.791837,10.764477,11.358896],"EWQ^FG_TOTAL_RETURNC(-10AY,0,AM)":[-0.6603241,-3.969884,-1.7462552,-2.974248,-5.2710295,3.8279414,-2.5628388,-2.6761115,7.157302,-0.3018856,3.7471652,0.036478043,0.57923794,-2.2492647,-5.469638,-6.1452446,10.119045,-2.9343665,-2.2141516,-6.345886,-0.7846594,4.305792,4.717779,-0.44248104,-8.653498,7.9401135,0.33627748,1.5081644,-0.70161223,-3.823775,5.3470254,3.4993768,-0.91487765,6.543565,5.5764914,4.8179865,1.4518142,0.71696043,0.88136196,2.7217746,2.0608425,0.70512295,-0.17488003,7.8669667,-6.225914,-1.4859319,5.1989675,-1.5558243,-4.491252,4.405427,0.6345153,-1.0403514,-10.640329,0.89126825,-6.56876,4.7492385,6.4562917,-0.40886402,4.481697,-4.0929914,7.237923,-0.717777,-4.6993136,3.2068968,3.7754774,2.4146795,2.9222608,-2.5099397,-9.167975,-18.285519,2.030468,7.3797584,4.7727585,5.9347153,3.6064506,-5.4072323,-5.2518725,25.0,1.7076015,-1.5201151,2.5120974,2.863896,7.7497125,3.8359046,-0.7247567,-0.28743148,0.9433985,-2.2845328,4.7821403,-4.386407,5.845821,-3.578782,-5.6608796,-0.5377948,-4.809332,3.2884836,-9.118265,2.7541041,-4.3714104,-9.309303,11.074316,8.943356,0.42171478,11.972046,-0.89551806,-0.054764748,8.410954,-4.068738,2.1817803,3.2946706,-3.8019836,-5.782497,-4.954958,11.34479,4.774821,-0.30667782,3.2812119,2.7798414,-1.7870128,2.8276443,-7.5617847],"QQQ^FMA_DIV_YLD(NTMA,-10AY,0,AM,\"PORTAGG\",\"MEANR\")":[1.28128959443663,1.24054937625902,1.21724547267175,1.23977901612741,1.23971234839172,1.18921478067016,1.20604910691553,1.24300413773657,1.21346631716943,1.27610806340731,1.23497721955019,1.23091209030883,1.25071044263818,1.26228016276429,1.34500334206083,1.42610091826391,1.26109033345803,1.27662096760661,1.28941228946054,1.38823536762974,1.40380815075737,1.35845560292592,1.38385909675178,1.34470187579383,1.40292649372153,1.29320314780803,1.28464100681007,1.25959814136851,1.28668803878597,1.28318788827955,1.28471864077028,1.23257209950237,1.22415700323872,1.21122300873812,1.18832593916955,1.15696651354697,1.17710622366435,1.16856157352267,1.18819222495291,1.17166408862046,1.1226420873206,1.09358500219,1.09302971109426,1.01808631419683,1.06479442796328,1.14245400300165,1.11922655516481,1.08412595675409,1.07704734825587,1.09273382555311,1.05944799092853,1.06020338050617,1.20064949466148,1.19559810742373,1.32896766213063,1.25604985524865,1.17801506593521,1.14767251659052,1.08623572906665,1.17259312215165,1.11413385363496,1.07165789923017,1.1327933988275,1.12381384825336,1.07889105958566,1.06605796326469,1.04232624017485,1.01061297562771,1.09357289976814,1.22247489120156,1.06381764441983,0.964475002793268,0.921414736735622,0.864063980355042,0.759755646961162,0.804673231855912,0.831178508297042,0.756676539165731,0.765801181985388,0.749270598863262,0.774742301916073,0.773395992972068,0.728394224101542,0.740744187193668,0.705310063574613,0.700227198980006,0.685325532876338,0.722032375084015,0.681587979080571,0.675630534048657,0.66093564983076,0.761252641823922,0.787356254163346,0.750790545373402,0.841258340332666,0.89836138754749,0.986133041012468,0.908875045228607,0.921014699633018,1.01944862807788,1.02322449648025,1.02455062691617,1.06354291097833,0.943828019785904,0.962017703222425,0.922990574034429,0.863925211448886,0.80368323608476,0.773612456032372,0.856345287511477,0.898843235094638,0.945360297241089,0.987182938311621,0.88707048183007,0.915112235285198,0.88666421658736,0.891021356434101,0.882477736055517,0.91942473307484,0.880463567584612,0.843249398021748],"EWL^FMA_PE(NTMA,-10AY,0,AM,\"PORTAGG\",\"MEANR\")":[16.0820424960855,16.051431485421,16.0709531400096,15.9554300229029,15.6546200678793,16.3738988714137,15.8332272247873,16.1924864927226,17.6281338147808,17.627552240632,18.0174468833786,17.9070474655328,17.189865905726,17.4893427994346,16.4956290184996,15.7031052939675,16.9798118711632,16.9893104258978,16.8676268623076,15.9260799884103,16.3224517288575,16.2791578180773,16.9400579886195,17.2976131951892,16.188097506976,17.0088666711767,17.3150831259374,17.2410826711804,16.6051569296645,16.2103781444092,16.777305558352,17.2085932255089,17.5438016459009,17.3982610375647,17.8214731202023,18.0706202636987,18.011001703631,17.7365683346339,17.4190134224734,17.6632706709695,17.8056902577492,17.7500006637315,17.7218070005188,17.920254159191,16.5582122766861,16.0968316525865,16.1471310380195,16.007548754669,15.3151869684878,16.358453265246,16.141821580929,16.0676655498757,15.1076594589004,15.4449828195498,14.5150176052196,15.3806929991974,16.3380739480788,16.453381968332,16.9095820087618,16.6917798232731,17.1768867870763,17.0998394595519,16.7726833906405,17.1095214315649,17.2683152168207,17.6017802548495,17.9720331604032,18.0370405479156,16.481213972625,15.3945458553283,18.5744256372713,19.152013727514,19.2339199768474,19.7212842483321,19.4802405765169,19.0914962505562,17.6501720677374,18.8436571141205,18.6877888125708,18.8424893937143,18.2374865926649,18.7972947379431,18.4016819405313,19.3911816465349,19.8979658632104,19.6315619450287,19.9537018354844,18.1261228345508,19.047274033074,18.689155144724,19.900177895757,18.0274270613335,18.0709321099099,18.2428265038913,17.8258510590757,17.1169805057366,15.8014426252828,16.7850554509246,16.2860181061379,14.9174418926636,15.7281862207067,16.814831411744,16.3349129501661,17.3376477123223,17.041634285392,16.7074452597577,17.540422422225,17.2005575242223,16.32997670489,16.9997936395707,16.4710454404707,16.1027076484787,15.2777892438395,16.1680366484479,16.7818627737223,17.2436053004809,17.4307038890642,17.6983916889106,16.7970479801535,17.0901562163003,17.1592352790359],"EWG^FMA_PE(LTMA,-10AY,0,AM,\"PORTAGG\",\"MEANR\")":[14.5967275707366,14.3352565519638,14.1502404912362,14.0645982560273,13.4806375085185,14.5040611433695,14.4741141790598,15.5496760305263,16.4876845059821,16.5071546374315,16.3735232700032,16.0584722719997,15.7754827832166,15.3316115376727,14.4727773031348,13.5001959049359,14.5328134109938,14.9352418338507,13.9035266323691,12.651904523282,12.6511839848056,12.7375432947509,13.0014420454784,12.9581233750893,12.4986757007082,13.0567522257484,13.3854191212356,13.533819350139,13.8066915068456,13.6441520271433,14.7785043669093,15.1569157937766,14.9651402877224,14.9435330667801,14.9052500055754,14.7811984215352,14.6595688704322,14.3072250456737,14.1239020384284,14.5140870723633,15.1591843759979,15.2822006969704,15.3571861935549,15.5625769581742,14.2561362408636,14.0591021250198,14.1565295055017,14.1462469085437,13.8235806117347,14.223454063265,14.1229086470462,13.90480165962,13.0385689251633,12.9458030947829,12.0319922841516,12.9064115293175,13.2194048887983,13.1498961121251,13.4034774668338,13.1891223738597,13.4330279335727,13.6674042358793,13.4218182489643,14.0483642067835,14.7890644786817,15.2800951502587,15.5547283472162,15.4520328279102,14.0375587989804,13.7381109609629,14.8318111196601,16.2792705585354,17.3067140004735,18.9004571302143,19.977484048461,20.4857314856232,18.5968624987479,21.7792673195934,22.0803923775381,21.1309128225935,20.2950863016861,20.0596312313536,19.5002689884188,18.8793861133493,18.3873594059265,17.636532367424,16.9936260460474,15.9606021406125,15.7308513195936,14.326653939516,14.282450132765,13.4795741608987,12.5328882361799,12.4509198602289,12.2566687573895,12.1318582997624,11.5785475600837,11.4416208338797,10.7798534425797,10.1771837089636,10.509548552705,11.0655705118181,10.4477842887676,11.4600910640014,11.3463293345368,11.2954359387968,11.4300404391818,11.2915354973394,11.2356134075664,11.4462046246636,11.1780875406008,11.012607834269,10.6118195575951,11.4461114387727,11.9222185841201,12.0961878972339,12.465932640467,12.6076054798641,12.5418628268524,12.5594076704617,12.439191109751],"WL-FDS^FG_PRICE_CHANGE(0,-6AM)":-3.8560411311054,"CPALM-FDS^FG_PRICE_CHANGE(0,-6AM)":8.72299699207,"BRENT-FDS^FG_PRICE_CHANGE(0,-6AM)":0.0,"TIOS-FDS^FG_PRICE_CHANGE(0,-6AM)":-21.7758519388954,"EWD^FG_PRICE(0)":40.25,"QQQ^FG_PRICE(0)":479.11,"EWG^FG_PRICE(0)":30.62,"EWQ^FG_COMPANY_NAME":"iShares MSCI France ETF","CC_US^FG_COMPANY_NAME":"United States","USDITL^FG_COMPANY_NAME":"Italian Lira per U.S. Dollar","USDANG^FG_COMPANY_NAME":"Netherlands Antilles Guilder per U.S. Dollar","USDUSD^FG_COMPANY_NAME":"U.S. Dollar per U.S. Dollar","USDGBP^FG_COMPANY_NAME":"British Pounds per U.S. Dollar","USDJPY^FG_COMPANY_NAME":"Japanese Yen per U.S. Dollar","USDCAD^FG_COMPANY_NAME":"Canadian Dollar per U.S. Dollar","USDNZD^FG_COMPANY_NAME":"New Zealand Dollar per U.S. Dollar","EWD^P_PRICE_RETURNS_PR('52W',2,-10AY,0,AM)":[21.483875,9.26181,7.8461766,-1.6021252,-4.206485,0.86021423,-5.1761627,-6.6403985,-0.61775446,-2.9622078,-0.97266436,-2.8873682,-1.4931619,-5.668253,-6.5965295,-11.396444,-2.7355134,-7.75947,-4.4515133,-11.722458,-16.779482,-11.921996,-8.549118,-10.385376,-17.318314,-8.983737,-0.067442656,7.7700973,-4.4159594,-4.8048315,-0.058746338,14.757895,14.393353,15.0002365,13.02272,18.985199,31.913816,26.029575,23.01072,25.619434,31.282055,29.978561,23.242987,23.97425,15.597582,7.1835637,4.4814587,0.9349108,-6.3806114,-0.5984247,-1.6611516,-2.5199413,-14.568156,-11.075937,-14.262128,-15.872264,-6.8861127,-3.5150528,1.39575,-6.767064,5.9779406,-3.4020603,-10.793233,-8.60042,14.416051,14.641178,26.462292,15.539705,5.2574396,-15.198785,-11.998934,5.867362,2.0018458,17.044662,32.149887,21.796524,8.781242,26.821745,21.01184,28.957045,35.03207,78.92337,76.91049,62.79924,55.076374,44.248844,38.89084,31.782223,47.03498,15.103304,22.827864,5.163443,-5.0035295,-9.10145,-19.693697,-20.37754,-29.193497,-27.528154,-32.185013,-35.136436,-33.84978,-21.587383,-28.29234,-10.211963,-3.3576787,-10.160655,6.2526107,0.99829435,12.952256,8.884168,9.73866,19.94189,4.4020414,10.680795,26.338696,7.305062,14.451289,21.216059,10.989618,22.693657,20.565392],"NI-FDS^FG_PRICE_CHANGE(0,-6AM)":3.38311490399268,"QQQ^FMA_ROE(NTMA,-20AY,NOW,FY,\"PORTAGG\",\"MEANR\")":[14.817843581598,15.4866947775921,16.8339704998129,17.9560593685279,16.5654843697708,17.5965741262714,20.0003742371644,20.9591568938239,20.7921963775154,20.047298915306,22.0568276514703,21.8504635786249,21.1146076459691,22.0784263508941,26.4902293367872,25.0117291519213,24.534442850509,26.6372021642568,24.0483215676458,25.3199155980355],"TRYMY10Y-FDS^FG_YIELD(-10AY,0,Y,,\"YTM\")":[4.131911,4.345605,4.195897,3.902544,4.235642,3.300551,2.804181,3.573893,4.131847,3.727505],"TRYAU10Y-FDS^FG_YIELD(-10AY,0,Y,,\"YTM\")":[2.81,2.88,2.76,2.63,2.315,1.375,0.972,1.671,4.051,3.955],"USDSEK^STD(FG_PRICE_CHANGE(0,-3AY,M))":2.95544950769152,"EWU^FMA_ROE(NTMA,-20AY,NOW,FY,\"PORTAGG\",\"MEANR\")":[17.0013743335587,17.4840740170497,19.4425742504053,18.9225481633064,14.9735451636047,14.6457818658238,16.1542964974398,15.1996078376158,14.4781479669762,13.3640315886099,12.2326503305714,11.1900784012713,12.1967915012023,12.7329318595365,13.1887832891224,12.8710545059328,11.2050609778507,13.9227699516468,15.8587443966116,14.7207288829901],"TRYMX10Y-FDS^FG_YIELD(-10AY,0,Y,,\"YTM\")":[5.8237,6.2537,7.5651,7.6401,8.7069,6.8373,5.552,7.558,9.0223,8.95],"TRYPE10Y-FDS^FG_YIELD(-10AY,0,Y,,\"YTM\")":[5.681629,7.426917,6.415413,5.167133,5.645114,4.243226,3.535983,5.889906,7.923381,6.6087],"CAGDPY@GB^EE_ACTUAL_ANNUAL(MED,+1)":-2.75,"CC_GB^FG_COMPANY_NAME":"United Kingdom","USDSEK^STD(FG_PRICE_CHANGE(0,-1AY,AM))":3.52574979299548,"USDCHF^STD(FG_PRICE_CHANGE(0,-1AY,AM))":2.6637609358769,"USDUSD^STD(FG_PRICE_CHANGE(0,-1AY,AM))":0.0,"USDEUR^STD(FG_PRICE_CHANGE(0,-1AY,AM))":1.84751147829851,"USDAUD^STD(FG_PRICE_CHANGE(0,-1AY,AM))":2.43803903239521,"EWD^FMA_EPS(NTMA,-20AY,0,CY,,\"PORTAGG\",\"MEANR\")":[1.55275820794805,1.54581744522321,2.18886161040082,2.54439610565031,1.55027933568846,1.36361799599867,2.27207932583515,2.18253517023992,2.32063293486455,2.31545066006368,2.02872425818202,1.94857888922314,1.75138174890933,2.10390186893761,2.115438961001,2.04039298067199,2.20793118453467,2.4827867979632,2.558848337072,2.51009258677616],"EWQ^P_PRICE_RETURNS_PR('52W',2,-10AY,0,AM)":[27.40166,12.800085,11.66197,1.2621164,-7.3253813,-3.2256424,-6.560552,-7.6097727,-5.814022,-6.195468,-5.1967916,-5.9517264,-4.712981,-3.072065,-6.745201,-9.7929535,4.8624635,-2.4861157,-1.6164064,-5.326146,-11.910761,-8.29171,-7.4337125,-8.011097,-16.333406,-7.6121387,-1.7810464,6.058693,-4.3629827,-5.2393017,2.0879745,13.413107,12.671757,15.089011,16.032768,21.672153,35.67827,26.598942,27.286697,28.808498,33.27824,38.626217,31.359922,36.68573,29.565084,19.800615,19.372236,11.922873,5.545771,9.299922,9.143376,5.1460624,-7.850456,-7.768905,-13.676369,-16.171413,-4.8342586,-3.7937999,-3.9221764,-6.9123387,4.5194983,-0.13406277,-5.8772144,-2.7668357,13.998342,17.420816,27.961004,18.640745,1.2282014,-17.338234,-18.890923,-9.1883545,-10.546261,-5.330867,2.9198408,-5.670321,-13.875991,5.1167727,3.8762212,4.9308896,14.276338,43.02441,57.430794,52.235092,44.247185,35.77472,33.594154,36.651836,51.123547,16.438711,20.299006,17.784214,8.393645,4.8090816,-7.4072065,-7.539564,-15.682602,-13.110674,-16.952484,-23.603111,-19.015472,-7.7251854,-12.453831,1.9378304,6.801069,7.3197484,22.224545,15.52471,27.633131,28.3046,29.068602,34.08786,16.47358,17.266632,22.34993,8.550239,13.524139,16.743874,6.651473,13.3651495,2.5551796],"QQQ^FG_TOTAL_RETURNC(-10AY,0,AM)":[3.6174297,3.221333,2.7281284,-0.39740205,1.4172912,5.8195233,-0.5476117,-3.9223194,7.4118137,-2.4343371,4.2835474,0.60887337,-1.0724187,1.7022014,-4.958153,-5.096775,14.031399,0.25434494,-1.2503326,-9.357506,1.4019608,3.864479,-0.77490807,3.622508,-4.893136,10.070848,1.5654802,1.8987894,-1.3479352,1.22118,1.4391065,4.9382806,3.3545375,1.4567375,3.3044696,3.8458705,-0.5781412,2.728176,-0.9941578,1.6268969,4.729593,3.5374165,0.29723644,9.060168,-2.1763206,-5.8009443,3.0779004,4.707265,1.0823607,3.7560582,3.9353728,0.8196473,-10.296565,1.224041,-9.058464,6.6287518,6.179881,3.1433344,6.9205284,-6.9026947,5.4439306,4.5785546,-5.223,1.2519121,5.635464,4.287076,3.8980484,3.6702394,-7.0670547,-9.7695465,14.139235,8.742321,4.6276093,6.9061637,13.909113,-5.1029563,-2.0057738,10.075831,4.7617555,2.7632117,-2.2345304,0.71669817,7.278478,-1.4955759,6.045437,3.42654,2.790916,-4.191762,6.766331,1.8166661,2.7935624,-12.402582,-1.4212608,5.3524017,-10.112083,-5.7650685,-8.097053,9.265005,-0.7649839,-8.782601,0.45723915,0.5298257,-7.774049,13.902342,-0.91136694,4.7806263,5.027354,8.010912,4.776323,5.195594,-4.360074,-2.2447228,-3.5473883,12.997019,5.674863,3.0415773,2.7040362,2.1416664,-2.9301167,6.6542864,4.3943167],"EWL^FMA_DIV_YLD(NTMA,-10AY,0,AM,\"PORTAGG\",\"MEANR\")":[3.31227278516026,3.34046502855937,3.33505110915628,3.3332329527283,3.38723595567451,3.20128607857254,3.27873766149703,3.40115185535455,3.15848356988339,3.14103229440832,3.05740577167713,3.07181870905667,3.21097543364718,3.1618060951957,3.32819030559926,3.5165748676054,3.26608889181001,3.24736124598495,3.28114556901422,3.52200687488301,3.53914648824197,3.56376138398266,3.4638280948946,3.42966137637841,3.67635035593334,3.51992840866992,3.46233135844259,3.47042241652275,3.61367273131737,3.68570531071569,3.55605847839647,3.46166022077229,3.3772564752183,3.42141154828643,3.35116143554805,3.28817822977732,3.23509989210091,3.29146711236547,3.3362163225608,3.28874257732171,3.26644535953982,3.22934508031839,3.21095081839448,3.14112421508042,3.40401769292851,3.49089504611942,3.47180095515981,3.49187449598824,3.63058305790193,3.36141438105834,3.39553440433414,3.40547656696375,3.6281172865429,3.56723233565278,3.70017693287683,3.51019575953877,3.33618169851596,3.34948886682107,3.25748672969272,3.29626336858835,3.20945601946695,3.21915329418587,3.27104395983851,3.20600759257504,3.16454404154992,3.08427872313246,3.01744949160882,3.00032731450662,3.30262117982551,3.60339583344938,3.21371276180245,3.1407243627423,3.09982957077825,2.95117544530245,2.94859169797465,2.95369124850048,3.1353451128194,2.88257072408931,2.84941049770649,2.81819153649335,2.91272826287135,2.79736953671182,2.75635957461161,2.70348796377062,2.61649387557808,2.6126984980094,2.55371204875654,2.79464165358693,2.64178971161811,2.6629902999122,2.51616911599697,2.74894172037043,2.79973645000499,2.79324108901156,2.85699561004216,2.94755010738307,3.18146918298878,3.07729910814842,3.17405100149735,3.43662274547517,3.29245694869363,3.1070805075572,3.22070552126807,3.05170334571278,3.13212059946089,3.24370135757319,3.06914292279135,3.11780046690485,3.19611264871505,3.12831467558551,3.25496193088724,3.37559536329747,3.5669739322742,3.40788890853272,3.28831699289304,3.2711620458416,3.30454322529024,3.26238627704191,3.38198003229751,3.24718929331563,3.22623202006623],"EWG^FMA_PE(NTMA,-10AY,0,AM,\"PORTAGG\",\"MEANR\")":[13.1361091612011,12.7541059038952,12.5675146244619,12.509559707222,11.9715496422028,13.0889943655129,13.0047754445657,14.0128643904707,14.8213749994138,15.3290308983866,15.0427373220893,14.4128465478144,14.0313547471496,13.5351546881107,12.5149363846906,11.5505902271259,13.2900987252853,14.0572703507699,13.2357825870611,12.1145508616069,12.1494381448621,12.5502575035523,13.1408872909206,12.7593261998522,11.6692205272673,12.6573656724056,12.9449339496852,12.7995531274129,12.9646662421008,12.7235607614811,13.6428971741802,13.950952794594,13.6862963204782,13.9328310080189,13.9737694644847,13.7520887255524,13.6072201053665,13.0703813084586,12.9814411915204,13.543681072239,14.0481847610663,13.845701943054,13.8152653236458,14.0254595617577,13.1139166925308,12.5806156947913,13.1752751880771,13.2782878689112,12.6012549307765,13.2768399613465,13.0040225224941,12.6567280375032,11.670187331542,11.5805604804443,10.9309261627994,11.8140462263358,12.1105530419794,12.0751301693594,12.996511226303,12.3341456979439,12.7511913848013,13.0103525290126,12.3804932779144,13.015560921491,13.6079918950416,14.1510919036298,14.1887287403125,14.1313842721996,12.6907237186621,11.5721298812413,14.7085069754311,16.8550079735398,17.3644500058966,18.1333597161124,17.8789536954641,17.0275618443544,14.661731507925,16.1996170361077,16.1491668365624,15.6165313303448,15.3083667940233,15.9046684397728,15.4331230663786,14.8841803245685,14.7508909813521,14.3459329961925,14.2402664861022,13.5598904825109,13.7727711855566,12.9842836133738,13.4692448395868,12.7849182779796,11.8620758358814,11.6307931012419,11.1255010859179,10.9876829322855,10.0589111303581,10.1413689285328,9.64247887614002,9.05048811999341,9.87074391745571,10.7232127411133,10.453397527527,11.5453013536818,11.5392153914345,11.0920216592387,11.3746518957681,10.9150254299427,10.728303099708,11.0520936509021,10.5714752927705,10.2719468373847,9.79614739735174,10.7872464466625,11.1335085876965,11.5081067434458,11.9449781669854,12.3924706262758,12.044019727438,12.0043391819223,11.6851602652037],"EWA^FMA_PE(LTMA,-10AY,0,AM,\"PORTAGG\",\"MEANR\")":[15.1866167320918,15.4496322609043,15.4822843573409,14.7184700955155,15.2126281944461,14.6159399654796,14.5478656383555,15.1848649680582,16.2153413101021,16.2704960022116,16.4740649114117,16.1845819033804,15.9872431219633,15.9854914252138,15.6147021055695,15.2368940936126,15.8366239065172,15.5527377319771,15.7275479571249,15.1055812266198,14.9372027356642,15.1555903863835,15.4051805238571,15.7921363274939,15.5331611865658,16.4619395646519,16.6873790901469,16.6438560028905,16.6421835543836,17.2600237963001,17.7470498779387,17.7601050248075,17.525706890154,17.3751436030679,17.3031016060056,16.9521872566133,16.8020469308921,16.7875724538525,16.6624125460279,16.3008874055619,16.629462206132,16.6563973163157,16.8732428956663,16.8083737695171,16.5525904197488,16.2989735479322,16.277084815913,16.239052514505,16.2949071830355,16.3664375721876,16.3600516798402,16.0770105289925,14.9064888445425,15.0033656528376,14.6610893714583,15.3758615803426,15.9106076548454,15.8646275652027,15.9223051538782,16.007602769707,16.2586098308163,16.464363964218,16.2312839258815,16.8614012685343,17.3391446585118,17.7744269292984,18.0649118716929,18.4255742032995,16.9463800934025,16.1583299108686,17.062048852153,18.1061063880069,18.3879882409979,19.1276369136665,19.8242341590038,19.4016159362123,19.8853986525734,22.2236442973597,23.0543925745209,22.6695728083255,21.8034729969148,21.3985704649108,21.0726157855829,20.7408731655517,20.1601180098829,19.2020121659561,19.1099665254231,18.4388478677943,18.8418505461326,17.6689624205039,17.7954044731493,16.5087695489396,15.6714131906656,15.8136033505358,15.388202185291,15.0647434703676,14.2757085135539,14.4772238447155,14.6102212533448,13.2184577943553,13.4469785819856,14.318339921351,14.1617019888932,14.9598157496564,14.2663938470017,14.1674153282257,14.3273091999696,14.2076625511532,14.5570315321048,15.1005216213547,14.8940677023209,14.7105556915445,14.4537759211948,15.1239464332466,16.6523990802529,16.3959505038922,16.5073920627961,16.6757015864523,16.5440603531343,16.7445809630484,16.8280017047994],"WL-FDS^FG_PRICE_CHANGE(0,-1AM)":8.11201445347787,"NI-FDS^FG_PRICE_CHANGE(0,-1AM)":-15.4747072015948,"CPALM-FDS^FG_PRICE_CHANGE(0,-1AM)":0.632751202227277,"BRENT-FDS^FG_PRICE_CHANGE(0,-1AM)":0.0,"TIOS-FDS^FG_PRICE_CHANGE(0,-1AM)":-9.49184228416043,"FC0000CH^FG_PRICE(0)":328.17386,"FC0000AU^FG_PRICE(0)":362.85892,"EWN^FG_PRICE_MAVG(0,,,,60)":50.131832,"EWU^FG_PRICE_MAVG(0,,,,60)":35.227665,"EWC^FG_PRICE_MAVG(0,,,,60)":37.564835,"SPY^FG_COMPANY_NAME":"SPDR S&P 500 ETF Trust","FXI^PERCENT_CHANGE(FMA_EPS(+1,0,,,,\"PORTAGG\",\"MEAN\"),FMA_EPS(+1,-1AM,,,,\"PORTAGG\",\"MEAN\"))":1.347091639999,"VWO^FG_TOTAL_RETURNC(0,-6AM)":7.270837,"EWL^FMA_ROE(NTMA,-20AY,NOW,FY,\"PORTAGG\",\"MEANR\")":[15.9587717941353,16.6709442456462,17.3190561042513,18.194046530629,15.5136874283454,17.2258858021045,16.663378494352,15.1353221205521,15.5882414428409,15.2483951449653,14.5028009204846,13.2798091113486,13.3994953105419,13.9322208239423,14.6457996836392,14.5388198691271,14.667779515581,16.3837417700754,16.6906517335277,19.2996868127809],"TRYIN10Y-FDS^FG_YIELD(-10AY,0,Y,,\"YTM\")":[7.86,7.89,6.63,7.35,7.35,6.55,5.9,6.45,7.33,7.19],"CAGDPY@GB^EE_ACTUAL_ANNUAL(MED,0)":-3.3,"CC_CH^FG_COMPANY_NAME":"Switzerland","USDSEK^FG_PRICE_CHANGE(0,-6AM)":6.433642,"USDCHF^FG_PRICE_CHANGE(0,-6AM)":7.4430466,"USDUSD^FG_PRICE_CHANGE(0,-6AM)":0.0,"USDEUR^FG_PRICE_CHANGE(0,-6AM)":3.6202549999999998,"USDAUD^FG_PRICE_CHANGE(0,-6AM)":2.725172,"EWN^FMA_EPS(NTMA,-20AY,0,CY,,\"PORTAGG\",\"MEANR\")":[1.49109929215903,1.5900517234348,2.15625739003115,2.62697068480407,1.79921066251297,1.65442974417331,2.1135843669069,1.84050659390711,1.84155905202006,1.85694784607263,1.61003576125895,1.5506283745409,1.60511092021475,1.99467947715871,2.00955458235889,1.99085799541384,2.00892946055423,2.43601807945448,2.4294142632387,2.95560750497075],"SPY^P_PRICE_RETURNS_PR('52W',2,-10AY,0,AM)":[23.956882,19.264782,24.5041,18.890142,14.773083,16.62178,15.585554,13.948584,15.581285,13.639652,15.353764,13.181758,9.4649315,7.90627,1.5246153,-3.074205,7.444215,2.9678464,0.4995823,-3.54442,-5.7858586,0.91246367,0.22486448,0.9723067,-1.0363579,5.819857,14.184963,17.723692,3.9212704,7.489729,11.703026,24.325752,23.81791,18.182827,17.143845,17.854774,22.268152,16.223717,14.846754,17.899967,23.341692,21.640014999999998,21.687328,27.388168,17.105639,12.517333,13.844895,14.713049,13.32767,15.965986,20.753325,18.240929,5.6895256,6.3575625,-5.742514,-6.202918,4.549575,10.143971,12.325811,4.9480557,10.313547,8.7095375,1.626873,3.652966,16.597008,19.892132,32.611073,26.279413,8.319605,-7.5033245,-0.60123205,10.38475,5.39037,8.498133,23.812151,15.355194,9.819067,17.541122,17.466843,17.720736,24.429953,54.04619,48.438824,40.877594,44.604706,38.685715,31.199825,31.623627,42.29535,28.351952,29.856718,18.60758,16.338802,16.659927,3.8518667,0.35094023,-9.683716,-6.146497,-7.8818502,-13.273579,-13.833076,-12.431145,-19.729084,-4.3966293,-7.7693224,-11.747426,-1.1174798,5.3981185,16.532623,14.37676,11.040031,17.489697,9.798109,16.734743,28.494633,22.26609,29.715479,34.14805,27.52596,27.976727,26.463472],"QQQ^FG_COMPANY_NAME":"Invesco QQQ Trust Series I","EWJ^FMA_ROE(NTMA,-20AY,NOW,FY,\"PORTAGG\",\"MEANR\")":[9.47226395470966,9.71080928595139,9.94594902069009,9.91062584648368,6.32645011325218,5.71374560341251,7.77608846456594,7.29309511734397,7.60463906390222,8.908847583029,9.08038865449702,8.77889818317635,8.62096827520989,9.23986519100434,9.49570678525962,8.3559627813131,7.43859928704762,9.22076567652677,9.2254455739887,9.29937972257338],"TRYQA10Y-FDS^FG_YIELD(-10AY,0,Y,,\"YTM\")":[null,null,null,null,null,null,null,null,null,null],"TRYCH10Y-FDS^FG_YIELD(-10AY,0,Y,,\"YTM\")":[0.314,null,-0.12,-0.09,-0.176,-0.434,-0.49,-0.111,1.617,0.703],"CAGDPY@CH^EE_ACTUAL_ANNUAL(MED,+1)":8.0,"CC_JP^FG_COMPANY_NAME":"Japan","USDSEK^FG_PRICE_CHANGE(0,-3AM)":-0.9576678,"USDCHF^FG_PRICE_CHANGE(0,-3AM)":-0.23314953,"USDEUR^FG_PRICE_CHANGE(0,-3AM)":0.76977015,"USDAUD^FG_PRICE_CHANGE(0,-3AM)":-2.3133934,"EWQ^FMA_EPS(NTMA,-20AY,0,CY,,\"PORTAGG\",\"MEANR\")":[2.02293794620879,2.09338204215347,2.69740018358616,3.1669085058651,2.36664992614361,2.07401175960449,2.36258917800502,2.15605314606315,2.15764377090538,2.15768724966229,1.78907537429816,1.66363137331966,1.69319582409989,2.10907755629154,2.23155948612122,2.19705970688086,1.85109750447789,2.46081748750493,2.8026651908005,2.92070467991761],"QQQ^P_PRICE_RETURNS_PR('52W',2,-10AY,0,AM)":[33.752514,30.36765,33.817707,26.608444,22.595919,26.229132,21.549511,19.352913,21.192778,22.804749,28.670906,23.389732,18.322432,16.071213,7.386589,2.3199558,15.046322,9.502053,8.225739,2.1033287,-4.0344477,2.6134372,-2.3640096,0.3340006,-3.3232093,4.6319127,14.6246195,20.05589,3.864038,4.865682,7.7216983,26.471817,27.112543,24.165869,29.270626,30.223274,35.426903,26.392782,23.207438,22.878706,29.62954,33.433758,31.931759,37.376022,29.77649,20.492971,20.441269,21.440971,23.250664,24.380123,30.681955,29.643906,14.277113,8.562077,-1.5645564,-3.759104,4.4618845,14.380646,18.717861,5.4892898,10.041022,9.416413,1.1401057,1.5518546,19.614017,27.199566,40.717113,36.884342,19.806744,5.0492406,11.883747,30.68583,30.337166,32.560253,59.319473,49.320126,38.51893,46.20781,47.423256,46.133423,46.148014,65.69682,61.284042,46.099426,48.079254,43.259502,29.933918,30.517853,42.20135,32.74374,29.060614,10.013843,10.929001,16.034746,-2.7752638,-6.6959143,-19.393456,-14.8431835,-16.989946,-21.728348,-26.353628,-27.284426,-34.759884,-12.507635,-14.729929,-15.192699,-0.90897083,17.284012,29.486275,24.663757,20.147419,28.758823,27.409018,38.95744,59.221016,45.472862,49.294533,45.53448,39.118492,32.81853,32.334282],"EWL^FG_TOTAL_RETURNC(-10AY,0,AM)":[-0.406909,-1.5479028,-0.35597682,-2.7686834,-1.3778329,3.042531,-2.4103642,-1.9450426,4.91184,1.0204077,2.9114604,2.9157162,-2.8387249,-0.118243694,-5.6821527,-6.3382506,6.6666603,-3.1721115,2.0758986,-8.611375,-0.7649481,2.5578141,4.6463966,0.6856084,-4.4949236,3.6598086,1.5467405,2.3178816,-5.9223294,-2.8551757,3.215921,5.423963,1.0745764,3.5760283,3.3903599,4.93381,1.7866969,-1.12198,-0.29094815,1.1963844,-1.326412,2.776146,1.0236025,6.2201023,-7.472187,-1.9472957,-0.08762479,-0.6430805,-3.162104,7.5054526,0.9269953,-0.43054223,-7.004899,3.0688167,-5.6541324,5.2916765,4.6624303,1.5909672,2.76196,0.0,6.211841,-0.7188499,-0.8849621,2.0292163,1.1668086,2.4901628,4.2199492,1.0061383,-7.968897,-8.157337,7.387185,1.980722,3.2798052,6.663215,1.3801455,-1.4091253,-5.184108,10.040879,3.188324,1.8235087,-4.421842,3.5854697,4.309964,4.3245554,2.6804686,1.2823105,2.8135061,-8.874125,7.357359,-1.4385581,7.4194193,-8.133614,-1.520133,1.7939091,-3.6885202,-2.6170194,-8.371091,4.841852,-4.200512,-7.6550364,3.2266498,8.233809,-1.5026987,7.246721,-3.600806,1.1759281,9.594345,-1.5595734,-1.3403177,4.684758,-4.0987015,-5.1897106,-4.300827,7.714486,6.7826867,-0.08357763,-1.6311169,1.1904716,-3.4873962,4.5276523,2.5016904],"EWG^FMA_DIV_YLD(NTMA,-10AY,0,AM,\"PORTAGG\",\"MEANR\")":[3.02534638786798,3.13377498207503,3.17696589000876,3.182935331377,3.35737952709799,3.12789091800153,3.15223282195222,2.94114206434916,2.78173214454678,2.70153237687039,2.77007952004987,2.87280638515946,2.94388490543508,3.050611865343,3.31556701153143,3.54933464849974,3.08775809658554,2.88268759826885,3.06540295319907,3.40099681816848,3.45753954486758,3.33219203944934,3.2013213943527,3.27075647027927,3.57994325869663,3.28673010295758,3.18279060008877,3.2082064812299,3.14147322244269,3.20138669639492,2.97353824139819,2.90539953181078,2.95452596437925,2.94150119864048,2.8942566420826,2.93556448903773,2.96116516924114,3.07977661898126,3.13543422773645,3.01729394475262,2.90485634173562,2.9362500013656,2.93600886882859,2.89208113356808,3.12778045347504,3.2891176541312,3.16382522416928,3.12474059873947,3.30887995176849,3.13887377399888,3.21391970307408,3.32370763382734,3.6315685407922,3.66124965915804,3.96862957428848,3.69606962872207,3.61231623795558,3.63725865336328,3.39101461211071,3.59086873903841,3.48770832349963,3.40772040183069,3.59154028943586,3.40266575427458,3.26086102424326,3.08445692780761,3.07735047874971,3.08154289118697,3.43280005946778,4.05034714806666,3.3781579461258,3.06951400570806,2.96999232310354,2.83051477217327,2.80109955153885,2.85421570621055,3.17995775480559,2.81345230526804,2.70738739396935,2.76687214284489,2.84200926461744,2.75160039071943,2.74031194804714,2.80497326819081,2.80889137566421,2.82619083772528,2.85217513372546,2.97978891651961,2.9447856949272,3.12295119942719,3.01736023708682,3.19621646994913,3.4702635522923,3.53282572346807,3.70509691003161,3.74348504500663,4.06620312396178,4.08085392470347,4.18329508575929,4.45275154410527,4.13497504669276,3.75921625960837,3.85395181641099,3.5015276919582,3.52099338927732,3.63081444262498,3.50639902551289,3.60675682757833,3.66297561785495,3.57560277005313,3.74259608041546,3.87062384072737,4.0682675227399,3.69909558044242,3.56356956107804,3.53190135389975,3.4552288982232,3.24692297836378,3.34150471980538,3.34203427093632,3.42555657614996],"EWA^FMA_PE(NTMA,-10AY,0,AM,\"PORTAGG\",\"MEANR\")":[14.3817396963275,14.8718073989985,14.9011965294481,13.9043161430432,14.4664510568079,13.9787887366389,14.3533535242629,15.2236452154356,16.3202924327073,16.3355477603444,16.7250982531099,15.7960503929527,15.3132454893494,15.3598978074525,14.7220544771883,14.4025064404502,15.2682594465017,15.1108691793716,15.4320971981375,15.1120343231712,15.077202287216,15.7547215741302,16.1003752867512,16.5798765196975,15.5667735174324,16.8032941136258,16.7436373869721,16.2042176250428,15.6544092944133,15.9553825431739,15.8327073198167,15.8237933512267,15.7599476648083,15.743036114316,15.9641508675512,15.3746191871798,15.4467917508971,15.6366848976938,15.6740970706562,15.3964956268118,15.7763962109535,15.9048316813593,16.0728681141296,15.825534674446,15.5597740514577,14.7825160995786,15.1145864306011,15.2549722770613,15.5099107740284,15.6759553130813,15.6912965151452,15.3018169312989,13.8735515723673,14.2034482721015,13.9820356702779,14.7576024478234,15.3518467142567,15.2804634785533,15.5430077856131,15.7299025069166,16.1962504917731,16.3887207137146,15.9203967923659,16.7449934204955,17.0209581471636,17.4205192216872,17.4933438288425,17.8626913435745,16.474077348146,13.2649161217124,16.6378716021893,18.8074966794174,18.8234789611661,19.3362267983603,19.5936908184514,18.4193340154954,18.2004435240498,19.6073741732098,19.1711045571222,18.6940967405979,17.9550506925964,17.736930570692,18.0594092060134,18.1241859724021,17.6982697588903,16.7106853907406,17.2124065823664,16.8894684933543,17.7182468412458,16.9111747813273,17.4437172810957,16.2086261777332,15.4791782688763,16.2258104158258,14.8617548828346,14.2416960535531,12.9977467932447,13.746166313364,14.2317782325453,12.5255435333779,13.2615842871639,14.5054246278527,14.2920190625985,14.9980664475796,14.503631790876,13.9954463081465,14.5568008791714,14.1902734950577,14.8646764891669,15.6496102849425,15.1879035151113,14.7663289433698,14.3833890488939,15.1495021749192,16.5445063557242,16.3314154843917,16.4525022490294,16.8041827952517,16.2531162313433,16.7455791264292,16.8019959406309],"ENZL^JULIAN(FMA_DIV_YLD(LTMA,-10AY,0,AM,\"PORTAGG\",\"MEANR\").DATES)":[41817,41848,41879,41908,41940,41971,41999,42032,42062,42090,42122,42152,42181,42213,42244,42275,42305,42335,42366,42397,42426,42457,42488,42517,42549,42579,42608,42641,42671,42702,42732,42762,42794,42822,42853,42881,42914,42944,42975,43006,43035,43067,43097,43126,43159,43187,43217,43245,43279,43308,43340,43371,43399,43432,43462,43493,43524,43552,43581,43613,43644,43672,43705,43735,43766,43796,43826,43858,43889,43917,43949,43979,44008,44040,44071,44102,44132,44162,44193,44224,44253,44281,44314,44344,44375,44405,44435,44467,44497,44526,44558,44589,44620,44648,44679,44708,44740,44770,44799,44832,44862,44893,44923,44953,44985,45013,45044,45072,45105,45135,45166,45197,45226,45258,45288,45317,45350,45379,45408,45440,45469],"WL-FDS^FG_PRICE(0)":598.4,"NI-FDS^FG_PRICE(0)":16960.0,"CPALM-FDS^FG_PRICE(0)":3976.0,"BRENT-FDS^FG_PRICE(0)":85.86,"TIOS-FDS^FG_PRICE(0)":106.51,"EWN^FG_PRICE(0)":50.23,"EWU^FG_PRICE(0)":34.88,"EWC^FG_PRICE(0)":37.09,"EWU^FG_COMPANY_NAME":"iShares MSCI United Kingdom ETF","SPY^FG_TOTAL_RETURNC(0,-12AM)":26.463472,"EWJ^PERCENT_CHANGE(FMA_EPS(+1,0,,,,\"PORTAGG\",\"MEAN\"),FMA_EPS(+1,-1AM,,,,\"PORTAGG\",\"MEAN\"))":-2.8461800153288,"EWG^FMA_ROE(NTMA,-20AY,NOW,FY,\"PORTAGG\",\"MEANR\")":[11.8275550599933,12.5810872006639,13.372977849048,14.712722857709,11.5210886767193,11.0094337648339,13.0475804034897,12.3546044213534,12.1037876491794,12.1465108243325,11.8873581616615,12.0284649417774,11.8967042128795,12.2469207943648,11.6510152415578,10.4475672102116,9.71471543630713,12.1997093940908,11.8187115511422,11.9489916743573],"TRYUS10Y-FDS^FG_YIELD(-10AY,0,Y,,\"YTM\")":[2.1881,2.2961,2.4752,2.4325,2.6836,1.9185,0.9174,1.5119,3.8776,3.8791],"TRYEU10Y-FDS^FG_YIELD(-10AY,0,Y,,\"YTM\")":[0.5475,0.636,0.2082,0.4294,0.239,-0.189,-0.575,-0.181,2.533,2.004],"TRYZA10Y-FDS^JULIAN(FG_YIELD(-10AY,0,CY,,\"YTM\").DATES)":[42004,42369,42734,43098,43465,43830,44196,44561,44925,45289],"CAGDPY@CH^EE_ACTUAL_ANNUAL(MED,0)":6.98087557861584,"CC_DE^FG_COMPANY_NAME":"Germany","USDSEK^FG_PRICE_CHANGE(0,-1AM)":0.41673183,"USDCHF^FG_PRICE_CHANGE(0,-1AM)":-1.2690246,"USDEUR^FG_PRICE_CHANGE(0,-1AM)":1.4649034,"USDAUD^FG_PRICE_CHANGE(0,-1AM)":-0.22460222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298483,16.6617703337835,22.2767073880581,22.968710467509,24.3449868024698],"EWU^P_PRICE_RETURNS_PR('52W',2,-10AY,0,AM)":[24.978745,16.924107,15.951729,5.0327897,-2.4951458,-0.92360973,-4.47762,-4.051429,-3.8355708,-3.9558291,-1.2251198,-3.6404788,-5.6070566,-9.16546,-13.050633,-15.166616,-2.7882934,-7.8596115,-7.9909563,-14.468431,-19.012112,-12.226647,-12.938219,-12.646228,-19.319857,-10.957087,-1.7695725,3.4052968,-10.967625,-9.021992,-3.4383774,10.536957,11.167658,8.913326,5.2861214,8.743418,18.898605,13.264298,10.387802,13.299251,19.670057,21.68045,22.350574,24.759626,13.1853695,10.906243,13.993299499999999,8.583033,7.523167,6.7061186,5.7398677,2.6582599,-6.073099,-5.0754128,-13.686103,-15.26823,-1.7200589,-0.4025042,-3.58122,-7.31557,-1.8142223,-3.2537282,-7.88908,-4.5010924,9.511399,10.291457,22.283459,12.866056,-6.1158657,-26.490122,-21.728516,-15.319747,-18.136566,-14.599395,-7.1878614,-15.430575,-23.449003,-9.933597,-11.19088,-7.223791,1.8073559,33.575726,33.964573,33.289337,32.60517,26.889181,27.846468,28.628517,44.61827,13.896513,18.24795,17.593801,15.223575,11.044502,3.4059763,2.42275,-3.6106944,-2.3408234,-5.376214,-14.536887,-12.733757,0.30117035,-5.0619545,-0.34154058,-0.37469864,-2.8961062,8.040512,1.4520168,9.314895,12.898731,10.629988,25.068056,11.475205,9.154415,12.823749,3.9708734,5.2586555,13.225675,8.624434,16.087902,13.799787],"EWL^FG_COMPANY_NAME":"iShares MSCI Switzerland ETF","EWC^FMA_ROE(NTMA,-20AY,NOW,FY,\"PORTAGG\",\"MEANR\")":[14.6738571923606,15.7709471724654,15.8547136543611,16.5705490516163,13.8099900139916,11.8327104416904,12.6984457284378,13.5092848924233,12.804929450575,12.2925364029644,11.8034021278505,10.9923508764539,11.4792366602027,11.3979128674428,12.4990081822477,11.9786783863837,11.1922086822881,14.1061782856045,14.002940310619,13.147116166704],"TIPSCL10Y-FDS^FG_YIELD(-10AY,0,Y,,\"YTM\")":[null,null,null,null,null,null,null,null,null,null],"EWC^FMA_RBICS_REV_CURRENT(30, LOC, \"PORTAGG\")":39.7998235576266,"CAGDPY@IT^EE_ACTUAL_ANNUAL(MED,+1)":0.9,"CAGDPY@JP^EE_ACTUAL_ANNUAL(MED,+1)":3.8,"CC_CA^FG_COMPANY_NAME":"Canada","USDSEK^FG_PRICE_CHANGE(0,-1AY)":-2.0776868,"USDCHF^FG_PRICE_CHANGE(0,-1AY)":0.13929605,"USDEUR^FG_PRICE_CHANGE(0,-1AY)":1.7074943,"USDAUD^FG_PRICE_CHANGE(0,-1AY)":-1.1679232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524567,10.4260783076313,13.6402697494705,12.7503134512823,16.3243001953355],"EWL^P_PRICE_RETURNS_PR('52W',2,-10AY,0,AM)":[22.47163,15.759325,15.502346,6.913841,0.7960677,5.4105997,1.8265843,0.12294054,0.13437271,1.874435,2.3276925,3.6943316,1.3992906,2.6313782,-2.8544784,-6.4208984,1.2122512,-4.9206553,-0.519824,-7.283062,-12.5362215,-10.965294,-9.464312,-10.926437,-12.935961,-9.642744,-3.2033503,6.273365,-6.2692223,-5.962425,-4.9121857,9.273327,11.724615,12.833858,11.479545,16.371845,23.82486,18.112862,15.9753685,14.70418,20.225037,27.281797,24.578308,25.519108,14.905346,8.777857,4.7405243,-0.525105,-5.3072453,2.8054476,4.212606,2.537191,-3.5609186,-3.0884564,-9.494376,-10.285461,1.4801979,5.142164,8.330906,8.840847,19.376682,10.564507,8.264971,10.272002,20.688093,21.360992,34.67423,27.174782,11.826515,0.9810209,5.6462765,7.7388406,5.523205,12.554455,15.126694,11.246956,4.263258,11.944604,10.836506,11.733425,11.9610195,28.94907,27.126133,30.047905,29.293228,22.77068,24.685144,15.079224,30.300951,17.225122,21.493446,9.612846,12.940645,10.987282,2.4767756,-4.1648507,-14.637589,-11.637545,-16.705114,-16.564232,-19.774532,-11.901581,-19.218922,-4.9328623,-7.686967,-8.247381,4.4067383,6.9660425,13.638676,13.468397,13.589001,16.621471,9.115469,7.5984597,16.649426,8.291328,10.89698,10.912919,-1.5482605,3.7136078,7.7524424],"EWG^FG_TOTAL_RETURNC(-10AY,0,AM)":[-0.2824068,-3.843689,-3.364426,-3.2747328,-3.9558053,6.8274617,-2.118796,-1.2065291,6.681037,1.3468027,0.06644726,-1.5936315,0.53412914,-3.5848439,-6.657219,-7.701063,11.508417,0.14743805,-1.6194344,-9.614664,-2.1109283,6.7230463,4.5166373,-1.4404833,-7.852423,8.678925,2.8717518,0.22944212,-1.3353646,-4.447031,5.985427,6.1115384,-0.93592405,4.6875,3.019786,3.7398934,2.2454858,-0.61528087,1.3685226,2.8929472,2.2805452,1.4660954,0.041162968,7.2096467,-8.750707,-2.6827037,3.4537435,-1.3782561,-6.077677,5.824578,-1.2159944,-3.660518,-9.952921,1.6803503,-7.344842,6.738019,1.3739228,-1.9047558,6.5720677,-3.7491322,4.9099803,-1.8181741,-5.991292,3.5921216,6.5995574,1.7138839,1.6506195,-1.2516856,-10.174722,-19.450796,8.996212,11.81581,4.3010473,9.823108,3.735435,-3.3035994,-9.873592,16.489769,6.1037419999999996,-0.9627342,0.37629604,3.7488341,6.293285,1.3597727,-0.8874178,-0.917691,1.3603568,-4.88292,2.311623,-6.1913195,3.8363576,-4.350239,-7.623887,-1.5474558,-8.06846,3.9513707,-10.887194,-2.36786,-6.323087,-6.796116,9.920633,12.0036125,-0.8933723,13.826752,-2.5008917,0.7695079,6.945455,-2.8221667,1.4157176,4.2892575,-6.1182857,-5.430847,-5.168456,14.00888,5.033815,-0.9103179,3.7427664,4.1324973,-2.48819,4.134381,-2.6821733],"EWA^FMA_DIV_YLD(NTMA,-10AY,0,AM,\"PORTAGG\",\"MEANR\")":[4.78677234786745,4.68846278881089,4.68521516303042,5.03980277400746,4.88271352133388,5.05729751582958,4.9885167442505,4.86203826761833,4.54828740335052,4.5684427082027,4.53553743595644,4.77851724283054,4.89755043169825,4.9009573669201,5.23730062819432,5.42263512663771,5.1401667412887,5.25630061437879,5.20098826358728,5.1960129861549,5.05190282869525,4.83064228566828,4.69338265661264,4.5362987598256,4.80044561821585,4.42258939279334,4.4539298539889,4.56160658259138,4.6867506255911,4.54758492507427,4.51369143535814,4.5141225654101,4.5717486002536,4.54304690137284,4.48460239361545,4.6383672605413,4.61621783607841,4.60366883765647,4.58238909859924,4.62730124111652,4.50514582636755,4.47235143513748,4.43684567206397,4.5034632422418,4.59136730906863,4.83456624132692,4.73986710245507,4.67852969101817,4.59178356329823,4.54738070279837,4.61840025434395,4.74035855664265,5.20974591365752,5.26229320071788,5.34606614790594,5.07017035801693,4.92273926541311,4.95436720617635,4.82419557237943,4.7711772757373,4.61133917838728,4.5301883556159,4.6789662404013,4.42810256240158,4.35899206472477,4.26935703196658,4.23245304942827,4.18262831647715,4.49462427624511,5.57966199481073,4.1415841400418,3.51052874990391,3.48487588352116,3.39551925470204,3.39267829742766,3.61134883767043,3.68166007383263,3.4687711916758,3.55603637989752,3.64338554786456,3.92576677494895,3.95975505274232,3.89981523681974,3.87746931847295,4.02610438563814,4.15762356745517,4.06412570941067,4.09987830236059,3.91461695470399,4.0686939432585,3.88973142934425,4.16543369598566,4.3854093997208,4.19128226975205,4.51176940747319,4.65076941902515,5.09155125741191,4.85924720054688,4.65888943864414,5.2609526091464,5.00023425022617,4.51415577371238,4.51182185919304,4.2475112710783,4.4748128289896,4.62570505011457,4.42963180770204,4.52782035848453,4.33455130592011,4.08718983948249,4.23158269612477,4.33314445654386,4.51551829004802,4.34100074633075,3.95507303450011,4.02749300057405,4.00730476948752,3.89800470048343,4.04483917597034,3.95249130847429,3.93983803575111],"ENZL^JULIAN(FMA_DIV_YLD(NTMA,-10AY,0,AM,\"PORTAGG\",\"MEANR\").DATES)":[41817,41848,41879,41908,41940,41971,41999,42032,42062,42090,42122,42152,42181,42213,42244,42275,42305,42335,42366,42397,42426,42457,42488,42517,42549,42579,42608,42641,42671,42702,42732,42762,42794,42822,42853,42881,42914,42944,42975,43006,43035,43067,43097,43126,43159,43187,43217,43245,43279,43308,43340,43371,43399,43432,43462,43493,43524,43552,43581,43613,43644,43672,43705,43735,43766,43796,43826,43858,43889,43917,43949,43979,44008,44040,44071,44102,44132,44162,44193,44224,44253,44281,44314,44344,44375,44405,44435,44467,44497,44526,44558,44589,44620,44648,44679,44708,44740,44770,44799,44832,44862,44893,44923,44953,44985,45013,45044,45072,45105,45135,45166,45197,45226,45258,45288,45317,45350,45379,45408,45440,45469],"DDR3512M-FDS^FG_PRICE(0)/MAX(FG_PRICE(0,-1AY))":0.89728775,"PASP-FDS^FG_PRICE(0)/MAX(FG_PRICE(0,-1AY))":0.708955223880597,"PLATI-FDS^FG_PRICE(0)/MAX(FG_PRICE(0,-1AY))":0.942937324602432,"W-FDS^FG_PRICE(0)/MAX(FG_PRICE(0,-1AY))":0.72804998355804,"COPP-FDS^FG_PRICE(0)/MAX(FG_PRICE(0,-1AY))":0.857687048251612,"FC0000JP^FG_PRICE(0)":171.2707,"FC0000NZ^FG_PRICE(0)":384.21664,"EWQ^FG_PRICE_MAVG(0,,,,60)":40.542,"EWL^FG_PRICE_MAVG(0,,,,60)":47.6525,"EWA^FG_PRICE_MAVG(0,,,,60)":24.329666,"EWJ^FG_COMPANY_NAME":"iShares MSCI Japan ETF","SPY^P_PRICE(0)/P_PRICE_HIGH_PR(0,,,,,,\"PRICE\",\"INTRA\",\"52W\")":0.9889873,"URTH^FG_TOTAL_RETURNC(0,-12AM)":22.07433,"VWO^PERCENT_CHANGE(FMA_EPS(+1,0,,,,\"PORTAGG\",\"MEAN\"),FMA_EPS(+1,-1AM,,,,\"PORTAGG\",\"MEAN\"))":2.01593348845896,"EWI^FG_TOTAL_RETURNC(0,-1AM)":-5.4123697,"EWN^FG_TOTAL_RETURNC(0,-6AM)":13.791788,"SPY^P_PRICE(0)/P_PRICE_LOW_PR(0,,,,,,\"PRICE\",\"INTRA\",\"52W\")-1":0.3299284,"QQQ^FMA_PCT_ABOVE_MAVG(200,0,,,,\"PORTAGG\")":61.7647058823529,"EWL^PERCENT_CHANGE(FMA_EPS(+1,0,,,,\"PORTAGG\",\"MEAN\"),FMA_EPS(+1,-3AM,,,,\"PORTAGG\",\"MEAN\"))":2.07388340514301,"EWG^FG_TOTAL_RETURNC(0,-3AM)":-1.1802495,"EWA^P_PRICE(0)/P_PRICE_HIGH_PR(0,,,,,,\"PRICE\",\"INTRA\",\"52W\")":0.9679081,"FXI^SIZE(FG_CONSTITUENTS)":53,"VGK^FMA_COS_DOWN(\"EPS\",\"1M\",+1,0,,,\"PORTAGG\",\"MEANR\")":437.0,"SPY^FMA_COS_UP(\"EPS\",\"1M\",+1,0,,,\"PORTAGG\",\"MEANR\")":155.0,"EWC^SIZE(FG_CONSTITUENTS)":88,"TRYIT10Y-FDS^FG_YIELD_NAME":"Italy Benchmark Bond - 10 Year","EWA^FMA_ROE(NTMA,-20AY,NOW,FY,\"PORTAGG\",\"MEANR\")":[15.4970825561621,16.532509518014,17.0193996486167,15.5609914058652,13.5690116283254,12.8492110125335,14.2386354612725,14.168071267681,12.6921652881541,13.1922555858139,12.5644042089263,10.7321365234713,11.5035211675747,11.9072990069878,12.4009311752812,11.7272453218097,11.0508592064609,12.8471719199911,14.6580605840091,13.2261379950135],"CAGDPY@IT^EE_ACTUAL_ANNUAL(MED,0)":0.464202084267218,"CAGDPY@JP^EE_ACTUAL_ANNUAL(MED,0)":3.61295912215857,"CC_AU^FG_COMPANY_NAME":"Australia","USDSEK^FG_PRICE(0)":10.5902,"USDCHF^FG_PRICE(0)":0.8986,"USDEUR^FG_PRICE(0)":0.93305343,"USDAUD^FG_PRICE(0)":1.4973422,"EWU^FMA_EPS(NTMA,-20AY,0,CY,,\"PORTAGG\",\"MEANR\")":[2.78829402631307,2.94932484667975,3.75488864741091,4.07523919059458,2.818707383858,2.6972177795125,3.36495665882676,3.43468170545609,3.30605625416888,3.23218168522276,2.60589751741525,2.12294202915382,2.123898319152,2.42405089418043,2.57732227429949,2.53485794585659,2.03463841720374,2.71427224340632,3.12760121442786,3.0028044332351],"EWJ^P_PRICE_RETURNS_PR('52W',2,-10AY,0,AM)":[9.174657,8.737087,8.007681,-0.2465725,-3.181851,-2.3529649,-2.02834,0.9285927,8.291769,15.009367,21.751678,16.694403,10.102856,5.7364464,5.28692,-3.827262,11.615658,8.205628,6.2279463,-1.9083381,-9.703838,-8.38641,-12.444365,-10.306263,-11.124813,-5.7133017,3.1307936,13.355696,2.3382068,1.5272856,3.7831664,15.598226,18.088018,15.829134,14.766895,15.581142,20.077467,17.248703,13.365293,12.087584,18.027664,22.32418,22.739483,27.849174,20.779312,15.991735,18.175816,14.624357,9.141552,10.798883,8.692158,9.709907,-5.5586042,-6.13783,-13.783664,-15.930658,-9.594506,-7.1983695,-7.6835036,-9.971648,-4.470372,-5.929792,-6.908655,-4.830432,9.773803,11.4213705,19.942701,12.501955,-0.5233705,-6.3652396,-3.5335064,7.0487857,4.5045257,5.3113103,11.038613,7.597208,1.7887235,12.5897045,12.933361,17.428005,25.749361,41.22019,31.435871,24.195969,24.227737,20.839834,19.22307,20.56353,19.148933,3.7154317,3.499186,-6.414562,-5.8284817,-10.026825,-13.964444,-12.774981,-20.189936,-15.823585,-17.672937,-28.349287,-24.896324,-15.146696,-19.136883,-4.77131,-10.052729,-5.8552446,3.922677,5.146837,17.393791,15.571224,12.498533,24.082363,17.301727,13.689148,21.40547,13.842154,25.365616,26.746368,17.47223,16.702652,12.77746],"EWC^FG_TOTAL_RETURNC(-10AY,0,AM)":[5.6769013,1.7434716,0.45900345,-5.6046367,-2.807355,-0.5976081,-2.2083879,-7.5484695,4.943824,-3.3904374,8.976734,-5.118644,-0.8862674,-8.71777,-3.700751,-7.7686014,8.826172,-4.8579693,-5.045265,-5.1270127,5.306709,7.397139,8.7387085,-2.0981789,-2.2627294,4.1701436,2.481985,0.31249523,-0.8956373,1.7681718,1.4671326,4.7655582,-2.0909727,0.5245328,-2.1244884,0.45696497,3.0797362,3.4482718,-1.0035813,4.779148,-0.38009882,0.8324623,3.1969547,2.3632646,-8.344322,-2.5548816,4.172814,1.9496679,-1.4490187,3.271687,0.6198287,-1.505816,-8.7560835,1.2566686,-8.802795,11.40461,4.817462,-0.96948147,3.19072,-2.3893118,3.9598346,0.27952194,-2.9268324,3.6611557,0.06924868,2.629757,1.8473387,1.5095592,-8.823532,-25.117796,16.747343,5.2238703,0.051426888,8.393002,6.165135,-4.7010064,-3.8810313,15.094339,2.4134398,0.94002485,3.3076406,6.061554,5.5978894,5.1068544,-0.58006644,-0.9620428,1.349163,-2.8221548,8.493149,-3.5606086,1.4270306,-2.405864,2.41158,5.6253195,-6.167942,-0.68638325,-8.17222,1.6622901,0.2868533,-9.782606,5.009508,4.7403336,-5.2403746,10.092581,-4.54163,-2.5256991,6.0560465,-4.034096,2.777481,4.102409,-5.1984367,-0.56013465,-6.670618,9.783995,7.639003,-0.6267011,0.19193888,4.7618985,-1.6980112,1.3553023,-1.8322468],"ENZL^FMA_DIV_YLD(NTMA,-10AY,0,AM,\"PORTAGG\",\"MEANR\")":[4.26895122955234,4.42278190243516,4.51760987913649,4.57172910160159,4.53777864196919,4.54861858802081,4.4532055061177,4.26290674878491,4.26227285815805,4.39963047108167,4.50837795987916,4.45374946448426,4.65300367779847,4.61296577359501,5.01368140299907,5.15949871281634,4.90905205344111,4.81372173146439,4.80628657162469,4.89179464851475,4.85116509122552,4.613023329306,4.58930535008487,4.44755318030269,4.5334702678918,4.15022095574834,4.21461735867198,4.35631701663453,4.57688628452683,4.59122011633914,4.62701395903768,4.47939616113487,4.65708432864585,4.67082094068757,4.45831054108891,4.44322159044133,4.33617854540218,4.43363397692153,4.30362328881467,4.41552338222058,4.36629584804597,4.36947500037565,4.19844791123944,4.26427339463985,4.17407572230652,4.28774933474469,4.31122027068862,4.21781842953627,4.02558802341403,4.05913697025415,3.93138077790505,3.97900716158369,4.38607379306462,4.29515032884429,4.18458476178962,4.04744736166179,3.96160583866143,3.79234351581745,3.69468587635097,3.71919636224857,3.56275271946662,3.41780138965898,3.41976382688186,3.37937427518384,3.38578763433503,3.27983606955584,3.14079418403057,3.11254161430495,3.16993345843363,3.44708922141302,2.64334938587864,2.49350214508754,2.56457852735202,2.41875002985667,2.29349605311253,2.43966715699422,2.39487010709394,2.44193551866225,2.40253516124756,2.47032662407943,2.63905375014513,2.604526743839,2.57893527964791,2.74304334825687,2.66101865822839,2.64013402584166,2.58455471437226,2.63592909947809,2.69682841203415,2.76889916749643,2.78337621697444,3.07022326131236,3.05800894408413,3.10980165234862,3.1320281455969,3.27688214158403,3.33221886945461,3.30537892393945,3.197992672027,3.40202776693017,3.428446345525,3.39930475431419,3.44187585185527,3.3143519884008,3.37058087818336,3.43023798663833,3.38217498951632,3.50870281491996,3.46733424581034,3.42082712899268,3.49874978620121,3.46057173427708,3.6013076656932,3.38326856330426,2.96873423099881,2.97871440833777,2.88141316292291,2.74179906309109,2.79050772787111,2.77627469579204,2.72096110623001],"EWI^FMA_PE(LTMA,-10AY,0,AM,\"PORTAGG\",\"MEANR\")":[17.0289464901368,17.2139428652568,17.4800199327811,17.8599147731934,16.9241722384374,18.1616559059125,18.5718488422506,21.903605342453,45.3660681485857,42.7687759519394,39.9080046393751,37.1915017444097,34.4104075342983,31.2428371506024,28.1855295965427,24.6302460126633,23.5531492117385,21.6984993755562,18.1549813649607,14.8728815190318,15.2901698920908,15.3142109768179,15.3984098982807,15.5467365638152,14.1743482486369,14.5822767339127,15.065896229453,14.5672688432525,15.1727222518743,14.3854395886438,27.5774550856694,27.3488655567196,85.9689272923756,79.5337708828749,72.2320717746234,65.7915756784264,57.9836571711851,51.1501572746172,43.7939851354114,36.8335321987106,30.270561998868,22.7262464364453,15.9155784191472,15.9316552002445,14.2133860010366,14.0754769652074,14.1811937174317,13.6391760417305,13.2477328502885,13.2808057715658,12.6163657777443,12.333076822306,11.3108001361022,11.1850469063044,10.4209629178755,11.0376429954644,11.3132451904946,11.2987680829662,11.3367884322787,10.969473609423,11.1091412017896,11.2984827660761,10.9695793839209,11.3118920649741,11.661836248954,12.0199661032522,12.2369216075069,12.358825494119,11.3567081312941,11.0732652527067,12.3919706063027,14.4503678454115,16.1304157484973,17.7189172499847,17.8040005475175,18.170405952386,17.9056907967526,22.0709542281702,23.3730234813884,20.46924862687,20.3525735166553,19.8627345816533,19.2080577407885,18.636459448785,18.0659281606778,17.36629279307,15.7882782038712,14.7327088483873,14.2553072290005,12.7672599545387,12.1905672509675,11.7300894184922,10.6475829192046,10.5369946025259,10.3747332964461,10.1313627279421,9.48672581213055,8.98924484835969,8.43185685694555,8.04515188689894,8.11812219945579,8.03464228562088,7.41679172503383,8.13571254150702,8.22912587318896,8.24598623345068,8.37785429534273,8.2071572421251,8.49736525408028,8.53179561995333,8.29333116820747,8.23818793967225,7.90017820948708,8.26914904466106,8.84910035810607,9.01657001556237,9.28635847460368,9.48249309998736,9.4560969899052,9.58232909834433,9.43389760769839],"DDR3512M-FDS^FG_PRICE_CHANGE(0,-1AY)":-7.49632831959957,"PASP-FDS^FG_PRICE_CHANGE(0,-1AY)":-28.7321830457614,"PLATI-FDS^FG_PRICE_CHANGE(0,-1AY)":8.38709677419356,"W-FDS^FG_PRICE_CHANGE(0,-1AY)":-15.5928326343881,"COPP-FDS^FG_PRICE_CHANGE(0,-1AY)":18.0083322134122,"EWQ^FG_PRICE_MAVG(0,,,,30)":40.386,"EWL^FG_PRICE_MAVG(0,,,,30)":48.930332,"EWA^FG_PRICE_MAVG(0,,,,30)":24.589333,"EWG^FG_COMPANY_NAME":"iShares MSCI Germany ETF","SPY^FG_TOTAL_RETURNC(0,-6AM)":14.893556,"ENZL^FMA_ROE(NTMA,-20AY,NOW,FY,\"PORTAGG\",\"MEANR\")":[null,null,null,null,null,null,10.8532267295878,10.9048734413645,11.45876758647,11.0832589152415,9.94517431688139,9.90242652659034,9.79986582903071,9.84792896856594,9.52177142619013,9.00388708752031,7.5322638919869,6.44400181202057,7.7689690341127,6.57910753918315],"TRYCN10Y-FDS^FG_YIELD(-10AY,0,Y,,\"YTM\")":[3.653331,2.901145,3.070911,3.93859,3.259862,3.197311,3.1948,2.7893,2.855,2.574],"PASP-FDS^FG_PRICE_CHANGE(0,-6AM)":-17.3913043478261,"W-FDS^FG_PRICE_CHANGE(0,-6AM)":-12.3515439429929,"COPP-FDS^FG_PRICE_CHANGE(0,-6AM)":12.2029133657041,"EWQ^FG_PRICE(0)":37.78,"EWL^FG_PRICE(0)":48.21,"EWA^FG_PRICE(0)":24.43,"SPY^FG_TOTAL_RETURNC(0,-3AM)":4.3795347,"URTH^P_PRICE(0)/P_PRICE_HIGH_PR(0,,,,,,\"PRICE\",\"INTRA\",\"52W\")":0.99079674,"VGK^FG_TOTAL_RETURNC(0,-12AM)":13.358784,"EWI^PERCENT_CHANGE(FMA_EPS(+1,0,,,,\"PORTAGG\",\"MEAN\"),FMA_EPS(+1,-1AM,,,,\"PORTAGG\",\"MEAN\"))":-3.74995062084522,"EWN^FG_TOTAL_RETURNC(0,-1AM)":-2.2201061,"EWU^P_PRICE(0)/P_PRICE_LOW_PR(0,,,,,,\"PRICE\",\"INTRA\",\"52W\")-1":0.15726614,"EWL^FMA_PCT_ABOVE_MAVG(200,0,,,,\"PORTAGG\")":64.4444444444444,"EWG^PERCENT_CHANGE(FMA_EPS(+1,0,,,,\"PORTAGG\",\"MEAN\"),FMA_EPS(+1,-3AM,,,,\"PORTAGG\",\"MEAN\"))":-1.01673927830609,"CAGDPY@SE^EE_ACTUAL_ANNUAL(MED,+1)":5.8,"CAGDPY@DE^EE_ACTUAL_ANNUAL(MED,+1)":6.5,"CC_NZ^FG_COMPANY_NAME":"New Zealand","USDSEK^FG_COMPANY_NAME":"Swedish Krona per U.S. Dollar","USDCHF^FG_COMPANY_NAME":"Swiss Franc per U.S. Dollar","USDEUR^FG_COMPANY_NAME":"Euro per U.S. Dollar","USDAUD^FG_COMPANY_NAME":"Australian Dollar per U.S. Dollar","EWL^FMA_EPS(NTMA,-20AY,0,CY,,\"PORTAGG\",\"MEANR\")":[1.15167978614637,1.184604896687,1.51903625271091,1.83335061944152,1.66417500457453,1.62932904763549,1.96787353815353,1.86668659044302,1.99956682614325,2.16083764016243,2.02137608124255,1.83898355626911,1.75546716180555,2.01138269666406,2.17519879472254,2.28084252382762,2.36864078682371,2.66234515884581,2.58388720632297,2.86429657487096],"EWG^P_PRICE_RETURNS_PR('52W',2,-10AY,0,AM)":[28.116644,16.402864,13.784003,2.4187922,-7.178724,-3.3219814,-8.531737,-7.7869534,-3.5980344,-0.5595565,-1.3559818,-5.328971,-4.154664,-4.2968273,-7.557851,-11.788183,2.4149418,-4.3545904,-3.499335,-11.712331,-18.659782,-14.690935,-10.89704,-11.028528,-18.202908,-7.7985168,1.1534572,10.344815,-2.3649395,-6.844151,0.35682917,17.33234,19.2322,16.958069,15.283024,20.97019,34.63962,23.125256,21.326065,24.5502,29.415058,37.10482,29.41519,30.75447,20.439768,11.960578,12.470091,6.2983036,-1.8156528,4.991162,1.8808722,-4.6081305,-15.889204,-15.840328,-22.053802,-22.396702,-13.786173,-13.096989,-10.119665,-12.629663,-2.4084985,-9.282482,-13.833589,-8.999139,9.684742,11.232328,21.335018,11.362863,-1.3237476,-19.305157,-17.13065,-3.7296653,-2.938944,7.0599318,18.137026,10.273111,-6.767726,6.776035,11.4537,11.779833,20.497835,54.59101,56.8962,42.224648,35.14966,21.931898,19.852901,17.194307,33.03914,7.6613307,4.8463583,1.2601614,-6.8104625,-11.567706,-23.516172,-21.25249,-29.474598,-30.506813,-35.144955,-37.06645,-32.386024,-19.271755,-22.948915,-8.131266,-3.2212138,-0.9436369,15.233874,9.282923,22.597683,30.957104,31.24342,33.165897,15.932202,16.94274,23.936642,7.8136206,14.799774,18.630993,9.394037,15.909756,11.226201],"EWA^FG_TOTAL_RETURNC(-10AY,0,AM)":[1.2377381,1.9674659,0.70500374,-10.832715,4.7933817,-6.8217697,-3.0425131,-0.85624456,7.6363683,-1.2668967,4.31993,-7.913083,-2.2280633,-3.3115745,-7.621807,-7.5195847,9.486162,-1.908195,1.0091424,-6.9063663,-0.5701482,11.502897,3.0067444,-1.4594913,-2.207923,9.163141,0.291121,1.4997602,-3.9084852,2.926588,0.051379204,5.8358073,2.5701046,2.460134,-0.1333952,-3.5173595,2.6231766,3.9522052,0.13262033,-1.3244987,2.013421,0.7017493,3.4887075,3.9672256,-5.3504825,-4.294479,2.4725199,0.98302364,1.459682,1.5562534,-0.4816115,-2.6836693,-9.764928,5.8116317,-5.336499,6.129873,4.1605473,0.42293072,2.6204944,-0.18240213,5.0728917,0.62111616,-6.2610207,4.8447847,2.2880197,0.74561834,1.022315,0.83516836,-12.292939,-27.932411,14.5517235,11.318481,3.1290412,7.2378874,3.7220836,-4.019141,-1.3958037,17.795742,4.0948033,1.7879486,0.12254715,2.2031784,5.628741,1.058209,-0.7675588,-1.4138341,0.813961,-4.921186,8.57259,-8.528864,5.0019383,-9.290653,6.557369,9.64657,-5.2711487,-0.12009144,-10.960942,4.3215632,-0.04454255,-10.026735,2.9717684,9.908605,-1.4366686,12.799633,-8.259827,-2.3164272,3.5346746,-3.1114936,0.9812474,4.0954113,-6.1392126,-0.3684938,-4.993063,9.537721,11.037647,-3.2666385,0.0844121,4.0067554,-3.8118422,3.7942767,1.1618257],"EWD^FMA_PE(LTMA,-10AY,0,AM,\"PORTAGG\",\"MEANR\")":[15.7467427251816,16.0611780216363,15.7988982855242,15.9975096250154,15.9956546587917,17.3208469203877,17.6296427566868,18.6401266621652,20.3028254397121,19.9884372154015,19.4821713166962,19.4189210515324,18.8407063683087,18.3823728814562,17.5856684596746,16.2878138020433,17.2372055757519,16.906220085457,15.9152585557447,14.3403864561743,15.5362511309696,15.5026800271982,15.7781099139001,15.6146234712481,15.1024593865377,15.7921465888239,16.0318551972883,16.3440244863119,17.4301617457435,17.2831496947272,18.2944564243145,18.2306000773971,17.4411948352494,17.5869114328011,17.6333708179951,18.0905701056251,17.6277805823646,17.3240670000655,16.7800513140092,17.604947909851,18.5637459837511,18.1424936076705,18.0229763786687,18.4267800400263,16.9913152915228,16.780394482029,16.8300248064505,16.7210733583433,16.3515040870561,16.6243819627993,16.8842372551674,16.930242746771,14.8901571378867,14.8307876630702,13.8014625125488,15.9736771707489,18.1595410936155,17.8667742022224,17.9724385282923,17.2549669166631,17.1495017519452,16.9590313232432,15.6635535585257,16.5404088383934,17.0408192376055,15.9801715072724,16.4809561895831,14.1048481736897,13.003641439933,12.8749563991943,14.5412273424442,15.9981396480163,17.1737945135555,17.2257256408604,17.2936140350792,18.2403124612238,15.3288656644175,17.3005798810319,17.7003175263117,18.5343582987461,17.9459081411852,18.4534832245052,18.2823759908038,18.0484858466941,18.1463659851353,17.8401441448299,17.8117378244922,17.1857858871689,16.7611147800969,16.4034681825857,17.0171420075421,12.0852440657045,11.712367883386,12.0694549349992,12.2456442166109,13.734336479672,13.4867666113835,14.5746114121566,14.623104260284,14.3901772232482,13.4848032310006,14.272491472968,15.5611739957881,24.9405947206644,25.3027275443028,24.0727634434601,23.063524935267,21.9684265191982,20.6676326664643,19.5109783971318,17.776137166826,16.5829648844125,15.6655839433443,15.9703258991829,17.964573326437,15.3788475532832,15.7421361957438,15.9085794415529,15.9069816209811,16.0941733432275,16.0320509942331],"DDR3512M-FDS^FG_PRICE_CHANGE(0,-6AM)":-4.49173520942535,"PLATI-FDS^FG_PRICE_CHANGE(0,-6AM)":0.298507462686559,"EWC^FG_COMPANY_NAME":"iShares MSCI Canada ETF","EWA^JULIAN(FMA_ROE(NTMA,-20AY,NOW,FY,\"PORTAGG\",\"MEANR\").DATES)":[38352,38716,39080,39447,39813,40178,40543,40907,41274,41639,42004,42369,42734,43098,43465,43830,44196,44561,44925,45289],"TRYPH10Y-FDS^FG_YIELD(-10AY,0,Y,,\"YTM\")":[3.8633,4.1,4.6281,5.6986,7.1730304,4.847582,3.4208684,4.796723,6.9293385,6.0028777],"TRYTR7Y-FDS^FG_YIELD(-10AY,0,Y,,\"YTM\")":[7.979133,10.679033,11.110786,11.586128,15.896213,12.034795,12.534946,23.870693,7.323803,21.984322],"CAGDPY@SE^EE_ACTUAL_ANNUAL(MED,0)":6.4686639012956,"CAGDPY@DE^EE_ACTUAL_ANNUAL(MED,0)":6.09959759767018,"USDITL^STD(FG_PRICE_CHANGE(0,-3AY,M))":2.15371198605892,"USDANG^STD(FG_PRICE_CHANGE(0,-3AY,M))":0.0586284178983467,"USDUSD^STD(FG_PRICE_CHANGE(0,-3AY,M))":0.0,"USDGBP^STD(FG_PRICE_CHANGE(0,-3AY,M))":2.34575948431162,"USDJPY^STD(FG_PRICE_CHANGE(0,-3AY,M))":3.00862576067304,"USDCAD^STD(FG_PRICE_CHANGE(0,-3AY,M))":1.79553672899039,"USDNZD^STD(FG_PRICE_CHANGE(0,-3AY,M))":3.46872846416491,"EWJ^FMA_EPS(NTMA,-20AY,0,CY,,\"PORTAGG\",\"MEANR\")":[2.83572005832403,2.84830335934349,3.29156932486821,3.66778515674736,2.74393009109397,1.93733358061505,3.17729322550467,3.09458124193192,2.8747287105461,3.27496071085416,3.14456301788536,3.44827515089069,3.33160709427031,4.07233312791291,4.56488250158257,4.07638230861392,3.67789542177963,4.61613856769821,4.46089543101883,4.5665409137847],"EWC^P_PRICE_RETURNS_PR('52W',2,-10AY,0,AM)":[25.677633,19.021929,22.316444,11.436188,4.909301,5.505812,1.4654279,-2.2598445,-1.3864279,-5.4143133,0.43076277,-6.639385,-11.723078,-21.44078,-24.693716,-26.420074,-17.612886,-23.69265,-23.43154,-21.426094,-20.985186,-12.350357,-12.5418005,-9.596163,-11.010909,1.5532374,12.731624,17.542421,7.041967,14.496875,22.349548,38.34003,25.616014,17.577553,5.831349,8.600044,14.529324,13.735676,9.867358,14.759434,15.085101,14.295793,16.244316,12.710535,6.324649,3.067553,9.908188,11.625147,6.4377666,6.7534924,7.998538,1.5204668,-6.4311085,-6.6241264,-17.481888,-10.19339,2.70288,4.3738246,3.8315058,-1.0104537,4.422462,1.0836959,-2.1770895,2.9904604,12.912703,16.369486,28.563427,16.456663,1.3009429,-23.206097,-13.337851,-6.5786004,-9.617114,-2.816397,6.2859297,-2.287978,-6.145203,5.253637,5.8386803,5.244851,13.449931,60.214676,52.77002,52.60012,51.63697,38.549686,32.173264,34.87228,52.235485,27.98016,26.33195,22.144377,21.08494,20.58692,7.1509957,1.4057398,-6.4864516,-4.0085077,-3.759116,-11.818064,-14.6495285,-7.303053,-13.396573,-1.5671492,-8.9385805,-15.965724,-5.018151,-6.7575035,2.7241945,5.189812,-0.56366324,9.601212,-2.205801,2.10104,15.978241,4.832852,9.877038,18.091917,11.873341,15.604984,10.419917],"ENZL^FG_TOTAL_RETURNC(-10AY,0,AM)":[1.8628478,-1.7306745,-0.96502304,-5.286235,2.9320955,-0.024992228,1.7772079,-0.27745962,3.6708832,-0.048840046,0.14659166,-7.2212815,-5.39732,-0.19959807,-6.199998,-2.5586426,12.347603,-1.2242615,6.1871886,-5.8373747,4.708588,8.554972,4.672897,-0.2560258,2.1722436,8.8249445,2.9748797,-0.9432912,-7.17057,-1.4428735,-3.2143295,9.6416,-0.69060326,-3.963834,2.7757645,4.0394545,6.7424893,2.0034432,-0.8870065,0.53271055,-3.2005131,0.7882595,5.2865386,3.0494213,-1.5918314,0.53919554,-1.0932326,0.0,2.828443,-0.39184093,1.8840551,-1.2395859,-9.567899,9.169507,-2.3386717,5.58331,1.7283916,4.389167,0.7362962,-1.9042134,6.249082,2.6976347,-6.585187,0.9177923,1.3351321,4.8119187,7.8433156,-0.9489298,-7.9080343,-18.142986,15.355682,1.9562006,5.9199333,8.590102,5.0128937,-4.9373627,3.6520243,9.838783,3.297639,1.5557885,-8.768606,-1.039499,5.187452,-5.323392,0.11086464,-0.9649992,3.7819982,-1.6231716,2.84698,-8.773202,2.4558902,-12.010932,5.6310654,-0.4544139,-6.3945055,-5.5458665,-4.7831116,5.6147337,-2.6476145,-7.9538107,1.02005,6.476319,5.9833884,7.957828,-6.279916,0.51072836,1.4634132,-3.0849278,-0.91962814,3.4555435,-8.411402,-1.8901527,-6.9809556,11.330402,8.4931965,-3.4184515,-3.5181284,0.530386,-2.681911,0.8583665,2.5942802],"EWI^FMA_PE(NTMA,-10AY,0,AM,\"PORTAGG\",\"MEANR\")":[13.9565837343679,13.9643040105165,13.7250709569735,13.7311671849196,12.5721160672281,13.0012291690605,12.5626614558153,13.8885377030718,15.5512236592378,15.6616611687816,15.9562495970784,15.9015225865459,15.5950772367398,15.1186968098095,14.4423069780737,13.5609807909775,14.8779268857227,15.0400503047353,14.0926353922249,12.6022151403417,12.8578699581264,13.1901897933305,13.7176985273419,13.7815013289343,11.3686803318182,12.2081215025333,12.5575035375855,11.6602316125029,12.2404668822241,11.3702756545499,13.6393051003572,13.0825952970425,12.7903887811697,13.6237290486886,13.3991037145028,13.5484967635559,13.3260478098238,13.4349831159478,13.2579159663236,13.540847414068,13.5765474854277,13.172425057697,13.099227772513,13.4628376783266,12.5113627539402,12.4050394791236,13.0278504905678,11.778886222646,11.285421218537,11.590095834428,10.7824541436127,10.6168313074978,9.59714379893144,9.62704669344938,9.14870761961641,9.84218530300164,10.579188236159,10.6928579692022,10.8643545121416,10.0334876738824,10.4639889943715,10.7585131182568,10.2946427004136,10.779550435768,11.0760152843444,11.355849471257,11.5142226201628,11.5655049808911,10.5432842641668,9.44387654154972,12.9661229028756,16.0254412408991,17.1626935860264,17.3672933967536,15.9079809952002,14.849989630526,13.1999643536896,15.1239107684721,14.8524943574434,13.4913044688627,13.701980133488,13.9292694660268,13.6298313001502,13.5982743353451,13.4541148650836,13.081929335765,11.9968823855508,11.5775501235376,11.7210635513332,10.9811363781928,11.1192522514085,10.6054622005951,9.83888117357743,9.6108596014976,9.3469730657631,9.07744000110074,8.01318599643673,7.65631755788619,7.42976503025865,7.21979632726026,7.78565646180999,8.00785172653481,7.65405305901628,8.42317401597185,8.25846077016601,8.26768247969392,8.58843610479894,8.12436312729496,8.62927907190731,8.75894527940749,8.34344371627955,8.23423957018928,7.78544513223225,8.28723294004359,8.89162395496868,8.95295433427643,9.27044509460288,9.80532738080598,9.57997279571212,9.75213368627522,9.31875467970636],"EWN^FMA_PE(LTMA,-10AY,0,AM,\"PORTAGG\",\"MEANR\")":[16.6468033524706,16.4316904607368,16.5722264033016,16.7587827406305,16.1915297007355,18.0265464065326,17.6644900500192,18.6992583034372,20.1223054586507,19.9157582397055,19.8183341998011,19.6057875866644,19.2686697328413,18.9082325291488,17.5854878735079,16.478765414725,17.6347300083892,18.2517716650076,17.1166505891303,15.8940359849444,16.2192761305052,16.3791726805746,16.3514642411335,16.3849644431134,15.4761947925503,16.0766224387162,16.143297624822,16.0494492460377,15.87174931831,15.5300726045514,16.3300535809227,16.3436329511664,16.402686545474,16.4838407531114,16.6536301956244,16.7272567607889,16.602083328141,16.7096139408053,16.5122581349401,16.9038827451073,17.2696013624524,17.2876159910729,17.3066721530781,17.5240262691346,16.6659184482538,16.5526231315194,16.5902275298072,16.7124678648962,16.4444794565205,16.8681212405149,16.666576905377,16.2922426656578,15.2369517361537,15.4184339472699,14.1347259949666,15.1310319785671,16.1413693740359,16.1155394241693,16.3134571546665,16.0935264629574,16.3913612047219,16.7684398174934,16.3953900897814,17.043682883514,17.3977656962217,18.0938151975424,18.7883981766724,18.59896089623,17.3367558592985,16.7781881219891,17.7995024954651,18.5898832435905,19.4286033317722,20.4271611811995,21.27776599445,21.7864252934527,21.6679527432082,25.2124997430295,27.2882082401889,27.5105058853445,28.9833052381028,28.6240768907173,28.0317953643511,27.1189921730992,26.6572471870832,26.2583510194118,26.0662196061201,24.522982409869,24.7269668315583,22.9560332613628,22.8834221639165,20.1757932498599,18.3316789033893,18.5067684782076,18.2773655002146,18.5096848993216,18.2256160596035,19.5583211632464,18.9947858568893,17.3019634937755,18.1086900775098,18.5954609729032,17.6677914814006,19.5801267691276,20.6531685379495,20.2281362976121,19.8621341051432,19.6212473800492,19.1748762743478,19.3078073594379,17.7938832202714,16.6398222495331,15.7191842540295,16.3994624755448,16.6827149727024,17.3871092095876,18.4809471903323,18.4593068979735,18.1838648439437,18.3496530714527,18.2850494482172],"DDR3512M-FDS^FG_PRICE_CHANGE(0,-3AM)":-2.69630039608451,"PASP-FDS^FG_PRICE_CHANGE(0,-3AM)":-7.3170731707317,"PLATI-FDS^FG_PRICE_CHANGE(0,-3AM)":9.56521739130434,"W-FDS^FG_PRICE_CHANGE(0,-3AM)":-1.20481927710843,"COPP-FDS^FG_PRICE_CHANGE(0,-3AM)":9.66654177594606,"EWI^FG_PRICE_MAVG(0,,,,200)":34.46175,"SPY^FG_PRICE_MAVG(0,,,,200)":485.36835,"EWJ^FG_PRICE_MAVG(0,,,,200)":65.4759,"ENZL^FG_PRICE_MAVG(0,,,,200)":45.381004,"SPY^FG_TOTAL_RETURNC(0,-1AM)":3.0516744,"URTH^FG_TOTAL_RETURNC(0,-6AM)":11.563408,"VGK^P_PRICE(0)/P_PRICE_LOW_PR(0,,,,,,\"PRICE\",\"INTRA\",\"52W\")-1":0.212677,"EWI^FMA_PCT_ABOVE_MAVG(200,0,,,,\"PORTAGG\")":52.0,"EWN^PERCENT_CHANGE(FMA_EPS(+1,0,,,,\"PORTAGG\",\"MEAN\"),FMA_EPS(+1,-3AM,,,,\"PORTAGG\",\"MEAN\"))":-1.77030932834955,"EWD^FMA_PE(NTMA,-10AY,0,AM,\"PORTAGG\",\"MEANR\")":[15.5303178945298,15.6275326730427,14.6916139058729,14.6050360839399,14.3337511694805,15.6989876845885,15.7046229483106,16.5424876198681,17.3936140410266,16.9545597539632,16.4045870923368,16.7149696899292,16.0282338496078,15.7261319812649,14.9965770666275,13.8287317549284,15.483410315682,15.5641889758175,14.8361228575839,14.2761879950436,15.1124638352433,14.8098286306975,15.6288560099109,15.0941833698299,14.0052329536308,15.1799651196368,15.4426152553483,15.4981612720195,16.2347847568305,16.0714360553745,16.524514356487,16.3948013417411,16.3898648505327,17.0851941028595,17.090100577415,18.0171480827448,16.7293487577503,16.1686002397141,15.6770440067044,16.6697128923411,17.3207387816282,16.6786551968506,16.2402064267162,16.6833353702567,16.3892673839327,15.5921405309202,15.9748155896869,15.7591945336442,15.0983192476923,15.6151325209726,15.9774885569838,15.8808559138146,13.9171393119493,14.0580017636351,13.3263765362382,13.885310433192,14.7869103765623,14.7612127029991,15.8891311389215,14.6284024639348,15.0017797984324,15.0583585867772,13.5332328639447,15.0689863981754,15.9469884978664,15.7087257041092,16.3857057849898,16.251158026973,15.0630381290316,13.5306074789682,16.9772878563775,18.8737734959862,19.2607166452467,18.7166259629413,18.240243005214,18.405241141464,16.3246662493943,17.5741032098376,17.2741139850313,18.7827483046616,18.7926173478026,20.3277463651872,19.120892917457,18.5256920987005,18.5884889533149,18.6246304834563,18.6297450997014,17.8366283205761,18.3377913867373,17.8910129870232,18.683923189087,16.4780354888962,15.1468533194272,15.1680767816586,14.4702636567714,16.1692037980442,14.4741439041099,15.2158039334273,14.271908245054,13.1493643086544,13.237770483772,12.9999326446365,12.7290473355695,14.1048421241613,14.0983987816113,13.1882174581248,13.7870870387016,13.5614768103215,13.411102488489,13.4419235361669,12.7380442541995,12.792194157516,12.3913850859726,13.3580706964399,15.714837647022,15.4849573842263,16.2276443392016,16.4211459844151,16.0409530901524,16.2994978672248,15.9192626069432],"DDR3512M-FDS^FG_PRICE_CHANGE(0,-1AM)":-2.97454306097333,"PASP-FDS^FG_PRICE_CHANGE(0,-1AM)":-3.55329949238579,"PLATI-FDS^FG_PRICE_CHANGE(0,-1AM)":-4.90566037735849,"W-FDS^FG_PRICE_CHANGE(0,-1AM)":-20.9568011424491,"COPP-FDS^FG_PRICE_CHANGE(0,-1AM)":-9.94769767203363,"EWI^FG_PRICE_MAVG(0,,,,60)":37.367832,"SPY^FG_PRICE_MAVG(0,,,,60)":523.55066,"CAGDPY@NL^EE_ACTUAL_ANNUAL(MED,+1)":9.3,"CAGDPY@CA^EE_ACTUAL_ANNUAL(MED,+1)":-0.6,"USDITL^STD(FG_PRICE_CHANGE(0,-1AY,AM))":1.84751268008856,"USDANG^STD(FG_PRICE_CHANGE(0,-1AY,AM))":0.0,"USDGBP^STD(FG_PRICE_CHANGE(0,-1AY,AM))":2.07218146056375,"USDJPY^STD(FG_PRICE_CHANGE(0,-1AY,AM))":2.8978346864021,"USDCAD^STD(FG_PRICE_CHANGE(0,-1AY,AM))":1.84836125101577,"USDNZD^STD(FG_PRICE_CHANGE(0,-1AY,AM))":2.88521952836666,"EWG^FMA_EPS(NTMA,-20AY,0,CY,,\"PORTAGG\",\"MEANR\")":[1.52066411043583,1.60643474084628,2.11909900762238,2.80661608339197,1.99715132688841,1.74300870329695,2.17390808983831,2.1750966873774,2.27358500860511,2.40616014173578,2.13415894814862,1.96165601541568,1.94158660997406,2.40362877806351,2.32116072306873,2.08815829612982,1.98003612030208,2.44944590598376,2.36386839889078,2.65863143369802],"EWA^P_PRICE_RETURNS_PR('52W',2,-10AY,0,AM)":[19.340683,16.679455,20.457125,-2.333337,-2.7050972,-3.4360647,-4.3179154,-0.53090453,-0.88799596,-4.1344585,-4.1553917,-11.173463,-14.214373,-18.65564,-25.381613,-22.609066,-19.143402,-16.71241,-11.32257,-16.733997,-22.559196,-13.134193,-14.227676,-9.4662075,-8.197719,3.6465883,14.13393,23.498953,8.38995,13.732314,12.653899,30.390549,32.11827,21.403622,17.702663,15.362465,20.937908,15.164911,14.982891,11.783468,18.086672,16.107237,20.096184,18.307507,8.865595,1.6887069,4.6216607,8.508146,7.9710007,4.833567,4.8353553,3.3913374,-8.102739,-3.905481,-12.100124,-10.271704,-1.2551844,3.6120296,4.367888,2.5641441,6.216693,5.8410525,-0.8729756,6.7955613,21.060514,17.037737,23.908197,16.870367,-1.5908062,-28.844786,-21.16658,-12.083471,-13.325387,-8.035559,1.7585754,-6.844449,-10.19935,4.9984455,8.191872,9.214163,18.37864,63.501835,63.035107,48.008095,42.4158,30.926014,27.744114,26.059174,38.803135,7.185817,8.723127,-3.1103015,3.1167507,10.626686,-0.788939,-1.9457042,-12.018061,-6.8995895,-6.3238087,-12.649137,-17.155218,-0.45651793,-6.560409,16.711891,0.037443638,-10.877156,-2.5924623,-3.4985542,7.163489,6.9311857,0.41117668,11.189878,2.7376413,2.243197,15.183258,-1.5383601,7.7618003,14.737356,7.9960465,14.193606,14.397812],"ENZL^JULIAN(FG_TOTAL_RETURNC(-10AY,0,AM).DATES)":[41817,41848,41879,41908,41940,41971,41999,42032,42062,42090,42122,42152,42181,42213,42244,42275,42305,42335,42366,42397,42426,42457,42488,42517,42549,42579,42608,42641,42671,42702,42732,42762,42794,42822,42853,42881,42914,42944,42975,43006,43035,43067,43097,43126,43159,43187,43217,43245,43279,43308,43340,43371,43399,43432,43462,43493,43524,43552,43581,43613,43644,43672,43705,43735,43766,43796,43826,43858,43889,43917,43949,43979,44008,44040,44071,44102,44132,44162,44193,44224,44253,44281,44314,44344,44375,44405,44435,44467,44497,44526,44558,44589,44620,44648,44679,44708,44740,44770,44799,44832,44862,44893,44923,44953,44985,45013,45044,45072,45105,45135,45166,45197,45226,45258,45288,45317,45350,45379,45408,45440,45471],"EWQ^FMA_PE(LTMA,-10AY,0,AM,\"PORTAGG\",\"MEANR\")":[15.6779284495105,15.4378203446007,15.3991090658538,15.3731192448609,14.6583754186708,15.4478417961018,15.1233756070699,16.188952901764,17.5590988431393,17.5399411741343,17.5957913935368,17.5615036171762,17.3969752417282,17.1376420123799,16.2018849903923,15.329294188019,16.3898600076103,16.3796450807112,15.3550916838041,14.3949941287144,15.0134818455844,15.0924984594099,15.303036926493,15.2619188509632,14.5598112980887,15.0602302532277,14.9344542492125,14.8451983026826,15.0584470495502,14.799321178259,15.7093420467691,15.6889412314576,15.5832062176459,15.6379201928902,15.7677768365969,15.805845667154,15.6921175787291,15.5432494066367,15.4304475234238,15.8405563503979,16.2793605653617,16.0878490782777,16.0313942859884,16.6075926058874,15.6214282695546,15.4507525004458,15.5943383349066,15.5509828623392,15.1172228774354,15.3473106547823,15.17606112166,15.1034403151283,13.9018180370076,13.7202940765995,12.8117959428372,13.4761874743701,14.5731947255995,14.5123113224696,14.6781481223226,14.4335721877356,14.6838894979361,14.9554047587309,14.5744054787222,15.1225834866721,15.5880461876682,16.1378360310591,16.622265830344,16.344430458987,14.6441363459583,14.3441610195966,15.7162453288052,16.9527206961277,18.2904883037623,20.3614934940039,22.6072366656098,23.1539119819932,22.862033922236,28.1560525764494,28.9401012111029,27.8758993730499,27.0710572154549,26.4099334502148,25.611898696666,24.7097661622561,23.7567864757599,22.571824981684,21.1628647537208,19.646437030284,18.9483475463143,17.3750006491248,17.3441792948884,16.2070506189848,15.4793464797258,15.239764005706,14.8664483629712,14.4411733569588,13.7459079498169,13.3892208871488,12.7282791075152,11.5248361638719,11.8384112510001,12.1169573473503,11.5854721906601,12.8782828086893,12.9007030112978,12.8795370699921,13.2308014693638,13.1063165473447,13.220778946529,13.4505599355244,13.2584396930723,12.9567261008705,12.4938024962678,13.3149702595161,14.0655639005272,14.4774339639435,15.5440878253408,15.5309918003758,15.4554193871891,15.3938828167758,14.9926750359257],"TRYBR10Y-FDS^FG_YIELD(-10AY,0,Y,,\"YTM\")":[12.319731,15.989595,11.062725,9.887577,8.936093,6.883678,6.961219,10.970291,12.900059,10.455909],"EWN^FMA_PE(NTMA,-10AY,0,AM,\"PORTAGG\",\"MEANR\")":[14.239938799722,14.0732518050867,14.4086586687299,14.6043634602116,14.0912493744036,15.2708740916053,14.8835903560663,15.7136235878234,16.9244555464129,17.0369201402442,17.4037973597398,17.2804076801377,16.9223364397987,16.6198896891555,15.0305176997617,14.129832841936,15.8372694195526,16.5384330968825,15.5414358103027,14.6103799808108,14.7354410919535,15.2356838952172,15.2640262289036,15.3805035896872,13.5542068243007,14.7010815102227,14.9229762715567,14.8336447288262,14.7948942973229,14.5308255896309,15.0764403616131,15.1461186354191,15.4775278626066,15.9560803204899,16.3456238317593,16.3547968889701,15.9004501710517,15.9790912658229,15.5985596361705,15.8835822538319,16.2565971851708,16.0406879179298,15.9797516443663,16.3819912514202,15.6135502244024,15.3416389075717,15.677400198192,15.9930823957064,15.3814160858803,16.0704301945225,15.5922766139146,14.9443294080648,13.7349906754253,14.141356200369,12.9703594783904,13.9535940515001,14.8504332804713,15.0068824538918,15.6817720931421,15.0284335260467,15.4834378485148,15.98423343854,15.2283692108983,16.184677901641,16.27423545004,16.7645426154781,17.1821495250251,17.0845808854699,15.652215115505,13.7338412928161,17.1661129321401,18.54543719856,19.4000913770864,20.040095716886,19.8467330585131,19.2512438179736,18.6689337934544,20.734021447468,20.6534399566737,21.1445046559669,21.4166993700112,22.289181552451,22.185852537602,21.2145092805885,21.3563739470065,21.3838194872875,21.9161825784566,20.6232708193059,21.2624818925137,20.2241606212676,20.6065234952806,18.2780994873101,17.4728515755676,18.1905453198721,17.1244132708079,17.2613078155288,16.2647638305226,17.8659743786689,16.7172590051053,14.4570234454413,15.1512264680533,16.4533127271851,15.3429641723471,17.131947211805,16.4807481202809,15.9127458808374,15.8332249132083,15.9889947034409,15.6984402693034,16.3822686244203,14.6815457202831,13.4921368911034,13.1294577249204,14.5960866548614,15.1353313127805,15.7669416123871,16.2981876502045,16.3778003736016,15.7707094085458,16.3710210906531,16.2301122784385],"SPY^FMA_PE(LTMA,-10AY,0,AM,\"PORTAGG\",\"MEANR\")":[16.3928473764384,16.4017578019337,16.482424651592,16.4333048698529,16.5200877352003,17.1148636188273,17.5230511247465,16.8102582432781,17.59103730002,17.494488374599,17.5881007271073,17.5593866955943,17.484466481276,17.4737706550469,16.9143178043277,16.2268504871937,17.5029596885784,17.4962548504994,17.2269315558638,15.8540396881997,16.2966838906097,16.18819342752,16.4452153070474,16.7505275257683,16.6274372620514,17.3417153101231,17.5168705731979,17.7586808901792,17.5366805511185,18.269117714608,18.8685089405499,19.0923490355538,19.4949236055791,19.3513265349602,19.2294920728576,19.1914525240663,19.1563885213301,19.1828759477783,18.950177580018,19.2692803368464,19.6519421968673,19.8871502775086,20.3424092743981,21.4535182086338,19.7961415133282,19.397854491575,19.1526422058075,18.9513526310138,18.6162559107363,18.6682207451327,18.7065684233451,18.5967626970535,17.0772898744462,17.190153762362,15.3994994148198,16.3417810595753,17.1101396920555,17.1098787682915,17.3057946397782,16.9967297261562,17.4039736504324,17.7995704835975,17.3741378906798,17.7948497713015,18.3311216819533,19.14879162315,19.904822482927,20.0311131668123,17.9045011539571,17.5178035405494,19.1152577497124,20.3720615312344,20.8154241075015,22.0667572716777,23.6538679165597,23.4501282526467,23.1079115641256,25.37700644091,27.2088074131602,26.8664242513535,26.2931693999151,26.0763065684802,25.7203226526062,25.1175797993225,24.8489104811995,24.2957347203158,24.0129849878474,23.0912091267124,23.3081837064345,22.8264105343905,23.3684783730455,21.3974826070577,20.7184478615194,20.7699573676528,20.2135642692974,19.8217811952963,18.845862847626,19.2046775781938,18.9991269056082,17.7131277535044,18.2029673079963,18.1976298721585,17.1770261962923,18.4998907302,18.0557703168231,18.0500663299995,18.3316453496115,18.4400900889249,18.9549987966586,19.6785869832257,19.3089651218082,19.082059067741,18.5610313860259,20.381856765429,21.7651845122956,22.2767425496848,22.665781846874,22.7675107402841,22.4327679812251,22.5507802149751,22.817985806256],"DDR3512M-FDS^FG_PRICE_MAVG(0,,,,30)":0.9556652,"PASP-FDS^FG_PRICE_MAVG(0,,,,30)":957.36664,"PLATI-FDS^FG_PRICE_MAVG(0,,,,30)":1012.7,"W-FDS^FG_PRICE_MAVG(0,,,,30)":6.308833,"COPP-FDS^FG_PRICE_MAVG(0,,,,30)":4.6506834,"CAGDPY@NL^EE_ACTUAL_ANNUAL(MED,0)":10.1631565168417,"CAGDPY@CA^EE_ACTUAL_ANNUAL(MED,0)":-0.725414399026327,"USDITL^FG_PRICE_CHANGE(0,-6AM)":3.6202549999999998,"USDANG^FG_PRICE_CHANGE(0,-6AM)":0.0,"USDGBP^FG_PRICE_CHANGE(0,-6AM)":1.0204911,"USDJPY^FG_PRICE_CHANGE(0,-6AM)":14.170122,"USDCAD^FG_PRICE_CHANGE(0,-6AM)":3.7690043,"USDNZD^FG_PRICE_CHANGE(0,-6AM)":4.332483,"EWC^FMA_EPS(NTMA,-20AY,0,CY,,\"PORTAGG\",\"MEANR\")":[1.20309203563583,1.51116357259943,1.75142389864603,2.13167450038286,1.71974218387406,1.79551827424964,2.09754276006241,2.2894893869441,2.21761530023934,2.02017545762442,1.86130476812284,1.52246252495242,1.66157074539786,1.86172454535832,1.97740509819126,2.07393921799229,1.95784087398727,2.66448337817763,2.74920456102042,2.68263358415049],"ENZL^P_PRICE_RETURNS_PR('52W',2,-10AY,0,AM)":[31.260944,19.711994,25.170158,5.305612,5.2200913,9.209024,12.191319,7.9549313,8.312106,0.83146095,2.079451,-5.582863,-11.957497,-10.946125,-15.653503,-13.22447,-5.2868485,-7.555169,-2.368337,-7.8116775,-6.431919,1.1260986,5.696678,12.448978,22.723888,33.82131,49.413906,49.346207,23.400259,23.127138,12.225819,32.269108,23.936033,9.643448,7.6562405,12.167358,17.3154,9.961689,5.8377743,7.4148297,12.532436,14.544296,24.60494,17.491758,16.050316,21.49179,17.193449,13.247908,8.25802,5.470836,8.671534,6.7557573,0.57024956,8.026981,0.2032876,2.6671886,6.1311364,10.195231,13.34455,10.0963955,13.758814,17.971062,7.537532,10.067833,23.135233,21.434475,29.2261,22.468985,10.86787,-12.229377,-0.44589043,3.471911,4.7606587,9.069872,22.61164,15.497816,18.138515,23.804546,18.586086,21.584797,15.762925,35.993122,32.78004,23.299658,16.537403,6.283009,5.7263017,8.699155,7.8549147,-10.285175,-11.1508665,-23.020119,-10.869855,-10.3428955,-20.214838,-21.01115,-24.293495,-19.263666,-23.400068,-29.139114,-30.397856,-18.763124,-15.966188,0.30043125,-8.5211935,-7.63427,0.11956692,3.4167051,6.8963647,4.710984,-1.4884889,5.00108,-2.4090886,1.0924816,3.4864664,-7.9473734,-4.6904087,-4.6717644,-6.525427,-4.846162,-1.4715075],"EWI^FMA_DIV_YLD(NTMA,-10AY,0,AM,\"PORTAGG\",\"MEANR\")":[3.53834836860931,3.4633092936735,3.60339535441902,3.6034078742135,3.93055819721228,3.87477681546849,4.00401583903138,3.81736137338666,3.41457510831913,3.125377393635,3.12332019992572,3.14493389748772,3.20644966201649,3.23282505542394,3.36161607645676,3.62704032346599,3.52530888758981,3.5514159722485,3.84874800246021,4.53666471060743,4.53903714469403,4.36113590156608,4.23463956966988,4.46586461677135,5.22480321140259,4.84567846013278,4.72703655986063,5.03441941996967,4.72184418267947,4.96802964962956,4.29669173872417,4.35892248650116,4.31029051930143,3.93471224630049,3.91933641965632,3.83574998414522,3.78999102476899,3.77611740327441,3.77922270627494,3.69113898340999,3.80407245657845,3.90264003205092,3.9407952404814,3.715486927804,3.97217746579567,4.12093541584289,3.89973611984773,4.26631934256164,4.5298309513909,4.3825683159902,4.67537192993438,4.70037028921162,5.15511531246389,5.13766918132521,5.4543874162368,5.11748617147708,4.81990355712117,4.71372866129699,4.64846280292744,4.99825972915832,4.84056531922918,4.72456656508601,4.96851145944815,4.74352820058867,4.63933279537819,4.52978251901181,4.44693216965644,4.46208439250665,5.00870337290942,6.32249178308411,5.33199937869182,4.61566542196607,4.4130319974048,4.31090408874201,3.99841115369264,4.17260865869728,4.5488970479574,3.87059193919859,3.9263997256899,4.10942434548994,4.12158272097112,4.03481708851624,4.13189907989272,4.09625271062973,4.12836256051948,4.22456730249964,4.39015084236153,4.5619310801819,4.38664395323379,4.6191803458662,4.5753233866312,4.80874726815908,5.07032951742041,5.14374987525138,5.1605287910056,5.09435706025578,5.73074126933345,5.89699034266719,5.8092080616023,6.14092495423626,5.77312539170413,5.54981329889721,5.90728745306375,5.42929540805749,5.57739276786835,5.55587827050823,5.39790572246111,5.68716740384613,5.3992866371773,5.22225193256251,5.51763997674725,5.54510714380129,5.81248357827925,5.55238419362445,5.48372322432957,5.43406890767703,5.31598887820835,5.07952817824143,5.24226208945742,5.22840037216431,5.48221082220876],"EWI^FG_PRICE_MAVG(0,,,,30)":37.631668,"SPY^FG_PRICE_MAVG(0,,,,30)":536.006,"EWJ^FG_PRICE_MAVG(0,,,,30)":68.06067,"ENZL^FG_PRICE_MAVG(0,,,,30)":45.717426,"EWI^FMA_ROE(NTMA,-20AY,NOW,FY,\"PORTAGG\",\"MEANR\")":[12.7201174133668,14.3538872460945,15.0689086026843,13.8121430445963,10.7897502226351,8.0585564947071,8.81990423698703,8.11660136585425,7.83939542493847,7.34575996709421,7.29870487123998,7.28937842659948,7.64480507807432,9.05384965064241,10.3909656073461,10.2353053584578,8.27578853786002,11.7277999998841,13.3202789860828,13.3572149047324],"TRYVN10Y-FDS^FG_YIELD(-10AY,0,Y,,\"YTM\")":[7.3,6.277413,7.1117578,5.6717234,4.738006,3.5404546,2.4877946,2.059403,4.687226,2.9473283],"TRYTW10Y-FDS^FG_YIELD(-10AY,0,Y,,\"YTM\")":[1.6015,1.015,1.2037,0.9478,0.8648,0.672,0.315,0.7413,1.2812,1.211],"SPY^PERCENT_CHANGE(FMA_EPS(+1,0,,,,\"PORTAGG\",\"MEAN\"),FMA_EPS(+1,-1AM,,,,\"PORTAGG\",\"MEAN\"))":-0.507189181449166,"EWC^P_PRICE(0)/P_PRICE_LOW_PR(0,,,,,,\"PRICE\",\"INTRA\",\"52W\")-1":0.18083417,"EWJ^SIZE(FG_CONSTITUENTS)":205,"EWI^FMA_RBICS_REV_CURRENT(30, LOC, \"PORTAGG\")":37.3007280733583,"EWQ^FG_ROE(0)":12.7753102309871,"REFFFUND-FDS^(SUBARRAY(NOT_NA(NO_REPEAT_F(FG_YIELD(NOW,-10AY,D))),0,1)-SUBARRAY(NOT_NA(NO_REPEAT_F(FG_YIELD(NOW,-10AY,D))),1,1))*100":25.0,"TRYNZ10Y-FDS^FG_YIELD_NAME":"New Zealand Benchmark Bond - 10 Year","VWO^FG_FCF_YIELD_NTM(0)":5.42403043686262,"EWI^FMA_PE(NTMA,0,,,\"PORTAGG\",\"MEANR\")":9.31875467970636,"EWN^JULIAN(FMA_DIV_YLD(NTMA,NOW,NOW,M,\"PORTAGG\",\"MEANR\").DATES)":45470,"QQQ^FMA_EVAL_EBITDA(NTMA,0,,,\"PORTAGG\",\"MEANR\")":16.9128532965975,"TRYGR10Y-FDS^FG_YIELD(-10AY,0,Y,,\"YTM\")":[9.61,8.24,7.15,4.14,4.37,1.45,0.618,1.315,4.585,3.099],"ENZL^FMA_PE(LTMA,-10AY,0,AM,\"PORTAGG\",\"MEANR\")":[17.9603066708657,18.1215551860966,18.1050061348496,17.9041434392104,18.2491863053381,18.4770941038802,19.135174035517,20.0829081486078,20.5337322033324,20.2006707560209,20.0557428804355,19.9766431577194,19.6496878236845,19.7242208505507,19.2539410452504,18.8898802758935,19.5270315424037,19.5938339966836,19.7503846980901,19.0872812444902,19.2903080505808,19.2428302603712,19.4198652735723,19.7113687304568,19.4194722029618,20.4848001334618,20.7805426923717,20.8121612414088,20.0749684485734,20.088094613932,19.995063383353,20.6890630841297,19.7021358680457,19.708271012537,19.9491833529165,20.018662549414,20.1845278340189,20.2788784152449,20.7024470206733,20.615949003739,21.2738816920246,21.3817267546877,22.3832747686785,22.0496253338217,22.6915007290246,22.444129212815,22.2664753550181,22.3886540725343,22.9283628355234,22.9621223800791,23.5254090043749,23.5544135019859,22.1527705536011,22.4364979380737,22.9248217065475,23.5225709144912,24.1815760550784,24.1364963825939,24.1921509649454,24.3629122826639,24.6848111926374,25.2092204939537,27.6784705243212,28.3667682013023,28.6233470831364,30.6718305405671,32.6498180472433,32.5829269066197,31.1164202842496,30.3305862666326,31.7642863436313,32.752382371143,32.4023525668873,33.4928266692619,34.5065602866794,33.8189932885928,35.3700177871155,35.3171921537724,37.8661436110235,37.0373389089881,34.3437409257866,34.3833292210324,34.5449741942013,34.8523571738549,35.9585281370919,36.3860015941751,37.9228829617447,38.7409937458024,38.7385952535251,37.6876440363277,39.0132458955301,35.9252840202751,35.2856899235504,34.8682963880562,34.5265592880477,33.6730168098908,33.1101155922631,32.9720414517544,34.7676740696063,31.9355970458491,31.1603399728811,29.8565106361636,29.318165816822,29.9135173023169,29.6107728543115,28.9576701482729,28.5523055121322,28.015046681685,25.9936634844192,25.3922147114173,24.1798908283643,23.6712833173912,22.3274437998573,22.1031086272878,24.0890600462941,23.4235962947973,23.3814962282699,24.0463237926062,24.2210869495927,24.4228620560199,24.4842845625929],"BRENT-FDS^FG_PRICE_MAVG(0,,,,30)":85.86,"SPY^PERCENT_CHANGE(FMA_EPS(+1,0,,,,\"PORTAGG\",\"MEAN\"),FMA_EPS(+1,-3AM,,,,\"PORTAGG\",\"MEAN\"))":0.247710272643617,"EWJ^FG_TOTAL_RETURNC(0,-3AM)":-3.6440134,"EWA^PERCENT_CHANGE(FMA_EPS(+1,0,,,,\"PORTAGG\",\"MEAN\"),FMA_EPS(+1,-3AM,,,,\"PORTAGG\",\"MEAN\"))":-1.83176802136874,"VGK^SIZE(FG_CONSTITUENTS)":1279,"REFJPTON-FDS^(SUBARRAY(NOT_NA(NO_REPEAT_F(FG_YIELD(NOW,-10AY,D))),0,1)-SUBARRAY(NOT_NA(NO_REPEAT_F(FG_YIELD(NOW,-10AY,D))),1,1))*100":10.0,"TRYUS10Y-FDS^PCTCHG(FG_YIELD(0,,,,\"YTM\"),FG_YIELD(-1AM,,,,\"YTM\"))":-3.7334774,"EWI^FMA_EVAL_EBITDA(NTMA,0,,,\"PORTAGG\",\"MEANR\")":6.71204858001922,"EWQ^JULIAN(FMA_DIV_YLD(NTMA,NOW,NOW,M,\"PORTAGG\",\"MEANR\").DATES)":45469,"EWL^FMA_EVAL_EBITDA(NTMA,0,,,\"PORTAGG\",\"MEANR\")":12.8511965486583,"UUP^P_PRICE(0)/P_PRICE_HIGH_PR(0,,,USD,,,\"PRICE\",\"INTRA\",\"52W\")":0.96568865,"EWI^FG_FCF_YIELD_NTM(0)":6.32390338712534,"EWL^FG_FCF_YIELD_NTM(0)":4.78601878537241,"EWC^FMA_PE(LTM,0,,,\"PORTAGG\",\"MEANR\")":17.1082534229334,"EWJ^P_PRICE(0)/P_PRICE_HIGH_PR(0,,,USD,,,\"PRICE\",\"INTRA\",\"52W\")":0.94692284,"TRYGB10Y-FDS^PCTCHG(FG_YIELD(0,,,,\"YTM\"),FG_YIELD(-3AM,,,,\"YTM\"))":5.6829715,"TRYFR10Y-FDS^FG_YIELD_NAME":"France Benchmark Bond - 10 Year","EWI^JULIAN(FMA_DIV_YLD(NTMA,NOW,NOW,M,\"PORTAGG\",\"MEANR\").DATES)":45470,"EWL^FMA_PE(LTM,0,,,\"PORTAGG\",\"MEANR\")":16.8990566433059,"UUP^FG_TOTAL_RETURNC(0,-1AM)":1.7819643,"TRYCH10Y-FDS^PCTCHG(FG_YIELD(0,,,,\"YTM\"),FG_YIELD(-1AM,,,,\"YTM\"))":-33.94608,"EWD^FG_FCF_YIELD_NTM(0)":5.08929894935341,"GLD^P_PRICE(0)/P_PRICE_HIGH_PR(0,,,USD,,,\"PRICE\",\"INTRA\",\"52W\")":0.95280504,"EWC^FMA_COS_DOWN(\"EPS\",\"1M\",+1,0,,,\"PORTAGG\",\"MEANR\")":26.0,"REFCATARG-FDS^PROPER_NAME(0,,,\"SECURITY\",\"NAME\")":"Canada Target Rate","CC_CA^IMF_IFS_RCPI_Q(0)":2.8466706,"EWA^FG_FCF_YIELD_NTM(0)":5.08347807042692,"URTH^FG_TOTAL_RETURNC(0,-1AM)":1.6070247,"QQQ^PERCENT_CHANGE(FMA_EPS(+1,0,,,,\"PORTAGG\",\"MEAN\"),FMA_EPS(+1,-1AM,,,,\"PORTAGG\",\"MEAN\"))":-0.132928896151293,"EWG^FG_TOTAL_RETURNC(0,-6AM)":5.783117,"ENZL^PERCENT_CHANGE(FMA_EPS(+1,0,,,,\"PORTAGG\",\"MEAN\"),FMA_EPS(+1,-3AM,,,,\"PORTAGG\",\"MEAN\"))":1.50140553829834,"EWN^FMA_COS_DOWN(\"EPS\",\"1M\",+1,0,,,\"PORTAGG\",\"MEANR\")":17.0,"EWC^FMA_COS_UP(\"EPS\",\"1M\",+1,0,,,\"PORTAGG\",\"MEANR\")":27.0,"TRYFR10Y-FDS^FG_YIELD(-10AY,0,Y,,\"YTM\")":[0.837,0.9989,0.682,0.785,0.71,0.118,-0.344,0.201,3.07,2.534],"EWI^PERCENT_CHANGE(FMA_EPS(+1,0,,,,\"PORTAGG\",\"MEAN\"),FMA_EPS(+1,-3AM,,,,\"PORTAGG\",\"MEAN\"))":-1.0952127021139,"QQQ^P_PRICE(0)/P_PRICE_HIGH_PR(0,,,,,,\"PRICE\",\"INTRA\",\"52W\")":0.98339486,"EWA^PERCENT_CHANGE(FMA_EPS(+1,0,,,,\"PORTAGG\",\"MEAN\"),FMA_EPS(+1,-1AM,,,,\"PORTAGG\",\"MEAN\"))":-1.32419582872001,"EWD^FMA_RBICS_REV_CURRENT(30, LOC, \"PORTAGG\")":26.1566900370566,"TRYSE10Y-FDS^FG_YIELD_NAME":"Sweden Benchmark Bond - 10 Year","REFEUREFI-FDS^PROPER_NAME(0,,,\"SECURITY\",\"NAME\")":"Eurozone Main Refinancing Operations Minimum Bid Rate","TRYFR10Y-FDS^FG_YIELD(0,,,,\"YTM\")":3.257,"CC_GB^IMF_IFS_RCPI_Q(0)":3.9194994,"UUP^FG_TOTAL_RETURNC(0,-6AM)":7.72928,"EWI^FMA_DIV_YLD(NTMA,NOW,NOW,M,\"PORTAGG\",\"MEANR\")":5.48221082220876,"EWL^FMA_DIV_YLD(NTMA,NOW,NOW,M,\"PORTAGG\",\"MEANR\")":3.22623202006623,"TRYJP10Y-FDS^PCTCHG(FG_YIELD(0,,,,\"YTM\"),FG_YIELD(-3AM,,,,\"YTM\"))":51.237553,"EWD^FMA_DIV_YLD(NTMA,NOW,NOW,M,\"PORTAGG\",\"MEANR\")":3.24313109850871,"SPY^JULIAN(FMA_DIV_YLD(NTMA,NOW,NOW,M,\"PORTAGG\",\"MEANR\").DATES)":45470,"EWJ^FMA_DIV_YLD(NTMA,NOW,NOW,M,\"PORTAGG\",\"MEANR\")":2.23979514316628,"EWI^FMA_EPS(NTMA,-20AY,0,CY,,\"PORTAGG\",\"MEANR\")":[3.169168339117,3.12405993279458,5.04981282066684,5.56224784875388,4.17624790880873,3.08892808052067,3.32359348097665,2.98712765861625,2.83099275676073,2.51709042577162,2.20451072320163,1.95489186317479,1.78844259381098,2.35129536081733,2.64924756496654,2.59251661571796,1.99711745729498,2.96400297596909,3.54736708862932,3.81180271683843],"QQQ^FG_TOTAL_RETURNC(0,-6AM)":16.826857,"EWJ^FMA_PCT_ABOVE_MAVG(200,0,,,,\"PORTAGG\")":68.1372549019608,"ENZL^FG_TOTAL_RETURNC(0,-12AM)":-1.4715075,"VGK^FMA_COS_UP(\"EPS\",\"1M\",+1,0,,,\"PORTAGG\",\"MEANR\")":516.0,"EWG^SIZE(FG_CONSTITUENTS)":59,"EWQ^FMA_RBICS_REV_CURRENT(30, LOC, \"PORTAGG\")":11.8223044537398,"TRYNL10Y-FDS^FG_YIELD_NAME":"Netherlands Benchmark Bond - 10 Year","REFJPTON-FDS^FG_YIELD(NOW,,,0)":0.1,"SPY^FMA_EVAL_EBIT(LTMA,NOW,NOW,M,\"PORTAGG\",\"MEANR\")":20.7854440805067,"DDR3512M-FDS^MAX(FG_PRICE(0,-5AY))":3.3053632,"COPP-FDS^MAX(FG_PRICE(0,-5AY))":5.119,"EWD^FG_TOTAL_RETURNC(0,-12AM)":20.565392,"QQQ^FG_TOTAL_RETURNC(0,-3AM)":8.078599,"EWG^FG_TOTAL_RETURNC(0,-12AM)":11.226201,"ENZL^P_PRICE(0)/P_PRICE_HIGH_PR(0,,,,,,\"PRICE\",\"INTRA\",\"52W\")":0.8863326,"EWI^SIZE(FG_CONSTITUENTS)":27,"SPY^FMA_RBICS_REV_CURRENT(30, LOC, \"PORTAGG\")":12.3968672783065,"REFSEREPO-FDS^(SUBARRAY(NOT_NA(NO_REPEAT_F(FG_YIELD(NOW,-10AY,D))),0,1)-SUBARRAY(NOT_NA(NO_REPEAT_F(FG_YIELD(NOW,-10AY,D))),1,1))*100":-25.0,"REFJPTON-FDS^PROPER_NAME(0,,,\"SECURITY\",\"NAME\")":"Japan Policy Rate","TRYUS10Y-FDS^FG_YIELD(0,,,,\"YTM\")":4.3705,"CC_CH^IMF_IFS_RCPI_Q(0)":1.1636324,"EWI^FMA_PE(LTM,0,,,\"PORTAGG\",\"MEANR\")":9.79705918940951,"EWL^FMA_PE(NTMA,0,,,\"PORTAGG\",\"MEANR\")":17.1592352790359,"EWC^JULIAN(FMA_DIV_YLD(NTMA,NOW,NOW,M,\"PORTAGG\",\"MEANR\").DATES)":45470,"UUP^FG_TOTAL_RETURNC(0,-3AM)":2.678883,"EWD^P_PRICE(0)/P_PRICE_LOW_PR(0,,,,,,\"PRICE\",\"INTRA\",\"52W\")-1":0.31171584,"EWJ^FMA_EVAL_EBITDA(NTMA,0,,,\"PORTAGG\",\"MEANR\")":10.5824882081639,"EWN^FG_PRICE_MAVG(0,,,,30)":51.262165,"TRYDE10Y-FDS^FG_YIELD_NAME":"Germany Benchmark Bond - 10 Year","EWN^FG_TOTAL_RETURNC(0,-12AM)":19.467545,"EWA^FMA_DIV_YLD(NTMA,NOW,NOW,M,\"PORTAGG\",\"MEANR\")":3.93983803575111,"GLD^FG_TOTAL_RETURNC(0,-6AM)":12.294352,"EWA^FMA_PE(NTMA,0,,,\"PORTAGG\",\"MEANR\")":16.8019959406309,"ENZL^FG_TOTAL_RETURNC(0,-6AM)":-5.6665063,"EWG^FMA_COS_DOWN(\"EPS\",\"1M\",+1,0,,,\"PORTAGG\",\"MEANR\")":23.0,"QQQ^FMA_RBICS_REV_CURRENT(30, LOC, \"PORTAGG\")":0.853987069260757,"REFEUREFI-FDS^(SUBARRAY(NOT_NA(NO_REPEAT_F(FG_YIELD(NOW,-10AY,D))),0,1)-SUBARRAY(NOT_NA(NO_REPEAT_F(FG_YIELD(NOW,-10AY,D))),1,1))*100":-25.0,"TRYGB10Y-FDS^PCTCHG(FG_YIELD(0,,,,\"YTM\"),FG_YIELD(-1AM,,,,\"YTM\"))":-3.220537,"SPY^FMA_EVAL_EBITDA(NTMA,0,,,\"PORTAGG\",\"MEANR\")":14.5808117198129,"SPY^FMA_DIV_YLD(NTMA,NOW,NOW,M,\"PORTAGG\",\"MEANR\")":1.40175999121007,"VGK^FG_TOTAL_RETURNC(0,-6AM)":5.8270574,"URTH^FG_TOTAL_RETURNC(0,-3AM)":2.609706,"TRYCH10Y-FDS^FG_YIELD(0,,,,\"YTM\")":0.539,"SPY^FMA_PE(NTMA,0,,,\"PORTAGG\",\"MEANR\")":21.0940854669369,"REFAUCASH-FDS^(SUBARRAY(NOT_NA(NO_REPEAT_F(FG_YIELD(NOW,-10AY,D))),0,1)-SUBARRAY(NOT_NA(NO_REPEAT_F(FG_YIELD(NOW,-10AY,D))),1,1))*100":25.0,"CC_AU^IMF_IFS_RCPI_Q(0)":3.61991,"EWD^PERCENT_CHANGE(FMA_EPS(+1,0,,,,\"PORTAGG\",\"MEAN\"),FMA_EPS(+1,-3AM,,,,\"PORTAGG\",\"MEAN\"))":2.32064520249059,"QQQ^FG_TOTAL_RETURNC(0,-1AM)":4.3943167,"EWG^P_PRICE(0)/P_PRICE_LOW_PR(0,,,,,,\"PRICE\",\"INTRA\",\"52W\")-1":0.2394253,"ENZL^FG_TOTAL_RETURNC(0,-3AM)":0.6997943,"EWI^FMA_COS_DOWN(\"EPS\",\"1M\",+1,0,,,\"PORTAGG\",\"MEANR\")":9.0,"REFSEREPO-FDS^FG_YIELD(NOW,,,0)":3.75,"CC_JP^IMF_IFS_RCPI_Q(0)":2.5231562,"EWD^FMA_EVAL_EBIT(LTMA,NOW,NOW,M,\"PORTAGG\",\"MEANR\")":15.8500264000408,"SPY^FG_FCF_YIELD_NTM(0)":4.10274192984514,"EWL^JULIAN(FMA_DIV_YLD(NTMA,NOW,NOW,M,\"PORTAGG\",\"MEANR\").DATES)":45469,"EWA^FMA_EVAL_EBIT(LTMA,NOW,NOW,M,\"PORTAGG\",\"MEANR\")":12.3997077850541,"TRYDE10Y-FDS^PCTCHG(FG_YIELD(0,,,,\"YTM\"),FG_YIELD(-1AM,,,,\"YTM\"))":-4.5612597,"VWO^FMA_EVAL_EBITDA(NTMA,0,,,\"PORTAGG\",\"MEANR\")":8.88711554157185,"SPY^P_PRICE(0)/P_PRICE_HIGH_PR(0,,,USD,,,\"PRICE\",\"INTRA\",\"52W\")":0.9889873,"EWA^FMA_RBICS_REV_CURRENT(30, LOC, \"PORTAGG\")":41.3569255279872,"EWN^P_PRICE_RETURNS_PR('52W',2,-10AY,0,AM)":[24.896395,9.885132,10.245776,3.1582355,-3.685391,0.87025166,-2.6778936,-3.669256,2.1462917,1.548028,7.3197722,6.838274,7.0798993,9.432602,0.8637309,-4.30007,7.641244,2.0985603,0.8409858,-1.766485,-9.647882,-2.758044,-4.8714757,-4.996628,-15.418112,-7.610595,3.0100226,11.543846,-0.31152368,-3.878826,1.5632153,12.233818,15.0491,14.160705,16.296112,21.035803,34.95209,31.62216,27.154266,27.628922,32.30537,38.763855,35.1071,39.839912,27.238571,19.788837,17.284466,10.003435,5.664134,6.0448766,5.2772045,-0.693202,-11.246103,-7.4030933,-15.912258,-15.883517,-4.850352,-4.837579,-1.4939427,-3.804487,5.1014066,2.6614547,-1.6882002,4.979062,20.357788,19.166243,33.30121,21.704435,5.658746,-11.211991,-7.369918,4.04557,7.207179,11.48678,20.497763,13.027752,7.701862,21.550167,23.722887,31.114006,40.022552,75.49988,76.70765,64.34241,52.095413,43.92935,48.463486,45.699097,55.45094,28.251219,22.087395,5.7031393,-1.6943455,-6.964856,-19.648392,-19.322432,-26.055807,-22.951258,-31.101143,-36.805473,-35.795403,-21.820944,-24.75161,-3.1506538,-2.893263,-3.3891737,10.6161,13.938797,22.95903,21.832705,19.292128,22.906483,13.8125305,12.598252,22.954035,9.614002,18.564177,24.658382,18.733013,23.06062,19.467545],"WL-FDS^FG_PRICE_CHANGE(0,-3AM)":-8.2911877394636,"TIOS-FDS^FG_PRICE_CHANGE(0,-3AM)":-2.7572354606044,"EWN^FG_PRICE_MAVG(0,,,,200)":45.278336,"URTH^P_PRICE(0)/P_PRICE_LOW_PR(0,,,,,,\"PRICE\",\"INTRA\",\"52W\")-1":0.28587627,"EWD^PERCENT_CHANGE(FMA_EPS(+1,0,,,,\"PORTAGG\",\"MEAN\"),FMA_EPS(+1,-1AM,,,,\"PORTAGG\",\"MEAN\"))":-2.28953328058685,"EWI^FMA_COS_UP(\"EPS\",\"1M\",+1,0,,,\"PORTAGG\",\"MEANR\")":9.0,"EWG^FMA_COS_UP(\"EPS\",\"1M\",+1,0,,,\"PORTAGG\",\"MEANR\")":25.0,"EWU^FMA_RBICS_REV_CURRENT(30, LOC, \"PORTAGG\")":19.3898803393086,"REFCATARG-FDS^(SUBARRAY(NOT_NA(NO_REPEAT_F(FG_YIELD(NOW,-10AY,D))),0,1)-SUBARRAY(NOT_NA(NO_REPEAT_F(FG_YIELD(NOW,-10AY,D))),1,1))*100":-25.0,"TRYCH10Y-FDS^PCTCHG(FG_YIELD(0,,,,\"YTM\"),FG_YIELD(-3AM,,,,\"YTM\"))":-22.3343,"TRYGB10Y-FDS^FG_YIELD(0,,,,\"YTM\")":4.147,"CC_DE^IMF_IFS_RCPI_Q(0)":2.5173564,"EWD^FMA_EVAL_EBITDA(NTMA,0,,,\"PORTAGG\",\"MEANR\")":10.9220930874597,"EWJ^FMA_EVAL_EBIT(LTMA,NOW,NOW,M,\"PORTAGG\",\"MEANR\")":17.7618942362341,"EWA^FMA_EVAL_EBITDA(NTMA,0,,,\"PORTAGG\",\"MEANR\")":8.60310747157683,"VGK^P_PRICE(0)/P_PRICE_HIGH_PR(0,,,USD,,,\"PRICE\",\"INTRA\",\"52W\")":0.944747,"EWD^FMA_PCT_ABOVE_MAVG(200,0,,,,\"PORTAGG\")":79.5454545454545,"QQQ^PERCENT_CHANGE(FMA_EPS(+1,0,,,,\"PORTAGG\",\"MEAN\"),FMA_EPS(+1,-3AM,,,,\"PORTAGG\",\"MEAN\"))":0.238027733148554,"EWG^P_PRICE(0)/P_PRICE_HIGH_PR(0,,,,,,\"PRICE\",\"INTRA\",\"52W\")":0.9350332,"ENZL^FG_TOTAL_RETURNC(0,-1AM)":2.5942802,"REFSEREPO-FDS^PROPER_NAME(0,,,\"SECURITY\",\"NAME\")":"Sweden Repo Rate","EWD^FMA_COS_UP(\"EPS\",\"1M\",+1,0,,,\"PORTAGG\",\"MEANR\")":9.0,"EWL^FMA_RBICS_REV_CURRENT(30, LOC, \"PORTAGG\")":18.424673270129,"TRYCA10Y-FDS^FG_YIELD_NAME":"Canada Benchmark Bond - 10 Year","EWD^SIZE(FG_CONSTITUENTS)":46,"TRYCH10Y-FDS^FG_YIELD_NAME":"Treasury - Switzerland Benchmark Bond 10Y","REFCATARG-FDS^FG_YIELD(NOW,,,0)":4.75,"EWJ^FG_FCF_YIELD_NTM(0)":3.78376760942696,"EWA^FMA_COS_UP(\"EPS\",\"1M\",+1,0,,,\"PORTAGG\",\"MEANR\")":19.0,"REFAUCASH-FDS^PROPER_NAME(0,,,\"SECURITY\",\"NAME\")":"Australia Target Cash Rate","ENZL^FMA_EVAL_EBIT(LTMA,NOW,NOW,M,\"PORTAGG\",\"MEANR\")":20.4843133785883,"WL-FDS^FG_PRICE_MAVG(0,,,,30)":553.99664,"TIOS-FDS^FG_PRICE_MAVG(0,,,,30)":110.97467,"TLT^FG_TOTAL_RETURNC(0,-6AM)":-6.490034,"GLD^FG_TOTAL_RETURNC(0,-1AM)":-1.4574468,"EWQ^FMA_COS_DOWN(\"EPS\",\"1M\",+1,0,,,\"PORTAGG\",\"MEANR\")":26.0,"SPY^FG_TOTAL_RETURNC(-10AY,0,AM)":[2.809143,1.0111332,1.1830091,-0.6564915,0.25770664,4.4302225,1.1512876,-3.9819598,5.256319,-1.9034684,2.7704835,0.48240423,-0.76003075,-0.23353696,-4.801035,-5.1565228,11.1377125,0.29193163,-1.4826298,-7.845622,3.1617641,4.712999,2.0702124,1.3461232,-2.843982,6.678307,0.23988485,0.20648241,-1.8925428,3.7357688,2.3789644,2.0365477,3.2755375,-0.052571297,1.1728644,1.5246987,1.2276173,1.4045715,-0.94771385,2.8704762,2.93988,2.0022511,2.4187803,6.9847226,-5.209714,-3.9686024,2.5901556,2.0970821,-0.015604496,3.8871884,3.0203938,0.730145,-8.733493,3.486228,-9.233194,6.4621687,5.6566477,1.1699677,4.524243,-4.5192776,5.0961256,3.075087,-4.344225,2.7277708,2.6743412,4.015839,2.8402328,1.2482285,-9.370125,-13.934792,12.749588,6.033659,-0.52539706,7.0388317,9.157133,-4.289019,-2.2532105,11.32983,2.7752638,1.467073,0.7229209,4.4481993,5.40936,0.6324887,2.1063328,2.657497,2.6023746,-3.3596337,5.671859,0.14182329,4.269755,-7.3227463,-1.2037575,4.736519,-6.163496,-2.933544,-7.9394636,6.6780567,-0.18716455,-8.202571,4.9901485,1.7711163,-4.42003,7.704556,-2.322024,0.2190113,5.139029,0.9833336,4.284787,4.704511,-3.0990124,-2.8705955,-4.163164,10.774815,5.208707,2.2488356,3.8673878,3.6436558,-2.8313577,4.2399526,3.0516744],"VWO^P_PRICE(0)/P_PRICE_LOW_PR(0,,,,,,\"PRICE\",\"INTRA\",\"52W\")-1":0.1683352,"EWN^FMA_COS_UP(\"EPS\",\"1M\",+1,0,,,\"PORTAGG\",\"MEANR\")":25.0,"EWJ^FMA_RBICS_REV_CURRENT(30, LOC, \"PORTAGG\")":18.8758256480555,"TRYAU10Y-FDS^FG_YIELD_NAME":"Australia Benchmark Bond - 10 Year","TRYJP10Y-FDS^PCTCHG(FG_YIELD(0,,,,\"YTM\"),FG_YIELD(-1AM,,,,\"YTM\"))":2.794163,"SPY^FMA_PE(LTM,0,,,\"PORTAGG\",\"MEANR\")":26.2760672423898,"TLT^P_PRICE(0)/P_PRICE_HIGH_PR(0,,,USD,,,\"PRICE\",\"INTRA\",\"52W\")":0.8888674,"GLD^FG_TOTAL_RETURNC(0,-3AM)":4.5158386,"EWD^FMA_PE(NTMA,0,,,\"PORTAGG\",\"MEANR\")":15.9192626069432,"PASP-FDS^MAX(FG_PRICE(0,-5AY))":3158.12,"EWQ^FG_PRICE_MAVG(0,,,,200)":38.716076,"VWO^P_PRICE(0)/P_PRICE_HIGH_PR(0,,,,,,\"PRICE\",\"INTRA\",\"52W\")":0.97318184,"EWN^P_PRICE(0)/P_PRICE_LOW_PR(0,,,,,,\"PRICE\",\"INTRA\",\"52W\")-1":0.38412786,"EWU^FG_TOTAL_RETURNC(0,-12AM)":13.799787,"EWG^FG_TOTAL_RETURNC(0,-1AM)":-2.6821733,"ENZL^PERCENT_CHANGE(FMA_EPS(+1,0,,,,\"PORTAGG\",\"MEAN\"),FMA_EPS(+1,-1AM,,,,\"PORTAGG\",\"MEAN\"))":2.73102562467483,"EWQ^SIZE(FG_CONSTITUENTS)":62,"EWA^SIZE(FG_CONSTITUENTS)":60,"REFAUCASH-FDS^FG_YIELD(NOW,,,0)":4.35,"CC_NZ^IMF_IFS_RCPI_Q(0)":4.022989,"EWU^FG_TOTAL_RETURNC(-10AY,0,AM)":[1.088202,0.0,-1.7745852,-4.199213,-4.0774765,1.1158347,-1.348567,-0.86908937,4.657531,-3.979057,6.215918,0.05133152,-1.2598515,-3.4920633,-5.9758782,-6.5306067,9.918904,-2.4971664,-3.1683564,-7.847947,-0.7984042,3.9570808,5.3548336,0.48989058,-8.896857,6.511307,1.6087532,0.4433155,-5.359393,-0.3664255,2.7745128,4.1556716,1.0449648,1.848948,1.8461466,4.16919,-0.7519126,1.4639854,-0.97172856,3.0924678,0.028848648,1.2399077,3.3405304,6.3746095,-8.474135,-0.20190477,5.0289035,-0.35773516,-2.4561942,0.81158876,-1.9838929,0.0880003,-8.558023,2.4038434,-6.0335693,4.4247866,6.1603665,1.1360168,1.7607808,-4.2959394,3.3335805,-0.86633563,-6.491894,4.7730327,3.8547277,1.8098116,4.1727066,-2.3543239,-11.693793,-20.307165,7.665944,3.540182,-0.6291568,3.9638996,1.623261,-4.531944,-5.992222,19.784773,2.7185082,2.0074844,1.3008714,3.9183378,3.929019,3.0182958,-1.1392236,-0.51749945,1.5911937,-3.1927764,5.693841,-5.5637302,6.5324664,1.4431834,-0.7409632,0.14929771,-3.2200396,2.3105383,-7.2099924,0.79312325,-2.426231,-11.794358,7.9238057,8.54218,0.8361459,6.644857,-0.92082024,-2.385372,7.680106,-4.391396,0.46557188,4.097593,-4.3870153,-0.28284192,-4.7904196,7.3816657,4.225838,-1.2405455,-0.18381476,5.003059,1.8123388,3.674984,-1.5146196],"EWA^FMA_COS_DOWN(\"EPS\",\"1M\",+1,0,,,\"PORTAGG\",\"MEANR\")":31.0,"EWG^FMA_RBICS_REV_CURRENT(30, LOC, \"PORTAGG\")":23.4356830968269,"TRYDE10Y-FDS^PCTCHG(FG_YIELD(0,,,,\"YTM\"),FG_YIELD(-3AM,,,,\"YTM\"))":7.628605,"TRYJP10Y-FDS^FG_YIELD(0,,,,\"YTM\")":1.0632,"VWO^FMA_EVAL_EBIT(LTMA,NOW,NOW,M,\"PORTAGG\",\"MEANR\")":14.3363634026247,"QQQ^FMA_EVAL_EBIT(LTMA,NOW,NOW,M,\"PORTAGG\",\"MEANR\")":24.7842035753318,"EWA^FMA_PE(LTM,0,,,\"PORTAGG\",\"MEANR\")":19.2941503940575,"EWJ^FG_TOTAL_RETURNC(-10AY,0,AM)":[5.5292487,1.8363953,-3.114754,0.7614255,-4.7858896,2.4691343,0.069093704,0.25951862,6.557381,3.076911,4.634726,-1.1261225,-0.18229485,-2.4464786,-3.526646,-7.961011,10.50309,-0.31949878,-2.0968974,-7.419628,-1.513797,4.1591287,0.0,1.5190959,-1.3180196,3.493452,3.1223655,3.5188198,-0.23715496,-1.1093557,0.07845163,2.936411,0.7869363,2.1667004,-0.91707706,2.545309,2.214992,1.0553718,-0.29315352,2.3520827,4.8833013,2.6532054,0.41823387,8.107651,-5.566722,-1.8830895,1.4352441,-1.0694265,-2.6193023,2.289164,-1.9014001,3.3104658,-10.393488,2.797842,-7.7616453,5.415523,1.5505314,0.71743727,1.1872172,-3.790617,3.331244,0.42140484,-2.6272595,5.827248,3.1515598,2.98661,0.47926903,-1.0070503,-10.206848,-5.2492437,4.3045044,6.76347,0.06213188,2.0191073,2.6683092,2.5473356,-2.4169207,13.914692,0.78594685,2.932775,-0.3214538,2.7704477,-3.0380785,0.88261366,0.087714195,-0.7631302,0.7542014,4.2565703,-3.5618722,-2.248174,2.0238519,-6.9267273,0.3027916,-1.8112481,-7.2815537,1.8150091,-8.004845,4.6660423,-2.1391392,-8.633351,1.085639,10.44153,-2.7737677,9.188795,-4.896295,2.7708292,2.3482323,2.3963332,3.330183,3.0410886,-4.7409716,0.77456236,-5.445629,8.180559,3.8251758,2.1080494,5.0160527,3.9027214,-5.9145093,2.562189,-0.1452446],"VWO^FG_TOTAL_RETURNC(0,-3AM)":5.170369,"EWN^P_PRICE(0)/P_PRICE_HIGH_PR(0,,,,,,\"PRICE\",\"INTRA\",\"52W\")":0.95331186,"EWU^P_PRICE(0)/P_PRICE_HIGH_PR(0,,,,,,\"PRICE\",\"INTRA\",\"52W\")":0.94872844,"EWG^PERCENT_CHANGE(FMA_EPS(+1,0,,,,\"PORTAGG\",\"MEAN\"),FMA_EPS(+1,-1AM,,,,\"PORTAGG\",\"MEAN\"))":-3.93580590817469,"ENZL^FMA_PCT_ABOVE_MAVG(200,0,,,,\"PORTAGG\")":35.7142857142857,"USDCHF^STD(FG_PRICE_CHANGE(0,-3AY,M))":2.42655470411863,"NI-FDS^FG_PRICE_CHANGE(0,-3AM)":2.60133091349062,"EWU^FG_PRICE_MAVG(0,,,,200)":33.2235,"ENZL^FMA_DIV_YLD(NTMA,NOW,NOW,M,\"PORTAGG\",\"MEANR\")":2.72096110623001,"USO^P_PRICE(0)/P_PRICE_HIGH_PR(0,,,USD,,,\"PRICE\",\"INTRA\",\"52W\")":0.95420206,"VWO^FG_TOTAL_RETURNC(0,-1AM)":-0.34105778,"EWN^FG_TOTAL_RETURNC(0,-3AM)":2.6609778,"EWU^FG_TOTAL_RETURNC(0,-3AM)":3.9551973,"EWC^FG_TOTAL_RETURNC(0,-12AM)":10.419917,"FXI^FMA_COS_DOWN(\"EPS\",\"1M\",+1,0,,,\"PORTAGG\",\"MEANR\")":18.0,"EWQ^FMA_COS_UP(\"EPS\",\"1M\",+1,0,,,\"PORTAGG\",\"MEANR\")":27.0,"ENZL^FMA_RBICS_REV_CURRENT(30, LOC, \"PORTAGG\")":14.3512586842186,"REFNZOCR-FDS^(SUBARRAY(NOT_NA(NO_REPEAT_F(FG_YIELD(NOW,-10AY,D))),0,1)-SUBARRAY(NOT_NA(NO_REPEAT_F(FG_YIELD(NOW,-10AY,D))),1,1))*100":25.0,"TRYAU10Y-FDS^PCTCHG(FG_YIELD(0,,,,\"YTM\"),FG_YIELD(-3AM,,,,\"YTM\"))":8.724148,"VWO^FG_PE_NTM(0,,,90,0)":12.6404783721988,"EWD^JULIAN(FMA_DIV_YLD(NTMA,NOW,NOW,M,\"PORTAGG\",\"MEANR\").DATES)":45469,"QQQ^FMA_PE(NTMA,0,,,\"PORTAGG\",\"MEANR\")":26.9530959549853,"EWJ^FMA_PE(LTM,0,,,\"PORTAGG\",\"MEANR\")":16.0380277814417,"ENZL^FMA_EVAL_EBITDA(NTMA,0,,,\"PORTAGG\",\"MEANR\")":11.6596049737346,"TLT^FG_TOTAL_RETURNC(0,-1AM)":2.2414804,"QQQ^JULIAN(FMA_DIV_YLD(NTMA,NOW,NOW,M,\"PORTAGG\",\"MEANR\").DATES)":45471,"EWU^FMA_DIV_YLD(NTMA,-10AY,0,AM,\"PORTAGG\",\"MEANR\")":[3.8797291578254,3.86548275571676,3.9175641460693,4.01722383555993,4.17075586179848,4.03438047362769,4.11100202539328,4.00554673050151,3.88455792026231,4.00296449388807,3.85441557550546,3.88362980200786,4.05538028785399,4.21103895083418,4.40330814254911,4.57635003003729,4.21318352893971,4.18969086940279,4.28842264420282,4.52113714857146,4.50580565864833,4.41260168775369,4.22185139278584,4.26389121689296,4.47537309726783,4.14024368904109,4.08002728106938,4.18731176043245,4.31888205947074,4.41830963803845,4.31073714037347,4.27728853989947,4.29897374225063,4.31153446965647,4.37740344097825,4.22907210147073,4.32019061324975,4.29049183943381,4.34712429298044,4.31891504530661,4.30692663097111,4.3476260921356,4.23780856123039,4.1654052541655,4.62090205560636,4.56160138033336,4.34550826976631,4.30767844586725,4.42942177672299,4.38740150172169,4.48596502955383,4.51545714486658,4.95942358424014,4.96232483194795,5.33864081854259,5.23792288454664,4.97377466886614,4.93243284344699,4.85127430489794,4.92821475826524,4.78177441982617,4.79550212407671,5.13009472578361,4.87187718447737,4.81489100567804,4.7138687925821,4.53408806627014,4.65683765979442,5.3351260764625,6.40116865455518,5.19612035592877,4.16022507593499,4.17147507823095,4.05317782302826,4.06182581141152,4.18037716193263,4.57028029636977,3.98409390269691,3.94207830060014,4.01685799983198,4.06811652089806,4.03287699828362,3.96329456569262,3.90571382900188,3.98787860789443,4.10474484730453,4.20259683344389,4.20943392281802,4.02123274080164,4.17994113038687,3.92451149509547,3.88945559822605,3.91011786108805,3.97535505333414,4.08896740758573,4.03526083382787,4.222733353822,4.198021767603,4.30291740359322,4.80315276250705,4.53486689703185,4.28076318169015,4.25259119623899,4.10032519007125,4.11927309292581,4.32783221138048,4.09994918619519,4.38801138192921,4.42275385379813,4.25633616782761,4.5778446496444,4.46050781650577,4.6676136044901,4.43428936773287,4.2700363198725,4.3009361524684,4.22066135298176,4.02549633462349,3.93949807344192,3.87110807782498,3.95197418873138],"NI-FDS^FG_PRICE_MAVG(0,,,,30)":18525.334,"EWU^FG_PRICE_MAVG(0,,,,30)":35.764668,"EWU^PERCENT_CHANGE(FMA_EPS(+1,0,,,,\"PORTAGG\",\"MEAN\"),FMA_EPS(+1,-3AM,,,,\"PORTAGG\",\"MEAN\"))":1.53334996889234,"EWC^P_PRICE(0)/P_PRICE_HIGH_PR(0,,,,,,\"PRICE\",\"INTRA\",\"52W\")":0.95691437,"FXI^FMA_COS_UP(\"EPS\",\"1M\",+1,0,,,\"PORTAGG\",\"MEANR\")":16.0,"REFFFUND-FDS^FG_YIELD(NOW,,,0)":5.5,"TRYAU10Y-FDS^PCTCHG(FG_YIELD(0,,,,\"YTM\"),FG_YIELD(-1AM,,,,\"YTM\"))":1.1494203,"TRYDE10Y-FDS^FG_YIELD(0,,,,\"YTM\")":2.469,"VWO^FG_PE(0)":14.4418177143083,"EWN^FMA_EVAL_EBIT(LTMA,NOW,NOW,M,\"PORTAGG\",\"MEANR\")":21.8707165476899,"QQQ^FMA_PE(LTM,0,,,\"PORTAGG\",\"MEANR\")":35.2910946357876,"EWJ^JULIAN(FMA_DIV_YLD(NTMA,NOW,NOW,M,\"PORTAGG\",\"MEANR\").DATES)":45469,"ENZL^FG_FCF_YIELD_NTM(0)":-0.140167936072733,"VWO^PERCENT_CHANGE(FMA_EPS(+1,0,,,,\"PORTAGG\",\"MEAN\"),FMA_EPS(+1,-3AM,,,,\"PORTAGG\",\"MEAN\"))":-0.348069273470328,"EWN^PERCENT_CHANGE(FMA_EPS(+1,0,,,,\"PORTAGG\",\"MEAN\"),FMA_EPS(+1,-1AM,,,,\"PORTAGG\",\"MEAN\"))":-3.63759057778118,"EWL^FG_TOTAL_RETURNC(0,-12AM)":7.7524424,"EWC^FG_TOTAL_RETURNC(0,-3AM)":-2.1912754,"SPY^SIZE(FG_CONSTITUENTS)":504,"EWI^FG_ROE(0)":13.9277356553016,"EWJ^FMA_DIV_YLD(NTMA,-10AY,0,AM,\"PORTAGG\",\"MEANR\")":[2.0884273549399,2.04871577684085,2.07969490483113,2.0087800782742,2.15970808788205,1.94863501610075,1.93975170007768,1.97927224762893,1.87834190262488,1.86334318932593,1.81144706609674,1.82408702539245,1.8727507545403,1.93849656107564,2.05112479339955,2.23509602367317,2.06494543853339,2.01981949048267,2.11691334810564,2.34496636782664,2.46253262238801,2.3418898019064,2.39126389509206,2.36844391779497,2.59128750251769,2.40873956262246,2.44418139191701,2.39796873976079,2.3060109133492,2.18880281270678,2.09777963072072,2.10091573860012,2.16104578716086,2.1750502813357,2.21407683036057,2.19172837721417,2.16271965420998,2.1717059367162,2.22648022654332,2.15215579136579,2.05531968888097,2.09752797221548,2.05617458915221,2.00458359395599,2.19077462782696,2.29097438479196,2.20675187675582,2.24272391317942,2.30585103912121,2.25156992187565,2.31738451836721,2.21792325480422,2.52971223094199,2.48110824364368,2.75036359596829,2.65024941069143,2.56991061921489,2.61337460992719,2.56408803888911,2.67765357397067,2.68339003087462,2.65698409777856,2.78902430861052,2.59727524981419,2.54109335696407,2.45586002336882,2.42607937153461,2.4862098506694,2.76169771843798,2.8719650922239,2.82968353101641,2.55907232198433,2.47853656086607,2.49118212037803,2.396015544742,2.34538474243087,2.41199431960301,2.16686415971816,2.16052192379275,2.11680308767743,2.12331496191739,2.04066605991084,2.13749770438222,2.14637176164189,2.17069718226563,2.24909624863955,2.28376226470925,2.14941500309272,2.24878453934919,2.29334349792439,2.29399090543035,2.48476483835693,2.53107096365927,2.47546176909946,2.58497430215808,2.63541944388281,2.65199423956175,2.59917874634596,2.57787649746942,2.77731251405448,2.71232635602198,2.58016596356788,2.73534596157603,2.61531946264485,2.62369848670049,2.67059629748957,2.56541141143794,2.46964500411486,2.32141346092445,2.35331353286702,2.38557923819531,2.36690087306192,2.47849102874797,2.3880691252564,2.432471358437,2.31300929153484,2.19818303748027,2.15772848316186,2.24789943052621,2.2139254406041,2.23979514316628],"FXI^FG_TOTAL_RETURNC(0,-12AM)":-2.2120059,"EWN^FMA_PCT_ABOVE_MAVG(200,0,,,,\"PORTAGG\")":58.4905660377358,"EWL^P_PRICE(0)/P_PRICE_LOW_PR(0,,,,,,\"PRICE\",\"INTRA\",\"52W\")-1":0.16028881,"EWC^FG_TOTAL_RETURNC(0,-1AM)":-1.8322468,"EWD^FG_ROE(0)":16.8022577020531,"REFNZOCR-FDS^PROPER_NAME(0,,,\"SECURITY\",\"NAME\")":"New Zealand Official Cash Rate","TRYNZ10Y-FDS^PCTCHG(FG_YIELD(0,,,,\"YTM\"),FG_YIELD(-1AM,,,,\"YTM\"))":-3.0364647,"VGK^FMA_EVAL_EBIT(LTMA,NOW,NOW,M,\"PORTAGG\",\"MEANR\")":13.2878151669223,"EWN^FMA_EVAL_EBITDA(NTMA,0,,,\"PORTAGG\",\"MEANR\")":12.5153544399881,"EWG^FMA_EVAL_EBIT(LTMA,NOW,NOW,M,\"PORTAGG\",\"MEANR\")":13.4021801660622,"ENZL^FMA_PE(NTMA,0,,,\"PORTAGG\",\"MEANR\")":24.4339325810396,"VWO^P_PRICE(0)/P_PRICE_HIGH_PR(0,,,USD,,,\"PRICE\",\"INTRA\",\"52W\")":0.97318184,"EWU^FMA_EVAL_EBIT(LTMA,NOW,NOW,M,\"PORTAGG\",\"MEANR\")":10.5337481374782,"EWG^FMA_EVAL_EBITDA(NTMA,0,,,\"PORTAGG\",\"MEANR\")":8.39302266998427,"ENZL^FMA_PE(LTM,0,,,\"PORTAGG\",\"MEANR\")":33.4822429739585,"PLATI-FDS^MAX(FG_PRICE(0,-5AY))":1272.59,"EWL^FG_PRICE_MAVG(0,,,,200)":46.37995,"FXI^FG_TOTAL_RETURNC(0,-1AM)":-5.394542,"VWO^FMA_PCT_ABOVE_MAVG(200,0,,,,\"PORTAGG\")":45.9104606112785,"EWQ^FG_TOTAL_RETURNC(0,-3AM)":-6.646556,"EWL^P_PRICE(0)/P_PRICE_HIGH_PR(0,,,,,,\"PRICE\",\"INTRA\",\"52W\")":0.9522022,"EWC^PERCENT_CHANGE(FMA_EPS(+1,0,,,,\"PORTAGG\",\"MEAN\"),FMA_EPS(+1,-3AM,,,,\"PORTAGG\",\"MEAN\"))":-0.771880984039389,"SPY^FMA_COS_DOWN(\"EPS\",\"1M\",+1,0,,,\"PORTAGG\",\"MEANR\")":171.0,"EWN^FG_ROE(0)":10.3799894611246,"TRYCA10Y-FDS^FG_YIELD(0,,,,\"YTM\")":3.5038,"EWN^FG_FCF_YIELD_NTM(0)":3.54700046121046,"USO^FG_TOTAL_RETURNC(0,-6AM)":18.472755,"EWC^FMA_DIV_YLD(NTMA,-10AY,0,AM,\"PORTAGG\",\"MEANR\")":[2.81236161263735,2.74219292089424,2.76115636031147,2.86050590112024,2.96772464390925,2.94726098853546,2.94504812585397,2.96990505120218,2.84975029796081,2.94880403440373,2.81290707324441,2.8814388909454,2.94861272083552,3.16300280856536,3.15492870358546,3.38963318512911,3.17748172614997,3.31381762917627,3.32471471444028,3.43203465504261,3.36571060286697,3.17030055600089,3.06097875033431,3.02661244899757,3.12402010089116,2.98105359822546,2.95890982860004,2.9349520851539,2.92769418489753,2.88223536595807,2.82749458226463,2.80252020523353,2.88074790409572,2.90323661784299,2.93573978875242,2.92460093336778,3.01324588256295,3.04942668385022,3.08358773267041,2.98753021039779,2.92549746889418,2.93035559086,2.90397042762995,2.91942014895146,3.13272547253015,3.23010660821544,3.1393849930569,3.0784555797297,3.08827465590465,3.07079172608658,3.09913539774732,3.17398287086951,3.45289813058303,3.39837264735094,3.62960202174541,3.36362350026259,3.27702630141593,3.26935191188748,3.17756322093136,3.33023274951231,3.31897631701878,3.31833658638339,3.42058102671686,3.3268529993569,3.37366061047239,3.23109190759144,3.24160198244809,3.23759300743661,3.54561819129622,4.56688179580767,3.87702650763363,3.62159483132764,3.62799899372729,3.43296682158767,3.30930113758765,3.41946932877178,3.54111827496044,3.17236282210262,3.10221350774383,3.09148282803545,2.9804457227924,2.84886070745191,2.72863660078875,2.62112529194407,2.71163845490316,2.71541780676976,2.72646072094658,2.81772287459873,2.72060900379415,2.7701077037464,2.77620472962032,2.88231641838468,2.87507502204958,2.77793851468881,3.01588041802181,3.10288528098664,3.36201078247325,3.36515235464051,3.35268758842968,3.59320517734954,3.44180783961037,3.30869860944066,3.48514649821111,3.27775047501034,3.35357065036349,3.42491556623742,3.2269816677118,3.33381648803586,3.30746183685904,3.15327744787219,3.54930903006719,3.62361201515963,3.80823851524161,3.51932477978393,3.36270042680056,3.32659998849594,3.27144091961076,3.10692325273598,3.10612581828263,3.16941134324191,3.33728402805214],"FXI^PERCENT_CHANGE(FMA_EPS(+1,0,,,,\"PORTAGG\",\"MEAN\"),FMA_EPS(+1,-3AM,,,,\"PORTAGG\",\"MEAN\"))":0.178632506576746,"EWQ^FG_TOTAL_RETURNC(0,-1AM)":-7.5617847,"EWC^PERCENT_CHANGE(FMA_EPS(+1,0,,,,\"PORTAGG\",\"MEAN\"),FMA_EPS(+1,-1AM,,,,\"PORTAGG\",\"MEAN\"))":-0.668011163118674,"SPY^FG_ROE(0)":18.5369222678522,"REFFFUND-FDS^PROPER_NAME(0,,,\"SECURITY\",\"NAME\")":"US Federal Funds Target Rate","TRYIT10Y-FDS^PCTCHG(FG_YIELD(0,,,,\"YTM\"),FG_YIELD(-3AM,,,,\"YTM\"))":11.035237,"VGK^FMA_EVAL_EBITDA(NTMA,0,,,\"PORTAGG\",\"MEANR\")":8.95015499475222,"USO^FG_TOTAL_RETURNC(0,-3AM)":1.0923266,"EWU^FG_TOTAL_RETURNC(0,-6AM)":7.603848,"TRYCA10Y-FDS^PCTCHG(FG_YIELD(0,,,,\"YTM\"),FG_YIELD(-3AM,,,,\"YTM\"))":0.9333379,"VWO^FMA_DIV_YLD(NTMA,NOW,NOW,M,\"PORTAGG\",\"MEANR\")":3.05913047927568,"QQQ^FMA_DIV_YLD(NTMA,NOW,NOW,M,\"PORTAGG\",\"MEANR\")":0.843249398021748,"VWO^JULIAN(FMA_DIV_YLD(NTMA,NOW,NOW,M,\"PORTAGG\",\"MEANR\").DATES)":45443,"VGK^P_PRICE(0)/P_PRICE_HIGH_PR(0,,,,,,\"PRICE\",\"INTRA\",\"52W\")":0.944747,"EWQ^PERCENT_CHANGE(FMA_EPS(+1,0,,,,\"PORTAGG\",\"MEAN\"),FMA_EPS(+1,-3AM,,,,\"PORTAGG\",\"MEAN\"))":-2.44589048571764,"EWL^FG_TOTAL_RETURNC(0,-6AM)":2.8443694,"EWJ^FMA_COS_DOWN(\"EPS\",\"1M\",+1,0,,,\"PORTAGG\",\"MEANR\")":88.0,"QQQ^SIZE(FG_CONSTITUENTS)":103,"EWU^FG_ROE(0)":14.4351538625311,"TRYIT10Y-FDS^PCTCHG(FG_YIELD(0,,,,\"YTM\"),FG_YIELD(-1AM,,,,\"YTM\"))":4.364572,"EWN^FMA_DIV_YLD(NTMA,NOW,NOW,M,\"PORTAGG\",\"MEANR\")":2.49639276686077,"EWU^FMA_EVAL_EBITDA(NTMA,0,,,\"PORTAGG\",\"MEANR\")":7.44545365769845,"EWG^FG_FCF_YIELD_NTM(0)":5.86715787357282,"ENZL^JULIAN(FMA_DIV_YLD(NTMA,NOW,NOW,M,\"PORTAGG\",\"MEANR\").DATES)":45469,"EWQ^FMA_EVAL_EBIT(LTMA,NOW,NOW,M,\"PORTAGG\",\"MEANR\")":13.1053170390269,"EWG^FMA_PE(LTM,0,,,\"PORTAGG\",\"MEANR\")":16.0922044617331,"TRYFR10Y-FDS^PCTCHG(FG_YIELD(0,,,,\"YTM\"),FG_YIELD(-1AM,,,,\"YTM\"))":6.5772243,"CC_NL^IMF_IFS_RCPI_Q(0)":3.0237906,"EWC^FMA_EVAL_EBITDA(NTMA,0,,,\"PORTAGG\",\"MEANR\")":9.64906464958182,"ENZL^FMA_COS_DOWN(\"EPS\",\"1M\",+1,0,,,\"PORTAGG\",\"MEANR\")":7.0,"CPALM-FDS^FG_PRICE_CHANGE(0,-3AM)":-6.57894736842105,"EWJ^FG_PRICE_MAVG(0,,,,60)":68.1825,"FXI^FMA_PCT_ABOVE_MAVG(200,0,,,,\"PORTAGG\")":70.5882352941177,"EWC^FMA_PCT_ABOVE_MAVG(200,0,,,,\"PORTAGG\")":62.5,"URTH^SIZE(FG_CONSTITUENTS)":1433,"QQQ^FMA_COS_DOWN(\"EPS\",\"1M\",+1,0,,,\"PORTAGG\",\"MEANR\")":31.0,"EWL^FG_ROE(0)":23.9517133163178,"REFGBBANK-FDS^(SUBARRAY(NOT_NA(NO_REPEAT_F(FG_YIELD(NOW,-10AY,D))),0,1)-SUBARRAY(NOT_NA(NO_REPEAT_F(FG_YIELD(NOW,-10AY,D))),1,1))*100":25.0,"TRYAU10Y-FDS^FG_YIELD(0,,,,\"YTM\")":4.312,"VGK^FG_FCF_YIELD_NTM(0)":5.20084745745663,"EWN^FMA_PE(NTMA,0,,,\"PORTAGG\",\"MEANR\")":16.2301122784385,"EWG^FMA_DIV_YLD(NTMA,NOW,NOW,M,\"PORTAGG\",\"MEANR\")":3.42555657614996,"USO^FG_TOTAL_RETURNC(0,-1AM)":2.48518,"EWA^FG_TOTAL_RETURNC(0,-12AM)":14.397812,"VGK^FMA_DIV_YLD(NTMA,NOW,NOW,M,\"PORTAGG\",\"MEANR\")":3.44345675643519,"EWQ^FMA_EVAL_EBITDA(NTMA,0,,,\"PORTAGG\",\"MEANR\")":9.01055643072065,"EWU^FMA_DIV_YLD(NTMA,NOW,NOW,M,\"PORTAGG\",\"MEANR\")":3.95197418873138,"DBA^FG_TOTAL_RETURNC(0,-3AM)":-3.8772225,"VGK^FG_PE(0)":14.3795388574243,"EWJ^FMA_PE(NTMA,-10AY,0,AM,\"PORTAGG\",\"MEANR\")":[13.6776423151341,13.9073496600542,13.6154348755866,14.1108844820929,13.1330307984443,14.4804093238916,14.5334721925187,14.1742394438476,15.1015622612669,15.3433500462714,15.9937775567253,16.4631968917465,15.7864572920246,15.2514741778889,14.3419856697855,13.1944862322788,14.2826418120062,14.7080836919782,13.9392862183313,12.6458247911252,12.3680591386574,13.1469477047607,12.8935440920697,13.3571394345416,12.3271055452251,13.2624312402161,13.088839342114,13.4169380657465,13.8377644062971,14.4921946282251,14.8108681317163,14.7509543435014,14.1099273732975,14.0232815149812,13.8517339091738,14.2661438925281,14.3388151853298,14.1975512215718,13.6310352489811,14.030810769518,14.6644285977656,14.5877619440175,14.7411587003882,15.1295323921333,13.2622462956589,12.6682711327033,13.2500432444426,13.1186199927756,12.7622067729067,13.0674705273985,12.7076642757624,13.3330644352468,11.653360445233,12.1493577388653,11.1053605202922,11.8052757548549,12.4615144830221,12.4036002396201,12.7370376328623,12.4401869056161,12.7197216014517,12.9127069866103,12.3786729870112,13.3137048382744,13.720185676944,14.3076336403355,14.6332849442536,14.2709108970683,12.9860799008398,12.6663557815463,13.8706116603031,16.2381651614551,17.8509335665758,17.8304902235978,17.9704358889179,18.4703008967967,17.5070849255233,18.8137931851782,18.233360947673,18.3835371305753,17.6430215356617,17.8144319381135,16.8554263034876,16.6482846856501,16.4333739540023,15.7162591266477,15.1205359923683,15.9068862672213,15.1464412101256,14.8304251035062,14.6384327838259,13.5152167980073,13.308614401752,13.4772079572625,12.8509479142519,12.6693309132615,12.575853872245,12.805426016449,12.9708008154631,12.0257768358713,12.3067896356833,12.9888259019295,12.3167904017408,12.9582729895009,13.0807608953308,12.9130668056156,13.4722163970074,14.0905125316794,14.937602955772,14.6849134091894,14.3742574632477,14.505716751264,13.8153078121029,14.3192396736402,14.0158645020216,14.738630496836,15.5167871525845,15.7891849752,15.1859614489405,15.6031289241472,15.5521401174445],"EWC^FG_PRICE_MAVG(0,,,,200)":36.0326,"VGK^FMA_PCT_ABOVE_MAVG(200,0,,,,\"PORTAGG\")":73.2114467408585,"EWQ^PERCENT_CHANGE(FMA_EPS(+1,0,,,,\"PORTAGG\",\"MEAN\"),FMA_EPS(+1,-1AM,,,,\"PORTAGG\",\"MEAN\"))":-3.91147841523402,"EWL^FG_TOTAL_RETURNC(0,-3AM)":3.4061193,"URTH^FMA_COS_DOWN(\"EPS\",\"1M\",+1,0,,,\"PORTAGG\",\"MEANR\")":529.0,"EWJ^FG_ROE(0)":9.75928120936467,"TRYSE10Y-FDS^PCTCHG(FG_YIELD(0,,,,\"YTM\"),FG_YIELD(-3AM,,,,\"YTM\"))":-6.5235677,"TRYIT10Y-FDS^FG_YIELD(0,,,,\"YTM\")":4.065,"EWN^FMA_PE(LTM,0,,,\"PORTAGG\",\"MEANR\")":23.3042088688196,"EWU^FG_FCF_YIELD_NTM(0)":6.16306473338639,"EWG^FMA_PE(NTMA,0,,,\"PORTAGG\",\"MEANR\")":11.6851602652037,"CC_US^IMF_IFS_RCPI_Q(0)":3.241016,"DBA^P_PRICE(0)/P_PRICE_HIGH_PR(0,,,USD,,,\"PRICE\",\"INTRA\",\"52W\")":0.8945687,"CPALM-FDS^FG_PRICE_MAVG(0,,,,30)":3933.7666,"EWI^FG_TOTAL_RETURNC(0,-12AM)":19.349766,"URTH^FMA_COS_UP(\"EPS\",\"1M\",+1,0,,,\"PORTAGG\",\"MEANR\")":541.0,"QQQ^FMA_COS_UP(\"EPS\",\"1M\",+1,0,,,\"PORTAGG\",\"MEANR\")":36.0,"REFGBBANK-FDS^FG_YIELD(NOW,,,0)":5.25,"TRYSE10Y-FDS^PCTCHG(FG_YIELD(0,,,,\"YTM\"),FG_YIELD(-1AM,,,,\"YTM\"))":-6.954342,"TRYNZ10Y-FDS^FG_YIELD(0,,,,\"YTM\")":4.6686,"CC_IT^IMF_IFS_RCPI_Q(0)":0.92385906,"EWG^JULIAN(FMA_DIV_YLD(NTMA,NOW,NOW,M,\"PORTAGG\",\"MEANR\").DATES)":45469,"DBA^FG_TOTAL_RETURNC(0,-6AM)":13.064135,"TRYNZ10Y-FDS^PCTCHG(FG_YIELD(0,,,,\"YTM\"),FG_YIELD(-3AM,,,,\"YTM\"))":1.1943202,"EWC^FMA_PE(NTMA,-10AY,0,AM,\"PORTAGG\",\"MEANR\")":[14.9890406598692,15.18108187164,15.1722925010485,14.5606650456939,14.2771474405114,14.6833875282305,15.4116897729477,16.2483436583968,17.5003578800495,16.9096580819672,17.4299055472391,16.64990289912,16.1806781809928,15.1931056979987,14.9472886737369,14.0787209579354,15.1028343499492,14.5163637920177,14.5377506287718,14.117667015283,14.839457177931,15.9197175949172,16.6182854696386,16.6590359121926,16.0823355255036,16.4208110413877,16.3162743176698,16.0930465070427,15.8475075306213,15.9135565436249,15.8621050172347,16.167178844355,15.817264823507,15.961779604618,15.6903318404951,15.7326574806776,15.3776126317079,15.5739303878692,15.4243364216047,15.7400209859771,15.8883441224396,15.835882097656,15.9374633873949,15.4945469758738,14.4316732396112,13.9688954604551,14.2224557326043,14.1538899581057,14.1418150162215,14.1865297614449,13.925019263652,13.5635404959644,12.428995998694,12.6485977138657,12.0305953023311,13.5164792347965,14.1221263560808,14.1568543223035,13.9518569273026,13.5483717126199,13.6844987120702,13.741239514338,13.5155740132768,13.9521812334812,13.8557688641043,14.4573252736743,14.5184963575003,14.63511850438,13.7130085427237,12.3404216005918,16.3502393203502,18.6554397162016,17.3640115573926,17.4960806167896,17.4066338447151,16.3684343679533,15.2120973644556,16.3081555104496,15.9690187778503,15.7219865116355,15.1177284599745,15.3703180252238,15.6714139201055,15.5262544810534,15.606838296978,15.0920623429216,14.9317314841787,14.4185531358441,15.0075027582902,14.5341285799261,14.4495202806133,13.8529167267254,13.9405302851221,13.7014402817181,12.8160714490791,12.4983161589908,11.4044039467471,11.4487692258854,11.6703099684881,10.879771358694,11.536900278832,12.0753259848488,11.8548752194559,13.0053244613147,12.6891334632927,12.4583440675505,13.0871267590016,12.8434026862054,12.8081288507558,13.493257329192,12.9386629338486,12.6444633261158,12.0004294186304,12.7765222835066,13.6554280692146,13.8804052743977,14.108003386573,14.6370440944886,14.2871422569102,14.3413184305275,13.9837490515467],"EWC^FG_PRICE_MAVG(0,,,,30)":37.485332,"EWI^P_PRICE(0)/P_PRICE_LOW_PR(0,,,,,,\"PRICE\",\"INTRA\",\"52W\")-1":0.23556781,"EWQ^FMA_PCT_ABOVE_MAVG(200,0,,,,\"PORTAGG\")":40.3225806451613,"EWL^FG_TOTAL_RETURNC(0,-1AM)":2.5016904,"EWU^SIZE(FG_CONSTITUENTS)":81,"EWG^FG_ROE(0)":9.4829420324201,"TRYNL10Y-FDS^PCTCHG(FG_YIELD(0,,,,\"YTM\"),FG_YIELD(-3AM,,,,\"YTM\"))":8.394308,"EWC^FG_ROE(0)":11.043096241711,"TRYSE10Y-FDS^FG_YIELD(0,,,,\"YTM\")":2.221,"EWQ^FMA_DIV_YLD(NTMA,NOW,NOW,M,\"PORTAGG\",\"MEANR\")":3.33988948464241,"QQQ^FG_FCF_YIELD_NTM(0)":3.50755064391966,"EWA^JULIAN(FMA_DIV_YLD(NTMA,NOW,NOW,M,\"PORTAGG\",\"MEANR\").DATES)":45470,"TLT^FG_TOTAL_RETURNC(0,-3AM)":-2.0071268,"USDEUR^STD(FG_PRICE_CHANGE(0,-3AY,M))":2.15371240183617,"EWA^P_PRICE(0)/P_PRICE_LOW_PR(0,,,,,,\"PRICE\",\"INTRA\",\"52W\")-1":0.1940372,"VWO^SIZE(FG_CONSTITUENTS)":4759,"EWU^FMA_COS_DOWN(\"EPS\",\"1M\",+1,0,,,\"PORTAGG\",\"MEANR\")":27.0,"REFGBBANK-FDS^PROPER_NAME(0,,,\"SECURITY\",\"NAME\")":"UK Bank Rate","TRYFR10Y-FDS^PCTCHG(FG_YIELD(0,,,,\"YTM\"),FG_YIELD(-3AM,,,,\"YTM\"))":16.279894,"CC_SE^IMF_IFS_RCPI_Q(0)":4.6701536,"VGK^FG_PE_NTM(0,,,90,0)":13.4929377703647,"EWQ^FG_FCF_YIELD_NTM(0)":6.01260368404573,"EWU^FMA_PE(NTMA,0,,,\"PORTAGG\",\"MEANR\")":11.4267743223151,"EWC^FMA_EVAL_EBIT(LTMA,NOW,NOW,M,\"PORTAGG\",\"MEANR\")":15.9654707235691,"ENZL^FMA_PE(NTMA,-10AY,0,AM,\"PORTAGG\",\"MEANR\")":[17.1967139382451,17.4478917211638,17.5159073510898,17.1408424546592,17.4644869280994,17.7251641549364,18.1954516012937,19.169748387611,19.3006254187479,18.1043931296327,18.1520437850092,18.2235604387523,17.7680574031836,18.1234525467546,17.5972212316474,17.224031245946,18.0983018589381,18.1379607697507,18.1702731389046,17.3874921307626,17.5566851825032,18.0055570378137,18.7547014912848,19.331173304405,18.5114940263197,20.189841365765,20.4256231036991,20.0960505503912,18.9897903016628,18.8015838888995,18.5161096416633,19.1948752259908,18.3456235290234,18.6715028192662,19.5356711103918,19.5714607692372,19.7278975311616,19.5261826732486,20.0251230096051,19.8009329413137,20.3723595613449,20.1149823699634,20.9264843391952,20.5716325762325,20.8462380710614,20.1474965291397,19.9113535617366,20.4308952815634,21.3251614010901,21.1629539138984,21.8098190412374,21.4693190006079,19.6196262571414,19.7240318340309,20.0278637880904,20.6381433670307,21.5707196690684,22.1614968257315,22.6562418835128,23.1219465712838,23.7202873176142,24.4550517156695,25.385065961414,25.2725234863641,24.6994036467398,25.5694693550293,26.0858022951486,26.1240273700519,25.9075376731227,24.0640069291665,29.7599188622892,31.4978954616492,30.42766345727,31.7085703758651,33.4400458431509,32.1273038816376,33.1059694968069,32.1588818109295,34.3039267965618,33.5675210288088,31.507983403909,31.9761781309518,32.3218103537664,32.3381342517209,33.8337903526059,33.6277393248443,34.7672165856944,34.3803542199253,33.3426790273416,31.6186486578242,32.1508519569276,29.227064470653,28.9278478499414,28.8420972772183,28.5393335942732,26.780744768853,25.9059576371081,25.88666736073,27.5940406505861,24.2690625691914,23.4680164474744,23.064106043942,23.2583135368704,24.0290819403296,24.011013925857,23.1899256984705,23.6750083418395,23.4845394606897,20.6879365100992,20.964921379109,20.0953862252567,19.9490540181442,19.1494814094559,20.2914323408307,22.9668789553551,22.4560944144431,22.5086190290408,25.2815236006387,24.8929601166383,24.8675767892012,24.4339325810396],"W-FDS^MAX(FG_PRICE(0,-5AY))":14.2525,"EWI^P_PRICE(0)/P_PRICE_HIGH_PR(0,,,,,,\"PRICE\",\"INTRA\",\"52W\")":0.9105918,"EWL^PERCENT_CHANGE(FMA_EPS(+1,0,,,,\"PORTAGG\",\"MEAN\"),FMA_EPS(+1,-1AM,,,,\"PORTAGG\",\"MEAN\"))":-0.753292375361543,"EWL^SIZE(FG_CONSTITUENTS)":46,"DBA^FG_TOTAL_RETURNC(0,-1AM)":-5.5930195,"EWA^FG_PRICE_MAVG(0,,,,200)":23.3409,"EWA^FG_TOTAL_RETURNC(0,-6AM)":1.6988277,"VWO^FMA_COS_DOWN(\"EPS\",\"1M\",+1,0,,,\"PORTAGG\",\"MEANR\")":1326.0,"EWL^FMA_COS_UP(\"EPS\",\"1M\",+1,0,,,\"PORTAGG\",\"MEANR\")":18.0,"REFCHMPR-FDS^(SUBARRAY(NOT_NA(NO_REPEAT_F(FG_YIELD(NOW,-10AY,D))),0,1)-SUBARRAY(NOT_NA(NO_REPEAT_F(FG_YIELD(NOW,-10AY,D))),1,1))*100":-25.0,"TRYUS10Y-FDS^PCTCHG(FG_YIELD(0,,,,\"YTM\"),FG_YIELD(-3AM,,,,\"YTM\"))":4.0397105,"CC_FR^IMF_IFS_RCPI_Q(0)":2.79402,"EWQ^FMA_PE(NTMA,0,,,\"PORTAGG\",\"MEANR\")":13.6060361326933,"EWU^FMA_PE(LTM,0,,,\"PORTAGG\",\"MEANR\")":12.8688036232959,"EWC^FG_FCF_YIELD_NTM(0)":5.99756758467273,"QQQ^P_PRICE(0)/P_PRICE_HIGH_PR(0,,,USD,,,\"PRICE\",\"INTRA\",\"52W\")":0.98339486,"EWA^FG_TOTAL_RETURNC(0,-1AM)":1.1618257,"REFCHMPR-FDS^PROPER_NAME(0,,,\"SECURITY\",\"NAME\")":"Swiss Policy Rate - Sight Deposit Rate","EWC^FMA_PE(NTMA,0,,,\"PORTAGG\",\"MEANR\")":13.9837490515467,"EWD^FMA_PE(LTM,0,,,\"PORTAGG\",\"MEANR\")":14.5035517601655,"EWJ^FMA_PE(NTMA,0,,,\"PORTAGG\",\"MEANR\")":15.5521401174445,"EWG^FMA_PCT_ABOVE_MAVG(200,0,,,,\"PORTAGG\")":60.3448275862069,"REFNZOCR-FDS^FG_YIELD(NOW,,,0)":5.5,"EWI^FG_TOTAL_RETURNC(0,-6AM)":8.307302,"EWA^FG_TOTAL_RETURNC(0,-3AM)":0.997746,"EWA^FG_ROE(0)":12.5591922716914,"REFCHMPR-FDS^FG_YIELD(NOW,,,0)":1.25,"VGK^JULIAN(FMA_DIV_YLD(NTMA,NOW,NOW,M,\"PORTAGG\",\"MEANR\").DATES)":45443,"EWU^JULIAN(FMA_DIV_YLD(NTMA,NOW,NOW,M,\"PORTAGG\",\"MEANR\").DATES)":45469,"EWC^FMA_DIV_YLD(NTMA,NOW,NOW,M,\"PORTAGG\",\"MEANR\")":3.33728402805214,"VWO^FMA_COS_UP(\"EPS\",\"1M\",+1,0,,,\"PORTAGG\",\"MEANR\")":1000.0,"TRYNL10Y-FDS^FG_YIELD(0,,,,\"YTM\")":2.815,"ENZL^FG_ROE(0)":4.9539161257895,"EWL^FMA_EVAL_EBIT(LTMA,NOW,NOW,M,\"PORTAGG\",\"MEANR\")":16.5301905159045,"USDAUD^STD(FG_PRICE_CHANGE(0,-3AY,M))":3.05172762961697,"EWC^FMA_PE(LTMA,-10AY,0,AM,\"PORTAGG\",\"MEANR\")":[16.2650253834498,16.3904611012419,16.4447408386952,15.9895560942524,15.7102362398416,15.7189486163917,15.6023388365469,15.7065133417614,17.0329169622469,17.0235714352198,17.3431172727929,17.2439342759877,17.1829838457663,16.7150138743823,16.6395060560288,16.024514866659,16.9609519302381,16.6279639159919,16.4942930659979,15.2440709977839,15.6168821012362,15.9949402377187,16.3795504844003,16.6508315628322,16.6497259458348,17.1769604331157,17.4864785670122,17.8542039531243,18.1845228225861,18.772521198506,19.4063713879938,19.8875178302108,19.3935176217041,19.1608185201804,18.8062020102816,18.5828981091768,18.144559540461,17.9837102668751,17.5982838873802,17.6288641337079,17.5730762582819,17.2497797096867,17.2291432051986,17.1053973104326,15.8440303406712,15.6459032576254,15.6307439403457,15.5149666412153,15.4453524580268,15.5014086612429,15.3270298174499,15.03811676012,14.0399811538607,14.0432778425172,13.1506051245164,14.3633202007008,14.7252061834248,14.7250124971449,14.652872928545,14.4685849301509,14.4933225115679,14.5303190889753,14.3425122848513,14.6756535592106,14.6747050294496,15.1585124651921,15.3465759618884,15.5922033416158,14.3479619341519,14.0306383280526,15.498548013447,17.2192083339613,17.1083070382471,17.8138389396069,18.3957894377478,18.4047871200168,18.0097558602458,19.9683346390638,20.5534515520369,20.5185184567958,19.9904739717302,19.6500034088367,19.3272123206374,18.835578146848,18.4963982972001,17.8118591689558,17.2698509779197,16.4606415279008,16.7591900130924,15.9383858565328,15.4684541383698,15.016336140133,15.2489708409917,15.0858266768516,14.6727818678111,14.3362577197463,13.5581803295494,13.2855186357715,13.0914954032713,12.2748241951872,12.5532228767837,12.667933368747,12.0124258569382,12.8868905579343,12.5722768144174,12.5632039059571,12.8217551200811,12.8251301945017,12.9252591339195,13.519238728193,13.3437331877876,13.3286476025322,12.9051369837269,13.7379377077722,14.581425997069,14.711992799304,14.7913155620974,14.9673308316518,14.8975220316506,14.9638368579452,14.8380790477111],"BRENT-FDS^FG_PRICE_CHANGE(0,-3AM)":0.0,"EWI^FMA_EVAL_EBIT(LTMA,NOW,NOW,M,\"PORTAGG\",\"MEANR\")":10.7973513979778,"EWQ^FMA_PE(LTM,0,,,\"PORTAGG\",\"MEANR\")":15.7027987176523,"ENZL^FG_PRICE_MAVG(0,,,,60)":45.283592,"EWI^FG_TOTAL_RETURNC(0,-3AM)":-2.603829,"DUMMY^ECON_DATE(45444,,, 'MM/YYYY')":"05/2024","DUMMY^ECON_DATE(45352,,, 'MM/YYYY')":"03/2024","DUMMY^ECON_EXPR_DATA('FDS_ECON[PMIDMMANHE]',05/2024,,Q)":49.135437,"DUMMY^ECON_EXPR_DATA('FDS_ECON[PMIDMMANHE]',03/2024,,Q)":49.135437,"DUMMY^ECON_EXPR_DATA('FDS_ECON[NTCPMIMFGSA@EME]',05/2024,,Q)":51.512165,"DUMMY^ECON_EXPR_DATA('FDS_ECON[NTCPMIMFGSA@EME]',03/2024,,Q)":51.512165,"DUMMY^ECON_EXPR_DATA('FDS_ECON[NTCPMIMFGSA@NZ]',05/2024,,Q)":47.779373,"DUMMY^ECON_EXPR_DATA('FDS_ECON[NTCPMIMFGSA@NZ]',03/2024,,Q)":47.779373,"DUMMY^ECON_EXPR_DATA('FDS_ECON[NTCPMIMFGSA@AU]',05/2024,,Q)":48.39547,"DUMMY^ECON_EXPR_DATA('FDS_ECON[NTCPMIMFGSA@AU]',03/2024,,Q)":48.39547,"DUMMY^ECON_EXPR_DATA('FDS_ECON[NTCPMIMFGSA@CA]',05/2024,,Q)":49.30091,"DUMMY^ECON_EXPR_DATA('FDS_ECON[NTCPMIMFGSA@CA]',03/2024,,Q)":49.30091,"DUMMY^ECON_EXPR_DATA('FDS_ECON[NTCPMIMFGSA@DE]',05/2024,,Q)":43.319096,"DUMMY^ECON_EXPR_DATA('FDS_ECON[NTCPMIMFGSA@DE]',03/2024,,Q)":43.319096,"DUMMY^ECON_EXPR_DATA('FDS_ECON[NTCPMIMFGSA@JP]',05/2024,,Q)":47.808857,"DUMMY^ECON_EXPR_DATA('FDS_ECON[NTCPMIMFGSA@JP]',03/2024,,Q)":47.808857,"DUMMY^ECON_EXPR_DATA('FDS_ECON[NTCPMIMFGSA@CH]',05/2024,,Q)":44.08605,"DUMMY^ECON_EXPR_DATA('FDS_ECON[NTCPMIMFGSA@CH]',03/2024,,Q)":44.08605,"DUMMY^ECON_EXPR_DATA('FDS_ECON[NTCPMIMFGSA@GB]',05/2024,,Q)":48.24796,"DUMMY^ECON_EXPR_DATA('FDS_ECON[NTCPMIMFGSA@GB]',03/2024,,Q)":48.24796,"DUMMY^ECON_EXPR_DATA('FDS_ECON[NTCPMIMFGMESA@US]',05/2024,,Q)":51.582687,"DUMMY^ECON_EXPR_DATA('FDS_ECON[NTCPMIMFGMESA@US]',03/2024,,Q)":51.582687,"DUMMY^ECON_EXPR_DATA('FDS_ECON[NTCPMIMFGSA@FR]',05/2024,,Q)":45.498753,"DUMMY^ECON_EXPR_DATA('FDS_ECON[NTCPMIMFGSA@FR]',03/2024,,Q)":45.498753,"DUMMY^ECON_EXPR_DATA('FDS_ECON[NTCPMIMFGSA@NL]',05/2024,,Q)":49.325874,"DUMMY^ECON_EXPR_DATA('FDS_ECON[NTCPMIMFGSA@NL]',03/2024,,Q)":49.325874,"DUMMY^ECON_EXPR_DATA('FDS_ECON[]',05/2024,,Q)":null,"DUMMY^ECON_EXPR_DATA('FDS_ECON[]',03/2024,,Q)":null,"DUMMY^ECON_EXPR_DATA('FDS_ECON[NTCPMIMFGSA@IT]',05/2024,,Q)":49.208153,"DUMMY^ECON_EXPR_DATA('FDS_ECON[NTCPMIMFGSA@IT]',03/2024,,Q)":49.208153}]]></FdsFormulaCache>
</file>

<file path=customXml/itemProps1.xml><?xml version="1.0" encoding="utf-8"?>
<ds:datastoreItem xmlns:ds="http://schemas.openxmlformats.org/officeDocument/2006/customXml" ds:itemID="{4B3D3B5D-9AF3-4700-86C9-9378BED47596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Charts</vt:lpstr>
      </vt:variant>
      <vt:variant>
        <vt:i4>1</vt:i4>
      </vt:variant>
    </vt:vector>
  </HeadingPairs>
  <TitlesOfParts>
    <vt:vector size="28" baseType="lpstr">
      <vt:lpstr>Assumption</vt:lpstr>
      <vt:lpstr>Aset class Rankings</vt:lpstr>
      <vt:lpstr>Asset class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2024-07-01T02:49:41Z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