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AEL\Desktop\DL Files\"/>
    </mc:Choice>
  </mc:AlternateContent>
  <xr:revisionPtr revIDLastSave="0" documentId="8_{2AB40CF5-4583-4CAE-8668-D3F9A361822D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__FDSCACHE__" sheetId="2" state="veryHidden" r:id="rId1"/>
    <sheet name="Aset class Rankings" sheetId="59" r:id="rId2"/>
    <sheet name="Global Value" sheetId="69" r:id="rId3"/>
    <sheet name="Asset class" sheetId="60" r:id="rId4"/>
    <sheet name="Momnetum ranking" sheetId="12" r:id="rId5"/>
    <sheet name="Factset Price Data" sheetId="61" r:id="rId6"/>
    <sheet name="Index earnings" sheetId="70" r:id="rId7"/>
    <sheet name="Chart1" sheetId="36" state="hidden" r:id="rId8"/>
  </sheets>
  <definedNames>
    <definedName name="_xlnm._FilterDatabase" localSheetId="4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70" l="1" a="1"/>
  <c r="I6" i="61" a="1"/>
  <c r="R25" i="12" a="1"/>
  <c r="R21" i="12" a="1"/>
  <c r="R15" i="12" a="1"/>
  <c r="R11" i="12" a="1"/>
  <c r="R7" i="12" a="1"/>
  <c r="L18" i="12" a="1"/>
  <c r="G12" i="12" a="1"/>
  <c r="E7" i="12" a="1"/>
  <c r="F13" i="60" a="1"/>
  <c r="O7" i="12" a="1"/>
  <c r="L15" i="12" a="1"/>
  <c r="F24" i="12" a="1"/>
  <c r="E19" i="12" a="1"/>
  <c r="G11" i="12" a="1"/>
  <c r="B10" i="12" a="1"/>
  <c r="H12" i="60" a="1"/>
  <c r="H8" i="60" a="1"/>
  <c r="E6" i="61" a="1"/>
  <c r="K15" i="12" a="1"/>
  <c r="M9" i="12" a="1"/>
  <c r="L4" i="12" a="1"/>
  <c r="G18" i="12" a="1"/>
  <c r="E6" i="12" a="1"/>
  <c r="G12" i="60" a="1"/>
  <c r="G8" i="60" a="1"/>
  <c r="G4" i="60" a="1"/>
  <c r="L27" i="12" a="1"/>
  <c r="G23" i="12" a="1"/>
  <c r="B8" i="12" a="1"/>
  <c r="F12" i="60" a="1"/>
  <c r="F4" i="60" a="1"/>
  <c r="P6" i="12" a="1"/>
  <c r="R3" i="12" a="1"/>
  <c r="M23" i="12" a="1"/>
  <c r="K11" i="12" a="1"/>
  <c r="M5" i="12" a="1"/>
  <c r="F25" i="12" a="1"/>
  <c r="E20" i="12" a="1"/>
  <c r="F7" i="12" a="1"/>
  <c r="B13" i="12" a="1"/>
  <c r="G13" i="60" a="1"/>
  <c r="G9" i="60" a="1"/>
  <c r="G5" i="60" a="1"/>
  <c r="Q21" i="12" a="1"/>
  <c r="Q15" i="12" a="1"/>
  <c r="Q11" i="12" a="1"/>
  <c r="Q3" i="12" a="1"/>
  <c r="L23" i="12" a="1"/>
  <c r="K18" i="12" a="1"/>
  <c r="L5" i="12" a="1"/>
  <c r="E25" i="12" a="1"/>
  <c r="F9" i="60" a="1"/>
  <c r="O25" i="12" a="1"/>
  <c r="O15" i="12" a="1"/>
  <c r="O11" i="12" a="1"/>
  <c r="O3" i="12" a="1"/>
  <c r="K10" i="12" a="1"/>
  <c r="F6" i="12" a="1"/>
  <c r="H4" i="60" a="1"/>
  <c r="R10" i="12" a="1"/>
  <c r="R6" i="12" a="1"/>
  <c r="L22" i="12" a="1"/>
  <c r="F11" i="12" a="1"/>
  <c r="B9" i="12" a="1"/>
  <c r="Q10" i="12" a="1"/>
  <c r="C6" i="61" a="1"/>
  <c r="G10" i="12" a="1"/>
  <c r="F5" i="12" a="1"/>
  <c r="E12" i="60" a="1"/>
  <c r="B6" i="61" a="1"/>
  <c r="E5" i="12" a="1"/>
  <c r="Q25" i="12" a="1"/>
  <c r="Q7" i="12" a="1"/>
  <c r="M10" i="12" a="1"/>
  <c r="G19" i="12" a="1"/>
  <c r="F12" i="12" a="1"/>
  <c r="B12" i="12" a="1"/>
  <c r="F5" i="60" a="1"/>
  <c r="O21" i="12" a="1"/>
  <c r="M22" i="12" a="1"/>
  <c r="M4" i="12" a="1"/>
  <c r="D3" i="70" a="1"/>
  <c r="M27" i="12" a="1"/>
  <c r="Q24" i="12" a="1"/>
  <c r="Q14" i="12" a="1"/>
  <c r="Q6" i="12" a="1"/>
  <c r="K22" i="12" a="1"/>
  <c r="L9" i="12" a="1"/>
  <c r="F18" i="12" a="1"/>
  <c r="P20" i="12" a="1"/>
  <c r="L14" i="12" a="1"/>
  <c r="F23" i="12" a="1"/>
  <c r="B7" i="12" a="1"/>
  <c r="O20" i="12" a="1"/>
  <c r="O10" i="12" a="1"/>
  <c r="O6" i="12" a="1"/>
  <c r="M26" i="12" a="1"/>
  <c r="L21" i="12" a="1"/>
  <c r="M8" i="12" a="1"/>
  <c r="F10" i="12" a="1"/>
  <c r="H11" i="60" a="1"/>
  <c r="G3" i="70" a="1"/>
  <c r="H6" i="61" a="1"/>
  <c r="Q20" i="12" a="1"/>
  <c r="M14" i="12" a="1"/>
  <c r="K4" i="12" a="1"/>
  <c r="G5" i="12" a="1"/>
  <c r="B3" i="70" a="1"/>
  <c r="P14" i="12" a="1"/>
  <c r="K9" i="12" a="1"/>
  <c r="E18" i="12" a="1"/>
  <c r="E4" i="60" a="1"/>
  <c r="A3" i="70" a="1"/>
  <c r="O24" i="12" a="1"/>
  <c r="G15" i="12" a="1"/>
  <c r="G6" i="61" a="1"/>
  <c r="P25" i="12" a="1"/>
  <c r="P21" i="12" a="1"/>
  <c r="P15" i="12" a="1"/>
  <c r="P11" i="12" a="1"/>
  <c r="P7" i="12" a="1"/>
  <c r="P3" i="12" a="1"/>
  <c r="K23" i="12" a="1"/>
  <c r="M15" i="12" a="1"/>
  <c r="L10" i="12" a="1"/>
  <c r="K5" i="12" a="1"/>
  <c r="G24" i="12" a="1"/>
  <c r="F19" i="12" a="1"/>
  <c r="E12" i="12" a="1"/>
  <c r="G6" i="12" a="1"/>
  <c r="B11" i="12" a="1"/>
  <c r="E13" i="60" a="1"/>
  <c r="E9" i="60" a="1"/>
  <c r="E5" i="60" a="1"/>
  <c r="E3" i="70" a="1"/>
  <c r="F6" i="61" a="1"/>
  <c r="R20" i="12" a="1"/>
  <c r="E24" i="12" a="1"/>
  <c r="F3" i="70" a="1"/>
  <c r="R24" i="12" a="1"/>
  <c r="D6" i="61" a="1"/>
  <c r="E11" i="12" a="1"/>
  <c r="F8" i="60" a="1"/>
  <c r="P24" i="12" a="1"/>
  <c r="P10" i="12" a="1"/>
  <c r="K27" i="12" a="1"/>
  <c r="M3" i="12" a="1"/>
  <c r="E8" i="60" a="1"/>
  <c r="O14" i="12" a="1"/>
  <c r="R14" i="12" a="1"/>
  <c r="C3" i="70" a="1"/>
  <c r="E23" i="12" a="1"/>
  <c r="H7" i="60" a="1"/>
  <c r="H3" i="60" a="1"/>
  <c r="B6" i="12" a="1"/>
  <c r="L3" i="12" a="1"/>
  <c r="K14" i="12" a="1"/>
  <c r="M21" i="12" a="1"/>
  <c r="O6" i="61" a="1"/>
  <c r="P27" i="12" a="1"/>
  <c r="P23" i="12" a="1"/>
  <c r="P19" i="12" a="1"/>
  <c r="P13" i="12" a="1"/>
  <c r="P9" i="12" a="1"/>
  <c r="P5" i="12" a="1"/>
  <c r="M25" i="12" a="1"/>
  <c r="L20" i="12" a="1"/>
  <c r="K13" i="12" a="1"/>
  <c r="M7" i="12" a="1"/>
  <c r="F27" i="12" a="1"/>
  <c r="E22" i="12" a="1"/>
  <c r="G14" i="12" a="1"/>
  <c r="F9" i="12" a="1"/>
  <c r="E4" i="12" a="1"/>
  <c r="B3" i="12" a="1"/>
  <c r="E11" i="60" a="1"/>
  <c r="E7" i="60" a="1"/>
  <c r="E3" i="60" a="1"/>
  <c r="N6" i="61" a="1"/>
  <c r="O27" i="12" a="1"/>
  <c r="O23" i="12" a="1"/>
  <c r="O19" i="12" a="1"/>
  <c r="O13" i="12" a="1"/>
  <c r="O9" i="12" a="1"/>
  <c r="O5" i="12" a="1"/>
  <c r="L25" i="12" a="1"/>
  <c r="K20" i="12" a="1"/>
  <c r="M12" i="12" a="1"/>
  <c r="L7" i="12" a="1"/>
  <c r="E27" i="12" a="1"/>
  <c r="G21" i="12" a="1"/>
  <c r="F14" i="12" a="1"/>
  <c r="E9" i="12" a="1"/>
  <c r="G3" i="12" a="1"/>
  <c r="H14" i="60" a="1"/>
  <c r="H10" i="60" a="1"/>
  <c r="H6" i="60" a="1"/>
  <c r="K6" i="61" a="1"/>
  <c r="P26" i="12" a="1"/>
  <c r="Q6" i="61" a="1"/>
  <c r="R5" i="12" a="1"/>
  <c r="G25" i="12" a="1"/>
  <c r="E10" i="60" a="1"/>
  <c r="Q19" i="12" a="1"/>
  <c r="M13" i="12" a="1"/>
  <c r="G7" i="12" a="1"/>
  <c r="P6" i="61" a="1"/>
  <c r="R18" i="12" a="1"/>
  <c r="Q5" i="12" a="1"/>
  <c r="G22" i="12" a="1"/>
  <c r="H9" i="60" a="1"/>
  <c r="Q12" i="12" a="1"/>
  <c r="M24" i="12" a="1"/>
  <c r="B4" i="12" a="1"/>
  <c r="G14" i="60" a="1"/>
  <c r="F3" i="60" a="1"/>
  <c r="F10" i="60" a="1"/>
  <c r="M6" i="61" a="1"/>
  <c r="R4" i="12" a="1"/>
  <c r="L13" i="12" a="1"/>
  <c r="G4" i="12" a="1"/>
  <c r="O18" i="12" a="1"/>
  <c r="E3" i="12" a="1"/>
  <c r="O4" i="12" a="1"/>
  <c r="F6" i="60" a="1"/>
  <c r="R27" i="12" a="1"/>
  <c r="Q27" i="12" a="1"/>
  <c r="B14" i="12" a="1"/>
  <c r="B5" i="12" a="1"/>
  <c r="K7" i="12" a="1"/>
  <c r="G3" i="60" a="1"/>
  <c r="P12" i="12" a="1"/>
  <c r="M6" i="12" a="1"/>
  <c r="O26" i="12" a="1"/>
  <c r="O12" i="12" a="1"/>
  <c r="K6" i="12" a="1"/>
  <c r="Q23" i="12" a="1"/>
  <c r="K21" i="12" a="1"/>
  <c r="R22" i="12" a="1"/>
  <c r="H13" i="60" a="1"/>
  <c r="G27" i="12" a="1"/>
  <c r="Q8" i="12" a="1"/>
  <c r="G10" i="60" a="1"/>
  <c r="Q18" i="12" a="1"/>
  <c r="L12" i="12" a="1"/>
  <c r="F22" i="12" a="1"/>
  <c r="G7" i="60" a="1"/>
  <c r="F4" i="12" a="1"/>
  <c r="P4" i="12" a="1"/>
  <c r="E21" i="12" a="1"/>
  <c r="G6" i="60" a="1"/>
  <c r="F20" i="12" a="1"/>
  <c r="L8" i="12" a="1"/>
  <c r="R12" i="12" a="1"/>
  <c r="H5" i="60" a="1"/>
  <c r="L24" i="12" a="1"/>
  <c r="L6" i="12" a="1"/>
  <c r="E13" i="12" a="1"/>
  <c r="Q9" i="12" a="1"/>
  <c r="K3" i="12" a="1"/>
  <c r="R8" i="12" a="1"/>
  <c r="E10" i="12" a="1"/>
  <c r="O22" i="12" a="1"/>
  <c r="R19" i="12" a="1"/>
  <c r="L6" i="61" a="1"/>
  <c r="Q4" i="12" a="1"/>
  <c r="F21" i="12" a="1"/>
  <c r="F7" i="60" a="1"/>
  <c r="J6" i="61" a="1"/>
  <c r="M11" i="12" a="1"/>
  <c r="B15" i="12" a="1"/>
  <c r="E6" i="60" a="1"/>
  <c r="R26" i="12" a="1"/>
  <c r="K8" i="12" a="1"/>
  <c r="E15" i="12" a="1"/>
  <c r="E14" i="12" a="1"/>
  <c r="R9" i="12" a="1"/>
  <c r="E14" i="60" a="1"/>
  <c r="M20" i="12" a="1"/>
  <c r="G26" i="12" a="1"/>
  <c r="P22" i="12" a="1"/>
  <c r="L19" i="12" a="1"/>
  <c r="P8" i="12" a="1"/>
  <c r="O8" i="12" a="1"/>
  <c r="E26" i="12" a="1"/>
  <c r="E8" i="12" a="1"/>
  <c r="P18" i="12" a="1"/>
  <c r="K12" i="12" a="1"/>
  <c r="F3" i="12" a="1"/>
  <c r="G20" i="12" a="1"/>
  <c r="R13" i="12" a="1"/>
  <c r="L11" i="12" a="1"/>
  <c r="L26" i="12" a="1"/>
  <c r="Q13" i="12" a="1"/>
  <c r="K26" i="12" a="1"/>
  <c r="F15" i="12" a="1"/>
  <c r="K25" i="12" a="1"/>
  <c r="Q26" i="12" a="1"/>
  <c r="G13" i="12" a="1"/>
  <c r="F14" i="60" a="1"/>
  <c r="Q22" i="12" a="1"/>
  <c r="F11" i="60" a="1"/>
  <c r="R23" i="12" a="1"/>
  <c r="K24" i="12" a="1"/>
  <c r="F13" i="12" a="1"/>
  <c r="M19" i="12" a="1"/>
  <c r="G11" i="60" a="1"/>
  <c r="G9" i="12" a="1"/>
  <c r="G8" i="12" a="1"/>
  <c r="F26" i="12" a="1"/>
  <c r="K19" i="12" a="1"/>
  <c r="F8" i="12" a="1"/>
  <c r="M18" i="12" a="1"/>
  <c r="K9" i="69" a="1"/>
  <c r="K9" i="69" l="1"/>
  <c r="M18" i="12"/>
  <c r="F8" i="12"/>
  <c r="K19" i="12"/>
  <c r="F26" i="12"/>
  <c r="G8" i="12"/>
  <c r="G9" i="12"/>
  <c r="G11" i="60"/>
  <c r="M19" i="12"/>
  <c r="F13" i="12"/>
  <c r="K24" i="12"/>
  <c r="R23" i="12"/>
  <c r="F11" i="60"/>
  <c r="Q22" i="12"/>
  <c r="F14" i="60"/>
  <c r="G13" i="12"/>
  <c r="Q26" i="12"/>
  <c r="K25" i="12"/>
  <c r="F15" i="12"/>
  <c r="K26" i="12"/>
  <c r="Q13" i="12"/>
  <c r="L26" i="12"/>
  <c r="L11" i="12"/>
  <c r="R13" i="12"/>
  <c r="G20" i="12"/>
  <c r="F3" i="12"/>
  <c r="K12" i="12"/>
  <c r="P18" i="12"/>
  <c r="E8" i="12"/>
  <c r="E26" i="12"/>
  <c r="O8" i="12"/>
  <c r="P8" i="12"/>
  <c r="L19" i="12"/>
  <c r="P22" i="12"/>
  <c r="G26" i="12"/>
  <c r="M20" i="12"/>
  <c r="E14" i="60"/>
  <c r="R9" i="12"/>
  <c r="E14" i="12"/>
  <c r="E15" i="12"/>
  <c r="K8" i="12"/>
  <c r="R26" i="12"/>
  <c r="E6" i="60"/>
  <c r="B15" i="12"/>
  <c r="M11" i="12"/>
  <c r="J6" i="61"/>
  <c r="F7" i="60"/>
  <c r="F21" i="12"/>
  <c r="Q4" i="12"/>
  <c r="L6" i="61"/>
  <c r="R19" i="12"/>
  <c r="O22" i="12"/>
  <c r="E10" i="12"/>
  <c r="R8" i="12"/>
  <c r="K3" i="12"/>
  <c r="Q9" i="12"/>
  <c r="E13" i="12"/>
  <c r="L6" i="12"/>
  <c r="L24" i="12"/>
  <c r="H5" i="60"/>
  <c r="R12" i="12"/>
  <c r="L8" i="12"/>
  <c r="F20" i="12"/>
  <c r="G6" i="60"/>
  <c r="E21" i="12"/>
  <c r="P4" i="12"/>
  <c r="F4" i="12"/>
  <c r="G7" i="60"/>
  <c r="F22" i="12"/>
  <c r="L12" i="12"/>
  <c r="Q18" i="12"/>
  <c r="G10" i="60"/>
  <c r="Q8" i="12"/>
  <c r="G27" i="12"/>
  <c r="H13" i="60"/>
  <c r="R22" i="12"/>
  <c r="K21" i="12"/>
  <c r="Q23" i="12"/>
  <c r="K6" i="12"/>
  <c r="O12" i="12"/>
  <c r="O26" i="12"/>
  <c r="M6" i="12"/>
  <c r="P12" i="12"/>
  <c r="G3" i="60"/>
  <c r="K7" i="12"/>
  <c r="B5" i="12"/>
  <c r="B14" i="12"/>
  <c r="Q27" i="12"/>
  <c r="R27" i="12"/>
  <c r="F6" i="60"/>
  <c r="O4" i="12"/>
  <c r="E3" i="12"/>
  <c r="O18" i="12"/>
  <c r="G4" i="12"/>
  <c r="L13" i="12"/>
  <c r="R4" i="12"/>
  <c r="M6" i="61"/>
  <c r="F10" i="60"/>
  <c r="F3" i="60"/>
  <c r="G14" i="60"/>
  <c r="B4" i="12"/>
  <c r="M24" i="12"/>
  <c r="Q12" i="12"/>
  <c r="H9" i="60"/>
  <c r="G22" i="12"/>
  <c r="Q5" i="12"/>
  <c r="R18" i="12"/>
  <c r="P6" i="61"/>
  <c r="G7" i="12"/>
  <c r="M13" i="12"/>
  <c r="Q19" i="12"/>
  <c r="E10" i="60"/>
  <c r="G25" i="12"/>
  <c r="R5" i="12"/>
  <c r="Q6" i="61"/>
  <c r="P26" i="12"/>
  <c r="K6" i="61"/>
  <c r="H6" i="60"/>
  <c r="H10" i="60"/>
  <c r="H14" i="60"/>
  <c r="G3" i="12"/>
  <c r="E9" i="12"/>
  <c r="F14" i="12"/>
  <c r="G21" i="12"/>
  <c r="E27" i="12"/>
  <c r="L7" i="12"/>
  <c r="M12" i="12"/>
  <c r="K20" i="12"/>
  <c r="L25" i="12"/>
  <c r="O5" i="12"/>
  <c r="O9" i="12"/>
  <c r="O13" i="12"/>
  <c r="O19" i="12"/>
  <c r="O23" i="12"/>
  <c r="O27" i="12"/>
  <c r="N6" i="61"/>
  <c r="E3" i="60"/>
  <c r="E7" i="60"/>
  <c r="E11" i="60"/>
  <c r="B3" i="12"/>
  <c r="E4" i="12"/>
  <c r="F9" i="12"/>
  <c r="G14" i="12"/>
  <c r="E22" i="12"/>
  <c r="F27" i="12"/>
  <c r="M7" i="12"/>
  <c r="K13" i="12"/>
  <c r="L20" i="12"/>
  <c r="M25" i="12"/>
  <c r="P5" i="12"/>
  <c r="P9" i="12"/>
  <c r="P13" i="12"/>
  <c r="P19" i="12"/>
  <c r="P23" i="12"/>
  <c r="P27" i="12"/>
  <c r="O6" i="61"/>
  <c r="M21" i="12"/>
  <c r="K14" i="12"/>
  <c r="L3" i="12"/>
  <c r="B6" i="12"/>
  <c r="H3" i="60"/>
  <c r="H7" i="60"/>
  <c r="E23" i="12"/>
  <c r="C3" i="70"/>
  <c r="R14" i="12"/>
  <c r="O14" i="12"/>
  <c r="E8" i="60"/>
  <c r="M3" i="12"/>
  <c r="K27" i="12"/>
  <c r="P10" i="12"/>
  <c r="P24" i="12"/>
  <c r="F8" i="60"/>
  <c r="E11" i="12"/>
  <c r="D6" i="61"/>
  <c r="R24" i="12"/>
  <c r="F3" i="70"/>
  <c r="E24" i="12"/>
  <c r="R20" i="12"/>
  <c r="F6" i="61"/>
  <c r="E3" i="70"/>
  <c r="E5" i="60"/>
  <c r="E9" i="60"/>
  <c r="E13" i="60"/>
  <c r="B11" i="12"/>
  <c r="G6" i="12"/>
  <c r="E12" i="12"/>
  <c r="F19" i="12"/>
  <c r="G24" i="12"/>
  <c r="K5" i="12"/>
  <c r="L10" i="12"/>
  <c r="M15" i="12"/>
  <c r="K23" i="12"/>
  <c r="P3" i="12"/>
  <c r="P7" i="12"/>
  <c r="P11" i="12"/>
  <c r="P15" i="12"/>
  <c r="P21" i="12"/>
  <c r="P25" i="12"/>
  <c r="G6" i="61"/>
  <c r="G15" i="12"/>
  <c r="O24" i="12"/>
  <c r="A3" i="70"/>
  <c r="E4" i="60"/>
  <c r="E18" i="12"/>
  <c r="K9" i="12"/>
  <c r="P14" i="12"/>
  <c r="B3" i="70"/>
  <c r="G5" i="12"/>
  <c r="K4" i="12"/>
  <c r="M14" i="12"/>
  <c r="Q20" i="12"/>
  <c r="H6" i="61"/>
  <c r="G3" i="70"/>
  <c r="H11" i="60"/>
  <c r="F10" i="12"/>
  <c r="M8" i="12"/>
  <c r="L21" i="12"/>
  <c r="M26" i="12"/>
  <c r="O6" i="12"/>
  <c r="O10" i="12"/>
  <c r="O20" i="12"/>
  <c r="B7" i="12"/>
  <c r="F23" i="12"/>
  <c r="L14" i="12"/>
  <c r="P20" i="12"/>
  <c r="F18" i="12"/>
  <c r="L9" i="12"/>
  <c r="K22" i="12"/>
  <c r="Q6" i="12"/>
  <c r="Q14" i="12"/>
  <c r="Q24" i="12"/>
  <c r="M27" i="12"/>
  <c r="D3" i="70"/>
  <c r="M4" i="12"/>
  <c r="M22" i="12"/>
  <c r="O21" i="12"/>
  <c r="F5" i="60"/>
  <c r="B12" i="12"/>
  <c r="F12" i="12"/>
  <c r="G19" i="12"/>
  <c r="M10" i="12"/>
  <c r="Q7" i="12"/>
  <c r="Q25" i="12"/>
  <c r="E5" i="12"/>
  <c r="B6" i="61"/>
  <c r="E12" i="60"/>
  <c r="F5" i="12"/>
  <c r="G10" i="12"/>
  <c r="C6" i="61"/>
  <c r="Q10" i="12"/>
  <c r="B9" i="12"/>
  <c r="F11" i="12"/>
  <c r="L22" i="12"/>
  <c r="R6" i="12"/>
  <c r="R10" i="12"/>
  <c r="H4" i="60"/>
  <c r="F6" i="12"/>
  <c r="K10" i="12"/>
  <c r="O3" i="12"/>
  <c r="O11" i="12"/>
  <c r="O15" i="12"/>
  <c r="O25" i="12"/>
  <c r="F9" i="60"/>
  <c r="E25" i="12"/>
  <c r="L5" i="12"/>
  <c r="K18" i="12"/>
  <c r="L23" i="12"/>
  <c r="Q3" i="12"/>
  <c r="Q11" i="12"/>
  <c r="Q15" i="12"/>
  <c r="Q21" i="12"/>
  <c r="G5" i="60"/>
  <c r="G9" i="60"/>
  <c r="G13" i="60"/>
  <c r="B13" i="12"/>
  <c r="F7" i="12"/>
  <c r="E20" i="12"/>
  <c r="F25" i="12"/>
  <c r="M5" i="12"/>
  <c r="K11" i="12"/>
  <c r="M23" i="12"/>
  <c r="R3" i="12"/>
  <c r="P6" i="12"/>
  <c r="F4" i="60"/>
  <c r="F12" i="60"/>
  <c r="B8" i="12"/>
  <c r="G23" i="12"/>
  <c r="L27" i="12"/>
  <c r="G4" i="60"/>
  <c r="G8" i="60"/>
  <c r="G12" i="60"/>
  <c r="E6" i="12"/>
  <c r="G18" i="12"/>
  <c r="L4" i="12"/>
  <c r="M9" i="12"/>
  <c r="K15" i="12"/>
  <c r="E6" i="61"/>
  <c r="H8" i="60"/>
  <c r="H12" i="60"/>
  <c r="B10" i="12"/>
  <c r="G11" i="12"/>
  <c r="E19" i="12"/>
  <c r="F24" i="12"/>
  <c r="L15" i="12"/>
  <c r="O7" i="12"/>
  <c r="F13" i="60"/>
  <c r="E7" i="12"/>
  <c r="G12" i="12"/>
  <c r="L18" i="12"/>
  <c r="R7" i="12"/>
  <c r="R11" i="12"/>
  <c r="R15" i="12"/>
  <c r="R21" i="12"/>
  <c r="R25" i="12"/>
  <c r="I6" i="61"/>
  <c r="H3" i="70"/>
  <c r="K8" i="69" a="1"/>
  <c r="K8" i="69" l="1"/>
  <c r="K7" i="69" a="1"/>
  <c r="K7" i="69" l="1"/>
  <c r="K6" i="69" a="1"/>
  <c r="K6" i="69" l="1"/>
  <c r="K5" i="69" a="1"/>
  <c r="K5" i="69" l="1"/>
  <c r="K4" i="69" a="1"/>
  <c r="K4" i="69" l="1"/>
  <c r="K3" i="69" a="1"/>
  <c r="K3" i="69" l="1"/>
  <c r="I9" i="69" a="1"/>
  <c r="I9" i="69" l="1"/>
  <c r="H9" i="69" a="1"/>
  <c r="H9" i="69" l="1"/>
  <c r="G9" i="69" a="1"/>
  <c r="G9" i="69" l="1"/>
  <c r="F9" i="69" a="1"/>
  <c r="F9" i="69" l="1"/>
  <c r="I8" i="69" a="1"/>
  <c r="I8" i="69" l="1"/>
  <c r="H8" i="69" a="1"/>
  <c r="H8" i="69" l="1"/>
  <c r="G8" i="69" a="1"/>
  <c r="G8" i="69" l="1"/>
  <c r="F8" i="69" a="1"/>
  <c r="F8" i="69" l="1"/>
  <c r="I7" i="69" a="1"/>
  <c r="I7" i="69" l="1"/>
  <c r="H7" i="69" a="1"/>
  <c r="H7" i="69" l="1"/>
  <c r="G7" i="69" a="1"/>
  <c r="G7" i="69" l="1"/>
  <c r="F7" i="69" a="1"/>
  <c r="F7" i="69" l="1"/>
  <c r="I6" i="69" a="1"/>
  <c r="I6" i="69" l="1"/>
  <c r="H6" i="69" a="1"/>
  <c r="H6" i="69" l="1"/>
  <c r="G6" i="69" a="1"/>
  <c r="G6" i="69" l="1"/>
  <c r="F6" i="69" a="1"/>
  <c r="F6" i="69" l="1"/>
  <c r="I5" i="69" a="1"/>
  <c r="I5" i="69" l="1"/>
  <c r="H5" i="69" a="1"/>
  <c r="H5" i="69" l="1"/>
  <c r="G5" i="69" a="1"/>
  <c r="G5" i="69" l="1"/>
  <c r="F5" i="69" a="1"/>
  <c r="F5" i="69" l="1"/>
  <c r="I4" i="69" a="1"/>
  <c r="I4" i="69" l="1"/>
  <c r="H4" i="69" a="1"/>
  <c r="H4" i="69" l="1"/>
  <c r="G4" i="69" a="1"/>
  <c r="G4" i="69" l="1"/>
  <c r="F4" i="69" a="1"/>
  <c r="F4" i="69" l="1"/>
  <c r="I3" i="69" a="1"/>
  <c r="I3" i="69" l="1"/>
  <c r="H3" i="69" a="1"/>
  <c r="H3" i="69" l="1"/>
  <c r="G3" i="69" a="1"/>
  <c r="G3" i="69" l="1"/>
  <c r="F3" i="69" a="1"/>
  <c r="F3" i="69" l="1"/>
  <c r="C9" i="69" a="1"/>
  <c r="C9" i="69" l="1"/>
  <c r="C8" i="69" a="1"/>
  <c r="C8" i="69" l="1"/>
  <c r="C7" i="69" a="1"/>
  <c r="C7" i="69" l="1"/>
  <c r="C6" i="69" a="1"/>
  <c r="C6" i="69" l="1"/>
  <c r="C5" i="69" a="1"/>
  <c r="C5" i="69" l="1"/>
  <c r="C4" i="69" a="1"/>
  <c r="C4" i="69" l="1"/>
  <c r="C3" i="69" a="1"/>
  <c r="C3" i="69" l="1"/>
  <c r="C14" i="60"/>
  <c r="H35" i="59" l="1"/>
  <c r="H39" i="59"/>
  <c r="I39" i="59"/>
  <c r="G38" i="59"/>
  <c r="I40" i="59"/>
  <c r="H40" i="59"/>
  <c r="I35" i="59"/>
  <c r="G39" i="59"/>
  <c r="H36" i="59"/>
  <c r="M7" i="60"/>
  <c r="G34" i="59"/>
  <c r="G32" i="59"/>
  <c r="I36" i="59"/>
  <c r="I37" i="59"/>
  <c r="G40" i="59"/>
  <c r="G33" i="59"/>
  <c r="K13" i="60"/>
  <c r="I33" i="59"/>
  <c r="H33" i="59"/>
  <c r="H37" i="59"/>
  <c r="H32" i="59"/>
  <c r="I32" i="59"/>
  <c r="I34" i="59"/>
  <c r="I38" i="59"/>
  <c r="G36" i="59"/>
  <c r="G37" i="59"/>
  <c r="L9" i="60"/>
  <c r="G35" i="59"/>
  <c r="H34" i="59"/>
  <c r="H38" i="59"/>
  <c r="C25" i="12"/>
  <c r="C26" i="12"/>
  <c r="C27" i="12"/>
  <c r="E24" i="70" l="1"/>
  <c r="E26" i="70" s="1" a="1"/>
  <c r="E26" i="70" s="1"/>
  <c r="J6" i="69" s="1"/>
  <c r="L6" i="69" s="1"/>
  <c r="M6" i="69" s="1"/>
  <c r="F59" i="59" s="1"/>
  <c r="B24" i="70"/>
  <c r="B26" i="70" s="1" a="1"/>
  <c r="B26" i="70" s="1"/>
  <c r="J3" i="69" s="1"/>
  <c r="L3" i="69" s="1"/>
  <c r="M3" i="69" s="1"/>
  <c r="F56" i="59" s="1"/>
  <c r="D24" i="70"/>
  <c r="D26" i="70" a="1"/>
  <c r="D26" i="70" s="1"/>
  <c r="J5" i="69" s="1"/>
  <c r="L5" i="69" s="1"/>
  <c r="M5" i="69" s="1"/>
  <c r="F58" i="59" s="1"/>
  <c r="G24" i="70"/>
  <c r="G26" i="70" a="1"/>
  <c r="G26" i="70" s="1"/>
  <c r="J8" i="69" s="1"/>
  <c r="L8" i="69" s="1"/>
  <c r="M8" i="69" s="1"/>
  <c r="F61" i="59" s="1"/>
  <c r="F24" i="70"/>
  <c r="F26" i="70" a="1"/>
  <c r="F26" i="70" s="1"/>
  <c r="J7" i="69" s="1"/>
  <c r="L7" i="69" s="1"/>
  <c r="M7" i="69" s="1"/>
  <c r="F60" i="59" s="1"/>
  <c r="H24" i="70"/>
  <c r="H26" i="70" a="1"/>
  <c r="H26" i="70" s="1"/>
  <c r="J9" i="69" s="1"/>
  <c r="L9" i="69" s="1"/>
  <c r="M9" i="69" s="1"/>
  <c r="F62" i="59" s="1"/>
  <c r="C24" i="70"/>
  <c r="C26" i="70" s="1" a="1"/>
  <c r="C26" i="70" s="1"/>
  <c r="J4" i="69" s="1"/>
  <c r="L4" i="69" s="1"/>
  <c r="M4" i="69" s="1"/>
  <c r="F57" i="59" s="1"/>
  <c r="K4" i="60"/>
  <c r="M12" i="60"/>
  <c r="M13" i="60"/>
  <c r="L7" i="60"/>
  <c r="K11" i="60"/>
  <c r="L11" i="60"/>
  <c r="M3" i="60"/>
  <c r="L13" i="60"/>
  <c r="K9" i="60"/>
  <c r="K7" i="60"/>
  <c r="M10" i="60"/>
  <c r="M8" i="60"/>
  <c r="L6" i="60"/>
  <c r="K3" i="60"/>
  <c r="M5" i="60"/>
  <c r="M11" i="60"/>
  <c r="L3" i="60"/>
  <c r="L4" i="60"/>
  <c r="L8" i="60"/>
  <c r="K8" i="60"/>
  <c r="K6" i="60"/>
  <c r="K14" i="60"/>
  <c r="K10" i="60"/>
  <c r="L12" i="60"/>
  <c r="M9" i="60"/>
  <c r="K12" i="60"/>
  <c r="L14" i="60"/>
  <c r="L10" i="60"/>
  <c r="L5" i="60"/>
  <c r="M4" i="60"/>
  <c r="M6" i="60"/>
  <c r="K5" i="60"/>
  <c r="M14" i="60"/>
  <c r="I27" i="12"/>
  <c r="M53" i="59" s="1"/>
  <c r="I26" i="12"/>
  <c r="M52" i="59" s="1"/>
  <c r="H26" i="12"/>
  <c r="L52" i="59" s="1"/>
  <c r="H27" i="12"/>
  <c r="L53" i="59" s="1"/>
  <c r="I25" i="12"/>
  <c r="M51" i="59" s="1"/>
  <c r="J27" i="12" l="1"/>
  <c r="F40" i="59" s="1"/>
  <c r="J26" i="12"/>
  <c r="F39" i="59" s="1"/>
  <c r="H25" i="12"/>
  <c r="J25" i="12" l="1"/>
  <c r="F38" i="59" s="1"/>
  <c r="L51" i="59"/>
  <c r="E35" i="59"/>
  <c r="E34" i="59"/>
  <c r="E33" i="59"/>
  <c r="E32" i="59"/>
  <c r="E31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P214" i="61" l="1"/>
  <c r="H52" i="59" s="1"/>
  <c r="Q214" i="61"/>
  <c r="I26" i="59" s="1"/>
  <c r="O215" i="61"/>
  <c r="I49" i="59" s="1"/>
  <c r="C214" i="61"/>
  <c r="I15" i="59" s="1"/>
  <c r="K214" i="61"/>
  <c r="M215" i="61"/>
  <c r="J25" i="59" s="1"/>
  <c r="G215" i="61"/>
  <c r="J19" i="59" s="1"/>
  <c r="L214" i="61"/>
  <c r="I24" i="59" s="1"/>
  <c r="K213" i="61"/>
  <c r="H23" i="59" s="1"/>
  <c r="J213" i="61"/>
  <c r="H22" i="59" s="1"/>
  <c r="C213" i="61"/>
  <c r="G45" i="59" s="1"/>
  <c r="J215" i="61"/>
  <c r="G213" i="61"/>
  <c r="H19" i="59" s="1"/>
  <c r="E215" i="61"/>
  <c r="G214" i="61"/>
  <c r="I19" i="59" s="1"/>
  <c r="F214" i="61"/>
  <c r="I18" i="59" s="1"/>
  <c r="P213" i="61"/>
  <c r="G52" i="59" s="1"/>
  <c r="I215" i="61"/>
  <c r="J21" i="59" s="1"/>
  <c r="N215" i="61"/>
  <c r="I46" i="59" s="1"/>
  <c r="H213" i="61"/>
  <c r="H20" i="59" s="1"/>
  <c r="D213" i="61"/>
  <c r="N213" i="61"/>
  <c r="G46" i="59" s="1"/>
  <c r="H215" i="61"/>
  <c r="D214" i="61"/>
  <c r="I214" i="61"/>
  <c r="I21" i="59" s="1"/>
  <c r="I213" i="61"/>
  <c r="H21" i="59" s="1"/>
  <c r="O214" i="61"/>
  <c r="H49" i="59" s="1"/>
  <c r="O213" i="61"/>
  <c r="G49" i="59" s="1"/>
  <c r="I47" i="59"/>
  <c r="M214" i="61"/>
  <c r="I25" i="59" s="1"/>
  <c r="P215" i="61"/>
  <c r="I52" i="59" s="1"/>
  <c r="M213" i="61"/>
  <c r="H25" i="59" s="1"/>
  <c r="C215" i="61"/>
  <c r="N214" i="61"/>
  <c r="L213" i="61"/>
  <c r="H24" i="59" s="1"/>
  <c r="L215" i="61"/>
  <c r="J24" i="59" s="1"/>
  <c r="F215" i="61"/>
  <c r="J18" i="59" s="1"/>
  <c r="F213" i="61"/>
  <c r="H18" i="59" s="1"/>
  <c r="Q213" i="61"/>
  <c r="H26" i="59" s="1"/>
  <c r="H214" i="61"/>
  <c r="I20" i="59" s="1"/>
  <c r="Q215" i="61"/>
  <c r="J26" i="59" s="1"/>
  <c r="E213" i="61"/>
  <c r="H17" i="59" s="1"/>
  <c r="J214" i="61"/>
  <c r="I22" i="59" s="1"/>
  <c r="H50" i="59"/>
  <c r="K215" i="61"/>
  <c r="J23" i="59" s="1"/>
  <c r="D215" i="61"/>
  <c r="J16" i="59" s="1"/>
  <c r="F5" i="59"/>
  <c r="E214" i="61"/>
  <c r="I17" i="59" s="1"/>
  <c r="H48" i="59" l="1"/>
  <c r="I16" i="59"/>
  <c r="G48" i="59"/>
  <c r="H16" i="59"/>
  <c r="H6" i="59"/>
  <c r="J17" i="59"/>
  <c r="H44" i="59"/>
  <c r="I23" i="59"/>
  <c r="H7" i="59"/>
  <c r="J20" i="59"/>
  <c r="H5" i="59"/>
  <c r="J22" i="59"/>
  <c r="I51" i="59"/>
  <c r="G44" i="59"/>
  <c r="H45" i="59"/>
  <c r="G8" i="59"/>
  <c r="F7" i="59"/>
  <c r="H4" i="59"/>
  <c r="G51" i="59"/>
  <c r="H51" i="59"/>
  <c r="F4" i="59"/>
  <c r="H15" i="59"/>
  <c r="I50" i="59"/>
  <c r="G6" i="59"/>
  <c r="G50" i="59"/>
  <c r="H46" i="59"/>
  <c r="G4" i="59"/>
  <c r="I48" i="59"/>
  <c r="I45" i="59"/>
  <c r="J15" i="59"/>
  <c r="I44" i="59"/>
  <c r="G5" i="59"/>
  <c r="F6" i="59"/>
  <c r="G47" i="59"/>
  <c r="H47" i="59"/>
  <c r="G7" i="59"/>
  <c r="F8" i="59"/>
  <c r="H8" i="59"/>
  <c r="M2" i="60" l="1"/>
  <c r="L2" i="60"/>
  <c r="K2" i="60"/>
  <c r="C24" i="12" l="1"/>
  <c r="H24" i="12" l="1"/>
  <c r="L50" i="59" s="1"/>
  <c r="I24" i="12"/>
  <c r="M50" i="59" s="1"/>
  <c r="J24" i="12" l="1"/>
  <c r="F37" i="59" s="1"/>
  <c r="C12" i="60"/>
  <c r="C23" i="12" l="1"/>
  <c r="I23" i="12" l="1"/>
  <c r="M49" i="59" s="1"/>
  <c r="G31" i="59"/>
  <c r="H31" i="59"/>
  <c r="H23" i="12"/>
  <c r="L49" i="59" s="1"/>
  <c r="I31" i="59"/>
  <c r="N34" i="59" l="1"/>
  <c r="N36" i="59"/>
  <c r="N35" i="59"/>
  <c r="N39" i="59"/>
  <c r="N37" i="59"/>
  <c r="N32" i="59"/>
  <c r="N38" i="59"/>
  <c r="N33" i="59"/>
  <c r="N40" i="59"/>
  <c r="L40" i="59"/>
  <c r="L39" i="59"/>
  <c r="L33" i="59"/>
  <c r="L36" i="59"/>
  <c r="L35" i="59"/>
  <c r="L32" i="59"/>
  <c r="L37" i="59"/>
  <c r="L34" i="59"/>
  <c r="L38" i="59"/>
  <c r="M36" i="59"/>
  <c r="M35" i="59"/>
  <c r="M40" i="59"/>
  <c r="M34" i="59"/>
  <c r="M33" i="59"/>
  <c r="M32" i="59"/>
  <c r="M39" i="59"/>
  <c r="M37" i="59"/>
  <c r="M38" i="59"/>
  <c r="N31" i="59"/>
  <c r="M31" i="59"/>
  <c r="L31" i="59"/>
  <c r="J23" i="12"/>
  <c r="F36" i="59" s="1"/>
  <c r="C13" i="60" l="1"/>
  <c r="C11" i="60"/>
  <c r="C10" i="60"/>
  <c r="C9" i="60"/>
  <c r="C8" i="60"/>
  <c r="C7" i="60"/>
  <c r="C6" i="60"/>
  <c r="C5" i="60"/>
  <c r="C4" i="60"/>
  <c r="C3" i="60"/>
  <c r="P5" i="60" l="1"/>
  <c r="Q10" i="60"/>
  <c r="P9" i="60"/>
  <c r="P6" i="60"/>
  <c r="Q6" i="60"/>
  <c r="Q8" i="60"/>
  <c r="P8" i="60"/>
  <c r="Q5" i="60" l="1"/>
  <c r="Q14" i="60"/>
  <c r="P14" i="60"/>
  <c r="Q12" i="60"/>
  <c r="P12" i="60"/>
  <c r="Q9" i="60"/>
  <c r="P10" i="60"/>
  <c r="Q11" i="60"/>
  <c r="P11" i="60"/>
  <c r="Q13" i="60"/>
  <c r="P13" i="60"/>
  <c r="Q7" i="60"/>
  <c r="P7" i="60"/>
  <c r="Q4" i="60"/>
  <c r="P4" i="60"/>
  <c r="Q3" i="60"/>
  <c r="P3" i="60"/>
  <c r="S6" i="60" l="1"/>
  <c r="F18" i="59" s="1"/>
  <c r="S10" i="60"/>
  <c r="F22" i="59" s="1"/>
  <c r="S4" i="60"/>
  <c r="F16" i="59" s="1"/>
  <c r="S14" i="60"/>
  <c r="F26" i="59" s="1"/>
  <c r="G26" i="59" s="1"/>
  <c r="S7" i="60"/>
  <c r="F19" i="59" s="1"/>
  <c r="S5" i="60"/>
  <c r="F17" i="59" s="1"/>
  <c r="S13" i="60"/>
  <c r="F25" i="59" s="1"/>
  <c r="G25" i="59" s="1"/>
  <c r="S9" i="60"/>
  <c r="F21" i="59" s="1"/>
  <c r="S12" i="60"/>
  <c r="S3" i="60"/>
  <c r="F15" i="59" s="1"/>
  <c r="S11" i="60"/>
  <c r="F23" i="59" s="1"/>
  <c r="S8" i="60"/>
  <c r="F20" i="59" s="1"/>
  <c r="F24" i="59" l="1"/>
  <c r="G24" i="59" s="1"/>
  <c r="AD4" i="12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H12" i="12" l="1"/>
  <c r="I12" i="12"/>
  <c r="J14" i="12"/>
  <c r="I13" i="12"/>
  <c r="J13" i="12" s="1"/>
  <c r="H15" i="12"/>
  <c r="J12" i="12" l="1"/>
  <c r="J15" i="12"/>
  <c r="AE2" i="12" l="1"/>
  <c r="C21" i="12" l="1"/>
  <c r="C22" i="12"/>
  <c r="H22" i="12" l="1"/>
  <c r="L48" i="59" s="1"/>
  <c r="H21" i="12"/>
  <c r="L47" i="59" s="1"/>
  <c r="I21" i="12" l="1"/>
  <c r="I22" i="12"/>
  <c r="M48" i="59" s="1"/>
  <c r="J21" i="12" l="1"/>
  <c r="F34" i="59" s="1"/>
  <c r="M47" i="59"/>
  <c r="J22" i="12"/>
  <c r="F35" i="59" s="1"/>
  <c r="C20" i="12" l="1"/>
  <c r="I20" i="12" l="1"/>
  <c r="M46" i="59" s="1"/>
  <c r="H20" i="12" l="1"/>
  <c r="J20" i="12" l="1"/>
  <c r="F33" i="59" s="1"/>
  <c r="L46" i="59"/>
  <c r="C19" i="12"/>
  <c r="I19" i="12" l="1"/>
  <c r="M45" i="59" s="1"/>
  <c r="H19" i="12"/>
  <c r="L45" i="59" s="1"/>
  <c r="J19" i="12" l="1"/>
  <c r="F32" i="59" s="1"/>
  <c r="C18" i="12" l="1"/>
  <c r="I18" i="12" l="1"/>
  <c r="M44" i="59" s="1"/>
  <c r="H18" i="12" l="1"/>
  <c r="L44" i="59" s="1"/>
  <c r="J18" i="12" l="1"/>
  <c r="F31" i="59" s="1"/>
  <c r="K40" i="59" l="1"/>
  <c r="O40" i="59" s="1"/>
  <c r="K39" i="59"/>
  <c r="O39" i="59" s="1"/>
  <c r="K38" i="59"/>
  <c r="O38" i="59" s="1"/>
  <c r="K37" i="59"/>
  <c r="O37" i="59" s="1"/>
  <c r="K36" i="59"/>
  <c r="O36" i="59" s="1"/>
  <c r="K35" i="59"/>
  <c r="O35" i="59" s="1"/>
  <c r="K34" i="59"/>
  <c r="O34" i="59" s="1"/>
  <c r="K33" i="59"/>
  <c r="O33" i="59" s="1"/>
  <c r="P33" i="59" s="1"/>
  <c r="K32" i="59"/>
  <c r="O32" i="59" s="1"/>
  <c r="K31" i="59"/>
  <c r="P32" i="59" l="1"/>
  <c r="P34" i="59"/>
  <c r="P35" i="59"/>
  <c r="P37" i="59"/>
  <c r="P38" i="59"/>
  <c r="P39" i="59"/>
  <c r="P36" i="59"/>
  <c r="P40" i="59"/>
  <c r="U2" i="12"/>
  <c r="U11" i="12" l="1"/>
  <c r="U7" i="12"/>
  <c r="U3" i="12"/>
  <c r="U10" i="12"/>
  <c r="U9" i="12"/>
  <c r="U8" i="12"/>
  <c r="U6" i="12"/>
  <c r="U5" i="12"/>
  <c r="U4" i="12"/>
  <c r="AC2" i="12" l="1"/>
  <c r="AD2" i="12"/>
  <c r="Z2" i="12" l="1"/>
  <c r="AB2" i="12"/>
  <c r="AA2" i="12"/>
  <c r="W2" i="12"/>
  <c r="X2" i="12"/>
  <c r="V2" i="12"/>
  <c r="AF2" i="12" l="1"/>
  <c r="I4" i="12" l="1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G20" i="59" l="1"/>
  <c r="G19" i="59"/>
  <c r="G22" i="59"/>
  <c r="G23" i="59"/>
  <c r="G15" i="59"/>
  <c r="G16" i="59"/>
  <c r="G18" i="59"/>
  <c r="G17" i="59"/>
  <c r="G21" i="59"/>
  <c r="O31" i="59" l="1"/>
  <c r="P31" i="5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DE847576-B6CD-4782-B45C-EC31DB703118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Timestamp="1710306887"&gt;&lt;FQL&gt;&lt;Q&gt;FC0000CN^FMA_EPS(NTMA,-20AY,0,CY,,"PORTAGG","MEANR")&lt;/Q&gt;&lt;R&gt;20&lt;/R&gt;&lt;C&gt;1&lt;/C&gt;&lt;D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xsi:type="xsd:double"&gt;17.6373597186973&lt;/D&gt;&lt;D xsi:type="xsd:double"&gt;17.4947707057507&lt;/D&gt;&lt;D xsi:type="xsd:double"&gt;21.2762448567404&lt;/D&gt;&lt;D xsi:type="xsd:double"&gt;20.3723993160167&lt;/D&gt;&lt;D xsi:type="xsd:double"&gt;19.1116968247571&lt;/D&gt;&lt;/FQL&gt;&lt;FQL&gt;&lt;Q&gt;USO^P_PRICE(0,-200D)&lt;/Q&gt;&lt;R&gt;201&lt;/R&gt;&lt;C&gt;1&lt;/C&gt;&lt;D xsi:type="xsd:double"&gt;73.35&lt;/D&gt;&lt;D xsi:type="xsd:double"&gt;73.62&lt;/D&gt;&lt;D xsi:type="xsd:double"&gt;73.36&lt;/D&gt;&lt;D xsi:type="xsd:double"&gt;74.23&lt;/D&gt;&lt;D xsi:type="xsd:double"&gt;74.34&lt;/D&gt;&lt;D xsi:type="xsd:double"&gt;73.45&lt;/D&gt;&lt;D xsi:type="xsd:double"&gt;74.01&lt;/D&gt;&lt;D xsi:type="xsd:double"&gt;74.96&lt;/D&gt;&lt;D xsi:type="xsd:double"&gt;73.36&lt;/D&gt;&lt;D xsi:type="xsd:double"&gt;73.62&lt;/D&gt;&lt;D xsi:type="xsd:double"&gt;73.85&lt;/D&gt;&lt;D xsi:type="xsd:double"&gt;72.79&lt;/D&gt;&lt;D xsi:type="xsd:double"&gt;71.92&lt;/D&gt;&lt;D xsi:type="xsd:double"&gt;73.6&lt;/D&gt;&lt;D xsi:type="xsd:double"&gt;73.2&lt;/D&gt;&lt;D xsi:type="xsd:double"&gt;72.42&lt;/D&gt;&lt;D xsi:type="xsd:double"&gt;73.41&lt;/D&gt;&lt;D xsi:type="xsd:double"&gt;72.84&lt;/D&gt;&lt;D xsi:type="xsd:double"&gt;71.55&lt;/D&gt;&lt;D xsi:type="xsd:double"&gt;72.65&lt;/D&gt;&lt;D xsi:type="xsd:double"&gt;72.11&lt;/D&gt;&lt;D xsi:type="xsd:double"&gt;71.67&lt;/D&gt;&lt;D xsi:type="xsd:double"&gt;71.52&lt;/D&gt;&lt;D xsi:type="xsd:double"&gt;69.42&lt;/D&gt;&lt;D xsi:type="xsd:double"&gt;68.81&lt;/D&gt;&lt;D xsi:type="xsd:double"&gt;68.18&lt;/D&gt;&lt;D xsi:type="xsd:double"&gt;67.51&lt;/D&gt;&lt;D xsi:type="xsd:double"&gt;69.07&lt;/D&gt;&lt;D xsi:type="xsd:double"&gt;70.92&lt;/D&gt;&lt;D xsi:type="xsd:double"&gt;72.81&lt;/D&gt;&lt;D xsi:type="xsd:double"&gt;72.05&lt;/D&gt;&lt;D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xsi:type="xsd:double"&gt;69.03&lt;/D&gt;&lt;D xsi:type="xsd:double"&gt;68.79&lt;/D&gt;&lt;D xsi:type="xsd:double"&gt;69.36&lt;/D&gt;&lt;D xsi:type="xsd:double"&gt;68.09&lt;/D&gt;&lt;D xsi:type="xsd:double"&gt;67.15&lt;/D&gt;&lt;D xsi:type="xsd:double"&gt;67.16&lt;/D&gt;&lt;D xsi:type="xsd:double"&gt;65.33&lt;/D&gt;&lt;D xsi:type="xsd:double"&gt;64.25&lt;/D&gt;&lt;D xsi:type="xsd:double"&gt;66.8&lt;/D&gt;&lt;D xsi:type="xsd:double"&gt;66.53&lt;/D&gt;&lt;D xsi:type="xsd:double"&gt;65.11&lt;/D&gt;&lt;D xsi:type="xsd:double"&gt;64.76&lt;/D&gt;&lt;D xsi:type="xsd:double"&gt;67.58&lt;/D&gt;&lt;D xsi:type="xsd:double"&gt;68.47&lt;/D&gt;&lt;D xsi:type="xsd:double"&gt;69.24&lt;/D&gt;&lt;D xsi:type="xsd:double"&gt;70.14&lt;/D&gt;&lt;D xsi:type="xsd:double"&gt;72.52&lt;/D&gt;&lt;D xsi:type="xsd:double"&gt;71.26&lt;/D&gt;&lt;D xsi:type="xsd:double"&gt;69.96&lt;/D&gt;&lt;D xsi:type="xsd:double"&gt;70.82&lt;/D&gt;&lt;D xsi:type="xsd:double"&gt;71.61&lt;/D&gt;&lt;D xsi:type="xsd:double"&gt;72.53&lt;/D&gt;&lt;D xsi:type="xsd:double"&gt;72.3&lt;/D&gt;&lt;D xsi:type="xsd:double"&gt;70.75&lt;/D&gt;&lt;D xsi:type="xsd:double"&gt;68.05&lt;/D&gt;&lt;D xsi:type="xsd:double"&gt;71.34&lt;/D&gt;&lt;D xsi:type="xsd:double"&gt;72.69&lt;/D&gt;&lt;D xsi:type="xsd:double"&gt;72.92&lt;/D&gt;&lt;D xsi:type="xsd:double"&gt;71.79&lt;/D&gt;&lt;D xsi:type="xsd:double"&gt;70.25&lt;/D&gt;&lt;D xsi:type="xsd:double"&gt;70.19&lt;/D&gt;&lt;D xsi:type="xsd:double"&gt;71.8&lt;/D&gt;&lt;D xsi:type="xsd:double"&gt;74.91&lt;/D&gt;&lt;D xsi:type="xsd:double"&gt;74.85&lt;/D&gt;&lt;D xsi:type="xsd:double"&gt;76.18&lt;/D&gt;&lt;D xsi:type="xsd:double"&gt;74.75&lt;/D&gt;&lt;D xsi:type="xsd:double"&gt;75.02&lt;/D&gt;&lt;D xsi:type="xsd:double"&gt;76.05&lt;/D&gt;&lt;D xsi:type="xsd:double"&gt;78.36&lt;/D&gt;&lt;D xsi:type="xsd:double"&gt;76.89&lt;/D&gt;&lt;D xsi:type="xsd:double"&gt;78.46&lt;/D&gt;&lt;D xsi:type="xsd:double"&gt;76.93&lt;/D&gt;&lt;D xsi:type="xsd:double"&gt;78.89&lt;/D&gt;&lt;D xsi:type="xsd:double"&gt;80.7&lt;/D&gt;&lt;D xsi:type="xsd:double"&gt;81.68&lt;/D&gt;&lt;D xsi:type="xsd:double"&gt;79.84&lt;/D&gt;&lt;D xsi:type="xsd:double"&gt;78.8&lt;/D&gt;&lt;D xsi:type="xsd:double"&gt;78.39&lt;/D&gt;&lt;D xsi:type="xsd:double"&gt;78.99&lt;/D&gt;&lt;D xsi:type="xsd:double"&gt;75.42&lt;/D&gt;&lt;D xsi:type="xsd:double"&gt;75.67&lt;/D&gt;&lt;D xsi:type="xsd:double"&gt;76.71&lt;/D&gt;&lt;D xsi:type="xsd:double"&gt;77.13&lt;/D&gt;&lt;D xsi:type="xsd:double"&gt;74.16&lt;/D&gt;&lt;D xsi:type="xsd:double"&gt;73.99&lt;/D&gt;&lt;D xsi:type="xsd:double"&gt;75.59&lt;/D&gt;&lt;D xsi:type="xsd:double"&gt;79.93&lt;/D&gt;&lt;D xsi:type="xsd:double"&gt;79.39&lt;/D&gt;&lt;D xsi:type="xsd:double"&gt;80.86&lt;/D&gt;&lt;D xsi:type="xsd:double"&gt;81.57&lt;/D&gt;&lt;D xsi:type="xsd:double"&gt;82.9&lt;/D&gt;&lt;D xsi:type="xsd:double"&gt;80.88&lt;/D&gt;&lt;D xsi:type="xsd:double"&gt;80.39&lt;/D&gt;&lt;D xsi:type="xsd:double"&gt;80.63&lt;/D&gt;&lt;D xsi:type="xsd:double"&gt;80.41&lt;/D&gt;&lt;D xsi:type="xsd:double"&gt;80.14&lt;/D&gt;&lt;D xsi:type="xsd:double"&gt;81.5&lt;/D&gt;&lt;D xsi:type="xsd:double"&gt;81.45&lt;/D&gt;&lt;D xsi:type="xsd:double"&gt;81.29&lt;/D&gt;&lt;D xsi:type="xsd:double"&gt;81.12&lt;/D&gt;&lt;D xsi:type="xsd:double"&gt;79.68&lt;/D&gt;&lt;D xsi:type="xsd:double"&gt;79.7&lt;/D&gt;&lt;D xsi:type="xsd:double"&gt;78.37&lt;/D&gt;&lt;D xsi:type="xsd:double"&gt;78.3&lt;/D&gt;&lt;D xsi:type="xsd:double"&gt;77.95&lt;/D&gt;&lt;D xsi:type="xsd:double"&gt;78.52&lt;/D&gt;&lt;D xsi:type="xsd:double"&gt;77.76&lt;/D&gt;&lt;D xsi:type="xsd:double"&gt;76.92&lt;/D&gt;&lt;D xsi:type="xsd:double"&gt;75.06&lt;/D&gt;&lt;D xsi:type="xsd:double"&gt;73.66&lt;/D&gt;&lt;D xsi:type="xsd:double"&gt;73.32&lt;/D&gt;&lt;D xsi:type="xsd:double"&gt;72.41&lt;/D&gt;&lt;D xsi:type="xsd:double"&gt;72.45&lt;/D&gt;&lt;D xsi:type="xsd:double"&gt;71.41&lt;/D&gt;&lt;D xsi:type="xsd:double"&gt;71.36&lt;/D&gt;&lt;D xsi:type="xsd:double"&gt;72.28&lt;/D&gt;&lt;D xsi:type="xsd:double"&gt;72.58&lt;/D&gt;&lt;D xsi:type="xsd:double"&gt;72.79&lt;/D&gt;&lt;D xsi:type="xsd:double"&gt;71.98&lt;/D&gt;&lt;D xsi:type="xsd:double"&gt;71.37&lt;/D&gt;&lt;D xsi:type="xsd:double"&gt;72.62&lt;/D&gt;&lt;D xsi:type="xsd:double"&gt;73.81&lt;/D&gt;&lt;D xsi:type="xsd:double"&gt;74.25&lt;/D&gt;&lt;D xsi:type="xsd:double"&gt;74.2&lt;/D&gt;&lt;D xsi:type="xsd:double"&gt;75.1&lt;/D&gt;&lt;D xsi:type="xsd:double"&gt;74.06&lt;/D&gt;&lt;D xsi:type="xsd:double"&gt;73.82&lt;/D&gt;&lt;D xsi:type="xsd:double"&gt;73.79&lt;/D&gt;&lt;D xsi:type="xsd:double"&gt;73.14&lt;/D&gt;&lt;D xsi:type="xsd:double"&gt;71.48&lt;/D&gt;&lt;D xsi:type="xsd:double"&gt;72.96&lt;/D&gt;&lt;D xsi:type="xsd:double"&gt;73.17&lt;/D&gt;&lt;D xsi:type="xsd:double"&gt;72.09&lt;/D&gt;&lt;D xsi:type="xsd:double"&gt;71.43&lt;/D&gt;&lt;D xsi:type="xsd:double"&gt;70.66&lt;/D&gt;&lt;D xsi:type="xsd:double"&gt;71.16&lt;/D&gt;&lt;D xsi:type="xsd:double"&gt;70.69&lt;/D&gt;&lt;D xsi:type="xsd:double"&gt;68.99&lt;/D&gt;&lt;D xsi:type="xsd:double"&gt;68.05&lt;/D&gt;&lt;D xsi:type="xsd:double"&gt;67.69&lt;/D&gt;&lt;D xsi:type="xsd:double"&gt;67.96&lt;/D&gt;&lt;D xsi:type="xsd:double"&gt;66.58&lt;/D&gt;&lt;D xsi:type="xsd:double"&gt;67.47&lt;/D&gt;&lt;D xsi:type="xsd:double"&gt;69.09&lt;/D&gt;&lt;D xsi:type="xsd:double"&gt;67.87&lt;/D&gt;&lt;D xsi:type="xsd:double"&gt;67.03&lt;/D&gt;&lt;D xsi:type="xsd:double"&gt;65.54&lt;/D&gt;&lt;D xsi:type="xsd:double"&gt;65.85&lt;/D&gt;&lt;D xsi:type="xsd:double"&gt;64.44&lt;/D&gt;&lt;D xsi:type="xsd:double"&gt;64.63&lt;/D&gt;&lt;D xsi:type="xsd:double"&gt;63.39&lt;/D&gt;&lt;D xsi:type="xsd:double"&gt;63.55&lt;/D&gt;&lt;D xsi:type="xsd:double"&gt;62.96&lt;/D&gt;&lt;D xsi:type="xsd:double"&gt;62.52&lt;/D&gt;&lt;D xsi:type="xsd:double"&gt;61.3&lt;/D&gt;&lt;D xsi:type="xsd:double"&gt;62.73&lt;/D&gt;&lt;D xsi:type="xsd:double"&gt;62.42&lt;/D&gt;&lt;D xsi:type="xsd:double"&gt;62.52&lt;/D&gt;&lt;D xsi:type="xsd:double"&gt;65.04&lt;/D&gt;&lt;D xsi:type="xsd:double"&gt;63.92&lt;/D&gt;&lt;D xsi:type="xsd:double"&gt;64.35&lt;/D&gt;&lt;D xsi:type="xsd:double"&gt;63.41&lt;/D&gt;&lt;D xsi:type="xsd:double"&gt;61.83&lt;/D&gt;&lt;D xsi:type="xsd:double"&gt;62.14&lt;/D&gt;&lt;D xsi:type="xsd:double"&gt;60.24&lt;/D&gt;&lt;D xsi:type="xsd:double"&gt;62.93&lt;/D&gt;&lt;D xsi:type="xsd:double"&gt;63.46&lt;/D&gt;&lt;D xsi:type="xsd:double"&gt;64.71&lt;/D&gt;&lt;D xsi:type="xsd:double"&gt;63.79&lt;/D&gt;&lt;D xsi:type="xsd:double"&gt;64.03&lt;/D&gt;&lt;D xsi:type="xsd:double"&gt;64.15&lt;/D&gt;&lt;D xsi:type="xsd:double"&gt;62.55&lt;/D&gt;&lt;D xsi:type="xsd:double"&gt;60.63&lt;/D&gt;&lt;D xsi:type="xsd:double"&gt;62.3&lt;/D&gt;&lt;D xsi:type="xsd:double"&gt;64.8&lt;/D&gt;&lt;D xsi:type="xsd:double"&gt;64.09&lt;/D&gt;&lt;D xsi:type="xsd:double"&gt;65.66&lt;/D&gt;&lt;/FQL&gt;&lt;FQL&gt;&lt;Q&gt;QQQ^P_PRICE(0)/P_PRICE_LOW_PR(0,,,USD,,,"PRICE","INTRA","52W")-1&lt;/Q&gt;&lt;R&gt;1&lt;/R&gt;&lt;C&gt;1&lt;/C&gt;&lt;D xsi:type="xsd:double"&gt;0.55566466&lt;/D&gt;&lt;/FQL&gt;&lt;FQL&gt;&lt;Q&gt;EWJ^P_PRICE(0)/P_PRICE_LOW_PR(0,,,USD,,,"PRICE","INTRA","52W")-1&lt;/Q&gt;&lt;R&gt;1&lt;/R&gt;&lt;C&gt;1&lt;/C&gt;&lt;D xsi:type="xsd:double"&gt;0.28274226&lt;/D&gt;&lt;/FQL&gt;&lt;FQL&gt;&lt;Q&gt;EWI^P_PRICE(0)/P_PRICE_LOW_PR(0,,,USD,,,"PRICE","INTRA","52W")-1&lt;/Q&gt;&lt;R&gt;1&lt;/R&gt;&lt;C&gt;1&lt;/C&gt;&lt;D xsi:type="xsd:double"&gt;0.33165658&lt;/D&gt;&lt;/FQL&gt;&lt;FQL&gt;&lt;Q&gt;SPY^P_PRICE(0)/P_PRICE_LOW_PR(0,,,USD,,,"PRICE","INTRA","52W")-1&lt;/Q&gt;&lt;R&gt;1&lt;/R&gt;&lt;C&gt;1&lt;/C&gt;&lt;D xsi:type="xsd:double"&gt;0.35762525&lt;/D&gt;&lt;/FQL&gt;&lt;FQL&gt;&lt;Q&gt;VGK^PERCENT_CHANGE(FMA_EPS(+1,0,,,,"PORTAGG","MEAN"),FMA_EPS(+1,-1AM,,,,"PORTAGG","MEAN"))&lt;/Q&gt;&lt;R&gt;1&lt;/R&gt;&lt;C&gt;1&lt;/C&gt;&lt;D xsi:type="xsd:double"&gt;-4.74124779625277&lt;/D&gt;&lt;/FQL&gt;&lt;FQL&gt;&lt;Q&gt;EWQ^SIZE(FG_CONSTITUENTS)&lt;/Q&gt;&lt;R&gt;1&lt;/R&gt;&lt;C&gt;1&lt;/C&gt;&lt;D xsi:type="xsd:long"&gt;63&lt;/D&gt;&lt;/FQL&gt;&lt;FQL&gt;&lt;Q&gt;EWJ^FMA_COS_UP("EPS","1M",+1,0,,,"PORTAGG","MEANR")&lt;/Q&gt;&lt;R&gt;1&lt;/R&gt;&lt;C&gt;1&lt;/C&gt;&lt;D xsi:type="xsd:double"&gt;117&lt;/D&gt;&lt;/FQL&gt;&lt;FQL&gt;&lt;Q&gt;EWJ^FG_TOTAL_RETURNC(0,-3AM)&lt;/Q&gt;&lt;R&gt;1&lt;/R&gt;&lt;C&gt;1&lt;/C&gt;&lt;D xsi:type="xsd:double"&gt;12.555706&lt;/D&gt;&lt;/FQL&gt;&lt;FQL&gt;&lt;Q&gt;EWI^PERCENT_CHANGE(FMA_EPS(+1,0,,,,"PORTAGG","MEAN"),FMA_EPS(+1,-1AM,,,,"PORTAGG","MEAN"))&lt;/Q&gt;&lt;R&gt;1&lt;/R&gt;&lt;C&gt;1&lt;/C&gt;&lt;D xsi:type="xsd:double"&gt;2.67757176281965&lt;/D&gt;&lt;/FQL&gt;&lt;FQL&gt;&lt;Q&gt;EMXC^FMA_COS_DOWN("EPS","1M",+1,0,,,"PORTAGG","MEANR")&lt;/Q&gt;&lt;R&gt;1&lt;/R&gt;&lt;C&gt;1&lt;/C&gt;&lt;D xsi:type="xsd:double"&gt;276&lt;/D&gt;&lt;/FQL&gt;&lt;FQL&gt;&lt;Q&gt;VWO^FMA_COS_UP("EPS","1M",+1,0,,,"PORTAGG","MEANR")&lt;/Q&gt;&lt;R&gt;1&lt;/R&gt;&lt;C&gt;1&lt;/C&gt;&lt;D xsi:type="xsd:double"&gt;775&lt;/D&gt;&lt;/FQL&gt;&lt;FQL&gt;&lt;Q&gt;SPY^SIZE(FG_CONSTITUENTS)&lt;/Q&gt;&lt;R&gt;1&lt;/R&gt;&lt;C&gt;1&lt;/C&gt;&lt;D xsi:type="xsd:long"&gt;504&lt;/D&gt;&lt;/FQL&gt;&lt;FQL&gt;&lt;Q&gt;QQQ^FG_COMPANY_NAME&lt;/Q&gt;&lt;R&gt;1&lt;/R&gt;&lt;C&gt;1&lt;/C&gt;&lt;D xsi:type="xsd:string"&gt;Invesco QQQ Trust Series I&lt;/D&gt;&lt;/FQL&gt;&lt;FQL&gt;&lt;Q&gt;EMXC^P_PRICE(0)/P_PRICE_HIGH_PR(0,,,USD,,,"PRICE","INTRA","52W")&lt;/Q&gt;&lt;R&gt;1&lt;/R&gt;&lt;C&gt;1&lt;/C&gt;&lt;D xsi:type="xsd:double"&gt;0.99520093&lt;/D&gt;&lt;/FQL&gt;&lt;FQL&gt;&lt;Q&gt;DBA^P_PRICE(0)/P_PRICE_HIGH_PR(0,,,USD,,,"PRICE","INTRA","52W")&lt;/Q&gt;&lt;R&gt;1&lt;/R&gt;&lt;C&gt;1&lt;/C&gt;&lt;D xsi:type="xsd:double"&gt;0.99913114&lt;/D&gt;&lt;/FQL&gt;&lt;FQL&gt;&lt;Q&gt;GLD^P_PRICE(0,-200D)&lt;/Q&gt;&lt;R&gt;201&lt;/R&gt;&lt;C&gt;1&lt;/C&gt;&lt;D xsi:type="xsd:double"&gt;199.79&lt;/D&gt;&lt;D xsi:type="xsd:double"&gt;202&lt;/D&gt;&lt;D xsi:type="xsd:double"&gt;201.63&lt;/D&gt;&lt;D xsi:type="xsd:double"&gt;199.94&lt;/D&gt;&lt;D xsi:type="xsd:double"&gt;198.81&lt;/D&gt;&lt;D xsi:type="xsd:double"&gt;197.19&lt;/D&gt;&lt;D xsi:type="xsd:double"&gt;196.01&lt;/D&gt;&lt;D xsi:type="xsd:double"&gt;192.89&lt;/D&gt;&lt;D xsi:type="xsd:double"&gt;189.31&lt;/D&gt;&lt;D xsi:type="xsd:double"&gt;188.34&lt;/D&gt;&lt;D xsi:type="xsd:double"&gt;188&lt;/D&gt;&lt;D xsi:type="xsd:double"&gt;188.2&lt;/D&gt;&lt;D xsi:type="xsd:double"&gt;188.62&lt;/D&gt;&lt;D xsi:type="xsd:double"&gt;187.56&lt;/D&gt;&lt;D xsi:type="xsd:double"&gt;187.48&lt;/D&gt;&lt;D xsi:type="xsd:double"&gt;187.47&lt;/D&gt;&lt;D xsi:type="xsd:double"&gt;186.34&lt;/D&gt;&lt;D xsi:type="xsd:double"&gt;185.66&lt;/D&gt;&lt;D xsi:type="xsd:double"&gt;184.42&lt;/D&gt;&lt;D xsi:type="xsd:double"&gt;184.53&lt;/D&gt;&lt;D xsi:type="xsd:double"&gt;187.11&lt;/D&gt;&lt;D xsi:type="xsd:double"&gt;187.6&lt;/D&gt;&lt;D xsi:type="xsd:double"&gt;188.33&lt;/D&gt;&lt;D xsi:type="xsd:double"&gt;188.5&lt;/D&gt;&lt;D xsi:type="xsd:double"&gt;188.55&lt;/D&gt;&lt;D xsi:type="xsd:double"&gt;187.57&lt;/D&gt;&lt;D xsi:type="xsd:double"&gt;188.61&lt;/D&gt;&lt;D xsi:type="xsd:double"&gt;190.41&lt;/D&gt;&lt;D xsi:type="xsd:double"&gt;188.45&lt;/D&gt;&lt;D xsi:type="xsd:double"&gt;188.59&lt;/D&gt;&lt;D xsi:type="xsd:double"&gt;188.33&lt;/D&gt;&lt;D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xsi:type="xsd:double"&gt;190.27&lt;/D&gt;&lt;D xsi:type="xsd:double"&gt;189.43&lt;/D&gt;&lt;D xsi:type="xsd:double"&gt;188.1&lt;/D&gt;&lt;D xsi:type="xsd:double"&gt;189.13&lt;/D&gt;&lt;D xsi:type="xsd:double"&gt;187.85&lt;/D&gt;&lt;D xsi:type="xsd:double"&gt;187&lt;/D&gt;&lt;D xsi:type="xsd:double"&gt;188.73&lt;/D&gt;&lt;D xsi:type="xsd:double"&gt;187.63&lt;/D&gt;&lt;D xsi:type="xsd:double"&gt;183.49&lt;/D&gt;&lt;D xsi:type="xsd:double"&gt;183.59&lt;/D&gt;&lt;D xsi:type="xsd:double"&gt;185.64&lt;/D&gt;&lt;D xsi:type="xsd:double"&gt;188.15&lt;/D&gt;&lt;D xsi:type="xsd:double"&gt;187.84&lt;/D&gt;&lt;D xsi:type="xsd:double"&gt;187.15&lt;/D&gt;&lt;D xsi:type="xsd:double"&gt;187.86&lt;/D&gt;&lt;D xsi:type="xsd:double"&gt;192.01&lt;/D&gt;&lt;D xsi:type="xsd:double"&gt;188.75&lt;/D&gt;&lt;D xsi:type="xsd:double"&gt;189.54&lt;/D&gt;&lt;D xsi:type="xsd:double"&gt;189.26&lt;/D&gt;&lt;D xsi:type="xsd:double"&gt;186.77&lt;/D&gt;&lt;D xsi:type="xsd:double"&gt;185.52&lt;/D&gt;&lt;D xsi:type="xsd:double"&gt;184.56&lt;/D&gt;&lt;D xsi:type="xsd:double"&gt;185.35&lt;/D&gt;&lt;D xsi:type="xsd:double"&gt;183.37&lt;/D&gt;&lt;D xsi:type="xsd:double"&gt;183.67&lt;/D&gt;&lt;D xsi:type="xsd:double"&gt;183.69&lt;/D&gt;&lt;D xsi:type="xsd:double"&gt;181.64&lt;/D&gt;&lt;D xsi:type="xsd:double"&gt;182.12&lt;/D&gt;&lt;D xsi:type="xsd:double"&gt;180.51&lt;/D&gt;&lt;D xsi:type="xsd:double"&gt;179.51&lt;/D&gt;&lt;D xsi:type="xsd:double"&gt;181.49&lt;/D&gt;&lt;D xsi:type="xsd:double"&gt;180.77&lt;/D&gt;&lt;D xsi:type="xsd:double"&gt;182.59&lt;/D&gt;&lt;D xsi:type="xsd:double"&gt;183.35&lt;/D&gt;&lt;D xsi:type="xsd:double"&gt;184.79&lt;/D&gt;&lt;D xsi:type="xsd:double"&gt;184.12&lt;/D&gt;&lt;D xsi:type="xsd:double"&gt;183.51&lt;/D&gt;&lt;D xsi:type="xsd:double"&gt;184.09&lt;/D&gt;&lt;D xsi:type="xsd:double"&gt;185.1&lt;/D&gt;&lt;D xsi:type="xsd:double"&gt;186.15&lt;/D&gt;&lt;D xsi:type="xsd:double"&gt;184.01&lt;/D&gt;&lt;D xsi:type="xsd:double"&gt;183.72&lt;/D&gt;&lt;D xsi:type="xsd:double"&gt;182.95&lt;/D&gt;&lt;D xsi:type="xsd:double"&gt;182.97&lt;/D&gt;&lt;D xsi:type="xsd:double"&gt;183.59&lt;/D&gt;&lt;D xsi:type="xsd:double"&gt;183.09&lt;/D&gt;&lt;D xsi:type="xsd:double"&gt;180.87&lt;/D&gt;&lt;D xsi:type="xsd:double"&gt;178.29&lt;/D&gt;&lt;D xsi:type="xsd:double"&gt;177.96&lt;/D&gt;&lt;D xsi:type="xsd:double"&gt;178.83&lt;/D&gt;&lt;D xsi:type="xsd:double"&gt;173.26&lt;/D&gt;&lt;D xsi:type="xsd:double"&gt;173.79&lt;/D&gt;&lt;D xsi:type="xsd:double"&gt;172.53&lt;/D&gt;&lt;D xsi:type="xsd:double"&gt;172.82&lt;/D&gt;&lt;D xsi:type="xsd:double"&gt;169.7&lt;/D&gt;&lt;D xsi:type="xsd:double"&gt;168.83&lt;/D&gt;&lt;D xsi:type="xsd:double"&gt;169.14&lt;/D&gt;&lt;D xsi:type="xsd:double"&gt;169.16&lt;/D&gt;&lt;D xsi:type="xsd:double"&gt;169.65&lt;/D&gt;&lt;D xsi:type="xsd:double"&gt;171.45&lt;/D&gt;&lt;D xsi:type="xsd:double"&gt;173.23&lt;/D&gt;&lt;D xsi:type="xsd:double"&gt;174.1&lt;/D&gt;&lt;D xsi:type="xsd:double"&gt;176.28&lt;/D&gt;&lt;D xsi:type="xsd:double"&gt;177.7&lt;/D&gt;&lt;D xsi:type="xsd:double"&gt;178.62&lt;/D&gt;&lt;D xsi:type="xsd:double"&gt;178.05&lt;/D&gt;&lt;D xsi:type="xsd:double"&gt;179.35&lt;/D&gt;&lt;D xsi:type="xsd:double"&gt;179.22&lt;/D&gt;&lt;D xsi:type="xsd:double"&gt;179.39&lt;/D&gt;&lt;D xsi:type="xsd:double"&gt;178.34&lt;/D&gt;&lt;D xsi:type="xsd:double"&gt;177.17&lt;/D&gt;&lt;D xsi:type="xsd:double"&gt;177.08&lt;/D&gt;&lt;D xsi:type="xsd:double"&gt;177.49&lt;/D&gt;&lt;D xsi:type="xsd:double"&gt;178.41&lt;/D&gt;&lt;D xsi:type="xsd:double"&gt;178.08&lt;/D&gt;&lt;D xsi:type="xsd:double"&gt;178.02&lt;/D&gt;&lt;D xsi:type="xsd:double"&gt;177.83&lt;/D&gt;&lt;D xsi:type="xsd:double"&gt;178.64&lt;/D&gt;&lt;D xsi:type="xsd:double"&gt;180.11&lt;/D&gt;&lt;D xsi:type="xsd:double"&gt;180.02&lt;/D&gt;&lt;D xsi:type="xsd:double"&gt;180.32&lt;/D&gt;&lt;D xsi:type="xsd:double"&gt;179.87&lt;/D&gt;&lt;D xsi:type="xsd:double"&gt;178.13&lt;/D&gt;&lt;D xsi:type="xsd:double"&gt;177.62&lt;/D&gt;&lt;D xsi:type="xsd:double"&gt;177.85&lt;/D&gt;&lt;D xsi:type="xsd:double"&gt;177.89&lt;/D&gt;&lt;D xsi:type="xsd:double"&gt;176.1&lt;/D&gt;&lt;D xsi:type="xsd:double"&gt;175.81&lt;/D&gt;&lt;D xsi:type="xsd:double"&gt;175.33&lt;/D&gt;&lt;D xsi:type="xsd:double"&gt;175.3&lt;/D&gt;&lt;D xsi:type="xsd:double"&gt;175.57&lt;/D&gt;&lt;D xsi:type="xsd:double"&gt;176.59&lt;/D&gt;&lt;D xsi:type="xsd:double"&gt;177.06&lt;/D&gt;&lt;D xsi:type="xsd:double"&gt;177.6&lt;/D&gt;&lt;D xsi:type="xsd:double"&gt;177.6&lt;/D&gt;&lt;D xsi:type="xsd:double"&gt;177.79&lt;/D&gt;&lt;D xsi:type="xsd:double"&gt;178.64&lt;/D&gt;&lt;D xsi:type="xsd:double"&gt;179.78&lt;/D&gt;&lt;D xsi:type="xsd:double"&gt;180.19&lt;/D&gt;&lt;D xsi:type="xsd:double"&gt;179.54&lt;/D&gt;&lt;D xsi:type="xsd:double"&gt;179.6&lt;/D&gt;&lt;D xsi:type="xsd:double"&gt;180.46&lt;/D&gt;&lt;D xsi:type="xsd:double"&gt;182.35&lt;/D&gt;&lt;D xsi:type="xsd:double"&gt;181.86&lt;/D&gt;&lt;D xsi:type="xsd:double"&gt;180.42&lt;/D&gt;&lt;D xsi:type="xsd:double"&gt;183.3&lt;/D&gt;&lt;D xsi:type="xsd:double"&gt;182.41&lt;/D&gt;&lt;D xsi:type="xsd:double"&gt;181.4&lt;/D&gt;&lt;D xsi:type="xsd:double"&gt;182.18&lt;/D&gt;&lt;D xsi:type="xsd:double"&gt;182.74&lt;/D&gt;&lt;D xsi:type="xsd:double"&gt;183.67&lt;/D&gt;&lt;D xsi:type="xsd:double"&gt;183.64&lt;/D&gt;&lt;D xsi:type="xsd:double"&gt;181.56&lt;/D&gt;&lt;D xsi:type="xsd:double"&gt;181.43&lt;/D&gt;&lt;D xsi:type="xsd:double"&gt;182.01&lt;/D&gt;&lt;D xsi:type="xsd:double"&gt;181.88&lt;/D&gt;&lt;D xsi:type="xsd:double"&gt;179.45&lt;/D&gt;&lt;D xsi:type="xsd:double"&gt;178.78&lt;/D&gt;&lt;D xsi:type="xsd:double"&gt;178.64&lt;/D&gt;&lt;D xsi:type="xsd:double"&gt;177.31&lt;/D&gt;&lt;D xsi:type="xsd:double"&gt;177.84&lt;/D&gt;&lt;D xsi:type="xsd:double"&gt;178.47&lt;/D&gt;&lt;D xsi:type="xsd:double"&gt;178.27&lt;/D&gt;&lt;D xsi:type="xsd:double"&gt;177.09&lt;/D&gt;&lt;D xsi:type="xsd:double"&gt;177.28&lt;/D&gt;&lt;D xsi:type="xsd:double"&gt;177.69&lt;/D&gt;&lt;D xsi:type="xsd:double"&gt;178.51&lt;/D&gt;&lt;D xsi:type="xsd:double"&gt;178.2&lt;/D&gt;&lt;D xsi:type="xsd:double"&gt;177.71&lt;/D&gt;&lt;D xsi:type="xsd:double"&gt;179.49&lt;/D&gt;&lt;D xsi:type="xsd:double"&gt;179.75&lt;/D&gt;&lt;D xsi:type="xsd:double"&gt;181.63&lt;/D&gt;&lt;D xsi:type="xsd:double"&gt;181.91&lt;/D&gt;&lt;D xsi:type="xsd:double"&gt;180.64&lt;/D&gt;&lt;D xsi:type="xsd:double"&gt;180.54&lt;/D&gt;&lt;D xsi:type="xsd:double"&gt;181.88&lt;/D&gt;&lt;D xsi:type="xsd:double"&gt;182.04&lt;/D&gt;&lt;D xsi:type="xsd:double"&gt;182.53&lt;/D&gt;&lt;D xsi:type="xsd:double"&gt;180.15&lt;/D&gt;&lt;D xsi:type="xsd:double"&gt;182.34&lt;/D&gt;&lt;D xsi:type="xsd:double"&gt;182.14&lt;/D&gt;&lt;D xsi:type="xsd:double"&gt;181.05&lt;/D&gt;&lt;D xsi:type="xsd:double"&gt;183.76&lt;/D&gt;&lt;D xsi:type="xsd:double"&gt;182.32&lt;/D&gt;&lt;D xsi:type="xsd:double"&gt;182.04&lt;/D&gt;&lt;D xsi:type="xsd:double"&gt;180.92&lt;/D&gt;&lt;D xsi:type="xsd:double"&gt;180.2&lt;/D&gt;&lt;D xsi:type="xsd:double"&gt;181.95&lt;/D&gt;&lt;/FQL&gt;&lt;FQL&gt;&lt;Q&gt;EWI^FMA_PCT_ABOVE_MAVG(200,0,,,,"PORTAGG")&lt;/Q&gt;&lt;R&gt;1&lt;/R&gt;&lt;C&gt;1&lt;/C&gt;&lt;D xsi:type="xsd:double"&gt;68&lt;/D&gt;&lt;/FQL&gt;&lt;FQL&gt;&lt;Q&gt;EWU^PERCENT_CHANGE(FMA_EPS(+1,0,,,,"PORTAGG","MEAN"),FMA_EPS(+1,-3AM,,,,"PORTAGG","MEAN"))&lt;/Q&gt;&lt;R&gt;1&lt;/R&gt;&lt;C&gt;1&lt;/C&gt;&lt;D xsi:type="xsd:double"&gt;-5.01351718376836&lt;/D&gt;&lt;/FQL&gt;&lt;FQL&gt;&lt;Q&gt;EWA^PERCENT_CHANGE(FMA_EPS(+1,0,,,,"PORTAGG","MEAN"),FMA_EPS(+1,-1AM,,,,"PORTAGG","MEAN"))&lt;/Q&gt;&lt;R&gt;1&lt;/R&gt;&lt;C&gt;1&lt;/C&gt;&lt;D xsi:type="xsd:double"&gt;2.15435784004097&lt;/D&gt;&lt;/FQL&gt;&lt;FQL&gt;&lt;Q&gt;VGK^SIZE(FG_CONSTITUENTS)&lt;/Q&gt;&lt;R&gt;1&lt;/R&gt;&lt;C&gt;1&lt;/C&gt;&lt;D xsi:type="xsd:long"&gt;1291&lt;/D&gt;&lt;/FQL&gt;&lt;FQL&gt;&lt;Q&gt;EWG^FMA_COS_UP("EPS","1M",+1,0,,,"PORTAGG","MEANR")&lt;/Q&gt;&lt;R&gt;1&lt;/R&gt;&lt;C&gt;1&lt;/C&gt;&lt;D xsi:type="xsd:double"&gt;24&lt;/D&gt;&lt;/FQL&gt;&lt;FQL&gt;&lt;Q&gt;EMXC^FG_TOTAL_RETURNC(0,-6AM)&lt;/Q&gt;&lt;R&gt;1&lt;/R&gt;&lt;C&gt;1&lt;/C&gt;&lt;D xsi:type="xsd:double"&gt;13.851666&lt;/D&gt;&lt;/FQL&gt;&lt;FQL&gt;&lt;Q&gt;DBA^FG_TOTAL_RETURNC(0,-6AM)&lt;/Q&gt;&lt;R&gt;1&lt;/R&gt;&lt;C&gt;1&lt;/C&gt;&lt;D xsi:type="xsd:double"&gt;9.123957&lt;/D&gt;&lt;/FQL&gt;&lt;FQL&gt;&lt;Q&gt;SPY^FG_TOTAL_RETURNC(0,-6AM)&lt;/Q&gt;&lt;R&gt;1&lt;/R&gt;&lt;C&gt;1&lt;/C&gt;&lt;D xsi:type="xsd:double"&gt;16.758585&lt;/D&gt;&lt;/FQL&gt;&lt;FQL&gt;&lt;Q&gt;FXI^PERCENT_CHANGE(FMA_EPS(+1,0,,,,"PORTAGG","MEAN"),FMA_EPS(+1,-1AM,,,,"PORTAGG","MEAN"))&lt;/Q&gt;&lt;R&gt;1&lt;/R&gt;&lt;C&gt;1&lt;/C&gt;&lt;D xsi:type="xsd:double"&gt;-1.96350437580871&lt;/D&gt;&lt;/FQL&gt;&lt;FQL&gt;&lt;Q&gt;INDA^SIZE(FG_CONSTITUENTS)&lt;/Q&gt;&lt;R&gt;1&lt;/R&gt;&lt;C&gt;1&lt;/C&gt;&lt;D xsi:type="xsd:long"&gt;138&lt;/D&gt;&lt;/FQL&gt;&lt;FQL&gt;&lt;Q&gt;EWL^FG_COMPANY_NAME&lt;/Q&gt;&lt;R&gt;1&lt;/R&gt;&lt;C&gt;1&lt;/C&gt;&lt;D xsi:type="xsd:string"&gt;iShares MSCI Switzerland ETF&lt;/D&gt;&lt;/FQL&gt;&lt;FQL&gt;&lt;Q&gt;EMXC^FG_TOTAL_RETURNC(0,-3AM)&lt;/Q&gt;&lt;R&gt;1&lt;/R&gt;&lt;C&gt;1&lt;/C&gt;&lt;D xsi:type="xsd:double"&gt;9.780943&lt;/D&gt;&lt;/FQL&gt;&lt;FQL&gt;&lt;Q&gt;SPY^FG_TOTAL_RETURNC(0,-3AM)&lt;/Q&gt;&lt;R&gt;1&lt;/R&gt;&lt;C&gt;1&lt;/C&gt;&lt;D xsi:type="xsd:double"&gt;11.803234&lt;/D&gt;&lt;/FQL&gt;&lt;FQL&gt;&lt;Q&gt;EWG^FG_TOTAL_RETURNC(0,-6AM)&lt;/Q&gt;&lt;R&gt;1&lt;/R&gt;&lt;C&gt;1&lt;/C&gt;&lt;D xsi:type="xsd:double"&gt;15.478301&lt;/D&gt;&lt;/FQL&gt;&lt;FQL&gt;&lt;Q&gt;ENZL^P_PRICE(0)/P_PRICE_LOW_PR(0,,,USD,,,"PRICE","INTRA","52W")-1&lt;/Q&gt;&lt;R&gt;1&lt;/R&gt;&lt;C&gt;1&lt;/C&gt;&lt;D xsi:type="xsd:double"&gt;0.11795962&lt;/D&gt;&lt;/FQL&gt;&lt;FQL&gt;&lt;Q&gt;INDA^PERCENT_CHANGE(FMA_EPS(+1,0,,,,"PORTAGG","MEAN"),FMA_EPS(+1,-3AM,,,,"PORTAGG","MEAN"))&lt;/Q&gt;&lt;R&gt;1&lt;/R&gt;&lt;C&gt;1&lt;/C&gt;&lt;D xsi:type="xsd:double"&gt;0.238712837065871&lt;/D&gt;&lt;/FQL&gt;&lt;FQL&gt;&lt;Q&gt;SPY^FMA_PCT_ABOVE_MAVG(200,0,,,,"PORTAGG")&lt;/Q&gt;&lt;R&gt;1&lt;/R&gt;&lt;C&gt;1&lt;/C&gt;&lt;D xsi:type="xsd:double"&gt;79.9204771371769&lt;/D&gt;&lt;/FQL&gt;&lt;FQL&gt;&lt;Q&gt;EWC^PERCENT_CHANGE(FMA_EPS(+1,0,,,,"PORTAGG","MEAN"),FMA_EPS(+1,-3AM,,,,"PORTAGG","MEAN"))&lt;/Q&gt;&lt;R&gt;1&lt;/R&gt;&lt;C&gt;1&lt;/C&gt;&lt;D xsi:type="xsd:double"&gt;-4.61392807296888&lt;/D&gt;&lt;/FQL&gt;&lt;FQL&gt;&lt;Q&gt;QQQ^FMA_COS_DOWN("EPS","1M",+1,0,,,"PORTAGG","MEANR")&lt;/Q&gt;&lt;R&gt;1&lt;/R&gt;&lt;C&gt;1&lt;/C&gt;&lt;D xsi:type="xsd:double"&gt;43&lt;/D&gt;&lt;/FQL&gt;&lt;FQL&gt;&lt;Q&gt;URTH^FMA_COS_UP("EPS","1M",+1,0,,,"PORTAGG","MEANR")&lt;/Q&gt;&lt;R&gt;1&lt;/R&gt;&lt;C&gt;1&lt;/C&gt;&lt;D xsi:type="xsd:double"&gt;604&lt;/D&gt;&lt;/FQL&gt;&lt;FQL&gt;&lt;Q&gt;EWJ^FMA_COS_DOWN("EPS","1M",+1,0,,,"PORTAGG","MEANR")&lt;/Q&gt;&lt;R&gt;1&lt;/R&gt;&lt;C&gt;1&lt;/C&gt;&lt;D xsi:type="xsd:double"&gt;90&lt;/D&gt;&lt;/FQL&gt;&lt;FQL&gt;&lt;Q&gt;EWN^FG_COMPANY_NAME&lt;/Q&gt;&lt;R&gt;1&lt;/R&gt;&lt;C&gt;1&lt;/C&gt;&lt;D xsi:type="xsd:string"&gt;iShares MSCI Netherlands ETF&lt;/D&gt;&lt;/FQL&gt;&lt;FQL&gt;&lt;Q&gt;EWJ^FG_TOTAL_RETURNC(0,-6AM)&lt;/Q&gt;&lt;R&gt;1&lt;/R&gt;&lt;C&gt;1&lt;/C&gt;&lt;D xsi:type="xsd:double"&gt;13.892424&lt;/D&gt;&lt;/FQL&gt;&lt;FQL&gt;&lt;Q&gt;USO^FG_TOTAL_RETURNC(0,-6AM)&lt;/Q&gt;&lt;R&gt;1&lt;/R&gt;&lt;C&gt;1&lt;/C&gt;&lt;D xsi:type="xsd:double"&gt;-7.9673767&lt;/D&gt;&lt;/FQL&gt;&lt;FQL&gt;&lt;Q&gt;GLD^FG_TOTAL_RETURNC(0,-6AM)&lt;/Q&gt;&lt;R&gt;1&lt;/R&gt;&lt;C&gt;1&lt;/C&gt;&lt;D xsi:type="xsd:double"&gt;12.564075&lt;/D&gt;&lt;/FQL&gt;&lt;FQL&gt;&lt;Q&gt;EWJ^P_PRICE(0)/P_PRICE_HIGH_PR(0,,,USD,,,"PRICE","INTRA","52W")&lt;/Q&gt;&lt;R&gt;1&lt;/R&gt;&lt;C&gt;1&lt;/C&gt;&lt;D xsi:type="xsd:double"&gt;0.9752631&lt;/D&gt;&lt;/FQL&gt;&lt;FQL&gt;&lt;Q&gt;EWI^P_PRICE(0)/P_PRICE_HIGH_PR(0,,,USD,,,"PRICE","INTRA","52W")&lt;/Q&gt;&lt;R&gt;1&lt;/R&gt;&lt;C&gt;1&lt;/C&gt;&lt;D xsi:type="xsd:double"&gt;1&lt;/D&gt;&lt;/FQL&gt;&lt;FQL&gt;&lt;Q&gt;SPY^P_PRICE(0)/P_PRICE_HIGH_PR(0,,,USD,,,"PRICE","INTRA","52W")&lt;/Q&gt;&lt;R&gt;1&lt;/R&gt;&lt;C&gt;1&lt;/C&gt;&lt;D xsi:type="xsd:double"&gt;0.9972211&lt;/D&gt;&lt;/FQL&gt;&lt;FQL&gt;&lt;Q&gt;ENZL^P_PRICE(0)/P_PRICE_HIGH_PR(0,,,USD,,,"PRICE","INTRA","52W")&lt;/Q&gt;&lt;R&gt;1&lt;/R&gt;&lt;C&gt;1&lt;/C&gt;&lt;D xsi:type="xsd:double"&gt;0.89415205&lt;/D&gt;&lt;/FQL&gt;&lt;FQL&gt;&lt;Q&gt;INDA^PERCENT_CHANGE(FMA_EPS(+1,0,,,,"PORTAGG","MEAN"),FMA_EPS(+1,-1AM,,,,"PORTAGG","MEAN"))&lt;/Q&gt;&lt;R&gt;1&lt;/R&gt;&lt;C&gt;1&lt;/C&gt;&lt;D xsi:type="xsd:double"&gt;0.506355996514447&lt;/D&gt;&lt;/FQL&gt;&lt;FQL&gt;&lt;Q&gt;VGK^FMA_PCT_ABOVE_MAVG(200,0,,,,"PORTAGG")&lt;/Q&gt;&lt;R&gt;1&lt;/R&gt;&lt;C&gt;1&lt;/C&gt;&lt;D xsi:type="xsd:double"&gt;61.2421383647799&lt;/D&gt;&lt;/FQL&gt;&lt;FQL&gt;&lt;Q&gt;EWC^PERCENT_CHANGE(FMA_EPS(+1,0,,,,"PORTAGG","MEAN"),FMA_EPS(+1,-1AM,,,,"PORTAGG","MEAN"))&lt;/Q&gt;&lt;R&gt;1&lt;/R&gt;&lt;C&gt;1&lt;/C&gt;&lt;D xsi:type="xsd:double"&gt;-1.49980064924339&lt;/D&gt;&lt;/FQL&gt;&lt;FQL&gt;&lt;Q&gt;QQQ^FMA_COS_UP("EPS","1M",+1,0,,,"PORTAGG","MEANR")&lt;/Q&gt;&lt;R&gt;1&lt;/R&gt;&lt;C&gt;1&lt;/C&gt;&lt;D xsi:type="xsd:double"&gt;35&lt;/D&gt;&lt;/FQL&gt;&lt;FQL&gt;&lt;Q&gt;USO^FG_TOTAL_RETURNC(0,-3AM)&lt;/Q&gt;&lt;R&gt;1&lt;/R&gt;&lt;C&gt;1&lt;/C&gt;&lt;D xsi:type="xsd:double"&gt;14.163423&lt;/D&gt;&lt;/FQL&gt;&lt;FQL&gt;&lt;Q&gt;QQQ^FG_TOTAL_RETURNC(0,-3AM)&lt;/Q&gt;&lt;R&gt;1&lt;/R&gt;&lt;C&gt;1&lt;/C&gt;&lt;D xsi:type="xsd:double"&gt;11.564457&lt;/D&gt;&lt;/FQL&gt;&lt;FQL&gt;&lt;Q&gt;EWI^FG_TOTAL_RETURNC(0,-3AM)&lt;/Q&gt;&lt;R&gt;1&lt;/R&gt;&lt;C&gt;1&lt;/C&gt;&lt;D xsi:type="xsd:double"&gt;12.122965&lt;/D&gt;&lt;/FQL&gt;&lt;FQL&gt;&lt;Q&gt;ENZL^FG_TOTAL_RETURNC(0,-3AM)&lt;/Q&gt;&lt;R&gt;1&lt;/R&gt;&lt;C&gt;1&lt;/C&gt;&lt;D xsi:type="xsd:double"&gt;1.1329532&lt;/D&gt;&lt;/FQL&gt;&lt;FQL&gt;&lt;Q&gt;QQQ^FMA_PCT_ABOVE_MAVG(200,0,,,,"PORTAGG")&lt;/Q&gt;&lt;R&gt;1&lt;/R&gt;&lt;C&gt;1&lt;/C&gt;&lt;D xsi:type="xsd:double"&gt;77.4509803921569&lt;/D&gt;&lt;/FQL&gt;&lt;FQL&gt;&lt;Q&gt;EWG^FMA_COS_DOWN("EPS","1M",+1,0,,,"PORTAGG","MEANR")&lt;/Q&gt;&lt;R&gt;1&lt;/R&gt;&lt;C&gt;1&lt;/C&gt;&lt;D xsi:type="xsd:double"&gt;28&lt;/D&gt;&lt;/FQL&gt;&lt;FQL&gt;&lt;Q&gt;EWG^P_PRICE(0)/P_PRICE_LOW_PR(0,,,USD,,,"PRICE","INTRA","52W")-1&lt;/Q&gt;&lt;R&gt;1&lt;/R&gt;&lt;C&gt;1&lt;/C&gt;&lt;D xsi:type="xsd:double"&gt;0.2718073&lt;/D&gt;&lt;/FQL&gt;&lt;FQL&gt;&lt;Q&gt;SPY^PERCENT_CHANGE(FMA_EPS(+1,0,,,,"PORTAGG","MEAN"),FMA_EPS(+1,-1AM,,,,"PORTAGG","MEAN"))&lt;/Q&gt;&lt;R&gt;1&lt;/R&gt;&lt;C&gt;1&lt;/C&gt;&lt;D xsi:type="xsd:double"&gt;0.520359659637533&lt;/D&gt;&lt;/FQL&gt;&lt;FQL&gt;&lt;Q&gt;SPY^FMA_COS_DOWN("EPS","1M",+1,0,,,"PORTAGG","MEANR")&lt;/Q&gt;&lt;R&gt;1&lt;/R&gt;&lt;C&gt;1&lt;/C&gt;&lt;D xsi:type="xsd:double"&gt;192&lt;/D&gt;&lt;/FQL&gt;&lt;FQL&gt;&lt;Q&gt;EWU^FG_COMPANY_NAME&lt;/Q&gt;&lt;R&gt;1&lt;/R&gt;&lt;C&gt;1&lt;/C&gt;&lt;D xsi:type="xsd:string"&gt;iShares MSCI United Kingdom ETF&lt;/D&gt;&lt;/FQL&gt;&lt;FQL&gt;&lt;Q&gt;QQQ^P_PRICE(0)/P_PRICE_HIGH_PR(0,,,USD,,,"PRICE","INTRA","52W")&lt;/Q&gt;&lt;R&gt;1&lt;/R&gt;&lt;C&gt;1&lt;/C&gt;&lt;D xsi:type="xsd:double"&gt;0.98889977&lt;/D&gt;&lt;/FQL&gt;&lt;FQL&gt;&lt;Q&gt;VWO^P_PRICE(0,-200D)&lt;/Q&gt;&lt;R&gt;201&lt;/R&gt;&lt;C&gt;1&lt;/C&gt;&lt;D xsi:type="xsd:double"&gt;42.23&lt;/D&gt;&lt;D xsi:type="xsd:double"&gt;41.87&lt;/D&gt;&lt;D xsi:type="xsd:double"&gt;41.76&lt;/D&gt;&lt;D xsi:type="xsd:double"&gt;41.83&lt;/D&gt;&lt;D xsi:type="xsd:double"&gt;41.63&lt;/D&gt;&lt;D xsi:type="xsd:double"&gt;41.12&lt;/D&gt;&lt;D xsi:type="xsd:double"&gt;41.4&lt;/D&gt;&lt;D xsi:type="xsd:double"&gt;41.57&lt;/D&gt;&lt;D xsi:type="xsd:double"&gt;41.02&lt;/D&gt;&lt;D xsi:type="xsd:double"&gt;40.93&lt;/D&gt;&lt;D xsi:type="xsd:double"&gt;41.57&lt;/D&gt;&lt;D xsi:type="xsd:double"&gt;41.44&lt;/D&gt;&lt;D xsi:type="xsd:double"&gt;41.58&lt;/D&gt;&lt;D xsi:type="xsd:double"&gt;41.57&lt;/D&gt;&lt;D xsi:type="xsd:double"&gt;41.21&lt;/D&gt;&lt;D xsi:type="xsd:double"&gt;41.17&lt;/D&gt;&lt;D xsi:type="xsd:double"&gt;41.09&lt;/D&gt;&lt;D xsi:type="xsd:double"&gt;40.89&lt;/D&gt;&lt;D xsi:type="xsd:double"&gt;40.64&lt;/D&gt;&lt;D xsi:type="xsd:double"&gt;40.06&lt;/D&gt;&lt;D xsi:type="xsd:double"&gt;40.81&lt;/D&gt;&lt;D xsi:type="xsd:double"&gt;40.63&lt;/D&gt;&lt;D xsi:type="xsd:double"&gt;40.47&lt;/D&gt;&lt;D xsi:type="xsd:double"&gt;40.68&lt;/D&gt;&lt;D xsi:type="xsd:double"&gt;40.71&lt;/D&gt;&lt;D xsi:type="xsd:double"&gt;39.73&lt;/D&gt;&lt;D xsi:type="xsd:double"&gt;39.63&lt;/D&gt;&lt;D xsi:type="xsd:double"&gt;39.91&lt;/D&gt;&lt;D xsi:type="xsd:double"&gt;39.64&lt;/D&gt;&lt;D xsi:type="xsd:double"&gt;39.79&lt;/D&gt;&lt;D xsi:type="xsd:double"&gt;40.17&lt;/D&gt;&lt;D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xsi:type="xsd:double"&gt;40.4&lt;/D&gt;&lt;D xsi:type="xsd:double"&gt;39.63&lt;/D&gt;&lt;D xsi:type="xsd:double"&gt;40.48&lt;/D&gt;&lt;D xsi:type="xsd:double"&gt;40.2&lt;/D&gt;&lt;D xsi:type="xsd:double"&gt;41.07&lt;/D&gt;&lt;D xsi:type="xsd:double"&gt;41.31&lt;/D&gt;&lt;D xsi:type="xsd:double"&gt;40.77&lt;/D&gt;&lt;D xsi:type="xsd:double"&gt;40.39&lt;/D&gt;&lt;D xsi:type="xsd:double"&gt;40.39&lt;/D&gt;&lt;D xsi:type="xsd:double"&gt;40.21&lt;/D&gt;&lt;D xsi:type="xsd:double"&gt;40.41&lt;/D&gt;&lt;D xsi:type="xsd:double"&gt;40.25&lt;/D&gt;&lt;D xsi:type="xsd:double"&gt;40.3&lt;/D&gt;&lt;D xsi:type="xsd:double"&gt;40.44&lt;/D&gt;&lt;D xsi:type="xsd:double"&gt;40.8&lt;/D&gt;&lt;D xsi:type="xsd:double"&gt;40.63&lt;/D&gt;&lt;D xsi:type="xsd:double"&gt;40.51&lt;/D&gt;&lt;D xsi:type="xsd:double"&gt;40.74&lt;/D&gt;&lt;D xsi:type="xsd:double"&gt;40.41&lt;/D&gt;&lt;D xsi:type="xsd:double"&gt;40.6&lt;/D&gt;&lt;D xsi:type="xsd:double"&gt;40.47&lt;/D&gt;&lt;D xsi:type="xsd:double"&gt;40.58&lt;/D&gt;&lt;D xsi:type="xsd:double"&gt;40.82&lt;/D&gt;&lt;D xsi:type="xsd:double"&gt;40.39&lt;/D&gt;&lt;D xsi:type="xsd:double"&gt;40.23&lt;/D&gt;&lt;D xsi:type="xsd:double"&gt;40.65&lt;/D&gt;&lt;D xsi:type="xsd:double"&gt;40.37&lt;/D&gt;&lt;D xsi:type="xsd:double"&gt;39.45&lt;/D&gt;&lt;D xsi:type="xsd:double"&gt;39.38&lt;/D&gt;&lt;D xsi:type="xsd:double"&gt;39.11&lt;/D&gt;&lt;D xsi:type="xsd:double"&gt;39.46&lt;/D&gt;&lt;D xsi:type="xsd:double"&gt;39.64&lt;/D&gt;&lt;D xsi:type="xsd:double"&gt;39.63&lt;/D&gt;&lt;D xsi:type="xsd:double"&gt;39.51&lt;/D&gt;&lt;D xsi:type="xsd:double"&gt;38.8&lt;/D&gt;&lt;D xsi:type="xsd:double"&gt;38.21&lt;/D&gt;&lt;D xsi:type="xsd:double"&gt;37.94&lt;/D&gt;&lt;D xsi:type="xsd:double"&gt;38.12&lt;/D&gt;&lt;D xsi:type="xsd:double"&gt;37.78&lt;/D&gt;&lt;D xsi:type="xsd:double"&gt;37.74&lt;/D&gt;&lt;D xsi:type="xsd:double"&gt;37.88&lt;/D&gt;&lt;D xsi:type="xsd:double"&gt;38.29&lt;/D&gt;&lt;D xsi:type="xsd:double"&gt;37.82&lt;/D&gt;&lt;D xsi:type="xsd:double"&gt;37.9&lt;/D&gt;&lt;D xsi:type="xsd:double"&gt;38.36&lt;/D&gt;&lt;D xsi:type="xsd:double"&gt;38.5&lt;/D&gt;&lt;D xsi:type="xsd:double"&gt;39.14&lt;/D&gt;&lt;D xsi:type="xsd:double"&gt;39.31&lt;/D&gt;&lt;D xsi:type="xsd:double"&gt;39.03&lt;/D&gt;&lt;D xsi:type="xsd:double"&gt;39.18&lt;/D&gt;&lt;D xsi:type="xsd:double"&gt;39.6&lt;/D&gt;&lt;D xsi:type="xsd:double"&gt;39.48&lt;/D&gt;&lt;D xsi:type="xsd:double"&gt;38.86&lt;/D&gt;&lt;D xsi:type="xsd:double"&gt;39.1&lt;/D&gt;&lt;D xsi:type="xsd:double"&gt;38.57&lt;/D&gt;&lt;D xsi:type="xsd:double"&gt;38.41&lt;/D&gt;&lt;D xsi:type="xsd:double"&gt;38.57&lt;/D&gt;&lt;D xsi:type="xsd:double"&gt;39.07&lt;/D&gt;&lt;D xsi:type="xsd:double"&gt;39.21&lt;/D&gt;&lt;D xsi:type="xsd:double"&gt;39.17&lt;/D&gt;&lt;D xsi:type="xsd:double"&gt;39.09&lt;/D&gt;&lt;D xsi:type="xsd:double"&gt;39.04&lt;/D&gt;&lt;D xsi:type="xsd:double"&gt;39.5&lt;/D&gt;&lt;D xsi:type="xsd:double"&gt;39.65&lt;/D&gt;&lt;D xsi:type="xsd:double"&gt;39.19&lt;/D&gt;&lt;D xsi:type="xsd:double"&gt;39.83&lt;/D&gt;&lt;D xsi:type="xsd:double"&gt;39.95&lt;/D&gt;&lt;D xsi:type="xsd:double"&gt;40.15&lt;/D&gt;&lt;D xsi:type="xsd:double"&gt;40.54&lt;/D&gt;&lt;D xsi:type="xsd:double"&gt;40.75&lt;/D&gt;&lt;D xsi:type="xsd:double"&gt;40.51&lt;/D&gt;&lt;D xsi:type="xsd:double"&gt;40.55&lt;/D&gt;&lt;D xsi:type="xsd:double"&gt;40.66&lt;/D&gt;&lt;D xsi:type="xsd:double"&gt;40.2&lt;/D&gt;&lt;D xsi:type="xsd:double"&gt;40.12&lt;/D&gt;&lt;D xsi:type="xsd:double"&gt;40.54&lt;/D&gt;&lt;D xsi:type="xsd:double"&gt;40.73&lt;/D&gt;&lt;D xsi:type="xsd:double"&gt;40.97&lt;/D&gt;&lt;D xsi:type="xsd:double"&gt;40.53&lt;/D&gt;&lt;D xsi:type="xsd:double"&gt;41.02&lt;/D&gt;&lt;D xsi:type="xsd:double"&gt;41.17&lt;/D&gt;&lt;D xsi:type="xsd:double"&gt;40.63&lt;/D&gt;&lt;D xsi:type="xsd:double"&gt;40.23&lt;/D&gt;&lt;D xsi:type="xsd:double"&gt;40.26&lt;/D&gt;&lt;D xsi:type="xsd:double"&gt;40.43&lt;/D&gt;&lt;D xsi:type="xsd:double"&gt;39.84&lt;/D&gt;&lt;D xsi:type="xsd:double"&gt;39.91&lt;/D&gt;&lt;D xsi:type="xsd:double"&gt;39.82&lt;/D&gt;&lt;D xsi:type="xsd:double"&gt;40.07&lt;/D&gt;&lt;D xsi:type="xsd:double"&gt;39.94&lt;/D&gt;&lt;D xsi:type="xsd:double"&gt;40.21&lt;/D&gt;&lt;D xsi:type="xsd:double"&gt;40.64&lt;/D&gt;&lt;D xsi:type="xsd:double"&gt;40.83&lt;/D&gt;&lt;D xsi:type="xsd:double"&gt;41.43&lt;/D&gt;&lt;D xsi:type="xsd:double"&gt;41.35&lt;/D&gt;&lt;D xsi:type="xsd:double"&gt;41.28&lt;/D&gt;&lt;D xsi:type="xsd:double"&gt;41.71&lt;/D&gt;&lt;D xsi:type="xsd:double"&gt;41.78&lt;/D&gt;&lt;D xsi:type="xsd:double"&gt;41.73&lt;/D&gt;&lt;D xsi:type="xsd:double"&gt;41.55&lt;/D&gt;&lt;D xsi:type="xsd:double"&gt;42.47&lt;/D&gt;&lt;D xsi:type="xsd:double"&gt;43.07&lt;/D&gt;&lt;D xsi:type="xsd:double"&gt;43.02&lt;/D&gt;&lt;D xsi:type="xsd:double"&gt;42&lt;/D&gt;&lt;D xsi:type="xsd:double"&gt;42.47&lt;/D&gt;&lt;D xsi:type="xsd:double"&gt;42.21&lt;/D&gt;&lt;D xsi:type="xsd:double"&gt;41.89&lt;/D&gt;&lt;D xsi:type="xsd:double"&gt;41.34&lt;/D&gt;&lt;D xsi:type="xsd:double"&gt;41.36&lt;/D&gt;&lt;D xsi:type="xsd:double"&gt;41.62&lt;/D&gt;&lt;D xsi:type="xsd:double"&gt;41.68&lt;/D&gt;&lt;D xsi:type="xsd:double"&gt;41.98&lt;/D&gt;&lt;D xsi:type="xsd:double"&gt;41.93&lt;/D&gt;&lt;D xsi:type="xsd:double"&gt;42.19&lt;/D&gt;&lt;D xsi:type="xsd:double"&gt;41.73&lt;/D&gt;&lt;D xsi:type="xsd:double"&gt;40.95&lt;/D&gt;&lt;D xsi:type="xsd:double"&gt;40.59&lt;/D&gt;&lt;D xsi:type="xsd:double"&gt;40.58&lt;/D&gt;&lt;D xsi:type="xsd:double"&gt;40.1&lt;/D&gt;&lt;D xsi:type="xsd:double"&gt;40.88&lt;/D&gt;&lt;D xsi:type="xsd:double"&gt;41.08&lt;/D&gt;&lt;D xsi:type="xsd:double"&gt;40.68&lt;/D&gt;&lt;D xsi:type="xsd:double"&gt;40.33&lt;/D&gt;&lt;D xsi:type="xsd:double"&gt;40.5&lt;/D&gt;&lt;D xsi:type="xsd:double"&gt;40.66&lt;/D&gt;&lt;D xsi:type="xsd:double"&gt;40.28&lt;/D&gt;&lt;D xsi:type="xsd:double"&gt;40.15&lt;/D&gt;&lt;D xsi:type="xsd:double"&gt;40.72&lt;/D&gt;&lt;D xsi:type="xsd:double"&gt;40.9&lt;/D&gt;&lt;D xsi:type="xsd:double"&gt;40.97&lt;/D&gt;&lt;D xsi:type="xsd:double"&gt;41.94&lt;/D&gt;&lt;D xsi:type="xsd:double"&gt;42.09&lt;/D&gt;&lt;D xsi:type="xsd:double"&gt;41.69&lt;/D&gt;&lt;D xsi:type="xsd:double"&gt;41.3&lt;/D&gt;&lt;D xsi:type="xsd:double"&gt;40.96&lt;/D&gt;&lt;D xsi:type="xsd:double"&gt;40.86&lt;/D&gt;&lt;D xsi:type="xsd:double"&gt;40.75&lt;/D&gt;&lt;D xsi:type="xsd:double"&gt;40.53&lt;/D&gt;&lt;D xsi:type="xsd:double"&gt;40.62&lt;/D&gt;&lt;D xsi:type="xsd:double"&gt;40.31&lt;/D&gt;&lt;D xsi:type="xsd:double"&gt;40.35&lt;/D&gt;&lt;D xsi:type="xsd:double"&gt;39.72&lt;/D&gt;&lt;D xsi:type="xsd:double"&gt;39.05&lt;/D&gt;&lt;D xsi:type="xsd:double"&gt;39.33&lt;/D&gt;&lt;D xsi:type="xsd:double"&gt;39.85&lt;/D&gt;&lt;D xsi:type="xsd:double"&gt;39.2&lt;/D&gt;&lt;D xsi:type="xsd:double"&gt;39.27&lt;/D&gt;&lt;/FQL&gt;&lt;FQL&gt;&lt;Q&gt;QQQ^SIZE(FG_CONSTITUENTS)&lt;/Q&gt;&lt;R&gt;1&lt;/R&gt;&lt;C&gt;1&lt;/C&gt;&lt;D xsi:type="xsd:long"&gt;102&lt;/D&gt;&lt;/FQL&gt;&lt;FQL&gt;&lt;Q&gt;EWC^FMA_COS_DOWN("EPS","1M",+1,0,,,"PORTAGG","MEANR")&lt;/Q&gt;&lt;R&gt;1&lt;/R&gt;&lt;C&gt;1&lt;/C&gt;&lt;D xsi:type="xsd:double"&gt;45&lt;/D&gt;&lt;/FQL&gt;&lt;FQL&gt;&lt;Q&gt;EMXC^FG_TOTAL_RETURNC(0,-1AM)&lt;/Q&gt;&lt;R&gt;1&lt;/R&gt;&lt;C&gt;1&lt;/C&gt;&lt;D xsi:type="xsd:double"&gt;2.9832125&lt;/D&gt;&lt;/FQL&gt;&lt;FQL&gt;&lt;Q&gt;VWO^JULIAN(P_PRICE(0,-200D).DATES)&lt;/Q&gt;&lt;R&gt;201&lt;/R&gt;&lt;C&gt;1&lt;/C&gt;&lt;D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</t>
        </r>
      </text>
    </comment>
    <comment ref="A2" authorId="0" shapeId="0" xr:uid="{202BF011-81CC-4CFB-BE9A-017D66588EDB}">
      <text>
        <r>
          <rPr>
            <b/>
            <sz val="9"/>
            <color indexed="81"/>
            <rFont val="Tahoma"/>
            <charset val="1"/>
          </rPr>
          <t>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xsi:type="xsd:long"&gt;45153&lt;/D&gt;&lt;D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xsi:type="xsd:long"&gt;45113&lt;/D&gt;&lt;D xsi:type="xsd:long"&gt;45112&lt;/D&gt;&lt;D xsi:type="xsd:long"&gt;45110&lt;/D&gt;&lt;D xsi:type="xsd:long"&gt;45107&lt;/D&gt;&lt;D xsi:type="xsd:long"&gt;45106&lt;/D&gt;&lt;D xsi:type="xsd:long"&gt;45105&lt;/D&gt;&lt;D xsi:type="xsd:long"&gt;45104&lt;/D&gt;&lt;D xsi:type="xsd:long"&gt;45103&lt;/D&gt;&lt;D xsi:type="xsd:long"&gt;45100&lt;/D&gt;&lt;D xsi:type="xsd:long"&gt;45099&lt;/D&gt;&lt;D xsi:type="xsd:long"&gt;45098&lt;/D&gt;&lt;D xsi:type="xsd:long"&gt;45097&lt;/D&gt;&lt;D xsi:type="xsd:long"&gt;45093&lt;/D&gt;&lt;D xsi:type="xsd:long"&gt;45092&lt;/D&gt;&lt;D xsi:type="xsd:long"&gt;45091&lt;/D&gt;&lt;D xsi:type="xsd:long"&gt;45090&lt;/D&gt;&lt;D xsi:type="xsd:long"&gt;45089&lt;/D&gt;&lt;D xsi:type="xsd:long"&gt;45086&lt;/D&gt;&lt;D xsi:type="xsd:long"&gt;45085&lt;/D&gt;&lt;D xsi:type="xsd:long"&gt;45084&lt;/D&gt;&lt;D xsi:type="xsd:long"&gt;45083&lt;/D&gt;&lt;D xsi:type="xsd:long"&gt;45082&lt;/D&gt;&lt;D xsi:type="xsd:long"&gt;45079&lt;/D&gt;&lt;D xsi:type="xsd:long"&gt;45078&lt;/D&gt;&lt;D xsi:type="xsd:long"&gt;45077&lt;/D&gt;&lt;D xsi:type="xsd:long"&gt;45076&lt;/D&gt;&lt;D xsi:type="xsd:long"&gt;45072&lt;/D&gt;&lt;D xsi:type="xsd:long"&gt;45071&lt;/D&gt;&lt;D xsi:type="xsd:long"&gt;45070&lt;/D&gt;&lt;/FQL&gt;&lt;FQL&gt;&lt;Q&gt;EWC^FMA_COS_UP("EPS","1M",+1,0,,,"PORTAGG","MEANR")&lt;/Q&gt;&lt;R&gt;1&lt;/R&gt;&lt;C&gt;1&lt;/C&gt;&lt;D xsi:type="xsd:double"&gt;31&lt;/D&gt;&lt;/FQL&gt;&lt;FQL&gt;&lt;Q&gt;QQQ^PERCENT_CHANGE(FMA_EPS(+1,0,,,,"PORTAGG","MEAN"),FMA_EPS(+1,-3AM,,,,"PORTAGG","MEAN"))&lt;/Q&gt;&lt;R&gt;1&lt;/R&gt;&lt;C&gt;1&lt;/C&gt;&lt;D xsi:type="xsd:double"&gt;0.568529662397072&lt;/D&gt;&lt;/FQL&gt;&lt;FQL&gt;&lt;Q&gt;VWO^SIZE(FG_CONSTITUENTS)&lt;/Q&gt;&lt;R&gt;1&lt;/R&gt;&lt;C&gt;1&lt;/C&gt;&lt;D xsi:type="xsd:long"&gt;4677&lt;/D&gt;&lt;/FQL&gt;&lt;FQL&gt;&lt;Q&gt;EWQ^FMA_COS_DOWN("EPS","1M",+1,0,,,"PORTAGG","MEANR")&lt;/Q&gt;&lt;R&gt;1&lt;/R&gt;&lt;C&gt;1&lt;/C&gt;&lt;D xsi:type="xsd:double"&gt;32&lt;/D&gt;&lt;/FQL&gt;&lt;FQL&gt;&lt;Q&gt;EWQ^FG_COMPANY_NAME&lt;/Q&gt;&lt;R&gt;1&lt;/R&gt;&lt;C&gt;1&lt;/C&gt;&lt;D xsi:type="xsd:string"&gt;iShares MSCI France ETF&lt;/D&gt;&lt;/FQL&gt;&lt;FQL&gt;&lt;Q&gt;GLD^FG_TOTAL_RETURNC(0,-3AM)&lt;/Q&gt;&lt;R&gt;1&lt;/R&gt;&lt;C&gt;1&lt;/C&gt;&lt;D xsi:type="xsd:double"&gt;8.883309&lt;/D&gt;&lt;/FQL&gt;&lt;FQL&gt;&lt;Q&gt;SPY^PERCENT_CHANGE(FMA_EPS(+1,0,,,,"PORTAGG","MEAN"),FMA_EPS(+1,-3AM,,,,"PORTAGG","MEAN"))&lt;/Q&gt;&lt;R&gt;1&lt;/R&gt;&lt;C&gt;1&lt;/C&gt;&lt;D xsi:type="xsd:double"&gt;-0.73723738140772&lt;/D&gt;&lt;/FQL&gt;&lt;FQL&gt;&lt;Q&gt;EWA^PERCENT_CHANGE(FMA_EPS(+1,0,,,,"PORTAGG","MEAN"),FMA_EPS(+1,-3AM,,,,"PORTAGG","MEAN"))&lt;/Q&gt;&lt;R&gt;1&lt;/R&gt;&lt;C&gt;1&lt;/C&gt;&lt;D xsi:type="xsd:double"&gt;-0.505984849764718&lt;/D&gt;&lt;/FQL&gt;&lt;FQL&gt;&lt;Q&gt;FC0000JP^FMA_EPS(NTMA,-20AY,0,CY,,"PORTAGG","MEANR")&lt;/Q&gt;&lt;R&gt;20&lt;/R&gt;&lt;C&gt;1&lt;/C&gt;&lt;D xsi:type="xsd:double"&gt;6.3219540592912&lt;/D&gt;&lt;D xsi:type="xsd:double"&gt;6.36711938836275&lt;/D&gt;&lt;D xsi:type="xsd:double"&gt;7.10166782446205&lt;/D&gt;&lt;D xsi:type="xsd:double"&gt;8.01436671368109&lt;/D&gt;&lt;D xsi:type="xsd:double"&gt;6.05678795097842&lt;/D&gt;&lt;D xsi:type="xsd:double"&gt;4.61011331653549&lt;/D&gt;&lt;D xsi:type="xsd:double"&gt;7.53350480682024&lt;/D&gt;&lt;D xsi:type="xsd:double"&gt;7.85626935567262&lt;/D&gt;&lt;D xsi:type="xsd:double"&gt;7.24528468547332&lt;/D&gt;&lt;D xsi:type="xsd:double"&gt;8.03763113189248&lt;/D&gt;&lt;D xsi:type="xsd:double"&gt;7.80736408967881&lt;/D&gt;&lt;D xsi:type="xsd:double"&gt;8.63988549144276&lt;/D&gt;&lt;D xsi:type="xsd:double"&gt;8.56785655145268&lt;/D&gt;&lt;D xsi:type="xsd:double"&gt;10.4136052900246&lt;/D&gt;&lt;D xsi:type="xsd:double"&gt;11.6762416161251&lt;/D&gt;&lt;D xsi:type="xsd:double"&gt;10.6136768393955&lt;/D&gt;&lt;D xsi:type="xsd:double"&gt;9.49697320011934&lt;/D&gt;&lt;D xsi:type="xsd:double"&gt;12.0143395043707&lt;/D&gt;&lt;D xsi:type="xsd:double"&gt;11.6136482445672&lt;/D&gt;&lt;D xsi:type="xsd:double"&gt;11.9989210371289&lt;/D&gt;&lt;/FQL&gt;&lt;FQL&gt;&lt;Q&gt;FXI^PERCENT_CHANGE(FMA_EPS(+1,0,,,,"PORTAGG","MEAN"),FMA_EPS(+1,-3AM,,,,"PORTAGG","MEAN"))&lt;/Q&gt;&lt;R&gt;1&lt;/R&gt;&lt;C&gt;1&lt;/C&gt;&lt;D xsi:type="xsd:double"&gt;-6.05093459434881&lt;/D&gt;&lt;/FQL&gt;&lt;FQL&gt;&lt;Q&gt;EWD^P_PRICE(0)/P_PRICE_HIGH_PR(0,,,USD,,,"PRICE","INTRA","52W")&lt;/Q&gt;&lt;R&gt;1&lt;/R&gt;&lt;C&gt;1&lt;/C&gt;&lt;D xsi:type="xsd:double"&gt;0.9990336&lt;/D&gt;&lt;/FQL&gt;&lt;FQL&gt;&lt;Q&gt;EWG^P_PRICE(0)/P_PRICE_HIGH_PR(0,,,USD,,,"PRICE","INTRA","52W")&lt;/Q&gt;&lt;R&gt;1&lt;/R&gt;&lt;C&gt;1&lt;/C&gt;&lt;D xsi:type="xsd:double"&gt;0.99968183&lt;/D&gt;&lt;/FQL&gt;&lt;FQL&gt;&lt;Q&gt;EWU^PERCENT_CHANGE(FMA_EPS(+1,0,,,,"PORTAGG","MEAN"),FMA_EPS(+1,-1AM,,,,"PORTAGG","MEAN"))&lt;/Q&gt;&lt;R&gt;1&lt;/R&gt;&lt;C&gt;1&lt;/C&gt;&lt;D xsi:type="xsd:double"&gt;0.62113315254408&lt;/D&gt;&lt;/FQL&gt;&lt;FQL&gt;&lt;Q&gt;VGK^FMA_COS_DOWN("EPS","1M",+1,0,,,"PORTAGG","MEANR")&lt;/Q&gt;&lt;R&gt;1&lt;/R&gt;&lt;C&gt;1&lt;/C&gt;&lt;D xsi:type="xsd:double"&gt;545&lt;/D&gt;&lt;/FQL&gt;&lt;FQL&gt;&lt;Q&gt;URTH^FG_TOTAL_RETURNC(0,-6AM)&lt;/Q&gt;&lt;R&gt;1&lt;/R&gt;&lt;C&gt;1&lt;/C&gt;&lt;D xsi:type="xsd:double"&gt;15.965498&lt;/D&gt;&lt;/FQL&gt;&lt;FQL&gt;&lt;Q&gt;EWD^PERCENT_CHANGE(FMA_EPS(+1,0,,,,"PORTAGG","MEAN"),FMA_EPS(+1,-1AM,,,,"PORTAGG","MEAN"))&lt;/Q&gt;&lt;R&gt;1&lt;/R&gt;&lt;C&gt;1&lt;/C&gt;&lt;D xsi:type="xsd:double"&gt;2.01318942511114&lt;/D&gt;&lt;/FQL&gt;&lt;FQL&gt;&lt;Q&gt;INDA^FMA_COS_DOWN("EPS","1M",+1,0,,,"PORTAGG","MEANR")&lt;/Q&gt;&lt;R&gt;1&lt;/R&gt;&lt;C&gt;1&lt;/C&gt;&lt;D xsi:type="xsd:double"&gt;50&lt;/D&gt;&lt;/FQL&gt;&lt;FQL&gt;&lt;Q&gt;EWJ^FG_COMPANY_NAME&lt;/Q&gt;&lt;R&gt;1&lt;/R&gt;&lt;C&gt;1&lt;/C&gt;&lt;D xsi:type="xsd:string"&gt;iShares MSCI Japan ETF&lt;/D&gt;&lt;/FQL&gt;&lt;FQL&gt;&lt;Q&gt;URTH^FG_TOTAL_RETURNC(0,-3AM)&lt;/Q&gt;&lt;R&gt;1&lt;/R&gt;&lt;C&gt;1&lt;/C&gt;&lt;D xsi:type="xsd:double"&gt;11.255371&lt;/D&gt;&lt;/FQL&gt;&lt;FQL&gt;&lt;Q&gt;EWG^FG_TOTAL_RETURNC(0,-3AM)&lt;/Q&gt;&lt;R&gt;1&lt;/R&gt;&lt;C&gt;1&lt;/C&gt;&lt;D xsi:type="xsd:double"&gt;7.978153&lt;/D&gt;&lt;/FQL&gt;&lt;FQL&gt;&lt;Q&gt;IWM^PERCENT_CHANGE(FMA_EPS(+1,0,,,,"PORTAGG","MEAN"),FMA_EPS(+1,-3AM,,,,"PORTAGG","MEAN"))&lt;/Q&gt;&lt;R&gt;1&lt;/R&gt;&lt;C&gt;1&lt;/C&gt;&lt;D xsi:type="xsd:double"&gt;-7.6457394810456&lt;/D&gt;&lt;/FQL&gt;&lt;FQL&gt;&lt;Q&gt;EWJ^PERCENT_CHANGE(FMA_EPS(+1,0,,,,"PORTAGG","MEAN"),FMA_EPS(+1,-1AM,,,,"PORTAGG","MEAN"))&lt;/Q&gt;&lt;R&gt;1&lt;/R&gt;&lt;C&gt;1&lt;/C&gt;&lt;D xsi:type="xsd:double"&gt;1.0505327254835&lt;/D&gt;&lt;/FQL&gt;&lt;FQL&gt;&lt;Q&gt;EWL^PERCENT_CHANGE(FMA_EPS(+1,0,,,,"PORTAGG","MEAN"),FMA_EPS(+1,-3AM,,,,"PORTAGG","MEAN"))&lt;/Q&gt;&lt;R&gt;1&lt;/R&gt;&lt;C&gt;1&lt;/C&gt;&lt;D xsi:type="xsd:double"&gt;-4.90193319369726&lt;/D&gt;&lt;/FQL&gt;&lt;FQL&gt;&lt;Q&gt;VGK^P_PRICE(0)/P_PRICE_HIGH_PR(0,,,USD,,,"PRICE","INTRA","52W")&lt;/Q&gt;&lt;R&gt;1&lt;/R&gt;&lt;C&gt;1&lt;/C&gt;&lt;D xsi:type="xsd:double"&gt;1&lt;/D&gt;&lt;/FQL&gt;&lt;FQL&gt;&lt;Q&gt;FC0000IN^FMA_EPS(NTMA,-20AY,0,CY,,"PORTAGG","MEANR")&lt;/Q&gt;&lt;R&gt;20&lt;/R&gt;&lt;C&gt;1&lt;/C&gt;&lt;D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xsi:type="xsd:double"&gt;36.3147882965046&lt;/D&gt;&lt;D xsi:type="xsd:double"&gt;33.7058784937619&lt;/D&gt;&lt;D xsi:type="xsd:double"&gt;47.0200163276941&lt;/D&gt;&lt;D xsi:type="xsd:double"&gt;46.0469770059164&lt;/D&gt;&lt;D xsi:type="xsd:double"&gt;54.6834646415869&lt;/D&gt;&lt;/FQL&gt;&lt;FQL&gt;&lt;Q&gt;DBA^P_PRICE(0,-200D)&lt;/Q&gt;&lt;R&gt;201&lt;/R&gt;&lt;C&gt;1&lt;/C&gt;&lt;D xsi:type="xsd:double"&gt;23&lt;/D&gt;&lt;D xsi:type="xsd:double"&gt;22.74&lt;/D&gt;&lt;D xsi:type="xsd:double"&gt;22.43&lt;/D&gt;&lt;D xsi:type="xsd:double"&gt;22.45&lt;/D&gt;&lt;D xsi:type="xsd:double"&gt;22.35&lt;/D&gt;&lt;D xsi:type="xsd:double"&gt;22.19&lt;/D&gt;&lt;D xsi:type="xsd:double"&gt;22.45&lt;/D&gt;&lt;D xsi:type="xsd:double"&gt;22.2&lt;/D&gt;&lt;D xsi:type="xsd:double"&gt;22.18&lt;/D&gt;&lt;D xsi:type="xsd:double"&gt;22.17&lt;/D&gt;&lt;D xsi:type="xsd:double"&gt;22.44&lt;/D&gt;&lt;D xsi:type="xsd:double"&gt;22.38&lt;/D&gt;&lt;D xsi:type="xsd:double"&gt;22.16&lt;/D&gt;&lt;D xsi:type="xsd:double"&gt;22.09&lt;/D&gt;&lt;D xsi:type="xsd:double"&gt;22.15&lt;/D&gt;&lt;D xsi:type="xsd:double"&gt;22&lt;/D&gt;&lt;D xsi:type="xsd:double"&gt;21.69&lt;/D&gt;&lt;D xsi:type="xsd:double"&gt;21.8&lt;/D&gt;&lt;D xsi:type="xsd:double"&gt;21.89&lt;/D&gt;&lt;D xsi:type="xsd:double"&gt;21.99&lt;/D&gt;&lt;D xsi:type="xsd:double"&gt;22.05&lt;/D&gt;&lt;D xsi:type="xsd:double"&gt;22.14&lt;/D&gt;&lt;D xsi:type="xsd:double"&gt;22.06&lt;/D&gt;&lt;D xsi:type="xsd:double"&gt;21.85&lt;/D&gt;&lt;D xsi:type="xsd:double"&gt;21.77&lt;/D&gt;&lt;D xsi:type="xsd:double"&gt;21.71&lt;/D&gt;&lt;D xsi:type="xsd:double"&gt;21.7&lt;/D&gt;&lt;D xsi:type="xsd:double"&gt;21.69&lt;/D&gt;&lt;D xsi:type="xsd:double"&gt;21.63&lt;/D&gt;&lt;D xsi:type="xsd:double"&gt;21.67&lt;/D&gt;&lt;D xsi:type="xsd:double"&gt;21.35&lt;/D&gt;&lt;D xsi:type="xsd:double"&gt;21.45&lt;/D&gt;&lt;D xsi:type="xsd:double"&gt;21.4&lt;/D&gt;&lt;D xsi:type="xsd:double"&gt;21.5&lt;/D&gt;&lt;D xsi:type="xsd:double"&gt;21.34&lt;/D&gt;&lt;D xsi:type="xsd:double"&gt;21.1&lt;/D&gt;&lt;D xsi:type="xsd:double"&gt;21.01&lt;/D&gt;&lt;D xsi:type="xsd:double"&gt;20.85&lt;/D&gt;&lt;D xsi:type="xsd:double"&gt;20.61&lt;/D&gt;&lt;D xsi:type="xsd:double"&gt;20.76&lt;/D&gt;&lt;D xsi:type="xsd:double"&gt;20.61&lt;/D&gt;&lt;D xsi:type="xsd:double"&gt;20.72&lt;/D&gt;&lt;D xsi:type="xsd:double"&gt;20.61&lt;/D&gt;&lt;D xsi:type="xsd:double"&gt;20.65&lt;/D&gt;&lt;D xsi:type="xsd:double"&gt;20.51&lt;/D&gt;&lt;D xsi:type="xsd:double"&gt;20.58&lt;/D&gt;&lt;D xsi:type="xsd:double"&gt;20.72&lt;/D&gt;&lt;D xsi:type="xsd:double"&gt;20.59&lt;/D&gt;&lt;D xsi:type="xsd:double"&gt;20.69&lt;/D&gt;&lt;D xsi:type="xsd:double"&gt;20.74&lt;/D&gt;&lt;D xsi:type="xsd:double"&gt;21.05&lt;/D&gt;&lt;D xsi:type="xsd:double"&gt;21&lt;/D&gt;&lt;D xsi:type="xsd:double"&gt;20.98&lt;/D&gt;&lt;D xsi:type="xsd:double"&gt;20.89&lt;/D&gt;&lt;D xsi:type="xsd:double"&gt;20.79&lt;/D&gt;&lt;D xsi:type="xsd:double"&gt;20.82&lt;/D&gt;&lt;D xsi:type="xsd:double"&gt;21.07&lt;/D&gt;&lt;D xsi:type="xsd:double"&gt;21.02&lt;/D&gt;&lt;D xsi:type="xsd:double"&gt;21.96&lt;/D&gt;&lt;D xsi:type="xsd:double"&gt;21.9&lt;/D&gt;&lt;D xsi:type="xsd:double"&gt;21.72&lt;/D&gt;&lt;D xsi:type="xsd:double"&gt;21.85&lt;/D&gt;&lt;D xsi:type="xsd:double"&gt;21.71&lt;/D&gt;&lt;D xsi:type="xsd:double"&gt;21.82&lt;/D&gt;&lt;D xsi:type="xsd:double"&gt;21.68&lt;/D&gt;&lt;D xsi:type="xsd:double"&gt;21.55&lt;/D&gt;&lt;D xsi:type="xsd:double"&gt;22.01&lt;/D&gt;&lt;D xsi:type="xsd:double"&gt;21.98&lt;/D&gt;&lt;D xsi:type="xsd:double"&gt;22.02&lt;/D&gt;&lt;D xsi:type="xsd:double"&gt;22.28&lt;/D&gt;&lt;D xsi:type="xsd:double"&gt;22.08&lt;/D&gt;&lt;D xsi:type="xsd:double"&gt;21.94&lt;/D&gt;&lt;D xsi:type="xsd:double"&gt;21.59&lt;/D&gt;&lt;D xsi:type="xsd:double"&gt;21.74&lt;/D&gt;&lt;D xsi:type="xsd:double"&gt;22.07&lt;/D&gt;&lt;D xsi:type="xsd:double"&gt;22.18&lt;/D&gt;&lt;D xsi:type="xsd:double"&gt;22.14&lt;/D&gt;&lt;D xsi:type="xsd:double"&gt;22.08&lt;/D&gt;&lt;D xsi:type="xsd:double"&gt;22.12&lt;/D&gt;&lt;D xsi:type="xsd:double"&gt;22.29&lt;/D&gt;&lt;D xsi:type="xsd:double"&gt;22.25&lt;/D&gt;&lt;D xsi:type="xsd:double"&gt;22.36&lt;/D&gt;&lt;D xsi:type="xsd:double"&gt;22.04&lt;/D&gt;&lt;D xsi:type="xsd:double"&gt;22.13&lt;/D&gt;&lt;D xsi:type="xsd:double"&gt;22.26&lt;/D&gt;&lt;D xsi:type="xsd:double"&gt;22.16&lt;/D&gt;&lt;D xsi:type="xsd:double"&gt;22.46&lt;/D&gt;&lt;D xsi:type="xsd:double"&gt;22.4&lt;/D&gt;&lt;D xsi:type="xsd:double"&gt;22.24&lt;/D&gt;&lt;D xsi:type="xsd:double"&gt;21.98&lt;/D&gt;&lt;D xsi:type="xsd:double"&gt;22.01&lt;/D&gt;&lt;D xsi:type="xsd:double"&gt;21.9&lt;/D&gt;&lt;D xsi:type="xsd:double"&gt;22.05&lt;/D&gt;&lt;D xsi:type="xsd:double"&gt;21.85&lt;/D&gt;&lt;D xsi:type="xsd:double"&gt;21.81&lt;/D&gt;&lt;D xsi:type="xsd:double"&gt;21.91&lt;/D&gt;&lt;D xsi:type="xsd:double"&gt;21.93&lt;/D&gt;&lt;D xsi:type="xsd:double"&gt;21.92&lt;/D&gt;&lt;D xsi:type="xsd:double"&gt;21.97&lt;/D&gt;&lt;D xsi:type="xsd:double"&gt;21.92&lt;/D&gt;&lt;D xsi:type="xsd:double"&gt;21.86&lt;/D&gt;&lt;D xsi:type="xsd:double"&gt;21.73&lt;/D&gt;&lt;D xsi:type="xsd:double"&gt;21.71&lt;/D&gt;&lt;D xsi:type="xsd:double"&gt;21.61&lt;/D&gt;&lt;D xsi:type="xsd:double"&gt;21.41&lt;/D&gt;&lt;D xsi:type="xsd:double"&gt;21.55&lt;/D&gt;&lt;D xsi:type="xsd:double"&gt;21.57&lt;/D&gt;&lt;D xsi:type="xsd:double"&gt;21.58&lt;/D&gt;&lt;D xsi:type="xsd:double"&gt;21.44&lt;/D&gt;&lt;D xsi:type="xsd:double"&gt;21.32&lt;/D&gt;&lt;D xsi:type="xsd:double"&gt;21.37&lt;/D&gt;&lt;D xsi:type="xsd:double"&gt;21.58&lt;/D&gt;&lt;D xsi:type="xsd:double"&gt;21.41&lt;/D&gt;&lt;D xsi:type="xsd:double"&gt;21.8&lt;/D&gt;&lt;D xsi:type="xsd:double"&gt;21.61&lt;/D&gt;&lt;D xsi:type="xsd:double"&gt;21.67&lt;/D&gt;&lt;D xsi:type="xsd:double"&gt;21.75&lt;/D&gt;&lt;D xsi:type="xsd:double"&gt;21.86&lt;/D&gt;&lt;D xsi:type="xsd:double"&gt;21.9&lt;/D&gt;&lt;D xsi:type="xsd:double"&gt;22.21&lt;/D&gt;&lt;D xsi:type="xsd:double"&gt;22.27&lt;/D&gt;&lt;D xsi:type="xsd:double"&gt;22.18&lt;/D&gt;&lt;D xsi:type="xsd:double"&gt;22.34&lt;/D&gt;&lt;D xsi:type="xsd:double"&gt;22.21&lt;/D&gt;&lt;D xsi:type="xsd:double"&gt;22.11&lt;/D&gt;&lt;D xsi:type="xsd:double"&gt;22.04&lt;/D&gt;&lt;D xsi:type="xsd:double"&gt;22.01&lt;/D&gt;&lt;D xsi:type="xsd:double"&gt;21.85&lt;/D&gt;&lt;D xsi:type="xsd:double"&gt;21.9&lt;/D&gt;&lt;D xsi:type="xsd:double"&gt;21.94&lt;/D&gt;&lt;D xsi:type="xsd:double"&gt;21.92&lt;/D&gt;&lt;D xsi:type="xsd:double"&gt;21.78&lt;/D&gt;&lt;D xsi:type="xsd:double"&gt;21.74&lt;/D&gt;&lt;D xsi:type="xsd:double"&gt;21.85&lt;/D&gt;&lt;D xsi:type="xsd:double"&gt;21.8&lt;/D&gt;&lt;D xsi:type="xsd:double"&gt;21.83&lt;/D&gt;&lt;D xsi:type="xsd:double"&gt;21.62&lt;/D&gt;&lt;D xsi:type="xsd:double"&gt;21.56&lt;/D&gt;&lt;D xsi:type="xsd:double"&gt;21.38&lt;/D&gt;&lt;D xsi:type="xsd:double"&gt;21.16&lt;/D&gt;&lt;D xsi:type="xsd:double"&gt;21.29&lt;/D&gt;&lt;D xsi:type="xsd:double"&gt;21.35&lt;/D&gt;&lt;D xsi:type="xsd:double"&gt;21.18&lt;/D&gt;&lt;D xsi:type="xsd:double"&gt;21.19&lt;/D&gt;&lt;D xsi:type="xsd:double"&gt;21.08&lt;/D&gt;&lt;D xsi:type="xsd:double"&gt;21.25&lt;/D&gt;&lt;D xsi:type="xsd:double"&gt;21.41&lt;/D&gt;&lt;D xsi:type="xsd:double"&gt;21.41&lt;/D&gt;&lt;D xsi:type="xsd:double"&gt;21.39&lt;/D&gt;&lt;D xsi:type="xsd:double"&gt;21.43&lt;/D&gt;&lt;D xsi:type="xsd:double"&gt;21.59&lt;/D&gt;&lt;D xsi:type="xsd:double"&gt;21.64&lt;/D&gt;&lt;D xsi:type="xsd:double"&gt;21.62&lt;/D&gt;&lt;D xsi:type="xsd:double"&gt;21.79&lt;/D&gt;&lt;D xsi:type="xsd:double"&gt;21.96&lt;/D&gt;&lt;D xsi:type="xsd:double"&gt;21.93&lt;/D&gt;&lt;D xsi:type="xsd:double"&gt;21.99&lt;/D&gt;&lt;D xsi:type="xsd:double"&gt;22.11&lt;/D&gt;&lt;D xsi:type="xsd:double"&gt;22.31&lt;/D&gt;&lt;D xsi:type="xsd:double"&gt;22.36&lt;/D&gt;&lt;D xsi:type="xsd:double"&gt;22.35&lt;/D&gt;&lt;D xsi:type="xsd:double"&gt;22.01&lt;/D&gt;&lt;D xsi:type="xsd:double"&gt;22.05&lt;/D&gt;&lt;D xsi:type="xsd:double"&gt;22&lt;/D&gt;&lt;D xsi:type="xsd:double"&gt;21.74&lt;/D&gt;&lt;D xsi:type="xsd:double"&gt;21.44&lt;/D&gt;&lt;D xsi:type="xsd:double"&gt;21.59&lt;/D&gt;&lt;D xsi:type="xsd:double"&gt;21.35&lt;/D&gt;&lt;D xsi:type="xsd:double"&gt;21.21&lt;/D&gt;&lt;D xsi:type="xsd:double"&gt;21.39&lt;/D&gt;&lt;D xsi:type="xsd:double"&gt;21.18&lt;/D&gt;&lt;D xsi:type="xsd:double"&gt;21.16&lt;/D&gt;&lt;D xsi:type="xsd:double"&gt;21.22&lt;/D&gt;&lt;D xsi:type="xsd:double"&gt;21.24&lt;/D&gt;&lt;D xsi:type="xsd:double"&gt;21.31&lt;/D&gt;&lt;D xsi:type="xsd:double"&gt;21.07&lt;/D&gt;&lt;D xsi:type="xsd:double"&gt;20.93&lt;/D&gt;&lt;D xsi:type="xsd:double"&gt;21.05&lt;/D&gt;&lt;D xsi:type="xsd:double"&gt;21.29&lt;/D&gt;&lt;D xsi:type="xsd:double"&gt;21.51&lt;/D&gt;&lt;D xsi:type="xsd:double"&gt;21.53&lt;/D&gt;&lt;D xsi:type="xsd:double"&gt;21.95&lt;/D&gt;&lt;D xsi:type="xsd:double"&gt;22.13&lt;/D&gt;&lt;D xsi:type="xsd:double"&gt;21.9&lt;/D&gt;&lt;D xsi:type="xsd:double"&gt;21.99&lt;/D&gt;&lt;D xsi:type="xsd:double"&gt;21.7&lt;/D&gt;&lt;D xsi:type="xsd:double"&gt;21.33&lt;/D&gt;&lt;D xsi:type="xsd:double"&gt;21.3&lt;/D&gt;&lt;D xsi:type="xsd:double"&gt;21.24&lt;/D&gt;&lt;D xsi:type="xsd:double"&gt;21.19&lt;/D&gt;&lt;D xsi:type="xsd:double"&gt;21.24&lt;/D&gt;&lt;D xsi:type="xsd:double"&gt;20.89&lt;/D&gt;&lt;D xsi:type="xsd:double"&gt;21.02&lt;/D&gt;&lt;D xsi:type="xsd:double"&gt;20.85&lt;/D&gt;&lt;D xsi:type="xsd:double"&gt;20.88&lt;/D&gt;&lt;D xsi:type="xsd:double"&gt;20.76&lt;/D&gt;&lt;D xsi:type="xsd:double"&gt;20.46&lt;/D&gt;&lt;D xsi:type="xsd:double"&gt;20.44&lt;/D&gt;&lt;D xsi:type="xsd:double"&gt;20.57&lt;/D&gt;&lt;D xsi:type="xsd:double"&gt;20.4&lt;/D&gt;&lt;D xsi:type="xsd:double"&gt;20.63&lt;/D&gt;&lt;/FQL&gt;&lt;FQL&gt;&lt;Q&gt;URTH^P_PRICE(0)/P_PRICE_HIGH_PR(0,,,USD,,,"PRICE","INTRA","52W")&lt;/Q&gt;&lt;R&gt;1&lt;/R&gt;&lt;C&gt;1&lt;/C&gt;&lt;D xsi:type="xsd:double"&gt;0.9968665&lt;/D&gt;&lt;/FQL&gt;&lt;FQL&gt;&lt;Q&gt;EWD^PERCENT_CHANGE(FMA_EPS(+1,0,,,,"PORTAGG","MEAN"),FMA_EPS(+1,-3AM,,,,"PORTAGG","MEAN"))&lt;/Q&gt;&lt;R&gt;1&lt;/R&gt;&lt;C&gt;1&lt;/C&gt;&lt;D xsi:type="xsd:double"&gt;-3.23566563437483&lt;/D&gt;&lt;/FQL&gt;&lt;FQL&gt;&lt;Q&gt;EWA^FMA_PCT_ABOVE_MAVG(200,0,,,,"PORTAGG")&lt;/Q&gt;&lt;R&gt;1&lt;/R&gt;&lt;C&gt;1&lt;/C&gt;&lt;D xsi:type="xsd:double"&gt;74.5762711864407&lt;/D&gt;&lt;/FQL&gt;&lt;FQL&gt;&lt;Q&gt;EWC^SIZE(FG_CONSTITUENTS)&lt;/Q&gt;&lt;R&gt;1&lt;/R&gt;&lt;C&gt;1&lt;/C&gt;&lt;D xsi:type="xsd:long"&gt;88&lt;/D&gt;&lt;/FQL&gt;&lt;FQL&gt;&lt;Q&gt;SPY^FMA_EPS(NTMA,-20AY,0,CY,,"PORTAGG","MEANR")&lt;/Q&gt;&lt;R&gt;20&lt;/R&gt;&lt;C&gt;1&lt;/C&gt;&lt;D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xsi:type="xsd:double"&gt;17.7294354291135&lt;/D&gt;&lt;D xsi:type="xsd:double"&gt;16.6617703355475&lt;/D&gt;&lt;D xsi:type="xsd:double"&gt;22.2767073894672&lt;/D&gt;&lt;D xsi:type="xsd:double"&gt;22.9690023603335&lt;/D&gt;&lt;D xsi:type="xsd:double"&gt;24.3477044403499&lt;/D&gt;&lt;/FQL&gt;&lt;FQL&gt;&lt;Q&gt;EWD^FG_TOTAL_RETURNC(0,-6AM)&lt;/Q&gt;&lt;R&gt;1&lt;/R&gt;&lt;C&gt;1&lt;/C&gt;&lt;D xsi:type="xsd:double"&gt;29.29846&lt;/D&gt;&lt;/FQL&gt;&lt;FQL&gt;&lt;Q&gt;EWU^FMA_PCT_ABOVE_MAVG(200,0,,,,"PORTAGG")&lt;/Q&gt;&lt;R&gt;1&lt;/R&gt;&lt;C&gt;1&lt;/C&gt;&lt;D xsi:type="xsd:double"&gt;55.952380952381&lt;/D&gt;&lt;/FQL&gt;&lt;FQL&gt;&lt;Q&gt;VGK^FMA_COS_UP("EPS","1M",+1,0,,,"PORTAGG","MEANR")&lt;/Q&gt;&lt;R&gt;1&lt;/R&gt;&lt;C&gt;1&lt;/C&gt;&lt;D xsi:type="xsd:double"&gt;431&lt;/D&gt;&lt;/FQL&gt;&lt;FQL&gt;&lt;Q&gt;SPY^FG_TOTAL_RETURNC(0,-1AM)&lt;/Q&gt;&lt;R&gt;1&lt;/R&gt;&lt;C&gt;1&lt;/C&gt;&lt;D xsi:type="xsd:double"&gt;3.1538248&lt;/D&gt;&lt;/FQL&gt;&lt;FQL&gt;&lt;Q&gt;SPY^JULIAN(FMA_EPS(NTMA,-20AY,0,CY,,"PORTAGG","MEANR").DATES)&lt;/Q&gt;&lt;R&gt;20&lt;/R&gt;&lt;C&gt;1&lt;/C&gt;&lt;D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xsi:type="xsd:long"&gt;45289&lt;/D&gt;&lt;/FQL&gt;&lt;FQL&gt;&lt;Q&gt;EWI^SIZE(FG_CONSTITUENTS)&lt;/Q&gt;&lt;R&gt;1&lt;/R&gt;&lt;C&gt;1&lt;/C&gt;&lt;D xsi:type="xsd:long"&gt;26&lt;/D&gt;&lt;/FQL&gt;&lt;FQL&gt;&lt;Q&gt;QQQ^P_PRICE(0,-200D)&lt;/Q&gt;&lt;R&gt;201&lt;/R&gt;&lt;C&gt;1&lt;/C&gt;&lt;D xsi:type="xsd:double"&gt;443.66&lt;/D&gt;&lt;D xsi:type="xsd:double"&gt;437.39&lt;/D&gt;&lt;D xsi:type="xsd:double"&gt;439.02&lt;/D&gt;&lt;D xsi:type="xsd:double"&gt;445.45&lt;/D&gt;&lt;D xsi:type="xsd:double"&gt;438.79&lt;/D&gt;&lt;D xsi:type="xsd:double"&gt;436.05&lt;/D&gt;&lt;D xsi:type="xsd:double"&gt;444.02&lt;/D&gt;&lt;D xsi:type="xsd:double"&gt;445.61&lt;/D&gt;&lt;D xsi:type="xsd:double"&gt;439&lt;/D&gt;&lt;D xsi:type="xsd:double"&gt;435.27&lt;/D&gt;&lt;D xsi:type="xsd:double"&gt;437.6&lt;/D&gt;&lt;D xsi:type="xsd:double"&gt;436.55&lt;/D&gt;&lt;D xsi:type="xsd:double"&gt;436.78&lt;/D&gt;&lt;D xsi:type="xsd:double"&gt;438.07&lt;/D&gt;&lt;D xsi:type="xsd:double"&gt;425.61&lt;/D&gt;&lt;D xsi:type="xsd:double"&gt;427.32&lt;/D&gt;&lt;D xsi:type="xsd:double"&gt;430.57&lt;/D&gt;&lt;D xsi:type="xsd:double"&gt;434.51&lt;/D&gt;&lt;D xsi:type="xsd:double"&gt;433.22&lt;/D&gt;&lt;D xsi:type="xsd:double"&gt;428.55&lt;/D&gt;&lt;D xsi:type="xsd:double"&gt;435.34&lt;/D&gt;&lt;D xsi:type="xsd:double"&gt;437.05&lt;/D&gt;&lt;D xsi:type="xsd:double"&gt;432.79&lt;/D&gt;&lt;D xsi:type="xsd:double"&gt;431.99&lt;/D&gt;&lt;D xsi:type="xsd:double"&gt;427.59&lt;/D&gt;&lt;D xsi:type="xsd:double"&gt;428.45&lt;/D&gt;&lt;D xsi:type="xsd:double"&gt;429.01&lt;/D&gt;&lt;D xsi:type="xsd:double"&gt;421.88&lt;/D&gt;&lt;D xsi:type="xsd:double"&gt;416.97&lt;/D&gt;&lt;D xsi:type="xsd:double"&gt;425.3&lt;/D&gt;&lt;D xsi:type="xsd:double"&gt;428.15&lt;/D&gt;&lt;D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xsi:type="xsd:double"&gt;407.77&lt;/D&gt;&lt;D xsi:type="xsd:double"&gt;403.08&lt;/D&gt;&lt;D xsi:type="xsd:double"&gt;409.16&lt;/D&gt;&lt;D xsi:type="xsd:double"&gt;407.08&lt;/D&gt;&lt;D xsi:type="xsd:double"&gt;405.34&lt;/D&gt;&lt;D xsi:type="xsd:double"&gt;403.39&lt;/D&gt;&lt;D xsi:type="xsd:double"&gt;403.74&lt;/D&gt;&lt;D xsi:type="xsd:double"&gt;398.67&lt;/D&gt;&lt;D xsi:type="xsd:double"&gt;395.52&lt;/D&gt;&lt;D xsi:type="xsd:double"&gt;392.17&lt;/D&gt;&lt;D xsi:type="xsd:double"&gt;390.43&lt;/D&gt;&lt;D xsi:type="xsd:double"&gt;385.05&lt;/D&gt;&lt;D xsi:type="xsd:double"&gt;387.29&lt;/D&gt;&lt;D xsi:type="xsd:double"&gt;386.32&lt;/D&gt;&lt;D xsi:type="xsd:double"&gt;389.94&lt;/D&gt;&lt;D xsi:type="xsd:double"&gt;388.83&lt;/D&gt;&lt;D xsi:type="xsd:double"&gt;389.81&lt;/D&gt;&lt;D xsi:type="xsd:double"&gt;390.19&lt;/D&gt;&lt;D xsi:type="xsd:double"&gt;389.17&lt;/D&gt;&lt;D xsi:type="xsd:double"&gt;389.51&lt;/D&gt;&lt;D xsi:type="xsd:double"&gt;390.06&lt;/D&gt;&lt;D xsi:type="xsd:double"&gt;388.47&lt;/D&gt;&lt;D xsi:type="xsd:double"&gt;390.74&lt;/D&gt;&lt;D xsi:type="xsd:double"&gt;386.04&lt;/D&gt;&lt;D xsi:type="xsd:double"&gt;385.95&lt;/D&gt;&lt;D xsi:type="xsd:double"&gt;385.62&lt;/D&gt;&lt;D xsi:type="xsd:double"&gt;385.33&lt;/D&gt;&lt;D xsi:type="xsd:double"&gt;377.21&lt;/D&gt;&lt;D xsi:type="xsd:double"&gt;378.39&lt;/D&gt;&lt;D xsi:type="xsd:double"&gt;370.07&lt;/D&gt;&lt;D xsi:type="xsd:double"&gt;372.94&lt;/D&gt;&lt;D xsi:type="xsd:double"&gt;372.7&lt;/D&gt;&lt;D xsi:type="xsd:double"&gt;369.21&lt;/D&gt;&lt;D xsi:type="xsd:double"&gt;367.71&lt;/D&gt;&lt;D xsi:type="xsd:double"&gt;363.44&lt;/D&gt;&lt;D xsi:type="xsd:double"&gt;356.96&lt;/D&gt;&lt;D xsi:type="xsd:double"&gt;350.87&lt;/D&gt;&lt;D xsi:type="xsd:double"&gt;349.2&lt;/D&gt;&lt;D xsi:type="xsd:double"&gt;345.31&lt;/D&gt;&lt;D xsi:type="xsd:double"&gt;343.66&lt;/D&gt;&lt;D xsi:type="xsd:double"&gt;350.34&lt;/D&gt;&lt;D xsi:type="xsd:double"&gt;359.13&lt;/D&gt;&lt;D xsi:type="xsd:double"&gt;355.67&lt;/D&gt;&lt;D xsi:type="xsd:double"&gt;354.6&lt;/D&gt;&lt;D xsi:type="xsd:double"&gt;359.97&lt;/D&gt;&lt;D xsi:type="xsd:double"&gt;363.37&lt;/D&gt;&lt;D xsi:type="xsd:double"&gt;368.2&lt;/D&gt;&lt;D xsi:type="xsd:double"&gt;369.41&lt;/D&gt;&lt;D xsi:type="xsd:double"&gt;365.28&lt;/D&gt;&lt;D xsi:type="xsd:double"&gt;369.93&lt;/D&gt;&lt;D xsi:type="xsd:double"&gt;371.22&lt;/D&gt;&lt;D xsi:type="xsd:double"&gt;368.59&lt;/D&gt;&lt;D xsi:type="xsd:double"&gt;366.56&lt;/D&gt;&lt;D xsi:type="xsd:double"&gt;364.7&lt;/D&gt;&lt;D xsi:type="xsd:double"&gt;358.69&lt;/D&gt;&lt;D xsi:type="xsd:double"&gt;359.75&lt;/D&gt;&lt;D xsi:type="xsd:double"&gt;354.92&lt;/D&gt;&lt;D xsi:type="xsd:double"&gt;361.26&lt;/D&gt;&lt;D xsi:type="xsd:double"&gt;358.27&lt;/D&gt;&lt;D xsi:type="xsd:double"&gt;358.01&lt;/D&gt;&lt;D xsi:type="xsd:double"&gt;355.04&lt;/D&gt;&lt;D xsi:type="xsd:double"&gt;354.21&lt;/D&gt;&lt;D xsi:type="xsd:double"&gt;359.61&lt;/D&gt;&lt;D xsi:type="xsd:double"&gt;357.91&lt;/D&gt;&lt;D xsi:type="xsd:double"&gt;357.86&lt;/D&gt;&lt;D xsi:type="xsd:double"&gt;364.54&lt;/D&gt;&lt;D xsi:type="xsd:double"&gt;369.87&lt;/D&gt;&lt;D xsi:type="xsd:double"&gt;370.66&lt;/D&gt;&lt;D xsi:type="xsd:double"&gt;370.81&lt;/D&gt;&lt;D xsi:type="xsd:double"&gt;377.27&lt;/D&gt;&lt;D xsi:type="xsd:double"&gt;374.21&lt;/D&gt;&lt;D xsi:type="xsd:double"&gt;372.79&lt;/D&gt;&lt;D xsi:type="xsd:double"&gt;376.97&lt;/D&gt;&lt;D xsi:type="xsd:double"&gt;372.58&lt;/D&gt;&lt;D xsi:type="xsd:double"&gt;372.06&lt;/D&gt;&lt;D xsi:type="xsd:double"&gt;374.74&lt;/D&gt;&lt;D xsi:type="xsd:double"&gt;378.07&lt;/D&gt;&lt;D xsi:type="xsd:double"&gt;377.59&lt;/D&gt;&lt;D xsi:type="xsd:double"&gt;377.99&lt;/D&gt;&lt;D xsi:type="xsd:double"&gt;376.86&lt;/D&gt;&lt;D xsi:type="xsd:double"&gt;374.77&lt;/D&gt;&lt;D xsi:type="xsd:double"&gt;366.76&lt;/D&gt;&lt;D xsi:type="xsd:double"&gt;364.02&lt;/D&gt;&lt;D xsi:type="xsd:double"&gt;361.22&lt;/D&gt;&lt;D xsi:type="xsd:double"&gt;369.11&lt;/D&gt;&lt;D xsi:type="xsd:double"&gt;363.38&lt;/D&gt;&lt;D xsi:type="xsd:double"&gt;363.9&lt;/D&gt;&lt;D xsi:type="xsd:double"&gt;358.13&lt;/D&gt;&lt;D xsi:type="xsd:double"&gt;358.58&lt;/D&gt;&lt;D xsi:type="xsd:double"&gt;362.54&lt;/D&gt;&lt;D xsi:type="xsd:double"&gt;366.42&lt;/D&gt;&lt;D xsi:type="xsd:double"&gt;370.35&lt;/D&gt;&lt;D xsi:type="xsd:double"&gt;366.24&lt;/D&gt;&lt;D xsi:type="xsd:double"&gt;368.59&lt;/D&gt;&lt;D xsi:type="xsd:double"&gt;367.91&lt;/D&gt;&lt;D xsi:type="xsd:double"&gt;372&lt;/D&gt;&lt;D xsi:type="xsd:double"&gt;375.19&lt;/D&gt;&lt;D xsi:type="xsd:double"&gt;372.04&lt;/D&gt;&lt;D xsi:type="xsd:double"&gt;373.79&lt;/D&gt;&lt;D xsi:type="xsd:double"&gt;374.39&lt;/D&gt;&lt;D xsi:type="xsd:double"&gt;382.79&lt;/D&gt;&lt;D xsi:type="xsd:double"&gt;383.68&lt;/D&gt;&lt;D xsi:type="xsd:double"&gt;383.48&lt;/D&gt;&lt;D xsi:type="xsd:double"&gt;376.62&lt;/D&gt;&lt;D xsi:type="xsd:double"&gt;377.52&lt;/D&gt;&lt;D xsi:type="xsd:double"&gt;378.78&lt;/D&gt;&lt;D xsi:type="xsd:double"&gt;376.23&lt;/D&gt;&lt;D xsi:type="xsd:double"&gt;375.63&lt;/D&gt;&lt;D xsi:type="xsd:double"&gt;376.76&lt;/D&gt;&lt;D xsi:type="xsd:double"&gt;385.65&lt;/D&gt;&lt;D xsi:type="xsd:double"&gt;385.74&lt;/D&gt;&lt;D xsi:type="xsd:double"&gt;382.61&lt;/D&gt;&lt;D xsi:type="xsd:double"&gt;379.07&lt;/D&gt;&lt;D xsi:type="xsd:double"&gt;379.15&lt;/D&gt;&lt;D xsi:type="xsd:double"&gt;372.82&lt;/D&gt;&lt;D xsi:type="xsd:double"&gt;368.17&lt;/D&gt;&lt;D xsi:type="xsd:double"&gt;366.36&lt;/D&gt;&lt;D xsi:type="xsd:double"&gt;366.24&lt;/D&gt;&lt;D xsi:type="xsd:double"&gt;367.46&lt;/D&gt;&lt;D xsi:type="xsd:double"&gt;370.28&lt;/D&gt;&lt;D xsi:type="xsd:double"&gt;370.29&lt;/D&gt;&lt;D xsi:type="xsd:double"&gt;369.42&lt;/D&gt;&lt;D xsi:type="xsd:double"&gt;363.81&lt;/D&gt;&lt;D xsi:type="xsd:double"&gt;364.54&lt;/D&gt;&lt;D xsi:type="xsd:double"&gt;363.83&lt;/D&gt;&lt;D xsi:type="xsd:double"&gt;357.68&lt;/D&gt;&lt;D xsi:type="xsd:double"&gt;362.54&lt;/D&gt;&lt;D xsi:type="xsd:double"&gt;366.17&lt;/D&gt;&lt;D xsi:type="xsd:double"&gt;361.9&lt;/D&gt;&lt;D xsi:type="xsd:double"&gt;366.9&lt;/D&gt;&lt;D xsi:type="xsd:double"&gt;367.93&lt;/D&gt;&lt;D xsi:type="xsd:double"&gt;370.26&lt;/D&gt;&lt;D xsi:type="xsd:double"&gt;365.9&lt;/D&gt;&lt;D xsi:type="xsd:double"&gt;363.26&lt;/D&gt;&lt;D xsi:type="xsd:double"&gt;360.49&lt;/D&gt;&lt;D xsi:type="xsd:double"&gt;354.5&lt;/D&gt;&lt;D xsi:type="xsd:double"&gt;353.15&lt;/D&gt;&lt;D xsi:type="xsd:double"&gt;348.82&lt;/D&gt;&lt;D xsi:type="xsd:double"&gt;354.84&lt;/D&gt;&lt;D xsi:type="xsd:double"&gt;354.9&lt;/D&gt;&lt;D xsi:type="xsd:double"&gt;354.65&lt;/D&gt;&lt;D xsi:type="xsd:double"&gt;352.01&lt;/D&gt;&lt;D xsi:type="xsd:double"&gt;347.99&lt;/D&gt;&lt;D xsi:type="xsd:double"&gt;349.98&lt;/D&gt;&lt;D xsi:type="xsd:double"&gt;348.4&lt;/D&gt;&lt;D xsi:type="xsd:double"&gt;339.72&lt;/D&gt;&lt;D xsi:type="xsd:double"&gt;331.65&lt;/D&gt;&lt;/FQL&gt;&lt;FQL&gt;&lt;Q&gt;QQQ^FG_TOTAL_RETURNC(0,-6AM)&lt;/Q&gt;&lt;R&gt;1&lt;/R&gt;&lt;C&gt;1&lt;/C&gt;&lt;D xsi:type="xsd:double"&gt;19.481922&lt;/D&gt;&lt;/FQL&gt;&lt;FQL&gt;&lt;Q&gt;EWI^FG_TOTAL_RETURNC(0,-6AM)&lt;/Q&gt;&lt;R&gt;1&lt;/R&gt;&lt;C&gt;1&lt;/C&gt;&lt;D xsi:type="xsd:double"&gt;19.135094&lt;/D&gt;&lt;/FQL&gt;&lt;FQL&gt;&lt;Q&gt;ENZL^FG_TOTAL_RETURNC(0,-6AM)&lt;/Q&gt;&lt;R&gt;1&lt;/R&gt;&lt;C&gt;1&lt;/C&gt;&lt;D xsi:type="xsd:double"&gt;6.3952804&lt;/D&gt;&lt;/FQL&gt;&lt;FQL&gt;&lt;Q&gt;INDA^FMA_PCT_ABOVE_MAVG(200,0,,,,"PORTAGG")&lt;/Q&gt;&lt;R&gt;1&lt;/R&gt;&lt;C&gt;1&lt;/C&gt;&lt;D xsi:type="xsd:double"&gt;78.6764705882353&lt;/D&gt;&lt;/FQL&gt;&lt;FQL&gt;&lt;Q&gt;EWI^PERCENT_CHANGE(FMA_EPS(+1,0,,,,"PORTAGG","MEAN"),FMA_EPS(+1,-3AM,,,,"PORTAGG","MEAN"))&lt;/Q&gt;&lt;R&gt;1&lt;/R&gt;&lt;C&gt;1&lt;/C&gt;&lt;D xsi:type="xsd:double"&gt;1.33211370926352&lt;/D&gt;&lt;/FQL&gt;&lt;FQL&gt;&lt;Q&gt;QQQ^PERCENT_CHANGE(FMA_EPS(+1,0,,,,"PORTAGG","MEAN"),FMA_EPS(+1,-1AM,,,,"PORTAGG","MEAN"))&lt;/Q&gt;&lt;R&gt;1&lt;/R&gt;&lt;C&gt;1&lt;/C&gt;&lt;D xsi:type="xsd:double"&gt;0.412789313003724&lt;/D&gt;&lt;/FQL&gt;&lt;FQL&gt;&lt;Q&gt;EWC^FMA_PCT_ABOVE_MAVG(200,0,,,,"PORTAGG")&lt;/Q&gt;&lt;R&gt;1&lt;/R&gt;&lt;C&gt;1&lt;/C&gt;&lt;D xsi:type="xsd:double"&gt;69.3181818181818&lt;/D&gt;&lt;/FQL&gt;&lt;FQL&gt;&lt;Q&gt;EMXC^SIZE(FG_CONSTITUENTS)&lt;/Q&gt;&lt;R&gt;1&lt;/R&gt;&lt;C&gt;1&lt;/C&gt;&lt;D xsi:type="xsd:long"&gt;698&lt;/D&gt;&lt;/FQL&gt;&lt;FQL&gt;&lt;Q&gt;VWO^FMA_COS_DOWN("EPS","1M",+1,0,,,"PORTAGG","MEANR")&lt;/Q&gt;&lt;R&gt;1&lt;/R&gt;&lt;C&gt;1&lt;/C&gt;&lt;D xsi:type="xsd:double"&gt;1197&lt;/D&gt;&lt;/FQL&gt;&lt;FQL&gt;&lt;Q&gt;EWQ^FMA_COS_UP("EPS","1M",+1,0,,,"PORTAGG","MEANR")&lt;/Q&gt;&lt;R&gt;1&lt;/R&gt;&lt;C&gt;1&lt;/C&gt;&lt;D xsi:type="xsd:double"&gt;25&lt;/D&gt;&lt;/FQL&gt;&lt;FQL&gt;&lt;Q&gt;EWG^SIZE(FG_CONSTITUENTS)&lt;/Q&gt;&lt;R&gt;1&lt;/R&gt;&lt;C&gt;1&lt;/C&gt;&lt;D xsi:type="xsd:long"&gt;57&lt;/D&gt;&lt;/FQL&gt;&lt;FQL&gt;&lt;Q&gt;SPY^FG_COMPANY_NAME&lt;/Q&gt;&lt;R&gt;1&lt;/R&gt;&lt;C&gt;1&lt;/C&gt;&lt;D xsi:type="xsd:string"&gt;SPDR S&amp;amp;P 500 ETF Trust&lt;/D&gt;&lt;/FQL&gt;&lt;FQL&gt;&lt;Q&gt;EWJ^FG_TOTAL_RETURNC(0,-1AM)&lt;/Q&gt;&lt;R&gt;1&lt;/R&gt;&lt;C&gt;1&lt;/C&gt;&lt;D xsi:type="xsd:double"&gt;4.494548&lt;/D&gt;&lt;/FQL&gt;&lt;FQL&gt;&lt;Q&gt;USO^FG_TOTAL_RETURNC(0,-1AM)&lt;/Q&gt;&lt;R&gt;1&lt;/R&gt;&lt;C&gt;1&lt;/C&gt;&lt;D xsi:type="xsd:double"&gt;1.719594&lt;/D&gt;&lt;/FQL&gt;&lt;FQL&gt;&lt;Q&gt;GLD^FG_TOTAL_RETURNC(0,-1AM)&lt;/Q&gt;&lt;R&gt;1&lt;/R&gt;&lt;C&gt;1&lt;/C&gt;&lt;D xsi:type="xsd:double"&gt;6.776762&lt;/D&gt;&lt;/FQL&gt;&lt;FQL&gt;&lt;Q&gt;VWO^FMA_EPS(NTMA,-20AY,0,CY,,"PORTAGG","MEANR")&lt;/Q&gt;&lt;R&gt;20&lt;/R&gt;&lt;C&gt;1&lt;/C&gt;&lt;D xsi:type="xsd:string"&gt;@NA&lt;/D&gt;&lt;D xsi:type="xsd:double"&gt;2.47096748819429&lt;/D&gt;&lt;D xsi:type="xsd:double"&gt;3.07377774425412&lt;/D&gt;&lt;D xsi:type="xsd:double"&gt;3.86944526172212&lt;/D&gt;&lt;D xsi:type="xsd:double"&gt;2.60867545168868&lt;/D&gt;&lt;D xsi:type="xsd:double"&gt;3.18821291353687&lt;/D&gt;&lt;D xsi:type="xsd:double"&gt;4.15747212481106&lt;/D&gt;&lt;D xsi:type="xsd:double"&gt;4.12857564630079&lt;/D&gt;&lt;D xsi:type="xsd:double"&gt;4.18029682315269&lt;/D&gt;&lt;D xsi:type="xsd:double"&gt;3.80798109782178&lt;/D&gt;&lt;D xsi:type="xsd:double"&gt;3.50712263282986&lt;/D&gt;&lt;D xsi:type="xsd:double"&gt;2.87492956545103&lt;/D&gt;&lt;D xsi:type="xsd:double"&gt;2.98790327540514&lt;/D&gt;&lt;D xsi:type="xsd:double"&gt;3.48400264543457&lt;/D&gt;&lt;D xsi:type="xsd:double"&gt;3.41428108527064&lt;/D&gt;&lt;D xsi:type="xsd:double"&gt;3.40448222428624&lt;/D&gt;&lt;D xsi:type="xsd:double"&gt;3.30589569741267&lt;/D&gt;&lt;D xsi:type="xsd:double"&gt;3.92107940890061&lt;/D&gt;&lt;D xsi:type="xsd:double"&gt;3.36619090960391&lt;/D&gt;&lt;D xsi:type="xsd:double"&gt;3.38651960714438&lt;/D&gt;&lt;/FQL&gt;&lt;FQL&gt;&lt;Q&gt;UUP^P_PRICE(0,-200D)&lt;/Q&gt;&lt;R&gt;201&lt;/R&gt;&lt;C&gt;1&lt;/C&gt;&lt;D xsi:type="xsd:double"&gt;27.83&lt;/D&gt;&lt;D xsi:type="xsd:double"&gt;27.81&lt;/D&gt;&lt;D xsi:type="xsd:double"&gt;27.78&lt;/D&gt;&lt;D xsi:type="xsd:double"&gt;27.77&lt;/D&gt;&lt;D xsi:type="xsd:double"&gt;27.91&lt;/D&gt;&lt;D xsi:type="xsd:double"&gt;28.01&lt;/D&gt;&lt;D xsi:type="xsd:double"&gt;28.04&lt;/D&gt;&lt;D xsi:type="xsd:double"&gt;28.04&lt;/D&gt;&lt;D xsi:type="xsd:double"&gt;28.09&lt;/D&gt;&lt;D xsi:type="xsd:double"&gt;28.03&lt;/D&gt;&lt;D xsi:type="xsd:double"&gt;28.01&lt;/D&gt;&lt;D xsi:type="xsd:double"&gt;27.99&lt;/D&gt;&lt;D xsi:type="xsd:double"&gt;28.04&lt;/D&gt;&lt;D xsi:type="xsd:double"&gt;28.02&lt;/D&gt;&lt;D xsi:type="xsd:double"&gt;28.02&lt;/D&gt;&lt;D xsi:type="xsd:double"&gt;28.05&lt;/D&gt;&lt;D xsi:type="xsd:double"&gt;28.09&lt;/D&gt;&lt;D xsi:type="xsd:double"&gt;28.08&lt;/D&gt;&lt;D xsi:type="xsd:double"&gt;28.19&lt;/D&gt;&lt;D xsi:type="xsd:double"&gt;28.24&lt;/D&gt;&lt;D xsi:type="xsd:double"&gt;28.02&lt;/D&gt;&lt;D xsi:type="xsd:double"&gt;27.99&lt;/D&gt;&lt;D xsi:type="xsd:double"&gt;28.01&lt;/D&gt;&lt;D xsi:type="xsd:double"&gt;27.98&lt;/D&gt;&lt;D xsi:type="xsd:double"&gt;28.01&lt;/D&gt;&lt;D xsi:type="xsd:double"&gt;28.09&lt;/D&gt;&lt;D xsi:type="xsd:double"&gt;27.94&lt;/D&gt;&lt;D xsi:type="xsd:double"&gt;27.69&lt;/D&gt;&lt;D xsi:type="xsd:double"&gt;27.83&lt;/D&gt;&lt;D xsi:type="xsd:double"&gt;27.76&lt;/D&gt;&lt;D xsi:type="xsd:double"&gt;27.78&lt;/D&gt;&lt;D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xsi:type="xsd:double"&gt;27.16&lt;/D&gt;&lt;D xsi:type="xsd:double"&gt;27.34&lt;/D&gt;&lt;D xsi:type="xsd:double"&gt;27.22&lt;/D&gt;&lt;D xsi:type="xsd:double"&gt;27.34&lt;/D&gt;&lt;D xsi:type="xsd:double"&gt;29.09&lt;/D&gt;&lt;D xsi:type="xsd:double"&gt;28.9&lt;/D&gt;&lt;D xsi:type="xsd:double"&gt;29.17&lt;/D&gt;&lt;D xsi:type="xsd:double"&gt;29.42&lt;/D&gt;&lt;D xsi:type="xsd:double"&gt;29.5&lt;/D&gt;&lt;D xsi:type="xsd:double"&gt;29.46&lt;/D&gt;&lt;D xsi:type="xsd:double"&gt;29.35&lt;/D&gt;&lt;D xsi:type="xsd:double"&gt;29.51&lt;/D&gt;&lt;D xsi:type="xsd:double"&gt;29.44&lt;/D&gt;&lt;D xsi:type="xsd:double"&gt;29.33&lt;/D&gt;&lt;D xsi:type="xsd:double"&gt;29.2&lt;/D&gt;&lt;D xsi:type="xsd:double"&gt;29.29&lt;/D&gt;&lt;D xsi:type="xsd:double"&gt;29.08&lt;/D&gt;&lt;D xsi:type="xsd:double"&gt;29.05&lt;/D&gt;&lt;D xsi:type="xsd:double"&gt;29.15&lt;/D&gt;&lt;D xsi:type="xsd:double"&gt;29.21&lt;/D&gt;&lt;D xsi:type="xsd:double"&gt;29.34&lt;/D&gt;&lt;D xsi:type="xsd:double"&gt;29.24&lt;/D&gt;&lt;D xsi:type="xsd:double"&gt;29.21&lt;/D&gt;&lt;D xsi:type="xsd:double"&gt;29.3&lt;/D&gt;&lt;D xsi:type="xsd:double"&gt;29.46&lt;/D&gt;&lt;D xsi:type="xsd:double"&gt;29.44&lt;/D&gt;&lt;D xsi:type="xsd:double"&gt;29.33&lt;/D&gt;&lt;D xsi:type="xsd:double"&gt;29.8&lt;/D&gt;&lt;D xsi:type="xsd:double"&gt;29.84&lt;/D&gt;&lt;D xsi:type="xsd:double"&gt;29.86&lt;/D&gt;&lt;D xsi:type="xsd:double"&gt;29.73&lt;/D&gt;&lt;D xsi:type="xsd:double"&gt;29.74&lt;/D&gt;&lt;D xsi:type="xsd:double"&gt;29.64&lt;/D&gt;&lt;D xsi:type="xsd:double"&gt;29.61&lt;/D&gt;&lt;D xsi:type="xsd:double"&gt;29.89&lt;/D&gt;&lt;D xsi:type="xsd:double"&gt;30.04&lt;/D&gt;&lt;D xsi:type="xsd:double"&gt;30.03&lt;/D&gt;&lt;D xsi:type="xsd:double"&gt;29.85&lt;/D&gt;&lt;D xsi:type="xsd:double"&gt;29.97&lt;/D&gt;&lt;D xsi:type="xsd:double"&gt;30.01&lt;/D&gt;&lt;D xsi:type="xsd:double"&gt;29.94&lt;/D&gt;&lt;D xsi:type="xsd:double"&gt;29.86&lt;/D&gt;&lt;D xsi:type="xsd:double"&gt;29.69&lt;/D&gt;&lt;D xsi:type="xsd:double"&gt;29.84&lt;/D&gt;&lt;D xsi:type="xsd:double"&gt;29.83&lt;/D&gt;&lt;D xsi:type="xsd:double"&gt;29.92&lt;/D&gt;&lt;D xsi:type="xsd:double"&gt;29.81&lt;/D&gt;&lt;D xsi:type="xsd:double"&gt;29.8&lt;/D&gt;&lt;D xsi:type="xsd:double"&gt;29.93&lt;/D&gt;&lt;D xsi:type="xsd:double"&gt;29.91&lt;/D&gt;&lt;D xsi:type="xsd:double"&gt;29.66&lt;/D&gt;&lt;D xsi:type="xsd:double"&gt;29.66&lt;/D&gt;&lt;D xsi:type="xsd:double"&gt;29.73&lt;/D&gt;&lt;D xsi:type="xsd:double"&gt;29.74&lt;/D&gt;&lt;D xsi:type="xsd:double"&gt;29.8&lt;/D&gt;&lt;D xsi:type="xsd:double"&gt;29.9&lt;/D&gt;&lt;D xsi:type="xsd:double"&gt;29.99&lt;/D&gt;&lt;D xsi:type="xsd:double"&gt;29.96&lt;/D&gt;&lt;D xsi:type="xsd:double"&gt;29.73&lt;/D&gt;&lt;D xsi:type="xsd:double"&gt;29.71&lt;/D&gt;&lt;D xsi:type="xsd:double"&gt;29.87&lt;/D&gt;&lt;D xsi:type="xsd:double"&gt;29.73&lt;/D&gt;&lt;D xsi:type="xsd:double"&gt;29.64&lt;/D&gt;&lt;D xsi:type="xsd:double"&gt;29.53&lt;/D&gt;&lt;D xsi:type="xsd:double"&gt;29.46&lt;/D&gt;&lt;D xsi:type="xsd:double"&gt;29.44&lt;/D&gt;&lt;D xsi:type="xsd:double"&gt;29.39&lt;/D&gt;&lt;D xsi:type="xsd:double"&gt;29.37&lt;/D&gt;&lt;D xsi:type="xsd:double"&gt;29.42&lt;/D&gt;&lt;D xsi:type="xsd:double"&gt;29.44&lt;/D&gt;&lt;D xsi:type="xsd:double"&gt;29.26&lt;/D&gt;&lt;D xsi:type="xsd:double"&gt;29.24&lt;/D&gt;&lt;D xsi:type="xsd:double"&gt;29.19&lt;/D&gt;&lt;D xsi:type="xsd:double"&gt;29.33&lt;/D&gt;&lt;D xsi:type="xsd:double"&gt;29.3&lt;/D&gt;&lt;D xsi:type="xsd:double"&gt;29.23&lt;/D&gt;&lt;D xsi:type="xsd:double"&gt;29.22&lt;/D&gt;&lt;D xsi:type="xsd:double"&gt;29.07&lt;/D&gt;&lt;D xsi:type="xsd:double"&gt;28.89&lt;/D&gt;&lt;D xsi:type="xsd:double"&gt;28.75&lt;/D&gt;&lt;D xsi:type="xsd:double"&gt;28.8&lt;/D&gt;&lt;D xsi:type="xsd:double"&gt;28.96&lt;/D&gt;&lt;D xsi:type="xsd:double"&gt;29.01&lt;/D&gt;&lt;D xsi:type="xsd:double"&gt;28.97&lt;/D&gt;&lt;D xsi:type="xsd:double"&gt;28.74&lt;/D&gt;&lt;D xsi:type="xsd:double"&gt;28.84&lt;/D&gt;&lt;D xsi:type="xsd:double"&gt;28.74&lt;/D&gt;&lt;D xsi:type="xsd:double"&gt;28.77&lt;/D&gt;&lt;D xsi:type="xsd:double"&gt;28.75&lt;/D&gt;&lt;D xsi:type="xsd:double"&gt;28.76&lt;/D&gt;&lt;D xsi:type="xsd:double"&gt;28.68&lt;/D&gt;&lt;D xsi:type="xsd:double"&gt;28.67&lt;/D&gt;&lt;D xsi:type="xsd:double"&gt;28.57&lt;/</t>
        </r>
      </text>
    </comment>
    <comment ref="A3" authorId="0" shapeId="0" xr:uid="{D6867FB6-CBC4-413F-B057-DFA3198F7DAB}">
      <text>
        <r>
          <rPr>
            <b/>
            <sz val="9"/>
            <color indexed="81"/>
            <rFont val="Tahoma"/>
            <charset val="1"/>
          </rPr>
          <t>D&gt;&lt;D xsi:type="xsd:double"&gt;28.51&lt;/D&gt;&lt;D xsi:type="xsd:double"&gt;28.46&lt;/D&gt;&lt;D xsi:type="xsd:double"&gt;28.44&lt;/D&gt;&lt;D xsi:type="xsd:double"&gt;28.31&lt;/D&gt;&lt;D xsi:type="xsd:double"&gt;28.29&lt;/D&gt;&lt;D xsi:type="xsd:double"&gt;28.43&lt;/D&gt;&lt;D xsi:type="xsd:double"&gt;28.45&lt;/D&gt;&lt;D xsi:type="xsd:double"&gt;28.35&lt;/D&gt;&lt;D xsi:type="xsd:double"&gt;28.22&lt;/D&gt;&lt;D xsi:type="xsd:double"&gt;28.17&lt;/D&gt;&lt;D xsi:type="xsd:double"&gt;28.21&lt;/D&gt;&lt;D xsi:type="xsd:double"&gt;27.95&lt;/D&gt;&lt;D xsi:type="xsd:double"&gt;28.03&lt;/D&gt;&lt;D xsi:type="xsd:double"&gt;28.06&lt;/D&gt;&lt;D xsi:type="xsd:double"&gt;27.96&lt;/D&gt;&lt;D xsi:type="xsd:double"&gt;27.88&lt;/D&gt;&lt;D xsi:type="xsd:double"&gt;27.72&lt;/D&gt;&lt;D xsi:type="xsd:double"&gt;27.61&lt;/D&gt;&lt;D xsi:type="xsd:double"&gt;27.59&lt;/D&gt;&lt;D xsi:type="xsd:double"&gt;27.62&lt;/D&gt;&lt;D xsi:type="xsd:double"&gt;27.57&lt;/D&gt;&lt;D xsi:type="xsd:double"&gt;27.76&lt;/D&gt;&lt;D xsi:type="xsd:double"&gt;28.09&lt;/D&gt;&lt;D xsi:type="xsd:double"&gt;28.16&lt;/D&gt;&lt;D xsi:type="xsd:double"&gt;28.23&lt;/D&gt;&lt;D xsi:type="xsd:double"&gt;28.47&lt;/D&gt;&lt;D xsi:type="xsd:double"&gt;28.54&lt;/D&gt;&lt;D xsi:type="xsd:double"&gt;28.41&lt;/D&gt;&lt;D xsi:type="xsd:double"&gt;28.38&lt;/D&gt;&lt;D xsi:type="xsd:double"&gt;28.5&lt;/D&gt;&lt;D xsi:type="xsd:double"&gt;28.38&lt;/D&gt;&lt;D xsi:type="xsd:double"&gt;28.25&lt;/D&gt;&lt;D xsi:type="xsd:double"&gt;28.32&lt;/D&gt;&lt;D xsi:type="xsd:double"&gt;28.35&lt;/D&gt;&lt;D xsi:type="xsd:double"&gt;28.2&lt;/D&gt;&lt;D xsi:type="xsd:double"&gt;28.1&lt;/D&gt;&lt;D xsi:type="xsd:double"&gt;28.23&lt;/D&gt;&lt;D xsi:type="xsd:double"&gt;28.15&lt;/D&gt;&lt;D xsi:type="xsd:double"&gt;28.1&lt;/D&gt;&lt;D xsi:type="xsd:double"&gt;28.26&lt;/D&gt;&lt;D xsi:type="xsd:double"&gt;28.4&lt;/D&gt;&lt;D xsi:type="xsd:double"&gt;28.49&lt;/D&gt;&lt;D xsi:type="xsd:double"&gt;28.48&lt;/D&gt;&lt;D xsi:type="xsd:double"&gt;28.39&lt;/D&gt;&lt;D xsi:type="xsd:double"&gt;28.62&lt;/D&gt;&lt;D xsi:type="xsd:double"&gt;28.61&lt;/D&gt;&lt;D xsi:type="xsd:double"&gt;28.52&lt;/D&gt;&lt;D xsi:type="xsd:double"&gt;28.57&lt;/D&gt;&lt;D xsi:type="xsd:double"&gt;28.27&lt;/D&gt;&lt;D xsi:type="xsd:double"&gt;28.61&lt;/D&gt;&lt;D xsi:type="xsd:double"&gt;28.56&lt;/D&gt;&lt;D xsi:type="xsd:double"&gt;28.59&lt;/D&gt;&lt;D xsi:type="xsd:double"&gt;28.6&lt;/D&gt;&lt;D xsi:type="xsd:double"&gt;28.47&lt;/D&gt;&lt;/FQL&gt;&lt;FQL&gt;&lt;Q&gt;URTH^P_PRICE(0)/P_PRICE_LOW_PR(0,,,USD,,,"PRICE","INTRA","52W")-1&lt;/Q&gt;&lt;R&gt;1&lt;/R&gt;&lt;C&gt;1&lt;/C&gt;&lt;D xsi:type="xsd:double"&gt;0.30763614&lt;/D&gt;&lt;/FQL&gt;&lt;FQL&gt;&lt;Q&gt;EMXC^FMA_COS_UP("EPS","1M",+1,0,,,"PORTAGG","MEANR")&lt;/Q&gt;&lt;R&gt;1&lt;/R&gt;&lt;C&gt;1&lt;/C&gt;&lt;D xsi:type="xsd:double"&gt;234&lt;/D&gt;&lt;/FQL&gt;&lt;FQL&gt;&lt;Q&gt;URTH^FMA_EPS(NTMA,-20AY,0,CY,,"PORTAGG","MEANR")&lt;/Q&gt;&lt;R&gt;20&lt;/R&gt;&lt;C&gt;1&lt;/C&gt;&lt;D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xsi:type="xsd:double"&gt;4.55913632412374&lt;/D&gt;&lt;D xsi:type="xsd:double"&gt;4.8298105677889&lt;/D&gt;&lt;D xsi:type="xsd:double"&gt;4.68122041716609&lt;/D&gt;&lt;D xsi:type="xsd:double"&gt;4.46290846961937&lt;/D&gt;&lt;D xsi:type="xsd:double"&gt;4.5468408308106&lt;/D&gt;&lt;D xsi:type="xsd:double"&gt;5.24375165960342&lt;/D&gt;&lt;D xsi:type="xsd:double"&gt;5.92417007591415&lt;/D&gt;&lt;D xsi:type="xsd:double"&gt;5.85445884427984&lt;/D&gt;&lt;D xsi:type="xsd:double"&gt;5.43703723395752&lt;/D&gt;&lt;D xsi:type="xsd:double"&gt;7.0207573941257&lt;/D&gt;&lt;D xsi:type="xsd:double"&gt;7.30509155907452&lt;/D&gt;&lt;D xsi:type="xsd:double"&gt;7.6960086337997&lt;/D&gt;&lt;/FQL&gt;&lt;FQL&gt;&lt;Q&gt;EMXC^P_PRICE(0)/P_PRICE_LOW_PR(0,,,USD,,,"PRICE","INTRA","52W")-1&lt;/Q&gt;&lt;R&gt;1&lt;/R&gt;&lt;C&gt;1&lt;/C&gt;&lt;D xsi:type="xsd:double"&gt;0.24058532999999999&lt;/D&gt;&lt;/FQL&gt;&lt;FQL&gt;&lt;Q&gt;SPY^P_PRICE(0,-200D)&lt;/Q&gt;&lt;R&gt;201&lt;/R&gt;&lt;C&gt;1&lt;/C&gt;&lt;D xsi:type="xsd:double"&gt;516.78&lt;/D&gt;&lt;D xsi:type="xsd:double"&gt;511.28&lt;/D&gt;&lt;D xsi:type="xsd:double"&gt;511.72&lt;/D&gt;&lt;D xsi:type="xsd:double"&gt;514.81&lt;/D&gt;&lt;D xsi:type="xsd:double"&gt;509.75&lt;/D&gt;&lt;D xsi:type="xsd:double"&gt;507.18&lt;/D&gt;&lt;D xsi:type="xsd:double"&gt;512.3&lt;/D&gt;&lt;D xsi:type="xsd:double"&gt;512.85&lt;/D&gt;&lt;D xsi:type="xsd:double"&gt;508.08&lt;/D&gt;&lt;D xsi:type="xsd:double"&gt;506.26&lt;/D&gt;&lt;D xsi:type="xsd:double"&gt;506.93&lt;/D&gt;&lt;D xsi:type="xsd:double"&gt;505.99&lt;/D&gt;&lt;D xsi:type="xsd:double"&gt;507.85&lt;/D&gt;&lt;D xsi:type="xsd:double"&gt;507.5&lt;/D&gt;&lt;D xsi:type="xsd:double"&gt;497.21&lt;/D&gt;&lt;D xsi:type="xsd:double"&gt;496.76&lt;/D&gt;&lt;D xsi:type="xsd:double"&gt;499.51&lt;/D&gt;&lt;D xsi:type="xsd:double"&gt;502.01&lt;/D&gt;&lt;D xsi:type="xsd:double"&gt;498.57&lt;/D&gt;&lt;D xsi:type="xsd:double"&gt;494.08&lt;/D&gt;&lt;D xsi:type="xsd:double"&gt;500.98&lt;/D&gt;&lt;D xsi:type="xsd:double"&gt;501.2&lt;/D&gt;&lt;D xsi:type="xsd:double"&gt;498.32&lt;/D&gt;&lt;D xsi:type="xsd:double"&gt;498.1&lt;/D&gt;&lt;D xsi:type="xsd:double"&gt;493.98&lt;/D&gt;&lt;D xsi:type="xsd:double"&gt;492.55&lt;/D&gt;&lt;D xsi:type="xsd:double"&gt;494.35&lt;/D&gt;&lt;D xsi:type="xsd:double"&gt;489.2&lt;/D&gt;&lt;D xsi:type="xsd:double"&gt;482.88&lt;/D&gt;&lt;D xsi:type="xsd:double"&gt;490.89&lt;/D&gt;&lt;D xsi:type="xsd:double"&gt;491.27&lt;/D&gt;&lt;D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xsi:type="xsd:double"&gt;472.7&lt;/D&gt;&lt;D xsi:type="xsd:double"&gt;468.26&lt;/D&gt;&lt;D xsi:type="xsd:double"&gt;474.84&lt;/D&gt;&lt;D xsi:type="xsd:double"&gt;471.97&lt;/D&gt;&lt;D xsi:type="xsd:double"&gt;469.33&lt;/D&gt;&lt;D xsi:type="xsd:double"&gt;472.01&lt;/D&gt;&lt;D xsi:type="xsd:double"&gt;470.5&lt;/D&gt;&lt;D xsi:type="xsd:double"&gt;464.1&lt;/D&gt;&lt;D xsi:type="xsd:double"&gt;461.99&lt;/D&gt;&lt;D xsi:type="xsd:double"&gt;460.2&lt;/D&gt;&lt;D xsi:type="xsd:double"&gt;458.23&lt;/D&gt;&lt;D xsi:type="xsd:double"&gt;454.76&lt;/D&gt;&lt;D xsi:type="xsd:double"&gt;456.6&lt;/D&gt;&lt;D xsi:type="xsd:double"&gt;456.69&lt;/D&gt;&lt;D xsi:type="xsd:double"&gt;459.1&lt;/D&gt;&lt;D xsi:type="xsd:double"&gt;456.4&lt;/D&gt;&lt;D xsi:type="xsd:double"&gt;454.61&lt;/D&gt;&lt;D xsi:type="xsd:double"&gt;454.93&lt;/D&gt;&lt;D xsi:type="xsd:double"&gt;454.48&lt;/D&gt;&lt;D xsi:type="xsd:double"&gt;455.3&lt;/D&gt;&lt;D xsi:type="xsd:double"&gt;455.02&lt;/D&gt;&lt;D xsi:type="xsd:double"&gt;453.27&lt;/D&gt;&lt;D xsi:type="xsd:double"&gt;454.26&lt;/D&gt;&lt;D xsi:type="xsd:double"&gt;450.79&lt;/D&gt;&lt;D xsi:type="xsd:double"&gt;450.23&lt;/D&gt;&lt;D xsi:type="xsd:double"&gt;449.68&lt;/D&gt;&lt;D xsi:type="xsd:double"&gt;448.73&lt;/D&gt;&lt;D xsi:type="xsd:double"&gt;440.19&lt;/D&gt;&lt;D xsi:type="xsd:double"&gt;440.61&lt;/D&gt;&lt;D xsi:type="xsd:double"&gt;433.84&lt;/D&gt;&lt;D xsi:type="xsd:double"&gt;437.25&lt;/D&gt;&lt;D xsi:type="xsd:double"&gt;436.93&lt;/D&gt;&lt;D xsi:type="xsd:double"&gt;435.69&lt;/D&gt;&lt;D xsi:type="xsd:double"&gt;434.69&lt;/D&gt;&lt;D xsi:type="xsd:double"&gt;430.76&lt;/D&gt;&lt;D xsi:type="xsd:double"&gt;422.66&lt;/D&gt;&lt;D xsi:type="xsd:double"&gt;418.2&lt;/D&gt;&lt;D xsi:type="xsd:double"&gt;415.59&lt;/D&gt;&lt;D xsi:type="xsd:double"&gt;410.68&lt;/D&gt;&lt;D xsi:type="xsd:double"&gt;412.55&lt;/D&gt;&lt;D xsi:type="xsd:double"&gt;417.55&lt;/D&gt;&lt;D xsi:type="xsd:double"&gt;423.63&lt;/D&gt;&lt;D xsi:type="xsd:double"&gt;420.46&lt;/D&gt;&lt;D xsi:type="xsd:double"&gt;421.19&lt;/D&gt;&lt;D xsi:type="xsd:double"&gt;426.43&lt;/D&gt;&lt;D xsi:type="xsd:double"&gt;430.21&lt;/D&gt;&lt;D xsi:type="xsd:double"&gt;436.02&lt;/D&gt;&lt;D xsi:type="xsd:double"&gt;436.04&lt;/D&gt;&lt;D xsi:type="xsd:double"&gt;431.5&lt;/D&gt;&lt;D xsi:type="xsd:double"&gt;433.66&lt;/D&gt;&lt;D xsi:type="xsd:double"&gt;436.32&lt;/D&gt;&lt;D xsi:type="xsd:double"&gt;434.54&lt;/D&gt;&lt;D xsi:type="xsd:double"&gt;432.29&lt;/D&gt;&lt;D xsi:type="xsd:double"&gt;429.54&lt;/D&gt;&lt;D xsi:type="xsd:double"&gt;424.5&lt;/D&gt;&lt;D xsi:type="xsd:double"&gt;424.66&lt;/D&gt;&lt;D xsi:type="xsd:double"&gt;421.59&lt;/D&gt;&lt;D xsi:type="xsd:double"&gt;427.31&lt;/D&gt;&lt;D xsi:type="xsd:double"&gt;427.48&lt;/D&gt;&lt;D xsi:type="xsd:double"&gt;428.52&lt;/D&gt;&lt;D xsi:type="xsd:double"&gt;426.05&lt;/D&gt;&lt;D xsi:type="xsd:double"&gt;425.88&lt;/D&gt;&lt;D xsi:type="xsd:double"&gt;432.23&lt;/D&gt;&lt;D xsi:type="xsd:double"&gt;430.42&lt;/D&gt;&lt;D xsi:type="xsd:double"&gt;431.39&lt;/D&gt;&lt;D xsi:type="xsd:double"&gt;438.64&lt;/D&gt;&lt;D xsi:type="xsd:double"&gt;442.71&lt;/D&gt;&lt;D xsi:type="xsd:double"&gt;443.63&lt;/D&gt;&lt;D xsi:type="xsd:double"&gt;443.37&lt;/D&gt;&lt;D xsi:type="xsd:double"&gt;450.36&lt;/D&gt;&lt;D xsi:type="xsd:double"&gt;446.51&lt;/D&gt;&lt;D xsi:type="xsd:double"&gt;445.99&lt;/D&gt;&lt;D xsi:type="xsd:double"&gt;448.45&lt;/D&gt;&lt;D xsi:type="xsd:double"&gt;445.52&lt;/D&gt;&lt;D xsi:type="xsd:double"&gt;444.85&lt;/D&gt;&lt;D xsi:type="xsd:double"&gt;446.22&lt;/D&gt;&lt;D xsi:type="xsd:double"&gt;449.24&lt;/D&gt;&lt;D xsi:type="xsd:double"&gt;451.19&lt;/D&gt;&lt;D xsi:type="xsd:double"&gt;450.35&lt;/D&gt;&lt;D xsi:type="xsd:double"&gt;451.01&lt;/D&gt;&lt;D xsi:type="xsd:double"&gt;449.16&lt;/D&gt;&lt;D xsi:type="xsd:double"&gt;442.76&lt;/D&gt;&lt;D xsi:type="xsd:double"&gt;439.97&lt;/D&gt;&lt;D xsi:type="xsd:double"&gt;436.89&lt;/D&gt;&lt;D xsi:type="xsd:double"&gt;443.03&lt;/D&gt;&lt;D xsi:type="xsd:double"&gt;438.15&lt;/D&gt;&lt;D xsi:type="xsd:double"&gt;439.34&lt;/D&gt;&lt;D xsi:type="xsd:double"&gt;436.5&lt;/D&gt;&lt;D xsi:type="xsd:double"&gt;436.29&lt;/D&gt;&lt;D xsi:type="xsd:double"&gt;439.64&lt;/D&gt;&lt;D xsi:type="xsd:double"&gt;442.89&lt;/D&gt;&lt;D xsi:type="xsd:double"&gt;448.11&lt;/D&gt;&lt;D xsi:type="xsd:double"&gt;445.65&lt;/D&gt;&lt;D xsi:type="xsd:double"&gt;445.91&lt;/D&gt;&lt;D xsi:type="xsd:double"&gt;445.75&lt;/D&gt;&lt;D xsi:type="xsd:double"&gt;448.75&lt;/D&gt;&lt;D xsi:type="xsd:double"&gt;450.71&lt;/D&gt;&lt;D xsi:type="xsd:double"&gt;446.81&lt;/D&gt;&lt;D xsi:type="xsd:double"&gt;448.84&lt;/D&gt;&lt;D xsi:type="xsd:double"&gt;450.13&lt;/D&gt;&lt;D xsi:type="xsd:double"&gt;456.48&lt;/D&gt;&lt;D xsi:type="xsd:double"&gt;457.79&lt;/D&gt;&lt;D xsi:type="xsd:double"&gt;456.92&lt;/D&gt;&lt;D xsi:type="xsd:double"&gt;452.49&lt;/D&gt;&lt;D xsi:type="xsd:double"&gt;455.51&lt;/D&gt;&lt;D xsi:type="xsd:double"&gt;455.44&lt;/D&gt;&lt;D xsi:type="xsd:double"&gt;454.2&lt;/D&gt;&lt;D xsi:type="xsd:double"&gt;452.18&lt;/D&gt;&lt;D xsi:type="xsd:double"&gt;452.18&lt;/D&gt;&lt;D xsi:type="xsd:double"&gt;455.2&lt;/D&gt;&lt;D xsi:type="xsd:double"&gt;454.19&lt;/D&gt;&lt;D xsi:type="xsd:double"&gt;450.84&lt;/D&gt;&lt;D xsi:type="xsd:double"&gt;449.28&lt;/D&gt;&lt;D xsi:type="xsd:double"&gt;449.56&lt;/D&gt;&lt;D xsi:type="xsd:double"&gt;446.02&lt;/D&gt;&lt;D xsi:type="xsd:double"&gt;442.46&lt;/D&gt;&lt;D xsi:type="xsd:double"&gt;439.66&lt;/D&gt;&lt;D xsi:type="xsd:double"&gt;438.55&lt;/D&gt;&lt;D xsi:type="xsd:double"&gt;439.66&lt;/D&gt;&lt;D xsi:type="xsd:double"&gt;443.13&lt;/D&gt;&lt;D xsi:type="xsd:double"&gt;443.79&lt;/D&gt;&lt;D xsi:type="xsd:double"&gt;443.28&lt;/D&gt;&lt;D xsi:type="xsd:double"&gt;438.11&lt;/D&gt;&lt;D xsi:type="xsd:double"&gt;436.39&lt;/D&gt;&lt;D xsi:type="xsd:double"&gt;436.17&lt;/D&gt;&lt;D xsi:type="xsd:double"&gt;431.44&lt;/D&gt;&lt;D xsi:type="xsd:double"&gt;433.21&lt;/D&gt;&lt;D xsi:type="xsd:double"&gt;436.51&lt;/D&gt;&lt;D xsi:type="xsd:double"&gt;434.94&lt;/D&gt;&lt;D xsi:type="xsd:double"&gt;437.18&lt;/D&gt;&lt;D xsi:type="xsd:double"&gt;439.46&lt;/D&gt;&lt;D xsi:type="xsd:double"&gt;442.6&lt;/D&gt;&lt;D xsi:type="xsd:double"&gt;437.18&lt;/D&gt;&lt;D xsi:type="xsd:double"&gt;436.66&lt;/D&gt;&lt;D xsi:type="xsd:double"&gt;433.8&lt;/D&gt;&lt;D xsi:type="xsd:double"&gt;429.9&lt;/D&gt;&lt;D xsi:type="xsd:double"&gt;429.13&lt;/D&gt;&lt;D xsi:type="xsd:double"&gt;426.55&lt;/D&gt;&lt;D xsi:type="xsd:double"&gt;428.03&lt;/D&gt;&lt;D xsi:type="xsd:double"&gt;427.1&lt;/D&gt;&lt;D xsi:type="xsd:double"&gt;427.92&lt;/D&gt;&lt;D xsi:type="xsd:double"&gt;421.82&lt;/D&gt;&lt;D xsi:type="xsd:double"&gt;417.85&lt;/D&gt;&lt;D xsi:type="xsd:double"&gt;420.18&lt;/D&gt;&lt;D xsi:type="xsd:double"&gt;420.02&lt;/D&gt;&lt;D xsi:type="xsd:double"&gt;414.65&lt;/D&gt;&lt;D xsi:type="xsd:double"&gt;411.09&lt;/D&gt;&lt;/FQL&gt;&lt;FQL&gt;&lt;Q&gt;SPY^FMA_COS_UP("EPS","1M",+1,0,,,"PORTAGG","MEANR")&lt;/Q&gt;&lt;R&gt;1&lt;/R&gt;&lt;C&gt;1&lt;/C&gt;&lt;D xsi:type="xsd:double"&gt;186&lt;/D&gt;&lt;/FQL&gt;&lt;FQL&gt;&lt;Q&gt;DBA^FG_TOTAL_RETURNC(0,-3AM)&lt;/Q&gt;&lt;R&gt;1&lt;/R&gt;&lt;C&gt;1&lt;/C&gt;&lt;D xsi:type="xsd:double"&gt;10.072863&lt;/D&gt;&lt;/FQL&gt;&lt;FQL&gt;&lt;Q&gt;FXI^FMA_PCT_ABOVE_MAVG(200,0,,,,"PORTAGG")&lt;/Q&gt;&lt;R&gt;1&lt;/R&gt;&lt;C&gt;1&lt;/C&gt;&lt;D xsi:type="xsd:double"&gt;41.1764705882353&lt;/D&gt;&lt;/FQL&gt;&lt;FQL&gt;&lt;Q&gt;ENZL^PERCENT_CHANGE(FMA_EPS(+1,0,,,,"PORTAGG","MEAN"),FMA_EPS(+1,-3AM,,,,"PORTAGG","MEAN"))&lt;/Q&gt;&lt;R&gt;1&lt;/R&gt;&lt;C&gt;1&lt;/C&gt;&lt;D xsi:type="xsd:double"&gt;-14.9782078795676&lt;/D&gt;&lt;/FQL&gt;&lt;FQL&gt;&lt;Q&gt;DBA^FG_TOTAL_RETURNC(0,-1AM)&lt;/Q&gt;&lt;R&gt;1&lt;/R&gt;&lt;C&gt;1&lt;/C&gt;&lt;D xsi:type="xsd:double"&gt;4.3083906&lt;/D&gt;&lt;/FQL&gt;&lt;FQL&gt;&lt;Q&gt;EWD^FG_TOTAL_RETURNC(0,-3AM)&lt;/Q&gt;&lt;R&gt;1&lt;/R&gt;&lt;C&gt;1&lt;/C&gt;&lt;D xsi:type="xsd:double"&gt;11.974382&lt;/D&gt;&lt;/FQL&gt;&lt;FQL&gt;&lt;Q&gt;EWD^P_PRICE(0)/P_PRICE_LOW_PR(0,,,USD,,,"PRICE","INTRA","52W")-1&lt;/Q&gt;&lt;R&gt;1&lt;/R&gt;&lt;C&gt;1&lt;/C&gt;&lt;D xsi:type="xsd:double"&gt;0.34756398&lt;/D&gt;&lt;/FQL&gt;&lt;FQL&gt;&lt;Q&gt;QQQ^FMA_EPS(NTMA,-20AY,0,CY,,"PORTAGG","MEANR")&lt;/Q&gt;&lt;R&gt;20&lt;/R&gt;&lt;C&gt;1&lt;/C&gt;&lt;D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xsi:type="xsd:double"&gt;9.35231845695688&lt;/D&gt;&lt;D xsi:type="xsd:double"&gt;10.4260783076313&lt;/D&gt;&lt;D xsi:type="xsd:double"&gt;13.6402697494705&lt;/D&gt;&lt;D xsi:type="xsd:double"&gt;12.7503134568906&lt;/D&gt;&lt;D xsi:type="xsd:double"&gt;16.3227849383645&lt;/D&gt;&lt;/FQL&gt;&lt;FQL&gt;&lt;Q&gt;INDA^FMA_COS_UP("EPS","1M",+1,0,,,"PORTAGG","MEANR")&lt;/Q&gt;&lt;R&gt;1&lt;/R&gt;&lt;C&gt;1&lt;/C&gt;&lt;D xsi:type="xsd:double"&gt;55&lt;/D&gt;&lt;/FQL&gt;&lt;FQL&gt;&lt;Q&gt;VWO^P_PRICE(0)/P_PRICE_HIGH_PR(0,,,USD,,,"PRICE","INTRA","52W")&lt;/Q&gt;&lt;R&gt;1&lt;/R&gt;&lt;C&gt;1&lt;/C&gt;&lt;D xsi:type="xsd:double"&gt;0.9798144&lt;/D&gt;&lt;/FQL&gt;&lt;FQL&gt;&lt;Q&gt;EWG^FG_COMPANY_NAME&lt;/Q&gt;&lt;R&gt;1&lt;/R&gt;&lt;C&gt;1&lt;/C&gt;&lt;D xsi:type="xsd:string"&gt;iShares MSCI Germany ETF&lt;/D&gt;&lt;/FQL&gt;&lt;FQL&gt;&lt;Q&gt;ENZL^PERCENT_CHANGE(FMA_EPS(+1,0,,,,"PORTAGG","MEAN"),FMA_EPS(+1,-1AM,,,,"PORTAGG","MEAN"))&lt;/Q&gt;&lt;R&gt;1&lt;/R&gt;&lt;C&gt;1&lt;/C&gt;&lt;D xsi:type="xsd:double"&gt;-11.883239772104&lt;/D&gt;&lt;/FQL&gt;&lt;FQL&gt;&lt;Q&gt;EWD^FMA_PCT_ABOVE_MAVG(200,0,,,,"PORTAGG")&lt;/Q&gt;&lt;R&gt;1&lt;/R&gt;&lt;C&gt;1&lt;/C&gt;&lt;D xsi:type="xsd:double"&gt;76.7441860465116&lt;/D&gt;&lt;/FQL&gt;&lt;FQL&gt;&lt;Q&gt;EWJ^PERCENT_CHANGE(FMA_EPS(+1,0,,,,"PORTAGG","MEAN"),FMA_EPS(+1,-3AM,,,,"PORTAGG","MEAN"))&lt;/Q&gt;&lt;R&gt;1&lt;/R&gt;&lt;C&gt;1&lt;/C&gt;&lt;D xsi:type="xsd:double"&gt;-0.897500039975657&lt;/D&gt;&lt;/FQL&gt;&lt;FQL&gt;&lt;Q&gt;INDA^P_PRICE(0,-200D)&lt;/Q&gt;&lt;R&gt;201&lt;/R&gt;&lt;C&gt;1&lt;/C&gt;&lt;D xsi:type="xsd:double"&gt;51.69&lt;/D&gt;&lt;D xsi:type="xsd:double"&gt;51.9&lt;/D&gt;&lt;D xsi:type="xsd:double"&gt;52.28&lt;/D&gt;&lt;D xsi:type="xsd:double"&gt;52.29&lt;/D&gt;&lt;D xsi:type="xsd:double"&gt;52.11&lt;/D&gt;&lt;D xsi:type="xsd:double"&gt;51.72&lt;/D&gt;&lt;D xsi:type="xsd:double"&gt;51.91&lt;/D&gt;&lt;D xsi:type="xsd:double"&gt;51.92&lt;/D&gt;&lt;D xsi:type="xsd:double"&gt;51.16&lt;/D&gt;&lt;D xsi:type="xsd:double"&gt;51.06&lt;/D&gt;&lt;D xsi:type="xsd:double"&gt;51.625&lt;/D&gt;&lt;D xsi:type="xsd:double"&gt;51.56&lt;/D&gt;&lt;D xsi:type="xsd:double"&gt;51.8&lt;/D&gt;&lt;D xsi:type="xsd:double"&gt;51.73&lt;/D&gt;&lt;D xsi:type="xsd:double"&gt;51.18&lt;/D&gt;&lt;D xsi:type="xsd:double"&gt;51.56&lt;/D&gt;&lt;D xsi:type="xsd:double"&gt;51.2&lt;/D&gt;&lt;D xsi:type="xsd:double"&gt;51.08&lt;/D&gt;&lt;D xsi:type="xsd:double"&gt;50.81&lt;/D&gt;&lt;D xsi:type="xsd:double"&gt;49.97&lt;/D&gt;&lt;D xsi:type="xsd:double"&gt;50.28&lt;/D&gt;&lt;D xsi:type="xsd:double"&gt;50.72&lt;/D&gt;&lt;D xsi:type="xsd:double"&gt;50.5&lt;/D&gt;&lt;D xsi:type="xsd:double"&gt;50.89&lt;/D&gt;&lt;D xsi:type="xsd:double"&gt;50.78&lt;/D&gt;&lt;D xsi:type="xsd:double"&gt;50.11&lt;/D&gt;&lt;D xsi:type="xsd:double"&gt;50.375&lt;/D&gt;&lt;D xsi:type="xsd:double"&gt;50.23&lt;/D&gt;&lt;D xsi:type="xsd:double"&gt;49.89&lt;/D&gt;&lt;D xsi:type="xsd:double"&gt;49.52&lt;/D&gt;&lt;D xsi:type="xsd:double"&gt;49.98&lt;/D&gt;&lt;D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xsi:type="xsd:double"&gt;48.16&lt;/D&gt;&lt;D xsi:type="xsd:double"&gt;47.4&lt;/D&gt;&lt;D xsi:type="xsd:double"&gt;48.72&lt;/D&gt;&lt;D xsi:type="xsd:double"&gt;48.455&lt;/D&gt;&lt;D xsi:type="xsd:double"&gt;48.3&lt;/D&gt;&lt;D xsi:type="xsd:double"&gt;48.35&lt;/D&gt;&lt;D xsi:type="xsd:double"&gt;47.96&lt;/D&gt;&lt;D xsi:type="xsd:double"&gt;47.38&lt;/D&gt;&lt;D xsi:type="xsd:double"&gt;47.56&lt;/D&gt;&lt;D xsi:type="xsd:double"&gt;47.31&lt;/D&gt;&lt;D xsi:type="xsd:double"&gt;47.46&lt;/D&gt;&lt;D xsi:type="xsd:double"&gt;47.34&lt;/D&gt;&lt;D xsi:type="xsd:double"&gt;47.27&lt;/D&gt;&lt;D xsi:type="xsd:double"&gt;46.84&lt;/D&gt;&lt;D xsi:type="xsd:double"&gt;46.4&lt;/D&gt;&lt;D xsi:type="xsd:double"&gt;46.02&lt;/D&gt;&lt;D xsi:type="xsd:double"&gt;45.63&lt;/D&gt;&lt;D xsi:type="xsd:double"&gt;45.49&lt;/D&gt;&lt;D xsi:type="xsd:double"&gt;45.09&lt;/D&gt;&lt;D xsi:type="xsd:double"&gt;45.19&lt;/D&gt;&lt;D xsi:type="xsd:double"&gt;45.21&lt;/D&gt;&lt;D xsi:type="xsd:double"&gt;45.06&lt;/D&gt;&lt;D xsi:type="xsd:double"&gt;45.05&lt;/D&gt;&lt;D xsi:type="xsd:double"&gt;45.045&lt;/D&gt;&lt;D xsi:type="xsd:double"&gt;44.98&lt;/D&gt;&lt;D xsi:type="xsd:double"&gt;44.94&lt;/D&gt;&lt;D xsi:type="xsd:double"&gt;45.08&lt;/D&gt;&lt;D xsi:type="xsd:double"&gt;44.42&lt;/D&gt;&lt;D xsi:type="xsd:double"&gt;44.49&lt;/D&gt;&lt;D xsi:type="xsd:double"&gt;44.04&lt;/D&gt;&lt;D xsi:type="xsd:double"&gt;44.33&lt;/D&gt;&lt;D xsi:type="xsd:double"&gt;44.21&lt;/D&gt;&lt;D xsi:type="xsd:double"&gt;44.19&lt;/D&gt;&lt;D xsi:type="xsd:double"&gt;44.15&lt;/D&gt;&lt;D xsi:type="xsd:double"&gt;43.83&lt;/D&gt;&lt;D xsi:type="xsd:double"&gt;43.4&lt;/D&gt;&lt;D xsi:type="xsd:double"&gt;43.24&lt;/D&gt;&lt;D xsi:type="xsd:double"&gt;43.33&lt;/D&gt;&lt;D xsi:type="xsd:double"&gt;42.96&lt;/D&gt;&lt;D xsi:type="xsd:double"&gt;42.73&lt;/D&gt;&lt;D xsi:type="xsd:double"&gt;43.25&lt;/D&gt;&lt;D xsi:type="xsd:double"&gt;43.75&lt;/D&gt;&lt;D xsi:type="xsd:double"&gt;43.62&lt;/D&gt;&lt;D xsi:type="xsd:double"&gt;43.98&lt;/D&gt;&lt;D xsi:type="xsd:double"&gt;44.33&lt;/D&gt;&lt;D xsi:type="xsd:double"&gt;44.22&lt;/D&gt;&lt;D xsi:type="xsd:double"&gt;44.77&lt;/D&gt;&lt;D xsi:type="xsd:double"&gt;44.76&lt;/D&gt;&lt;D xsi:type="xsd:double"&gt;44.46&lt;/D&gt;&lt;D xsi:type="xsd:double"&gt;44.32&lt;/D&gt;&lt;D xsi:type="xsd:double"&gt;44.68&lt;/D&gt;&lt;D xsi:type="xsd:double"&gt;44.59&lt;/D&gt;&lt;D xsi:type="xsd:double"&gt;44.09&lt;/D&gt;&lt;D xsi:type="xsd:double"&gt;44.58&lt;/D&gt;&lt;D xsi:type="xsd:double"&gt;44.16&lt;/D&gt;&lt;D xsi:type="xsd:double"&gt;43.87&lt;/D&gt;&lt;D xsi:type="xsd:double"&gt;43.95&lt;/D&gt;&lt;D xsi:type="xsd:double"&gt;44.21&lt;/D&gt;&lt;D xsi:type="xsd:double"&gt;44.22&lt;/D&gt;&lt;D xsi:type="xsd:double"&gt;44.25&lt;/D&gt;&lt;D xsi:type="xsd:double"&gt;44.59&lt;/D&gt;&lt;D xsi:type="xsd:double"&gt;44.32&lt;/D&gt;&lt;D xsi:type="xsd:double"&gt;44.63&lt;/D&gt;&lt;D xsi:type="xsd:double"&gt;44.48&lt;/D&gt;&lt;D xsi:type="xsd:double"&gt;44.45&lt;/D&gt;&lt;D xsi:type="xsd:double"&gt;44.88&lt;/D&gt;&lt;D xsi:type="xsd:double"&gt;45&lt;/D&gt;&lt;D xsi:type="xsd:double"&gt;45.17&lt;/D&gt;&lt;D xsi:type="xsd:double"&gt;45.12&lt;/D&gt;&lt;D xsi:type="xsd:double"&gt;45.245&lt;/D&gt;&lt;D xsi:type="xsd:double"&gt;45.11&lt;/D&gt;&lt;D xsi:type="xsd:double"&gt;45.06&lt;/D&gt;&lt;D xsi:type="xsd:double"&gt;45.46&lt;/D&gt;&lt;D xsi:type="xsd:double"&gt;45.02&lt;/D&gt;&lt;D xsi:type="xsd:double"&gt;44.55&lt;/D&gt;&lt;D xsi:type="xsd:double"&gt;44.17&lt;/D&gt;&lt;D xsi:type="xsd:double"&gt;44.35&lt;/D&gt;&lt;D xsi:type="xsd:double"&gt;44.24&lt;/D&gt;&lt;D xsi:type="xsd:double"&gt;43.97&lt;/D&gt;&lt;D xsi:type="xsd:double"&gt;44.13&lt;/D&gt;&lt;D xsi:type="xsd:double"&gt;44.19&lt;/D&gt;&lt;D xsi:type="xsd:double"&gt;43.88&lt;/D&gt;&lt;D xsi:type="xsd:double"&gt;43.76&lt;/D&gt;&lt;D xsi:type="xsd:double"&gt;43.77&lt;/D&gt;&lt;D xsi:type="xsd:double"&gt;44.19&lt;/D&gt;&lt;D xsi:type="xsd:double"&gt;43.51&lt;/D&gt;&lt;D xsi:type="xsd:double"&gt;43.6&lt;/D&gt;&lt;D xsi:type="xsd:double"&gt;43.33&lt;/D&gt;&lt;D xsi:type="xsd:double"&gt;43.2&lt;/D&gt;&lt;D xsi:type="xsd:double"&gt;43.36&lt;/D&gt;&lt;D xsi:type="xsd:double"&gt;43.23&lt;/D&gt;&lt;D xsi:type="xsd:double"&gt;43.47&lt;/D&gt;&lt;D xsi:type="xsd:double"&gt;43.62&lt;/D&gt;&lt;D xsi:type="xsd:double"&gt;43.87&lt;/D&gt;&lt;D xsi:type="xsd:double"&gt;43.94&lt;/D&gt;&lt;D xsi:type="xsd:double"&gt;43.93&lt;/D&gt;&lt;D xsi:type="xsd:double"&gt;44.19&lt;/D&gt;&lt;D xsi:type="xsd:double"&gt;44.03&lt;/D&gt;&lt;D xsi:type="xsd:double"&gt;43.6&lt;/D&gt;&lt;D xsi:type="xsd:double"&gt;43.71&lt;/D&gt;&lt;D xsi:type="xsd:double"&gt;44.48&lt;/D&gt;&lt;D xsi:type="xsd:double"&gt;44.76&lt;/D&gt;&lt;D xsi:type="xsd:double"&gt;44.5&lt;/D&gt;&lt;D xsi:type="xsd:double"&gt;44.23&lt;/D&gt;&lt;D xsi:type="xsd:double"&gt;44.68&lt;/D&gt;&lt;D xsi:type="xsd:double"&gt;44.51&lt;/D&gt;&lt;D xsi:type="xsd:double"&gt;44.53&lt;/D&gt;&lt;D xsi:type="xsd:double"&gt;44.36&lt;/D&gt;&lt;D xsi:type="xsd:double"&gt;44.55&lt;/D&gt;&lt;D xsi:type="xsd:double"&gt;44.65&lt;/D&gt;&lt;D xsi:type="xsd:double"&gt;44.53&lt;/D&gt;&lt;D xsi:type="xsd:double"&gt;44.56&lt;/D&gt;&lt;D xsi:type="xsd:double"&gt;44.26&lt;/D&gt;&lt;D xsi:type="xsd:double"&gt;44.17&lt;/D&gt;&lt;D xsi:type="xsd:double"&gt;44.26&lt;/D&gt;&lt;D xsi:type="xsd:double"&gt;43.97&lt;/D&gt;&lt;D xsi:type="xsd:double"&gt;43.66&lt;/D&gt;&lt;D xsi:type="xsd:double"&gt;43.6&lt;/D&gt;&lt;D xsi:type="xsd:double"&gt;43.58&lt;/D&gt;&lt;D xsi:type="xsd:double"&gt;43.77&lt;/D&gt;&lt;D xsi:type="xsd:double"&gt;43.79&lt;/D&gt;&lt;D xsi:type="xsd:double"&gt;43.7&lt;/D&gt;&lt;D xsi:type="xsd:double"&gt;43.34&lt;/D&gt;&lt;D xsi:type="xsd:double"&gt;43.35&lt;/D&gt;&lt;D xsi:type="xsd:double"&gt;43.02&lt;/D&gt;&lt;D xsi:type="xsd:double"&gt;42.77&lt;/D&gt;&lt;D xsi:type="xsd:double"&gt;42.58&lt;/D&gt;&lt;D xsi:type="xsd:double"&gt;42.96&lt;/D&gt;&lt;D xsi:type="xsd:double"&gt;43.075&lt;/D&gt;&lt;D xsi:type="xsd:double"&gt;43.01&lt;/D&gt;&lt;D xsi:type="xsd:double"&gt;43.13&lt;/D&gt;&lt;D xsi:type="xsd:double"&gt;43.01&lt;/D&gt;&lt;D xsi:type="xsd:double"&gt;42.78&lt;/D&gt;&lt;D xsi:type="xsd:double"&gt;42.64&lt;/D&gt;&lt;D xsi:type="xsd:double"&gt;42.28&lt;/D&gt;&lt;D xsi:type="xsd:double"&gt;42.11&lt;/D&gt;&lt;D xsi:type="xsd:double"&gt;42.23&lt;/D&gt;&lt;D xsi:type="xsd:double"&gt;42.33&lt;/D&gt;&lt;D xsi:type="xsd:double"&gt;42.26&lt;/D&gt;&lt;D xsi:type="xsd:double"&gt;42.16&lt;/D&gt;&lt;D xsi:type="xsd:double"&gt;42.28&lt;/D&gt;&lt;D xsi:type="xsd:double"&gt;42.125&lt;/D&gt;&lt;D xsi:type="xsd:double"&gt;41.7&lt;/D&gt;&lt;D xsi:type="xsd:double"&gt;41.81&lt;/D&gt;&lt;D xsi:type="xsd:double"&gt;42.02&lt;/D&gt;&lt;D xsi:type="xsd:double"&gt;41.41&lt;/D&gt;&lt;D xsi:type="xsd:double"&gt;41.19&lt;/D&gt;&lt;/FQL&gt;&lt;FQL&gt;&lt;Q&gt;FXI^FG_TOTAL_RETURNC(0,-6AM)&lt;/Q&gt;&lt;R&gt;1&lt;/R&gt;&lt;C&gt;1&lt;/C&gt;&lt;D xsi:type="xsd:double"&gt;-7.6513233&lt;/D&gt;&lt;/FQL&gt;&lt;FQL&gt;&lt;Q&gt;INDA^FG_TOTAL_RETURNC(0,-6AM)&lt;/Q&gt;&lt;R&gt;1&lt;/R&gt;&lt;C&gt;1&lt;/C&gt;&lt;D xsi:type="xsd:double"&gt;14.713705&lt;/D&gt;&lt;/FQL&gt;&lt;FQL&gt;&lt;Q&gt;VWO^FG_TOTAL_RETURNC(0,-6AM)&lt;/Q&gt;&lt;R&gt;1&lt;/R&gt;&lt;C&gt;1&lt;/C&gt;&lt;D xsi:type="xsd:double"&gt;7.2514176&lt;/D&gt;&lt;/FQL&gt;&lt;FQL&gt;&lt;Q&gt;EWN^FG_TOTAL_RETURNC(0,-6AM)&lt;/Q&gt;&lt;R&gt;1&lt;/R&gt;&lt;C&gt;1&lt;/C&gt;&lt;D xsi:type="xsd:double"&gt;25.089443&lt;/D&gt;&lt;/FQL&gt;&lt;FQL&gt;&lt;Q&gt;EWU^FG_TOTAL_RETURNC(0,-6AM)&lt;/Q&gt;&lt;R&gt;1&lt;/R&gt;&lt;C&gt;1&lt;/C&gt;&lt;D xsi:type="xsd:double"&gt;7.511544&lt;/D&gt;&lt;/FQL&gt;&lt;FQL&gt;&lt;Q&gt;EWC^FG_TOTAL_RETURNC(0,-6AM)&lt;/Q&gt;&lt;R&gt;1&lt;/R&gt;&lt;C&gt;1&lt;/C&gt;&lt;D xsi:type="xsd:double"&gt;11.181271&lt;/D&gt;&lt;/FQL&gt;&lt;FQL&gt;&lt;Q&gt;URTH^PERCENT_CHANGE(FMA_EPS(+1,0,,,,"PORTAGG","MEAN"),FMA_EPS(+1,-1AM,,,,"PORTAGG","MEAN"))&lt;/Q&gt;&lt;R&gt;1&lt;/R&gt;&lt;C&gt;1&lt;/C&gt;&lt;D xsi:type="xsd:double"&gt;0.546402321435673&lt;/D&gt;&lt;/FQL&gt;&lt;FQL&gt;&lt;Q&gt;EWN^FMA_PCT_ABOVE_MAVG(200,0,,,,"PORTAGG")&lt;/Q&gt;&lt;R&gt;1&lt;/R&gt;&lt;C&gt;1&lt;/C&gt;&lt;D xsi:type="xsd:double"&gt;57.4074074074074&lt;/D&gt;&lt;/FQL&gt;&lt;FQL&gt;&lt;Q&gt;FXI^FMA_COS_DOWN("EPS","1M",+1,0,,,"PORTAGG","MEANR")&lt;/Q&gt;&lt;R&gt;1&lt;/R&gt;&lt;C&gt;1&lt;/C&gt;&lt;D xsi:type="xsd:double"&gt;22&lt;/D&gt;&lt;/FQL&gt;&lt;FQL&gt;&lt;Q&gt;EWD^SIZE(FG_CONSTITUENTS)&lt;/Q&gt;&lt;R&gt;1&lt;/R&gt;&lt;C&gt;1&lt;/C&gt;&lt;D xsi:type="xsd:long"&gt;44&lt;/D&gt;&lt;/FQL&gt;&lt;FQL&gt;&lt;Q&gt;EWU^FMA_COS_DOWN("EPS","1M",+1,0,,,"PORTAGG","MEANR")&lt;/Q&gt;&lt;R&gt;1&lt;/R&gt;&lt;C&gt;1&lt;/C&gt;&lt;D xsi:type="xsd:double"&gt;46&lt;/D&gt;&lt;/FQL&gt;&lt;FQL&gt;&lt;Q&gt;EWA^FMA_COS_UP("EPS","1M",+1,0,,,"PORTAGG","MEANR")&lt;/Q&gt;&lt;R&gt;1&lt;/R&gt;&lt;C&gt;1&lt;/C&gt;&lt;D xsi:type="xsd:double"&gt;31&lt;/D&gt;&lt;/FQL&gt;&lt;FQL&gt;&lt;Q&gt;ENZL^FG_COMPANY_NAME&lt;/Q&gt;&lt;R&gt;1&lt;/R&gt;&lt;C&gt;1&lt;/C&gt;&lt;D xsi:type="xsd:string"&gt;iShares MSCI New Zealand ETF&lt;/D&gt;&lt;/FQL&gt;&lt;FQL&gt;&lt;Q&gt;VGK^FG_TOTAL_RETURNC(0,-1AM)&lt;/Q&gt;&lt;R&gt;1&lt;/R&gt;&lt;C&gt;1&lt;/C&gt;&lt;D xsi:type="xsd:double"&gt;5.6337953&lt;/D&gt;&lt;/FQL&gt;&lt;FQL&gt;&lt;Q&gt;QQQ^FG_TOTAL_RETURNC(0,-1AM)&lt;/Q&gt;&lt;R&gt;1&lt;/R&gt;&lt;C&gt;1&lt;/C&gt;&lt;D xsi:type="xsd:double"&gt;1.9111514&lt;/D&gt;&lt;/FQL&gt;&lt;FQL&gt;&lt;Q&gt;VWO^FG_TOTAL_RETURNC(0,-1AM)&lt;/Q&gt;&lt;R&gt;1&lt;/R&gt;&lt;C&gt;1&lt;/C&gt;&lt;D xsi:type="xsd:double"&gt;3.4795403&lt;/D&gt;&lt;/FQL&gt;&lt;FQL&gt;&lt;Q&gt;URTH^P_PRICE(0,-200D)&lt;/Q&gt;&lt;R&gt;201&lt;/R&gt;&lt;C&gt;1&lt;/C&gt;&lt;D xsi:type="xsd:double"&gt;143.16&lt;/D&gt;&lt;D xsi:type="xsd:double"&gt;141.67&lt;/D&gt;&lt;D xsi:type="xsd:double"&gt;142.08&lt;/D&gt;&lt;D xsi:type="xsd:double"&gt;142.84&lt;/D&gt;&lt;D xsi:type="xsd:double"&gt;141.32&lt;/D&gt;&lt;D xsi:type="xsd:double"&gt;140.27&lt;/D&gt;&lt;D xsi:type="xsd:double"&gt;141.37&lt;/D&gt;&lt;D xsi:type="xsd:double"&gt;141.54&lt;/D&gt;&lt;D xsi:type="xsd:double"&gt;140.28&lt;/D&gt;&lt;D xsi:type="xsd:double"&gt;139.71&lt;/D&gt;&lt;D xsi:type="xsd:double"&gt;140.15&lt;/D&gt;&lt;D xsi:type="xsd:double"&gt;139.79&lt;/D&gt;&lt;D xsi:type="xsd:double"&gt;140.33&lt;/D&gt;&lt;D xsi:type="xsd:double"&gt;140.18&lt;/D&gt;&lt;D xsi:type="xsd:double"&gt;137.7&lt;/D&gt;&lt;D xsi:type="xsd:double"&gt;137.61&lt;/D&gt;&lt;D xsi:type="xsd:double"&gt;138.04&lt;/D&gt;&lt;D xsi:type="xsd:double"&gt;138.55&lt;/D&gt;&lt;D xsi:type="xsd:double"&gt;137.38&lt;/D&gt;&lt;D xsi:type="xsd:double"&gt;135.93&lt;/D&gt;&lt;D xsi:type="xsd:double"&gt;138&lt;/D&gt;&lt;D xsi:type="xsd:double"&gt;137.9&lt;/D&gt;&lt;D xsi:type="xsd:double"&gt;137.23&lt;/D&gt;&lt;D xsi:type="xsd:double"&gt;137.15&lt;/D&gt;&lt;D xsi:type="xsd:double"&gt;136.37&lt;/D&gt;&lt;D xsi:type="xsd:double"&gt;135.84&lt;/D&gt;&lt;D xsi:type="xsd:double"&gt;136.45&lt;/D&gt;&lt;D xsi:type="xsd:double"&gt;135.75&lt;/D&gt;&lt;D xsi:type="xsd:double"&gt;134.2&lt;/D&gt;&lt;D xsi:type="xsd:double"&gt;135.99&lt;/D&gt;&lt;D xsi:type="xsd:double"&gt;136.11&lt;/D&gt;&lt;D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xsi:type="xsd:double"&gt;132.43&lt;/D&gt;&lt;D xsi:type="xsd:double"&gt;132.16&lt;/D&gt;&lt;D xsi:type="xsd:double"&gt;130.63&lt;/D&gt;&lt;D xsi:type="xsd:double"&gt;133.48&lt;/D&gt;&lt;D xsi:type="xsd:double"&gt;132.56&lt;/D&gt;&lt;D xsi:type="xsd:double"&gt;131.95&lt;/D&gt;&lt;D xsi:type="xsd:double"&gt;132.36&lt;/D&gt;&lt;D xsi:type="xsd:double"&gt;131.67&lt;/D&gt;&lt;D xsi:type="xsd:double"&gt;129.75&lt;/D&gt;&lt;D xsi:type="xsd:double"&gt;129.41&lt;/D&gt;&lt;D xsi:type="xsd:double"&gt;128.92&lt;/D&gt;&lt;D xsi:type="xsd:double"&gt;128.46&lt;/D&gt;&lt;D xsi:type="xsd:double"&gt;127.54&lt;/D&gt;&lt;D xsi:type="xsd:double"&gt;127.84&lt;/D&gt;&lt;D xsi:type="xsd:double"&gt;128.04&lt;/D&gt;&lt;D xsi:type="xsd:double"&gt;128.76&lt;/D&gt;&lt;D xsi:type="xsd:double"&gt;127.78&lt;/D&gt;&lt;D xsi:type="xsd:double"&gt;127.43&lt;/D&gt;&lt;D xsi:type="xsd:double"&gt;127.41&lt;/D&gt;&lt;D xsi:type="xsd:double"&gt;127.31&lt;/D&gt;&lt;D xsi:type="xsd:double"&gt;127.52&lt;/D&gt;&lt;D xsi:type="xsd:double"&gt;127.23&lt;/D&gt;&lt;D xsi:type="xsd:double"&gt;126.8&lt;/D&gt;&lt;D xsi:type="xsd:double"&gt;127.07&lt;/D&gt;&lt;D xsi:type="xsd:double"&gt;126.3&lt;/D&gt;&lt;D xsi:type="xsd:double"&gt;125.66&lt;/D&gt;&lt;D xsi:type="xsd:double"&gt;125.66&lt;/D&gt;&lt;D xsi:type="xsd:double"&gt;125.46&lt;/D&gt;&lt;D xsi:type="xsd:double"&gt;122.88&lt;/D&gt;&lt;D xsi:type="xsd:double"&gt;122.84&lt;/D&gt;&lt;D xsi:type="xsd:double"&gt;121.31&lt;/D&gt;&lt;D xsi:type="xsd:double"&gt;122.02&lt;/D&gt;&lt;D xsi:type="xsd:double"&gt;121.99&lt;/D&gt;&lt;D xsi:type="xsd:double"&gt;121.89&lt;/D&gt;&lt;D xsi:type="xsd:double"&gt;121.93&lt;/D&gt;&lt;D xsi:type="xsd:double"&gt;120.72&lt;/D&gt;&lt;D xsi:type="xsd:double"&gt;118.32&lt;/D&gt;&lt;D xsi:type="xsd:double"&gt;117.11&lt;/D&gt;&lt;D xsi:type="xsd:double"&gt;116.43&lt;/D&gt;&lt;D xsi:type="xsd:double"&gt;115.01&lt;/D&gt;&lt;D xsi:type="xsd:double"&gt;115.58&lt;/D&gt;&lt;D xsi:type="xsd:double"&gt;116.77&lt;/D&gt;&lt;D xsi:type="xsd:double"&gt;118.3&lt;/D&gt;&lt;D xsi:type="xsd:double"&gt;117.5&lt;/D&gt;&lt;D xsi:type="xsd:double"&gt;117.65&lt;/D&gt;&lt;D xsi:type="xsd:double"&gt;118.98&lt;/D&gt;&lt;D xsi:type="xsd:double"&gt;120.06&lt;/D&gt;&lt;D xsi:type="xsd:double"&gt;121.84&lt;/D&gt;&lt;D xsi:type="xsd:double"&gt;121.85&lt;/D&gt;&lt;D xsi:type="xsd:double"&gt;120.68&lt;/D&gt;&lt;D xsi:type="xsd:double"&gt;121.38&lt;/D&gt;&lt;D xsi:type="xsd:double"&gt;122.32&lt;/D&gt;&lt;D xsi:type="xsd:double"&gt;121.78&lt;/D&gt;&lt;D xsi:type="xsd:double"&gt;120.79&lt;/D&gt;&lt;D xsi:type="xsd:double"&gt;120.25&lt;/D&gt;&lt;D xsi:type="xsd:double"&gt;118.88&lt;/D&gt;&lt;D xsi:type="xsd:double"&gt;118.63&lt;/D&gt;&lt;D xsi:type="xsd:double"&gt;117.94&lt;/D&gt;&lt;D xsi:type="xsd:double"&gt;119.51&lt;/D&gt;&lt;D xsi:type="xsd:double"&gt;120.17&lt;/D&gt;&lt;D xsi:type="xsd:double"&gt;120.52&lt;/D&gt;&lt;D xsi:type="xsd:double"&gt;119.58&lt;/D&gt;&lt;D xsi:type="xsd:double"&gt;119.67&lt;/D&gt;&lt;D xsi:type="xsd:double"&gt;121.39&lt;/D&gt;&lt;D xsi:type="xsd:double"&gt;121.17&lt;/D&gt;&lt;D xsi:type="xsd:double"&gt;121.36&lt;/D&gt;&lt;D xsi:type="xsd:double"&gt;123.43&lt;/D&gt;&lt;D xsi:type="xsd:double"&gt;124.34&lt;/D&gt;&lt;D xsi:type="xsd:double"&gt;124.52&lt;/D&gt;&lt;D xsi:type="xsd:double"&gt;124.62&lt;/D&gt;&lt;D xsi:type="xsd:double"&gt;125.72&lt;/D&gt;&lt;D xsi:type="xsd:double"&gt;124.52&lt;/D&gt;&lt;D xsi:type="xsd:double"&gt;124.48&lt;/D&gt;&lt;D xsi:type="xsd:double"&gt;125.09&lt;/D&gt;&lt;D xsi:type="xsd:double"&gt;124.12&lt;/D&gt;&lt;D xsi:type="xsd:double"&gt;124.09&lt;/D&gt;&lt;D xsi:type="xsd:double"&gt;124.45&lt;/D&gt;&lt;D xsi:type="xsd:double"&gt;125.21&lt;/D&gt;&lt;D xsi:type="xsd:double"&gt;125.91&lt;/D&gt;&lt;D xsi:type="xsd:double"&gt;125.7&lt;/D&gt;&lt;D xsi:type="xsd:double"&gt;125.89&lt;/D&gt;&lt;D xsi:type="xsd:double"&gt;125.4&lt;/D&gt;&lt;D xsi:type="xsd:double"&gt;123.64&lt;/D&gt;&lt;D xsi:type="xsd:double"&gt;122.7&lt;/D&gt;&lt;D xsi:type="xsd:double"&gt;121.87&lt;/D&gt;&lt;D xsi:type="xsd:double"&gt;123.51&lt;/D&gt;&lt;D xsi:type="xsd:double"&gt;122.21&lt;/D&gt;&lt;D xsi:type="xsd:double"&gt;122.57&lt;/D&gt;&lt;D xsi:type="xsd:double"&gt;121.82&lt;/D&gt;&lt;D xsi:type="xsd:double"&gt;121.85&lt;/D&gt;&lt;D xsi:type="xsd:double"&gt;122.7&lt;/D&gt;&lt;D xsi:type="xsd:double"&gt;123.68&lt;/D&gt;&lt;D xsi:type="xsd:double"&gt;125.17&lt;/D&gt;&lt;D xsi:type="xsd:double"&gt;124.87&lt;/D&gt;&lt;D xsi:type="xsd:double"&gt;125.17&lt;/D&gt;&lt;D xsi:type="xsd:double"&gt;125.01&lt;/D&gt;&lt;D xsi:type="xsd:double"&gt;125.65&lt;/D&gt;&lt;D xsi:type="xsd:double"&gt;126.29&lt;/D&gt;&lt;D xsi:type="xsd:double"&gt;125.22&lt;/D&gt;&lt;D xsi:type="xsd:double"&gt;125.52&lt;/D&gt;&lt;D xsi:type="xsd:double"&gt;125.9&lt;/D&gt;&lt;D xsi:type="xsd:double"&gt;127.91&lt;/D&gt;&lt;D xsi:type="xsd:double"&gt;128.54&lt;/D&gt;&lt;D xsi:type="xsd:double"&gt;128.44&lt;/D&gt;&lt;D xsi:type="xsd:double"&gt;127.22&lt;/D&gt;&lt;D xsi:type="xsd:double"&gt;128.01&lt;/D&gt;&lt;D xsi:type="xsd:double"&gt;127.92&lt;/D&gt;&lt;D xsi:type="xsd:double"&gt;127.59&lt;/D&gt;&lt;D xsi:type="xsd:double"&gt;127.4&lt;/D&gt;&lt;D xsi:type="xsd:double"&gt;127.33&lt;/D&gt;&lt;D xsi:type="xsd:double"&gt;128.1&lt;/D&gt;&lt;D xsi:type="xsd:double"&gt;127.93&lt;/D&gt;&lt;D xsi:type="xsd:double"&gt;126.92&lt;/D&gt;&lt;D xsi:type="xsd:double"&gt;126.64&lt;/D&gt;&lt;D xsi:type="xsd:double"&gt;126.98&lt;/D&gt;&lt;D xsi:type="xsd:double"&gt;125.53&lt;/D&gt;&lt;D xsi:type="xsd:double"&gt;124.18&lt;/D&gt;&lt;D xsi:type="xsd:double"&gt;123.25&lt;/D&gt;&lt;D xsi:type="xsd:double"&gt;122.87&lt;/D&gt;&lt;D xsi:type="xsd:double"&gt;122.77&lt;/D&gt;&lt;D xsi:type="xsd:double"&gt;124.16&lt;/D&gt;&lt;D xsi:type="xsd:double"&gt;124.8&lt;/D&gt;&lt;D xsi:type="xsd:double"&gt;124.52&lt;/D&gt;&lt;D xsi:type="xsd:double"&gt;123.18&lt;/D&gt;&lt;D xsi:type="xsd:double"&gt;122.82&lt;/D&gt;&lt;D xsi:type="xsd:double"&gt;122.8&lt;/D&gt;&lt;D xsi:type="xsd:double"&gt;121.54&lt;/D&gt;&lt;D xsi:type="xsd:double"&gt;121.79&lt;/D&gt;&lt;D xsi:type="xsd:double"&gt;122.89&lt;/D&gt;&lt;D xsi:type="xsd:double"&gt;122.91&lt;/D&gt;&lt;D xsi:type="xsd:double"&gt;123.24&lt;/D&gt;&lt;D xsi:type="xsd:double"&gt;124.29&lt;/D&gt;&lt;D xsi:type="xsd:double"&gt;124.7&lt;/D&gt;&lt;D xsi:type="xsd:double"&gt;123.18&lt;/D&gt;&lt;D xsi:type="xsd:double"&gt;122.95&lt;/D&gt;&lt;D xsi:type="xsd:double"&gt;122.03&lt;/D&gt;&lt;D xsi:type="xsd:double"&gt;121.09&lt;/D&gt;&lt;D xsi:type="xsd:double"&gt;120.95&lt;/D&gt;&lt;D xsi:type="xsd:double"&gt;120.16&lt;/D&gt;&lt;D xsi:type="xsd:double"&gt;121.98&lt;/D&gt;&lt;D xsi:type="xsd:double"&gt;121.46&lt;/D&gt;&lt;D xsi:type="xsd:double"&gt;121.83&lt;/D&gt;&lt;D xsi:type="xsd:double"&gt;120.03&lt;/D&gt;&lt;D xsi:type="xsd:double"&gt;118.6&lt;/D&gt;&lt;D xsi:type="xsd:double"&gt;119.52&lt;/D&gt;&lt;D xsi:type="xsd:double"&gt;119.91&lt;/D&gt;&lt;D xsi:type="xsd:double"&gt;118.41&lt;/D&gt;&lt;D xsi:type="xsd:double"&gt;117.91&lt;/D&gt;&lt;/FQL&gt;&lt;FQL&gt;&lt;Q&gt;FXI^FG_TOTAL_RETURNC(0,-3AM)&lt;/Q&gt;&lt;R&gt;1&lt;/R&gt;&lt;C&gt;1&lt;/C&gt;&lt;D xsi:type="xsd:double"&gt;5.2659154&lt;/D&gt;&lt;/FQL&gt;&lt;FQL&gt;&lt;Q&gt;INDA^FG_TOTAL_RETURNC(0,-3AM)&lt;/Q&gt;&lt;R&gt;1&lt;/R&gt;&lt;C&gt;1&lt;/C&gt;&lt;D xsi:type="xsd:double"&gt;9.096659&lt;/D&gt;&lt;/FQL&gt;&lt;FQL&gt;&lt;Q&gt;VWO^FG_TOTAL_RETURNC(0,-3AM)&lt;/Q&gt;&lt;R&gt;1&lt;/R&gt;&lt;C&gt;1&lt;/C&gt;&lt;D xsi:type="xsd:double"&gt;6.805098&lt;/D&gt;&lt;/FQL&gt;&lt;FQL&gt;&lt;Q&gt;EWN^FG_TOTAL_RETURNC(0,-3AM)&lt;/Q&gt;&lt;R&gt;1&lt;/R&gt;&lt;C&gt;1&lt;/C&gt;&lt;D xsi:type="xsd:double"&gt;13.702&lt;/D&gt;&lt;/FQL&gt;&lt;FQL&gt;&lt;Q&gt;EWU^FG_TOTAL_RETURNC(0,-3AM)&lt;/Q&gt;&lt;R&gt;1&lt;/R&gt;&lt;C&gt;1&lt;/C&gt;&lt;D xsi:type="xsd:double"&gt;5.5657864&lt;/D&gt;&lt;/FQL&gt;&lt;FQL&gt;&lt;Q&gt;EWC^FG_TOTAL_RETURNC(0,-3AM)&lt;/Q&gt;&lt;R&gt;1&lt;/R&gt;&lt;C&gt;1&lt;/C&gt;&lt;D xsi:type="xsd:double"&gt;9.780371&lt;/D&gt;&lt;/FQL&gt;&lt;FQL&gt;&lt;Q&gt;URTH^FMA_PCT_ABOVE_MAVG(200,0,,,,"PORTAGG")&lt;/Q&gt;&lt;R&gt;1&lt;/R&gt;&lt;C&gt;1&lt;/C&gt;&lt;D xsi:type="xsd:double"&gt;69.8770491803279&lt;/D&gt;&lt;/FQL&gt;&lt;FQL&gt;&lt;Q&gt;EWQ^PERCENT_CHANGE(FMA_EPS(+1,0,,,,"PORTAGG","MEAN"),FMA_EPS(+1,-3AM,,,,"PORTAGG","MEAN"))&lt;/Q&gt;&lt;R&gt;1&lt;/R&gt;&lt;C&gt;1&lt;/C&gt;&lt;D xsi:type="xsd:double"&gt;-3.54143688098541&lt;/D&gt;&lt;/FQL&gt;&lt;FQL&gt;&lt;Q&gt;FXI^FMA_COS_UP("EPS","1M",+1,0,,,"PORTAGG","MEANR")&lt;/Q&gt;&lt;R&gt;1&lt;/R&gt;&lt;C&gt;1&lt;/C&gt;&lt;D xsi:type="xsd:double"&gt;15&lt;/D&gt;&lt;/FQL&gt;&lt;FQL&gt;&lt;Q&gt;EWJ^SIZE(FG_CONSTITUENTS)&lt;/Q&gt;&lt;R&gt;1&lt;/R&gt;&lt;C&gt;1&lt;/C&gt;&lt;D xsi:type="xsd:long"&gt;219&lt;/D&gt;&lt;/FQL&gt;&lt;FQL&gt;&lt;Q&gt;EWD^FMA_COS_DOWN("EPS","1M",+1,0,,,"PORTAGG","MEANR")&lt;/Q&gt;&lt;R&gt;1&lt;/R&gt;&lt;C&gt;1&lt;/C&gt;&lt;D xsi:type="xsd:double"&gt;14&lt;/D&gt;&lt;/FQL&gt;&lt;FQL&gt;&lt;Q&gt;EWU^FMA_COS_UP("EPS","1M",+1,0,,,"PORTAGG","MEANR")&lt;/Q&gt;&lt;R&gt;1&lt;/R&gt;&lt;C&gt;1&lt;/C&gt;&lt;D xsi:type="xsd:double"&gt;29&lt;/D&gt;&lt;/FQL&gt;&lt;FQL&gt;&lt;Q&gt;ENZL^SIZE(FG_CONSTITUENTS)&lt;/Q&gt;&lt;R&gt;1&lt;/R&gt;&lt;C&gt;1&lt;/C&gt;&lt;D xsi:type="xsd:long"&gt;14&lt;/D&gt;&lt;/FQL&gt;&lt;FQL&gt;&lt;Q&gt;FXI^P_PRICE(0)/P_PRICE_HIGH_PR(0,,,USD,,,"PRICE","INTRA","52W")&lt;/Q&gt;&lt;R&gt;1&lt;/R&gt;&lt;C&gt;1&lt;/C&gt;&lt;D xsi:type="xsd:double"&gt;0.8041912&lt;/D&gt;&lt;/FQL&gt;&lt;FQL&gt;&lt;Q&gt;TLT^P_PRICE(0)/P_PRICE_HIGH_PR(0,,,USD,,,"PRICE","INTRA","52W")&lt;/Q&gt;&lt;R&gt;1&lt;/R&gt;&lt;C&gt;1&lt;/C&gt;&lt;D xsi:type="xsd:double"&gt;0.86966085&lt;/D&gt;&lt;/FQL&gt;&lt;FQL&gt;&lt;Q&gt;UUP^P_PRICE(0)/P_PRICE_HIGH_PR(0,,,USD,,,"PRICE","INTRA","52W")&lt;/Q&gt;&lt;R&gt;1&lt;/R&gt;&lt;C&gt;1&lt;/C&gt;&lt;D xsi:type="xsd:double"&gt;0.9225924&lt;/D&gt;&lt;/FQL&gt;&lt;FQL&gt;&lt;Q&gt;VGK^P_PRICE(0,-200D)&lt;/Q&gt;&lt;R&gt;201&lt;/R&gt;&lt;C&gt;1&lt;/C&gt;&lt;D xsi:type="xsd:double"&gt;67.5&lt;/D&gt;&lt;D xsi:type="xsd:double"&gt;66.85&lt;/D&gt;&lt;D xsi:type="xsd:double"&gt;66.84&lt;/D&gt;&lt;D xsi:type="xsd:double"&gt;67.14&lt;/D&gt;&lt;D xsi:type="xsd:double"&gt;66.11&lt;/D&gt;&lt;D xsi:type="xsd:double"&gt;65.41&lt;/D&gt;&lt;D xsi:type="xsd:double"&gt;65.68&lt;/D&gt;&lt;D xsi:type="xsd:double"&gt;65.77&lt;/D&gt;&lt;D xsi:type="xsd:double"&gt;65.22&lt;/D&gt;&lt;D xsi:type="xsd:double"&gt;65.19&lt;/D&gt;&lt;D xsi:type="xsd:double"&gt;65.52&lt;/D&gt;&lt;D xsi:type="xsd:double"&gt;65.41&lt;/D&gt;&lt;D xsi:type="xsd:double"&gt;65.48&lt;/D&gt;&lt;D xsi:type="xsd:double"&gt;65.4&lt;/D&gt;&lt;D xsi:type="xsd:double"&gt;64.75&lt;/D&gt;&lt;D xsi:type="xsd:double"&gt;64.67&lt;/D&gt;&lt;D xsi:type="xsd:double"&gt;64.34&lt;/D&gt;&lt;D xsi:type="xsd:double"&gt;64.24&lt;/D&gt;&lt;D xsi:type="xsd:double"&gt;63.54&lt;/D&gt;&lt;D xsi:type="xsd:double"&gt;62.66&lt;/D&gt;&lt;D xsi:type="xsd:double"&gt;63.9&lt;/D&gt;&lt;D xsi:type="xsd:double"&gt;63.85&lt;/D&gt;&lt;D xsi:type="xsd:double"&gt;63.63&lt;/D&gt;&lt;D xsi:type="xsd:double"&gt;63.63&lt;/D&gt;&lt;D xsi:type="xsd:double"&gt;63.84&lt;/D&gt;&lt;D xsi:type="xsd:double"&gt;63.33&lt;/D&gt;&lt;D xsi:type="xsd:double"&gt;63.7&lt;/D&gt;&lt;D xsi:type="xsd:double"&gt;64.32&lt;/D&gt;&lt;D xsi:type="xsd:double"&gt;63.69&lt;/D&gt;&lt;D xsi:type="xsd:double"&gt;64.17&lt;/D&gt;&lt;D xsi:type="xsd:double"&gt;64.14&lt;/D&gt;&lt;D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xsi:type="xsd:double"&gt;64.1&lt;/D&gt;&lt;D xsi:type="xsd:double"&gt;64.06&lt;/D&gt;&lt;D xsi:type="xsd:double"&gt;63.12&lt;/D&gt;&lt;D xsi:type="xsd:double"&gt;63.87&lt;/D&gt;&lt;D xsi:type="xsd:double"&gt;63.21&lt;/D&gt;&lt;D xsi:type="xsd:double"&gt;63.48&lt;/D&gt;&lt;D xsi:type="xsd:double"&gt;64.19&lt;/D&gt;&lt;D xsi:type="xsd:double"&gt;63.46&lt;/D&gt;&lt;D xsi:type="xsd:double"&gt;62.58&lt;/D&gt;&lt;D xsi:type="xsd:double"&gt;62.47&lt;/D&gt;&lt;D xsi:type="xsd:double"&gt;62.38&lt;/D&gt;&lt;D xsi:type="xsd:double"&gt;62.04&lt;/D&gt;&lt;D xsi:type="xsd:double"&gt;61.82&lt;/D&gt;&lt;D xsi:type="xsd:double"&gt;61.81&lt;/D&gt;&lt;D xsi:type="xsd:double"&gt;61.87&lt;/D&gt;&lt;D xsi:type="xsd:double"&gt;62.21&lt;/D&gt;&lt;D xsi:type="xsd:double"&gt;61.62&lt;/D</t>
        </r>
      </text>
    </comment>
    <comment ref="A4" authorId="0" shapeId="0" xr:uid="{F2ADD4FB-3FD5-45F5-A597-465A0C64A201}">
      <text>
        <r>
          <rPr>
            <b/>
            <sz val="9"/>
            <color indexed="81"/>
            <rFont val="Tahoma"/>
            <charset val="1"/>
          </rPr>
          <t>&gt;&lt;D xsi:type="xsd:double"&gt;61.76&lt;/D&gt;&lt;D xsi:type="xsd:double"&gt;61.48&lt;/D&gt;&lt;D xsi:type="xsd:double"&gt;61.48&lt;/D&gt;&lt;D xsi:type="xsd:double"&gt;61.67&lt;/D&gt;&lt;D xsi:type="xsd:double"&gt;61.02&lt;/D&gt;&lt;D xsi:type="xsd:double"&gt;60.92&lt;/D&gt;&lt;D xsi:type="xsd:double"&gt;61.18&lt;/D&gt;&lt;D xsi:type="xsd:double"&gt;60.9&lt;/D&gt;&lt;D xsi:type="xsd:double"&gt;60.07&lt;/D&gt;&lt;D xsi:type="xsd:double"&gt;60.2&lt;/D&gt;&lt;D xsi:type="xsd:double"&gt;60.21&lt;/D&gt;&lt;D xsi:type="xsd:double"&gt;58.48&lt;/D&gt;&lt;D xsi:type="xsd:double"&gt;58.33&lt;/D&gt;&lt;D xsi:type="xsd:double"&gt;58.06&lt;/D&gt;&lt;D xsi:type="xsd:double"&gt;58.07&lt;/D&gt;&lt;D xsi:type="xsd:double"&gt;57.79&lt;/D&gt;&lt;D xsi:type="xsd:double"&gt;58.05&lt;/D&gt;&lt;D xsi:type="xsd:double"&gt;58.24&lt;/D&gt;&lt;D xsi:type="xsd:double"&gt;57.76&lt;/D&gt;&lt;D xsi:type="xsd:double"&gt;56.52&lt;/D&gt;&lt;D xsi:type="xsd:double"&gt;56.14&lt;/D&gt;&lt;D xsi:type="xsd:double"&gt;56.04&lt;/D&gt;&lt;D xsi:type="xsd:double"&gt;55.18&lt;/D&gt;&lt;D xsi:type="xsd:double"&gt;55.57&lt;/D&gt;&lt;D xsi:type="xsd:double"&gt;55.81&lt;/D&gt;&lt;D xsi:type="xsd:double"&gt;56.31&lt;/D&gt;&lt;D xsi:type="xsd:double"&gt;56.1&lt;/D&gt;&lt;D xsi:type="xsd:double"&gt;55.98&lt;/D&gt;&lt;D xsi:type="xsd:double"&gt;56.52&lt;/D&gt;&lt;D xsi:type="xsd:double"&gt;56.99&lt;/D&gt;&lt;D xsi:type="xsd:double"&gt;58.06&lt;/D&gt;&lt;D xsi:type="xsd:double"&gt;58.12&lt;/D&gt;&lt;D xsi:type="xsd:double"&gt;57.59&lt;/D&gt;&lt;D xsi:type="xsd:double"&gt;58.12&lt;/D&gt;&lt;D xsi:type="xsd:double"&gt;58.79&lt;/D&gt;&lt;D xsi:type="xsd:double"&gt;58.4&lt;/D&gt;&lt;D xsi:type="xsd:double"&gt;57.5&lt;/D&gt;&lt;D xsi:type="xsd:double"&gt;57.68&lt;/D&gt;&lt;D xsi:type="xsd:double"&gt;56.94&lt;/D&gt;&lt;D xsi:type="xsd:double"&gt;56.61&lt;/D&gt;&lt;D xsi:type="xsd:double"&gt;56.33&lt;/D&gt;&lt;D xsi:type="xsd:double"&gt;56.94&lt;/D&gt;&lt;D xsi:type="xsd:double"&gt;57.93&lt;/D&gt;&lt;D xsi:type="xsd:double"&gt;57.85&lt;/D&gt;&lt;D xsi:type="xsd:double"&gt;57.29&lt;/D&gt;&lt;D xsi:type="xsd:double"&gt;57.54&lt;/D&gt;&lt;D xsi:type="xsd:double"&gt;58.27&lt;/D&gt;&lt;D xsi:type="xsd:double"&gt;58.67&lt;/D&gt;&lt;D xsi:type="xsd:double"&gt;58.8&lt;/D&gt;&lt;D xsi:type="xsd:double"&gt;59.66&lt;/D&gt;&lt;D xsi:type="xsd:double"&gt;59.55&lt;/D&gt;&lt;D xsi:type="xsd:double"&gt;59.51&lt;/D&gt;&lt;D xsi:type="xsd:double"&gt;60.19&lt;/D&gt;&lt;D xsi:type="xsd:double"&gt;60.28&lt;/D&gt;&lt;D xsi:type="xsd:double"&gt;59.57&lt;/D&gt;&lt;D xsi:type="xsd:double"&gt;59.82&lt;/D&gt;&lt;D xsi:type="xsd:double"&gt;60.21&lt;/D&gt;&lt;D xsi:type="xsd:double"&gt;59.59&lt;/D&gt;&lt;D xsi:type="xsd:double"&gt;59.5&lt;/D&gt;&lt;D xsi:type="xsd:double"&gt;59.76&lt;/D&gt;&lt;D xsi:type="xsd:double"&gt;59.98&lt;/D&gt;&lt;D xsi:type="xsd:double"&gt;60.71&lt;/D&gt;&lt;D xsi:type="xsd:double"&gt;60.92&lt;/D&gt;&lt;D xsi:type="xsd:double"&gt;61.47&lt;/D&gt;&lt;D xsi:type="xsd:double"&gt;61.5&lt;/D&gt;&lt;D xsi:type="xsd:double"&gt;60.64&lt;/D&gt;&lt;D xsi:type="xsd:double"&gt;60.01&lt;/D&gt;&lt;D xsi:type="xsd:double"&gt;59.58&lt;/D&gt;&lt;D xsi:type="xsd:double"&gt;60.42&lt;/D&gt;&lt;D xsi:type="xsd:double"&gt;59.92&lt;/D&gt;&lt;D xsi:type="xsd:double"&gt;60.14&lt;/D&gt;&lt;D xsi:type="xsd:double"&gt;59.8&lt;/D&gt;&lt;D xsi:type="xsd:double"&gt;59.9&lt;/D&gt;&lt;D xsi:type="xsd:double"&gt;60.42&lt;/D&gt;&lt;D xsi:type="xsd:double"&gt;60.79&lt;/D&gt;&lt;D xsi:type="xsd:double"&gt;61.58&lt;/D&gt;&lt;D xsi:type="xsd:double"&gt;61.7&lt;/D&gt;&lt;D xsi:type="xsd:double"&gt;62.23&lt;/D&gt;&lt;D xsi:type="xsd:double"&gt;61.99&lt;/D&gt;&lt;D xsi:type="xsd:double"&gt;61.85&lt;/D&gt;&lt;D xsi:type="xsd:double"&gt;62.18&lt;/D&gt;&lt;D xsi:type="xsd:double"&gt;61.59&lt;/D&gt;&lt;D xsi:type="xsd:double"&gt;61.48&lt;/D&gt;&lt;D xsi:type="xsd:double"&gt;61.65&lt;/D&gt;&lt;D xsi:type="xsd:double"&gt;62.79&lt;/D&gt;&lt;D xsi:type="xsd:double"&gt;63.49&lt;/D&gt;&lt;D xsi:type="xsd:double"&gt;63.51&lt;/D&gt;&lt;D xsi:type="xsd:double"&gt;62.97&lt;/D&gt;&lt;D xsi:type="xsd:double"&gt;63.34&lt;/D&gt;&lt;D xsi:type="xsd:double"&gt;63.22&lt;/D&gt;&lt;D xsi:type="xsd:double"&gt;63.1&lt;/D&gt;&lt;D xsi:type="xsd:double"&gt;63.42&lt;/D&gt;&lt;D xsi:type="xsd:double"&gt;63.2&lt;/D&gt;&lt;D xsi:type="xsd:double"&gt;63.44&lt;/D&gt;&lt;D xsi:type="xsd:double"&gt;63.45&lt;/D&gt;&lt;D xsi:type="xsd:double"&gt;63.08&lt;/D&gt;&lt;D xsi:type="xsd:double"&gt;63.17&lt;/D&gt;&lt;D xsi:type="xsd:double"&gt;63.47&lt;/D&gt;&lt;D xsi:type="xsd:double"&gt;62.49&lt;/D&gt;&lt;D xsi:type="xsd:double"&gt;61.04&lt;/D&gt;&lt;D xsi:type="xsd:double"&gt;60.39&lt;/D&gt;&lt;D xsi:type="xsd:double"&gt;60.03&lt;/D&gt;&lt;D xsi:type="xsd:double"&gt;59.64&lt;/D&gt;&lt;D xsi:type="xsd:double"&gt;60.72&lt;/D&gt;&lt;D xsi:type="xsd:double"&gt;61.52&lt;/D&gt;&lt;D xsi:type="xsd:double"&gt;61.7&lt;/D&gt;&lt;D xsi:type="xsd:double"&gt;60.75&lt;/D&gt;&lt;D xsi:type="xsd:double"&gt;60.84&lt;/D&gt;&lt;D xsi:type="xsd:double"&gt;60.89&lt;/D&gt;&lt;D xsi:type="xsd:double"&gt;60.28&lt;/D&gt;&lt;D xsi:type="xsd:double"&gt;60.2&lt;/D&gt;&lt;D xsi:type="xsd:double"&gt;60.94&lt;/D&gt;&lt;D xsi:type="xsd:double"&gt;61.18&lt;/D&gt;&lt;D xsi:type="xsd:double"&gt;61.3&lt;/D&gt;&lt;D xsi:type="xsd:double"&gt;63.28&lt;/D&gt;&lt;D xsi:type="xsd:double"&gt;63.33&lt;/D&gt;&lt;D xsi:type="xsd:double"&gt;62.48&lt;/D&gt;&lt;D xsi:type="xsd:double"&gt;62.26&lt;/D&gt;&lt;D xsi:type="xsd:double"&gt;61.78&lt;/D&gt;&lt;D xsi:type="xsd:double"&gt;61.51&lt;/D&gt;&lt;D xsi:type="xsd:double"&gt;61.88&lt;/D&gt;&lt;D xsi:type="xsd:double"&gt;61.17&lt;/D&gt;&lt;D xsi:type="xsd:double"&gt;61.44&lt;/D&gt;&lt;D xsi:type="xsd:double"&gt;61.21&lt;/D&gt;&lt;D xsi:type="xsd:double"&gt;61.65&lt;/D&gt;&lt;D xsi:type="xsd:double"&gt;60.93&lt;/D&gt;&lt;D xsi:type="xsd:double"&gt;60.22&lt;/D&gt;&lt;D xsi:type="xsd:double"&gt;60.87&lt;/D&gt;&lt;D xsi:type="xsd:double"&gt;61.51&lt;/D&gt;&lt;D xsi:type="xsd:double"&gt;60.84&lt;/D&gt;&lt;D xsi:type="xsd:double"&gt;61&lt;/D&gt;&lt;/FQL&gt;&lt;FQL&gt;&lt;Q&gt;IWM^FG_TOTAL_RETURNC(0,-6AM)&lt;/Q&gt;&lt;R&gt;1&lt;/R&gt;&lt;C&gt;1&lt;/C&gt;&lt;D xsi:type="xsd:double"&gt;12.202144&lt;/D&gt;&lt;/FQL&gt;&lt;FQL&gt;&lt;Q&gt;FXI^P_PRICE(0,-200D)&lt;/Q&gt;&lt;R&gt;201&lt;/R&gt;&lt;C&gt;1&lt;/C&gt;&lt;D xsi:type="xsd:double"&gt;24.56&lt;/D&gt;&lt;D xsi:type="xsd:double"&gt;24.04&lt;/D&gt;&lt;D xsi:type="xsd:double"&gt;23.47&lt;/D&gt;&lt;D xsi:type="xsd:double"&gt;23.33&lt;/D&gt;&lt;D xsi:type="xsd:double"&gt;23.53&lt;/D&gt;&lt;D xsi:type="xsd:double"&gt;23.03&lt;/D&gt;&lt;D xsi:type="xsd:double"&gt;23.39&lt;/D&gt;&lt;D xsi:type="xsd:double"&gt;23.92&lt;/D&gt;&lt;D xsi:type="xsd:double"&gt;23.42&lt;/D&gt;&lt;D xsi:type="xsd:double"&gt;23.46&lt;/D&gt;&lt;D xsi:type="xsd:double"&gt;24.32&lt;/D&gt;&lt;D xsi:type="xsd:double"&gt;23.91&lt;/D&gt;&lt;D xsi:type="xsd:double"&gt;24.12&lt;/D&gt;&lt;D xsi:type="xsd:double"&gt;23.95&lt;/D&gt;&lt;D xsi:type="xsd:double"&gt;23.59&lt;/D&gt;&lt;D xsi:type="xsd:double"&gt;22.92&lt;/D&gt;&lt;D xsi:type="xsd:double"&gt;23.07&lt;/D&gt;&lt;D xsi:type="xsd:double"&gt;22.76&lt;/D&gt;&lt;D xsi:type="xsd:double"&gt;22.67&lt;/D&gt;&lt;D xsi:type="xsd:double"&gt;22.2&lt;/D&gt;&lt;D xsi:type="xsd:double"&gt;22.72&lt;/D&gt;&lt;D xsi:type="xsd:double"&gt;22.36&lt;/D&gt;&lt;D xsi:type="xsd:double"&gt;22.1&lt;/D&gt;&lt;D xsi:type="xsd:double"&gt;22.62&lt;/D&gt;&lt;D xsi:type="xsd:double"&gt;23.13&lt;/D&gt;&lt;D xsi:type="xsd:double"&gt;21.88&lt;/D&gt;&lt;D xsi:type="xsd:double"&gt;21.41&lt;/D&gt;&lt;D xsi:type="xsd:double"&gt;21.86&lt;/D&gt;&lt;D xsi:type="xsd:double"&gt;21.76&lt;/D&gt;&lt;D xsi:type="xsd:double"&gt;21.93&lt;/D&gt;&lt;D xsi:type="xsd:double"&gt;22.29&lt;/D&gt;&lt;D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xsi:type="xsd:double"&gt;23.71&lt;/D&gt;&lt;D xsi:type="xsd:double"&gt;22.91&lt;/D&gt;&lt;D xsi:type="xsd:double"&gt;24.2&lt;/D&gt;&lt;D xsi:type="xsd:double"&gt;23.88&lt;/D&gt;&lt;D xsi:type="xsd:double"&gt;24.13&lt;/D&gt;&lt;D xsi:type="xsd:double"&gt;24.18&lt;/D&gt;&lt;D xsi:type="xsd:double"&gt;23.87&lt;/D&gt;&lt;D xsi:type="xsd:double"&gt;23.95&lt;/D&gt;&lt;D xsi:type="xsd:double"&gt;23.79&lt;/D&gt;&lt;D xsi:type="xsd:double"&gt;23.7&lt;/D&gt;&lt;D xsi:type="xsd:double"&gt;24.03&lt;/D&gt;&lt;D xsi:type="xsd:double"&gt;23.95&lt;/D&gt;&lt;D xsi:type="xsd:double"&gt;23.94&lt;/D&gt;&lt;D xsi:type="xsd:double"&gt;24.31&lt;/D&gt;&lt;D xsi:type="xsd:double"&gt;24.89&lt;/D&gt;&lt;D xsi:type="xsd:double"&gt;25.16&lt;/D&gt;&lt;D xsi:type="xsd:double"&gt;25.06&lt;/D&gt;&lt;D xsi:type="xsd:double"&gt;25.71&lt;/D&gt;&lt;D xsi:type="xsd:double"&gt;26.02&lt;/D&gt;&lt;D xsi:type="xsd:double"&gt;26.36&lt;/D&gt;&lt;D xsi:type="xsd:double"&gt;26.29&lt;/D&gt;&lt;D xsi:type="xsd:double"&gt;26.16&lt;/D&gt;&lt;D xsi:type="xsd:double"&gt;26.69&lt;/D&gt;&lt;D xsi:type="xsd:double"&gt;26.12&lt;/D&gt;&lt;D xsi:type="xsd:double"&gt;26.1&lt;/D&gt;&lt;D xsi:type="xsd:double"&gt;27.21&lt;/D&gt;&lt;D xsi:type="xsd:double"&gt;26.58&lt;/D&gt;&lt;D xsi:type="xsd:double"&gt;26.02&lt;/D&gt;&lt;D xsi:type="xsd:double"&gt;25.68&lt;/D&gt;&lt;D xsi:type="xsd:double"&gt;25.76&lt;/D&gt;&lt;D xsi:type="xsd:double"&gt;26.12&lt;/D&gt;&lt;D xsi:type="xsd:double"&gt;26.31&lt;/D&gt;&lt;D xsi:type="xsd:double"&gt;26.43&lt;/D&gt;&lt;D xsi:type="xsd:double"&gt;26.35&lt;/D&gt;&lt;D xsi:type="xsd:double"&gt;25.75&lt;/D&gt;&lt;D xsi:type="xsd:double"&gt;25.48&lt;/D&gt;&lt;D xsi:type="xsd:double"&gt;25.52&lt;/D&gt;&lt;D xsi:type="xsd:double"&gt;25.94&lt;/D&gt;&lt;D xsi:type="xsd:double"&gt;25.67&lt;/D&gt;&lt;D xsi:type="xsd:double"&gt;25.58&lt;/D&gt;&lt;D xsi:type="xsd:double"&gt;25.53&lt;/D&gt;&lt;D xsi:type="xsd:double"&gt;26.06&lt;/D&gt;&lt;D xsi:type="xsd:double"&gt;25.25&lt;/D&gt;&lt;D xsi:type="xsd:double"&gt;25.03&lt;/D&gt;&lt;D xsi:type="xsd:double"&gt;25.56&lt;/D&gt;&lt;D xsi:type="xsd:double"&gt;26.01&lt;/D&gt;&lt;D xsi:type="xsd:double"&gt;26.45&lt;/D&gt;&lt;D xsi:type="xsd:double"&gt;26.65&lt;/D&gt;&lt;D xsi:type="xsd:double"&gt;26.48&lt;/D&gt;&lt;D xsi:type="xsd:double"&gt;26.68&lt;/D&gt;&lt;D xsi:type="xsd:double"&gt;27.15&lt;/D&gt;&lt;D xsi:type="xsd:double"&gt;26.89&lt;/D&gt;&lt;D xsi:type="xsd:double"&gt;26.22&lt;/D&gt;&lt;D xsi:type="xsd:double"&gt;26.23&lt;/D&gt;&lt;D xsi:type="xsd:double"&gt;25.69&lt;/D&gt;&lt;D xsi:type="xsd:double"&gt;25.53&lt;/D&gt;&lt;D xsi:type="xsd:double"&gt;25.75&lt;/D&gt;&lt;D xsi:type="xsd:double"&gt;26.37&lt;/D&gt;&lt;D xsi:type="xsd:double"&gt;26.53&lt;/D&gt;&lt;D xsi:type="xsd:double"&gt;26.26&lt;/D&gt;&lt;D xsi:type="xsd:double"&gt;26.41&lt;/D&gt;&lt;D xsi:type="xsd:double"&gt;26.35&lt;/D&gt;&lt;D xsi:type="xsd:double"&gt;26.72&lt;/D&gt;&lt;D xsi:type="xsd:double"&gt;27.14&lt;/D&gt;&lt;D xsi:type="xsd:double"&gt;26.21&lt;/D&gt;&lt;D xsi:type="xsd:double"&gt;26.79&lt;/D&gt;&lt;D xsi:type="xsd:double"&gt;26.98&lt;/D&gt;&lt;D xsi:type="xsd:double"&gt;27.05&lt;/D&gt;&lt;D xsi:type="xsd:double"&gt;27.18&lt;/D&gt;&lt;D xsi:type="xsd:double"&gt;27.3&lt;/D&gt;&lt;D xsi:type="xsd:double"&gt;27.07&lt;/D&gt;&lt;D xsi:type="xsd:double"&gt;27.3&lt;/D&gt;&lt;D xsi:type="xsd:double"&gt;27.24&lt;/D&gt;&lt;D xsi:type="xsd:double"&gt;26.88&lt;/D&gt;&lt;D xsi:type="xsd:double"&gt;26.92&lt;/D&gt;&lt;D xsi:type="xsd:double"&gt;27.71&lt;/D&gt;&lt;D xsi:type="xsd:double"&gt;27.63&lt;/D&gt;&lt;D xsi:type="xsd:double"&gt;28.04&lt;/D&gt;&lt;D xsi:type="xsd:double"&gt;27.4&lt;/D&gt;&lt;D xsi:type="xsd:double"&gt;27.76&lt;/D&gt;&lt;D xsi:type="xsd:double"&gt;27.95&lt;/D&gt;&lt;D xsi:type="xsd:double"&gt;27.41&lt;/D&gt;&lt;D xsi:type="xsd:double"&gt;26.77&lt;/D&gt;&lt;D xsi:type="xsd:double"&gt;26.82&lt;/D&gt;&lt;D xsi:type="xsd:double"&gt;26.7&lt;/D&gt;&lt;D xsi:type="xsd:double"&gt;26.14&lt;/D&gt;&lt;D xsi:type="xsd:double"&gt;26.15&lt;/D&gt;&lt;D xsi:type="xsd:double"&gt;26.19&lt;/D&gt;&lt;D xsi:type="xsd:double"&gt;26.85&lt;/D&gt;&lt;D xsi:type="xsd:double"&gt;26.65&lt;/D&gt;&lt;D xsi:type="xsd:double"&gt;27.21&lt;/D&gt;&lt;D xsi:type="xsd:double"&gt;27.66&lt;/D&gt;&lt;D xsi:type="xsd:double"&gt;27.92&lt;/D&gt;&lt;D xsi:type="xsd:double"&gt;28.83&lt;/D&gt;&lt;D xsi:type="xsd:double"&gt;28.6&lt;/D&gt;&lt;D xsi:type="xsd:double"&gt;28.48&lt;/D&gt;&lt;D xsi:type="xsd:double"&gt;29.02&lt;/D&gt;&lt;D xsi:type="xsd:double"&gt;29.13&lt;/D&gt;&lt;D xsi:type="xsd:double"&gt;29.55&lt;/D&gt;&lt;D xsi:type="xsd:double"&gt;28.77&lt;/D&gt;&lt;D xsi:type="xsd:double"&gt;29.68&lt;/D&gt;&lt;D xsi:type="xsd:double"&gt;30.42&lt;/D&gt;&lt;D xsi:type="xsd:double"&gt;30.08&lt;/D&gt;&lt;D xsi:type="xsd:double"&gt;28.5&lt;/D&gt;&lt;D xsi:type="xsd:double"&gt;28.97&lt;/D&gt;&lt;D xsi:type="xsd:double"&gt;28.56&lt;/D&gt;&lt;D xsi:type="xsd:double"&gt;28.21&lt;/D&gt;&lt;D xsi:type="xsd:double"&gt;27.62&lt;/D&gt;&lt;D xsi:type="xsd:double"&gt;27.6&lt;/D&gt;&lt;D xsi:type="xsd:double"&gt;27.7&lt;/D&gt;&lt;D xsi:type="xsd:double"&gt;27.52&lt;/D&gt;&lt;D xsi:type="xsd:double"&gt;28.15&lt;/D&gt;&lt;D xsi:type="xsd:double"&gt;28.29&lt;/D&gt;&lt;D xsi:type="xsd:double"&gt;28.8&lt;/D&gt;&lt;D xsi:type="xsd:double"&gt;28.16&lt;/D&gt;&lt;D xsi:type="xsd:double"&gt;27.34&lt;/D&gt;&lt;D xsi:type="xsd:double"&gt;27.16&lt;/D&gt;&lt;D xsi:type="xsd:double"&gt;27.18&lt;/D&gt;&lt;D xsi:type="xsd:double"&gt;26.6&lt;/D&gt;&lt;D xsi:type="xsd:double"&gt;27.39&lt;/D&gt;&lt;D xsi:type="xsd:double"&gt;27.71&lt;/D&gt;&lt;D xsi:type="xsd:double"&gt;27.19&lt;/D&gt;&lt;D xsi:type="xsd:double"&gt;26.94&lt;/D&gt;&lt;D xsi:type="xsd:double"&gt;27.37&lt;/D&gt;&lt;D xsi:type="xsd:double"&gt;27.6&lt;/D&gt;&lt;D xsi:type="xsd:double"&gt;27.01&lt;/D&gt;&lt;D xsi:type="xsd:double"&gt;26.87&lt;/D&gt;&lt;D xsi:type="xsd:double"&gt;27.44&lt;/D&gt;&lt;D xsi:type="xsd:double"&gt;27.5&lt;/D&gt;&lt;D xsi:type="xsd:double"&gt;27.67&lt;/D&gt;&lt;D xsi:type="xsd:double"&gt;28.91&lt;/D&gt;&lt;D xsi:type="xsd:double"&gt;29.08&lt;/D&gt;&lt;D xsi:type="xsd:double"&gt;28.45&lt;/D&gt;&lt;D xsi:type="xsd:double"&gt;28.07&lt;/D&gt;&lt;D xsi:type="xsd:double"&gt;27.75&lt;/D&gt;&lt;D xsi:type="xsd:double"&gt;27.82&lt;/D&gt;&lt;D xsi:type="xsd:double"&gt;27.79&lt;/D&gt;&lt;D xsi:type="xsd:double"&gt;27.5&lt;/D&gt;&lt;D xsi:type="xsd:double"&gt;27.99&lt;/D&gt;&lt;D xsi:type="xsd:double"&gt;27.39&lt;/D&gt;&lt;D xsi:type="xsd:double"&gt;27.43&lt;/D&gt;&lt;D xsi:type="xsd:double"&gt;26.63&lt;/D&gt;&lt;D xsi:type="xsd:double"&gt;25.97&lt;/D&gt;&lt;D xsi:type="xsd:double"&gt;26.04&lt;/D&gt;&lt;D xsi:type="xsd:double"&gt;26.83&lt;/D&gt;&lt;D xsi:type="xsd:double"&gt;26.39&lt;/D&gt;&lt;D xsi:type="xsd:double"&gt;26.94&lt;/D&gt;&lt;/FQL&gt;&lt;FQL&gt;&lt;Q&gt;EWC^P_PRICE(0)/P_PRICE_LOW_PR(0,,,USD,,,"PRICE","INTRA","52W")-1&lt;/Q&gt;&lt;R&gt;1&lt;/R&gt;&lt;C&gt;1&lt;/C&gt;&lt;D xsi:type="xsd:double"&gt;0.2040751&lt;/D&gt;&lt;/FQL&gt;&lt;FQL&gt;&lt;Q&gt;TLT^FG_TOTAL_RETURNC(0,-1AM)&lt;/Q&gt;&lt;R&gt;1&lt;/R&gt;&lt;C&gt;1&lt;/C&gt;&lt;D xsi:type="xsd:double"&gt;1.2947083&lt;/D&gt;&lt;/FQL&gt;&lt;FQL&gt;&lt;Q&gt;EWN^PERCENT_CHANGE(FMA_EPS(+1,0,,,,"PORTAGG","MEAN"),FMA_EPS(+1,-3AM,,,,"PORTAGG","MEAN"))&lt;/Q&gt;&lt;R&gt;1&lt;/R&gt;&lt;C&gt;1&lt;/C&gt;&lt;D xsi:type="xsd:double"&gt;0.331695273356279&lt;/D&gt;&lt;/FQL&gt;&lt;FQL&gt;&lt;Q&gt;IWM^P_PRICE(0,-200D)&lt;/Q&gt;&lt;R&gt;201&lt;/R&gt;&lt;C&gt;1&lt;/C&gt;&lt;D xsi:type="xsd:double"&gt;204.91&lt;/D&gt;&lt;D xsi:type="xsd:double"&gt;205.19&lt;/D&gt;&lt;D xsi:type="xsd:double"&gt;206.83&lt;/D&gt;&lt;D xsi:type="xsd:double"&gt;206.96&lt;/D&gt;&lt;D xsi:type="xsd:double"&gt;205.25&lt;/D&gt;&lt;D xsi:type="xsd:double"&gt;203.73&lt;/D&gt;&lt;D xsi:type="xsd:double"&gt;205.7&lt;/D&gt;&lt;D xsi:type="xsd:double"&gt;205.89&lt;/D&gt;&lt;D xsi:type="xsd:double"&gt;203.73&lt;/D&gt;&lt;D xsi:type="xsd:double"&gt;202.32&lt;/D&gt;&lt;D xsi:type="xsd:double"&gt;204&lt;/D&gt;&lt;D xsi:type="xsd:double"&gt;201.15&lt;/D&gt;&lt;D xsi:type="xsd:double"&gt;199.89&lt;/D&gt;&lt;D xsi:type="xsd:double"&gt;199.44&lt;/D&gt;&lt;D xsi:type="xsd:double"&gt;197.94&lt;/D&gt;&lt;D xsi:type="xsd:double"&gt;198.88&lt;/D&gt;&lt;D xsi:type="xsd:double"&gt;201.66&lt;/D&gt;&lt;D xsi:type="xsd:double"&gt;204.44&lt;/D&gt;&lt;D xsi:type="xsd:double"&gt;199.13&lt;/D&gt;&lt;D xsi:type="xsd:double"&gt;194.61&lt;/D&gt;&lt;D xsi:type="xsd:double"&gt;202.96&lt;/D&gt;&lt;D xsi:type="xsd:double"&gt;199.34&lt;/D&gt;&lt;D xsi:type="xsd:double"&gt;196.15&lt;/D&gt;&lt;D xsi:type="xsd:double"&gt;193.22&lt;/D&gt;&lt;D xsi:type="xsd:double"&gt;193.67&lt;/D&gt;&lt;D xsi:type="xsd:double"&gt;191.94&lt;/D&gt;&lt;D xsi:type="xsd:double"&gt;194.41&lt;/D&gt;&lt;D xsi:type="xsd:double"&gt;195.44&lt;/D&gt;&lt;D xsi:type="xsd:double"&gt;192.88&lt;/D&gt;&lt;D xsi:type="xsd:double"&gt;197.71&lt;/D&gt;&lt;D xsi:type="xsd:double"&gt;199.41&lt;/D&gt;&lt;D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xsi:type="xsd:double"&gt;199.62&lt;/D&gt;&lt;D xsi:type="xsd:double"&gt;196.28&lt;/D&gt;&lt;D xsi:type="xsd:double"&gt;200.93&lt;/D&gt;&lt;D xsi:type="xsd:double"&gt;197.11&lt;/D&gt;&lt;D xsi:type="xsd:double"&gt;197.04&lt;/D&gt;&lt;D xsi:type="xsd:double"&gt;198.71&lt;/D&gt;&lt;D xsi:type="xsd:double"&gt;193.33&lt;/D&gt;&lt;D xsi:type="xsd:double"&gt;187&lt;/D&gt;&lt;D xsi:type="xsd:double"&gt;187.19&lt;/D&gt;&lt;D xsi:type="xsd:double"&gt;186.8&lt;/D&gt;&lt;D xsi:type="xsd:double"&gt;185.39&lt;/D&gt;&lt;D xsi:type="xsd:double"&gt;184.06&lt;/D&gt;&lt;D xsi:type="xsd:double"&gt;184.39&lt;/D&gt;&lt;D xsi:type="xsd:double"&gt;186.89&lt;/D&gt;&lt;D xsi:type="xsd:double"&gt;184.91&lt;/D&gt;&lt;D xsi:type="xsd:double"&gt;179.66&lt;/D&gt;&lt;D xsi:type="xsd:double"&gt;178.98&lt;/D&gt;&lt;D xsi:type="xsd:double"&gt;178.04&lt;/D&gt;&lt;D xsi:type="xsd:double"&gt;178.73&lt;/D&gt;&lt;D xsi:type="xsd:double"&gt;179.33&lt;/D&gt;&lt;D xsi:type="xsd:double"&gt;178.13&lt;/D&gt;&lt;D xsi:type="xsd:double"&gt;177.02&lt;/D&gt;&lt;D xsi:type="xsd:double"&gt;179.33&lt;/D&gt;&lt;D xsi:type="xsd:double"&gt;178.29&lt;/D&gt;&lt;D xsi:type="xsd:double"&gt;175.88&lt;/D&gt;&lt;D xsi:type="xsd:double"&gt;178.77&lt;/D&gt;&lt;D xsi:type="xsd:double"&gt;178.46&lt;/D&gt;&lt;D xsi:type="xsd:double"&gt;169.17&lt;/D&gt;&lt;D xsi:type="xsd:double"&gt;169.11&lt;/D&gt;&lt;D xsi:type="xsd:double"&gt;167.24&lt;/D&gt;&lt;D xsi:type="xsd:double"&gt;169.87&lt;/D&gt;&lt;D xsi:type="xsd:double"&gt;171.7&lt;/D&gt;&lt;D xsi:type="xsd:double"&gt;172.31&lt;/D&gt;&lt;D xsi:type="xsd:double"&gt;174.49&lt;/D&gt;&lt;D xsi:type="xsd:double"&gt;169.87&lt;/D&gt;&lt;D xsi:type="xsd:double"&gt;165.46&lt;/D&gt;&lt;D xsi:type="xsd:double"&gt;164.52&lt;/D&gt;&lt;D xsi:type="xsd:double"&gt;163.11&lt;/D&gt;&lt;D xsi:type="xsd:double"&gt;162.21&lt;/D&gt;&lt;D xsi:type="xsd:double"&gt;164.14&lt;/D&gt;&lt;D xsi:type="xsd:double"&gt;163.72&lt;/D&gt;&lt;D xsi:type="xsd:double"&gt;166.47&lt;/D&gt;&lt;D xsi:type="xsd:double"&gt;165.03&lt;/D&gt;&lt;D xsi:type="xsd:double"&gt;166.44&lt;/D&gt;&lt;D xsi:type="xsd:double"&gt;168.62&lt;/D&gt;&lt;D xsi:type="xsd:double"&gt;171.35&lt;/D&gt;&lt;D xsi:type="xsd:double"&gt;174.95&lt;/D&gt;&lt;D xsi:type="xsd:double"&gt;173.02&lt;/D&gt;&lt;D xsi:type="xsd:double"&gt;170.27&lt;/D&gt;&lt;D xsi:type="xsd:double"&gt;171.7&lt;/D&gt;&lt;D xsi:type="xsd:double"&gt;175.67&lt;/D&gt;&lt;D xsi:type="xsd:double"&gt;175.97&lt;/D&gt;&lt;D xsi:type="xsd:double"&gt;174&lt;/D&gt;&lt;D xsi:type="xsd:double"&gt;173&lt;/D&gt;&lt;D xsi:type="xsd:double"&gt;171.35&lt;/D&gt;&lt;D xsi:type="xsd:double"&gt;171.22&lt;/D&gt;&lt;D xsi:type="xsd:double"&gt;171.14&lt;/D&gt;&lt;D xsi:type="xsd:double"&gt;174.07&lt;/D&gt;&lt;D xsi:type="xsd:double"&gt;176.74&lt;/D&gt;&lt;D xsi:type="xsd:double"&gt;177.58&lt;/D&gt;&lt;D xsi:type="xsd:double"&gt;175.99&lt;/D&gt;&lt;D xsi:type="xsd:double"&gt;174.36&lt;/D&gt;&lt;D xsi:type="xsd:double"&gt;177.46&lt;/D&gt;&lt;D xsi:type="xsd:double"&gt;176.67&lt;/D&gt;&lt;D xsi:type="xsd:double"&gt;177.07&lt;/D&gt;&lt;D xsi:type="xsd:double"&gt;179.86&lt;/D&gt;&lt;D xsi:type="xsd:double"&gt;181.68&lt;/D&gt;&lt;D xsi:type="xsd:double"&gt;182.39&lt;/D&gt;&lt;D xsi:type="xsd:double"&gt;183.61&lt;/D&gt;&lt;D xsi:type="xsd:double"&gt;185.55&lt;/D&gt;&lt;D xsi:type="xsd:double"&gt;182.97&lt;/D&gt;&lt;D xsi:type="xsd:double"&gt;184.18&lt;/D&gt;&lt;D xsi:type="xsd:double"&gt;184.36&lt;/D&gt;&lt;D xsi:type="xsd:double"&gt;183.92&lt;/D&gt;&lt;D xsi:type="xsd:double"&gt;184.33&lt;/D&gt;&lt;D xsi:type="xsd:double"&gt;186.13&lt;/D&gt;&lt;D xsi:type="xsd:double"&gt;186.83&lt;/D&gt;&lt;D xsi:type="xsd:double"&gt;190.85&lt;/D&gt;&lt;D xsi:type="xsd:double"&gt;188.61&lt;/D&gt;&lt;D xsi:type="xsd:double"&gt;188.94&lt;/D&gt;&lt;D xsi:type="xsd:double"&gt;188.23&lt;/D&gt;&lt;D xsi:type="xsd:double"&gt;185.64&lt;/D&gt;&lt;D xsi:type="xsd:double"&gt;184&lt;/D&gt;&lt;D xsi:type="xsd:double"&gt;183.22&lt;/D&gt;&lt;D xsi:type="xsd:double"&gt;185.79&lt;/D&gt;&lt;D xsi:type="xsd:double"&gt;183.83&lt;/D&gt;&lt;D xsi:type="xsd:double"&gt;184.38&lt;/D&gt;&lt;D xsi:type="xsd:double"&gt;184.65&lt;/D&gt;&lt;D xsi:type="xsd:double"&gt;183.65&lt;/D&gt;&lt;D xsi:type="xsd:double"&gt;185.84&lt;/D&gt;&lt;D xsi:type="xsd:double"&gt;188.14&lt;/D&gt;&lt;D xsi:type="xsd:double"&gt;190.66&lt;/D&gt;&lt;D xsi:type="xsd:double"&gt;190.99&lt;/D&gt;&lt;D xsi:type="xsd:double"&gt;190.72&lt;/D&gt;&lt;D xsi:type="xsd:double"&gt;191.57&lt;/D&gt;&lt;D xsi:type="xsd:double"&gt;193.08&lt;/D&gt;&lt;D xsi:type="xsd:double"&gt;194.3&lt;/D&gt;&lt;D xsi:type="xsd:double"&gt;194.17&lt;/D&gt;&lt;D xsi:type="xsd:double"&gt;194.56&lt;/D&gt;&lt;D xsi:type="xsd:double"&gt;195.11&lt;/D&gt;&lt;D xsi:type="xsd:double"&gt;197.8&lt;/D&gt;&lt;D xsi:type="xsd:double"&gt;198.71&lt;/D&gt;&lt;D xsi:type="xsd:double"&gt;196.43&lt;/D&gt;&lt;D xsi:type="xsd:double"&gt;193.92&lt;/D&gt;&lt;D xsi:type="xsd:double"&gt;196.46&lt;/D&gt;&lt;D xsi:type="xsd:double"&gt;194.92&lt;/D&gt;&lt;D xsi:type="xsd:double"&gt;194.94&lt;/D&gt;&lt;D xsi:type="xsd:double"&gt;194.46&lt;/D&gt;&lt;D xsi:type="xsd:double"&gt;195.08&lt;/D&gt;&lt;D xsi:type="xsd:double"&gt;196.8&lt;/D&gt;&lt;D xsi:type="xsd:double"&gt;195.97&lt;/D&gt;&lt;D xsi:type="xsd:double"&gt;193.58&lt;/D&gt;&lt;D xsi:type="xsd:double"&gt;191.53&lt;/D&gt;&lt;D xsi:type="xsd:double"&gt;193.42&lt;/D&gt;&lt;D xsi:type="xsd:double"&gt;191.87&lt;/D&gt;&lt;D xsi:type="xsd:double"&gt;189.8&lt;/D&gt;&lt;D xsi:type="xsd:double"&gt;187.87&lt;/D&gt;&lt;D xsi:type="xsd:double"&gt;184.71&lt;/D&gt;&lt;D xsi:type="xsd:double"&gt;182.78&lt;/D&gt;&lt;D xsi:type="xsd:double"&gt;185.78&lt;/D&gt;&lt;D xsi:type="xsd:double"&gt;187.65&lt;/D&gt;&lt;D xsi:type="xsd:double"&gt;187.27&lt;/D&gt;&lt;D xsi:type="xsd:double"&gt;186.38&lt;/D&gt;&lt;D xsi:type="xsd:double"&gt;184.26&lt;/D&gt;&lt;D xsi:type="xsd:double"&gt;183.36&lt;/D&gt;&lt;D xsi:type="xsd:double"&gt;180.75&lt;/D&gt;&lt;D xsi:type="xsd:double"&gt;180.57&lt;/D&gt;&lt;D xsi:type="xsd:double"&gt;183.33&lt;/D&gt;&lt;D xsi:type="xsd:double"&gt;184.7&lt;/D&gt;&lt;D xsi:type="xsd:double"&gt;185.13&lt;/D&gt;&lt;D xsi:type="xsd:double"&gt;185.94&lt;/D&gt;&lt;D xsi:type="xsd:double"&gt;187.44&lt;/D&gt;&lt;D xsi:type="xsd:double"&gt;185.91&lt;/D&gt;&lt;D xsi:type="xsd:double"&gt;187.93&lt;/D&gt;&lt;D xsi:type="xsd:double"&gt;185.8&lt;/D&gt;&lt;D xsi:type="xsd:double"&gt;185.03&lt;/D&gt;&lt;D xsi:type="xsd:double"&gt;186.54&lt;/D&gt;&lt;D xsi:type="xsd:double"&gt;187.24&lt;/D&gt;&lt;D xsi:type="xsd:double"&gt;184.31&lt;/D&gt;&lt;D xsi:type="xsd:double"&gt;179.58&lt;/D&gt;&lt;D xsi:type="xsd:double"&gt;182.02&lt;/D&gt;&lt;D xsi:type="xsd:double"&gt;175.65&lt;/D&gt;&lt;D xsi:type="xsd:double"&gt;173.77&lt;/D&gt;&lt;D xsi:type="xsd:double"&gt;175.5&lt;/D&gt;&lt;D xsi:type="xsd:double"&gt;176.15&lt;/D&gt;&lt;D xsi:type="xsd:double"&gt;174.17&lt;/D&gt;&lt;D xsi:type="xsd:double"&gt;175.54&lt;/D&gt;&lt;/FQL&gt;&lt;FQL&gt;&lt;Q&gt;VGK^P_PRICE(0)/P_PRICE_LOW_PR(0,,,USD,,,"PRICE","INTRA","52W")-1&lt;/Q&gt;&lt;R&gt;1&lt;/R&gt;&lt;C&gt;1&lt;/C&gt;&lt;D xsi:type="xsd:double"&gt;0.22593534&lt;/D&gt;&lt;/FQL&gt;&lt;FQL&gt;&lt;Q&gt;EWC^P_PRICE(0)/P_PRICE_HIGH_PR(0,,,USD,,,"PRICE","INTRA","52W")&lt;/Q&gt;&lt;R&gt;1&lt;/R&gt;&lt;C&gt;1&lt;/C&gt;&lt;D xsi:type="xsd:double"&gt;0.99447805&lt;/D&gt;&lt;/FQL&gt;&lt;FQL&gt;&lt;Q&gt;USO^P_PRICE(0)/P_PRICE_HIGH_PR(0,,,USD,,,"PRICE","INTRA","52W")&lt;/Q&gt;&lt;R&gt;1&lt;/R&gt;&lt;C&gt;1&lt;/C&gt;&lt;D xsi:type="xsd:double"&gt;0.8806579&lt;/D&gt;&lt;/FQL&gt;&lt;FQL&gt;&lt;Q&gt;EWQ^P_PRICE(0)/P_PRICE_HIGH_PR(0,,,USD,,,"PRICE","INTRA","52W")&lt;/Q&gt;&lt;R&gt;1&lt;/R&gt;&lt;C&gt;1&lt;/C&gt;&lt;D xsi:type="xsd:double"&gt;0.999879&lt;/D&gt;&lt;/FQL&gt;&lt;FQL&gt;&lt;Q&gt;EMXC^PERCENT_CHANGE(FMA_EPS(+1,0,,,,"PORTAGG","MEAN"),FMA_EPS(+1,-3AM,,,,"PORTAGG","MEAN"))&lt;/Q&gt;&lt;R&gt;1&lt;/R&gt;&lt;C&gt;1&lt;/C&gt;&lt;D xsi:type="xsd:double"&gt;-2.24693757566868&lt;/D&gt;&lt;/FQL&gt;&lt;FQL&gt;&lt;Q&gt;EWA^FG_COMPANY_NAME&lt;/Q&gt;&lt;R&gt;1&lt;/R&gt;&lt;C&gt;1&lt;/C&gt;&lt;D xsi:type="xsd:string"&gt;iShares MSCI Australia ETF&lt;/D&gt;&lt;/FQL&gt;&lt;FQL&gt;&lt;Q&gt;TLT^FG_TOTAL_RETURNC(0,-3AM)&lt;/Q&gt;&lt;R&gt;1&lt;/R&gt;&lt;C&gt;1&lt;/C&gt;&lt;D xsi:type="xsd:double"&gt;1.2220621&lt;/D&gt;&lt;/FQL&gt;&lt;FQL&gt;&lt;Q&gt;EWJ^P_PRICE(0,-200D)&lt;/Q&gt;&lt;R&gt;201&lt;/R&gt;&lt;C&gt;1&lt;/C&gt;&lt;D xsi:type="xsd:double"&gt;69.98&lt;/D&gt;&lt;D xsi:type="xsd:double"&gt;69.6&lt;/D&gt;&lt;D xsi:type="xsd:double"&gt;71.18&lt;/D&gt;&lt;D xsi:type="xsd:double"&gt;71.34&lt;/D&gt;&lt;D xsi:type="xsd:double"&gt;71.37&lt;/D&gt;&lt;D xsi:type="xsd:double"&gt;70.3&lt;/D&gt;&lt;D xsi:type="xsd:double"&gt;69.92&lt;/D&gt;&lt;D xsi:type="xsd:double"&gt;70.33&lt;/D&gt;&lt;D xsi:type="xsd:double"&gt;69.12&lt;/D&gt;&lt;D xsi:type="xsd:double"&gt;68.67&lt;/D&gt;&lt;D xsi:type="xsd:double"&gt;69.18&lt;/D&gt;&lt;D xsi:type="xsd:double"&gt;69&lt;/D&gt;&lt;D xsi:type="xsd:double"&gt;69.01&lt;/D&gt;&lt;D xsi:type="xsd:double"&gt;68.9&lt;/D&gt;&lt;D xsi:type="xsd:double"&gt;67.79&lt;/D&gt;&lt;D xsi:type="xsd:double"&gt;67.93&lt;/D&gt;&lt;D xsi:type="xsd:double"&gt;67.63&lt;/D&gt;&lt;D xsi:type="xsd:double"&gt;67.64&lt;/D&gt;&lt;D xsi:type="xsd:double"&gt;67&lt;/D&gt;&lt;D xsi:type="xsd:double"&gt;66.74&lt;/D&gt;&lt;D xsi:type="xsd:double"&gt;66.97&lt;/D&gt;&lt;D xsi:type="xsd:double"&gt;66.63&lt;/D&gt;&lt;D xsi:type="xsd:double"&gt;66.39&lt;/D&gt;&lt;D xsi:type="xsd:double"&gt;66.56&lt;/D&gt;&lt;D xsi:type="xsd:double"&gt;66.18&lt;/D&gt;&lt;D xsi:type="xsd:double"&gt;66.19&lt;/D&gt;&lt;D xsi:type="xsd:double"&gt;66.51&lt;/D&gt;&lt;D xsi:type="xsd:double"&gt;66.92&lt;/D&gt;&lt;D xsi:type="xsd:double"&gt;66.21&lt;/D&gt;&lt;D xsi:type="xsd:double"&gt;65.93&lt;/D&gt;&lt;D xsi:type="xsd:double"&gt;66.17&lt;/D&gt;&lt;D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xsi:type="xsd:double"&gt;63.13&lt;/D&gt;&lt;D xsi:type="xsd:double"&gt;62.05&lt;/D&gt;&lt;D xsi:type="xsd:double"&gt;63.24&lt;/D&gt;&lt;D xsi:type="xsd:double"&gt;63.05&lt;/D&gt;&lt;D xsi:type="xsd:double"&gt;63.17&lt;/D&gt;&lt;D xsi:type="xsd:double"&gt;63.72&lt;/D&gt;&lt;D xsi:type="xsd:double"&gt;64.01&lt;/D&gt;&lt;D xsi:type="xsd:double"&gt;63.05&lt;/D&gt;&lt;D xsi:type="xsd:double"&gt;63.14&lt;/D&gt;&lt;D xsi:type="xsd:double"&gt;62.78&lt;/D&gt;&lt;D xsi:type="xsd:double"&gt;63.15&lt;/D&gt;&lt;D xsi:type="xsd:double"&gt;62.67&lt;/D&gt;&lt;D xsi:type="xsd:double"&gt;62.02&lt;/D&gt;&lt;D xsi:type="xsd:double"&gt;62.25&lt;/D&gt;&lt;D xsi:type="xsd:double"&gt;63.21&lt;/D&gt;&lt;D xsi:type="xsd:double"&gt;62.61&lt;/D&gt;&lt;D xsi:type="xsd:double"&gt;62.49&lt;/D&gt;&lt;D xsi:type="xsd:double"&gt;62.55&lt;/D&gt;&lt;D xsi:type="xsd:double"&gt;62.56&lt;/D&gt;&lt;D xsi:type="xsd:double"&gt;62.61&lt;/D&gt;&lt;D xsi:type="xsd:double"&gt;62.49&lt;/D&gt;&lt;D xsi:type="xsd:double"&gt;62.1&lt;/D&gt;&lt;D xsi:type="xsd:double"&gt;62.36&lt;/D&gt;&lt;D xsi:type="xsd:double"&gt;62.35&lt;/D&gt;&lt;D xsi:type="xsd:double"&gt;61.39&lt;/D&gt;&lt;D xsi:type="xsd:double"&gt;61.18&lt;/D&gt;&lt;D xsi:type="xsd:double"&gt;61.64&lt;/D&gt;&lt;D xsi:type="xsd:double"&gt;60.44&lt;/D&gt;&lt;D xsi:type="xsd:double"&gt;60.47&lt;/D&gt;&lt;D xsi:type="xsd:double"&gt;59.89&lt;/D&gt;&lt;D xsi:type="xsd:double"&gt;59.64&lt;/D&gt;&lt;D xsi:type="xsd:double"&gt;60.64&lt;/D&gt;&lt;D xsi:type="xsd:double"&gt;61.2&lt;/D&gt;&lt;D xsi:type="xsd:double"&gt;62&lt;/D&gt;&lt;D xsi:type="xsd:double"&gt;60.95&lt;/D&gt;&lt;D xsi:type="xsd:double"&gt;59.97&lt;/D&gt;&lt;D xsi:type="xsd:double"&gt;58.96&lt;/D&gt;&lt;D xsi:type="xsd:double"&gt;58.25&lt;/D&gt;&lt;D xsi:type="xsd:double"&gt;57.82&lt;/D&gt;&lt;D xsi:type="xsd:double"&gt;57.34&lt;/D&gt;&lt;D xsi:type="xsd:double"&gt;58.13&lt;/D&gt;&lt;D xsi:type="xsd:double"&gt;58.36&lt;/D&gt;&lt;D xsi:type="xsd:double"&gt;57.99&lt;/D&gt;&lt;D xsi:type="xsd:double"&gt;58.13&lt;/D&gt;&lt;D xsi:type="xsd:double"&gt;58.52&lt;/D&gt;&lt;D xsi:type="xsd:double"&gt;58.95&lt;/D&gt;&lt;D xsi:type="xsd:double"&gt;59.89&lt;/D&gt;&lt;D xsi:type="xsd:double"&gt;59.77&lt;/D&gt;&lt;D xsi:type="xsd:double"&gt;59.58&lt;/D&gt;&lt;D xsi:type="xsd:double"&gt;60.33&lt;/D&gt;&lt;D xsi:type="xsd:double"&gt;60.18&lt;/D&gt;&lt;D xsi:type="xsd:double"&gt;60.33&lt;/D&gt;&lt;D xsi:type="xsd:double"&gt;59.55&lt;/D&gt;&lt;D xsi:type="xsd:double"&gt;59.38&lt;/D&gt;&lt;D xsi:type="xsd:double"&gt;59.23&lt;/D&gt;&lt;D xsi:type="xsd:double"&gt;58.09&lt;/D&gt;&lt;D xsi:type="xsd:double"&gt;58.73&lt;/D&gt;&lt;D xsi:type="xsd:double"&gt;59.77&lt;/D&gt;&lt;D xsi:type="xsd:double"&gt;60.29&lt;/D&gt;&lt;D xsi:type="xsd:double"&gt;61.15&lt;/D&gt;&lt;D xsi:type="xsd:double"&gt;61.03&lt;/D&gt;&lt;D xsi:type="xsd:double"&gt;60.77&lt;/D&gt;&lt;D xsi:type="xsd:double"&gt;61.72&lt;/D&gt;&lt;D xsi:type="xsd:double"&gt;61.8&lt;/D&gt;&lt;D xsi:type="xsd:double"&gt;61.63&lt;/D&gt;&lt;D xsi:type="xsd:double"&gt;62.6&lt;/D&gt;&lt;D xsi:type="xsd:double"&gt;63.45&lt;/D&gt;&lt;D xsi:type="xsd:double"&gt;63.14&lt;/D&gt;&lt;D xsi:type="xsd:double"&gt;62.99&lt;/D&gt;&lt;D xsi:type="xsd:double"&gt;63.34&lt;/D&gt;&lt;D xsi:type="xsd:double"&gt;62.28&lt;/D&gt;&lt;D xsi:type="xsd:double"&gt;62.31&lt;/D&gt;&lt;D xsi:type="xsd:double"&gt;62.32&lt;/D&gt;&lt;D xsi:type="xsd:double"&gt;61.61&lt;/D&gt;&lt;D xsi:type="xsd:double"&gt;62.23&lt;/D&gt;&lt;D xsi:type="xsd:double"&gt;62.23&lt;/D&gt;&lt;D xsi:type="xsd:double"&gt;62.07&lt;/D&gt;&lt;D xsi:type="xsd:double"&gt;62.04&lt;/D&gt;&lt;D xsi:type="xsd:double"&gt;61.64&lt;/D&gt;&lt;D xsi:type="xsd:double"&gt;60.99&lt;/D&gt;&lt;D xsi:type="xsd:double"&gt;61.1&lt;/D&gt;&lt;D xsi:type="xsd:double"&gt;60.68&lt;/D&gt;&lt;D xsi:type="xsd:double"&gt;59.97&lt;/D&gt;&lt;D xsi:type="xsd:double"&gt;59.66&lt;/D&gt;&lt;D xsi:type="xsd:double"&gt;60.45&lt;/D&gt;&lt;D xsi:type="xsd:double"&gt;59.66&lt;/D&gt;&lt;D xsi:type="xsd:double"&gt;59.37&lt;/D&gt;&lt;D xsi:type="xsd:double"&gt;59.32&lt;/D&gt;&lt;D xsi:type="xsd:double"&gt;59.17&lt;/D&gt;&lt;D xsi:type="xsd:double"&gt;59.42&lt;/D&gt;&lt;D xsi:type="xsd:double"&gt;60.17&lt;/D&gt;&lt;D xsi:type="xsd:double"&gt;60.82&lt;/D&gt;&lt;D xsi:type="xsd:double"&gt;61.37&lt;/D&gt;&lt;D xsi:type="xsd:double"&gt;61.47&lt;/D&gt;&lt;D xsi:type="xsd:double"&gt;61.21&lt;/D&gt;&lt;D xsi:type="xsd:double"&gt;61.75&lt;/D&gt;&lt;D xsi:type="xsd:double"&gt;62.3&lt;/D&gt;&lt;D xsi:type="xsd:double"&gt;61.78&lt;/D&gt;&lt;D xsi:type="xsd:double"&gt;61.19&lt;/D&gt;&lt;D xsi:type="xsd:double"&gt;61.49&lt;/D&gt;&lt;D xsi:type="xsd:double"&gt;62.67&lt;/D&gt;&lt;D xsi:type="xsd:double"&gt;63.42&lt;/D&gt;&lt;D xsi:type="xsd:double"&gt;63.7&lt;/D&gt;&lt;D xsi:type="xsd:double"&gt;63.34&lt;/D&gt;&lt;D xsi:type="xsd:double"&gt;62.83&lt;/D&gt;&lt;D xsi:type="xsd:double"&gt;62.58&lt;/D&gt;&lt;D xsi:type="xsd:double"&gt;62.5&lt;/D&gt;&lt;D xsi:type="xsd:double"&gt;62.41&lt;/D&gt;&lt;D xsi:type="xsd:double"&gt;62.48&lt;/D&gt;&lt;D xsi:type="xsd:double"&gt;63.32&lt;/D&gt;&lt;D xsi:type="xsd:double"&gt;63.31&lt;/D&gt;&lt;D xsi:type="xsd:double"&gt;62.45&lt;/D&gt;&lt;D xsi:type="xsd:double"&gt;62.42&lt;/D&gt;&lt;D xsi:type="xsd:double"&gt;63.18&lt;/D&gt;&lt;D xsi:type="xsd:double"&gt;62.25&lt;/D&gt;&lt;D xsi:type="xsd:double"&gt;61.82&lt;/D&gt;&lt;D xsi:type="xsd:double"&gt;61.55&lt;/D&gt;&lt;D xsi:type="xsd:double"&gt;61.64&lt;/D&gt;&lt;D xsi:type="xsd:double"&gt;60.77&lt;/D&gt;&lt;D xsi:type="xsd:double"&gt;61.58&lt;/D&gt;&lt;D xsi:type="xsd:double"&gt;62.09&lt;/D&gt;&lt;D xsi:type="xsd:double"&gt;61.9&lt;/D&gt;&lt;D xsi:type="xsd:double"&gt;61.51&lt;/D&gt;&lt;D xsi:type="xsd:double"&gt;61.82&lt;/D&gt;&lt;D xsi:type="xsd:double"&gt;61.14&lt;/D&gt;&lt;D xsi:type="xsd:double"&gt;60.91&lt;/D&gt;&lt;D xsi:type="xsd:double"&gt;60.91&lt;/D&gt;&lt;D xsi:type="xsd:double"&gt;62.45&lt;/D&gt;&lt;D xsi:type="xsd:double"&gt;62.97&lt;/D&gt;&lt;D xsi:type="xsd:double"&gt;62.23&lt;/D&gt;&lt;D xsi:type="xsd:double"&gt;63.1&lt;/D&gt;&lt;D xsi:type="xsd:double"&gt;63.71&lt;/D&gt;&lt;D xsi:type="xsd:double"&gt;63.8&lt;/D&gt;&lt;D xsi:type="xsd:double"&gt;63.51&lt;/D&gt;&lt;D xsi:type="xsd:double"&gt;62.61&lt;/D&gt;&lt;D xsi:type="xsd:double"&gt;62.22&lt;/D&gt;&lt;D xsi:type="xsd:double"&gt;61.52&lt;/D&gt;&lt;D xsi:type="xsd:double"&gt;61&lt;/D&gt;&lt;D xsi:type="xsd:double"&gt;63.04&lt;/D&gt;&lt;D xsi:type="xsd:double"&gt;61.78&lt;/D&gt;&lt;D xsi:type="xsd:double"&gt;62&lt;/D&gt;&lt;D xsi:type="xsd:double"&gt;60.83&lt;/D&gt;&lt;D xsi:type="xsd:double"&gt;59.34&lt;/D&gt;&lt;D xsi:type="xsd:double"&gt;59.86&lt;/D&gt;&lt;D xsi:type="xsd:double"&gt;60.25&lt;/D&gt;&lt;D xsi:type="xsd:double"&gt;60.05&lt;/D&gt;&lt;D xsi:type="xsd:double"&gt;59.71&lt;/D&gt;&lt;/FQL&gt;&lt;FQL&gt;&lt;Q&gt;EWA^P_PRICE(0)/P_PRICE_LOW_PR(0,,,USD,,,"PRICE","INTRA","52W")-1&lt;/Q&gt;&lt;R&gt;1&lt;/R&gt;&lt;C&gt;1&lt;/C&gt;&lt;D xsi:type="xsd:double"&gt;0.19305968&lt;/D&gt;&lt;/FQL&gt;&lt;FQL&gt;&lt;Q&gt;EWN^PERCENT_CHANGE(FMA_EPS(+1,0,,,,"PORTAGG","MEAN"),FMA_EPS(+1,-1AM,,,,"PORTAGG","MEAN"))&lt;/Q&gt;&lt;R&gt;1&lt;/R&gt;&lt;C&gt;1&lt;/C&gt;&lt;D xsi:type="xsd:double"&gt;3.34465971262849&lt;/D&gt;&lt;/FQL&gt;&lt;FQL&gt;&lt;Q&gt;EWA^SIZE(FG_CONSTITUENTS)&lt;/Q&gt;&lt;R&gt;1&lt;/R&gt;&lt;C&gt;1&lt;/C&gt;&lt;D xsi:type="xsd:long"&gt;59&lt;/D&gt;&lt;/FQL&gt;&lt;FQL&gt;&lt;Q&gt;VGK^FG_TOTAL_RETURNC(0,-3AM)&lt;/Q&gt;&lt;R&gt;1&lt;/R&gt;&lt;C&gt;1&lt;/C&gt;&lt;D xsi:type="xsd:double"&gt;8.641934&lt;/D&gt;&lt;/FQL&gt;&lt;FQL&gt;&lt;Q&gt;ENZL^FMA_COS_UP("EPS","1M",+1,0,,,"PORTAGG","MEANR")&lt;/Q&gt;&lt;R&gt;1&lt;/R&gt;&lt;C&gt;1&lt;/C&gt;&lt;D xsi:type="xsd:double"&gt;4&lt;/D&gt;&lt;/FQL&gt;&lt;FQL&gt;&lt;Q&gt;EWA^FG_TOTAL_RETURNC(0,-3AM)&lt;/Q&gt;&lt;R&gt;1&lt;/R&gt;&lt;C&gt;1&lt;/C&gt;&lt;D xsi:type="xsd:double"&gt;8.932781&lt;/D&gt;&lt;/FQL&gt;&lt;FQL&gt;&lt;Q&gt;UUP^FG_TOTAL_RETURNC(0,-3AM)&lt;/Q&gt;&lt;R&gt;1&lt;/R&gt;&lt;C&gt;1&lt;/C&gt;&lt;D xsi:type="xsd:double"&gt;0.6349802&lt;/D&gt;&lt;/FQL&gt;&lt;FQL&gt;&lt;Q&gt;FXI^P_PRICE(0)/P_PRICE_LOW_PR(0,,,USD,,,"PRICE","INTRA","52W")-1&lt;/Q&gt;&lt;R&gt;1&lt;/R&gt;&lt;C&gt;1&lt;/C&gt;&lt;D xsi:type="xsd:double"&gt;0.17737293&lt;/D&gt;&lt;/FQL&gt;&lt;FQL&gt;&lt;Q&gt;EWD^FG_COMPANY_NAME&lt;/Q&gt;&lt;R&gt;1&lt;/R&gt;&lt;C&gt;1&lt;/C&gt;&lt;D xsi:type="xsd:string"&gt;iShares MSCI Sweden ETF&lt;/D&gt;&lt;/FQL&gt;&lt;FQL&gt;&lt;Q&gt;EWC^FG_COMPANY_NAME&lt;/Q&gt;&lt;R&gt;1&lt;/R&gt;&lt;C&gt;1&lt;/C&gt;&lt;D xsi:type="xsd:string"&gt;iShares MSCI Canada ETF&lt;/D&gt;&lt;/FQL&gt;&lt;FQL&gt;&lt;Q&gt;EWJ^FMA_PCT_ABOVE_MAVG(200,0,,,,"PORTAGG")&lt;/Q&gt;&lt;R&gt;1&lt;/R&gt;&lt;C&gt;1&lt;/C&gt;&lt;D xsi:type="xsd:double"&gt;72.1461187214612&lt;/D&gt;&lt;/FQL&gt;&lt;FQL&gt;&lt;Q&gt;EWQ^FG_TOTAL_RETURNC(0,-6AM)&lt;/Q&gt;&lt;R&gt;1&lt;/R&gt;&lt;C&gt;1&lt;/C&gt;&lt;D xsi:type="xsd:double"&gt;12.891209&lt;/D&gt;&lt;/FQL&gt;&lt;FQL&gt;&lt;Q&gt;EWG^PERCENT_CHANGE(FMA_EPS(+1,0,,,,"PORTAGG","MEAN"),FMA_EPS(+1,-3AM,,,,"PORTAGG","MEAN"))&lt;/Q&gt;&lt;R&gt;1&lt;/R&gt;&lt;C&gt;1&lt;/C&gt;&lt;D xsi:type="xsd:double"&gt;-2.73810548708486&lt;/D&gt;&lt;/FQL&gt;&lt;FQL&gt;&lt;Q&gt;IWM^FG_TOTAL_RETURNC(0,-3AM)&lt;/Q&gt;&lt;R&gt;1&lt;/R&gt;&lt;C&gt;1&lt;/C&gt;&lt;D xsi:type="xsd:double"&gt;9.987247&lt;/D&gt;&lt;/FQL&gt;&lt;FQL&gt;&lt;Q&gt;EWQ^FG_TOTAL_RETURNC(0,-3AM)&lt;/Q&gt;&lt;R&gt;1&lt;/R&gt;&lt;C&gt;1&lt;/C&gt;&lt;D xsi:type="xsd:double"&gt;8.107924&lt;/D&gt;&lt;/FQL&gt;&lt;FQL&gt;&lt;Q&gt;EWG^FMA_PCT_ABOVE_MAVG(200,0,,,,"PORTAGG")&lt;/Q&gt;&lt;R&gt;1&lt;/R&gt;&lt;C&gt;1&lt;/C&gt;&lt;D xsi:type="xsd:double"&gt;75.4385964912281&lt;/D&gt;&lt;/FQL&gt;&lt;FQL&gt;&lt;Q&gt;INDA^P_PRICE(0)/P_PRICE_HIGH_PR(0,,,USD,,,"PRICE","INTRA","52W")&lt;/Q&gt;&lt;R&gt;1&lt;/R&gt;&lt;C&gt;1&lt;/C&gt;&lt;D xsi:type="xsd:double"&gt;0.98551&lt;/D&gt;&lt;/FQL&gt;&lt;FQL&gt;&lt;Q&gt;FXI^SIZE(FG_CONSTITUENTS)&lt;/Q&gt;&lt;R&gt;1&lt;/R&gt;&lt;C&gt;1&lt;/C&gt;&lt;D xsi:type="xsd:long"&gt;51&lt;/D&gt;&lt;/FQL&gt;&lt;FQL&gt;&lt;Q&gt;EWL^P_PRICE(0)/P_PRICE_HIGH_PR(0,,,USD,,,"PRICE","INTRA","52W")&lt;/Q&gt;&lt;R&gt;1&lt;/R&gt;&lt;C&gt;1&lt;/C&gt;&lt;D xsi:type="xsd:double"&gt;0.99581075&lt;/D&gt;&lt;/FQL&gt;&lt;FQL&gt;&lt;Q&gt;TLT^FG_TOTAL_RETURNC(0,-6AM)&lt;/Q&gt;&lt;R&gt;1&lt;/R&gt;&lt;C&gt;1&lt;/C&gt;&lt;D xsi:type="xsd:double"&gt;2.6293159&lt;/D&gt;&lt;/FQL&gt;&lt;FQL&gt;&lt;Q&gt;EWQ^PERCENT_CHANGE(FMA_EPS(+1,0,,,,"PORTAGG","MEAN"),FMA_EPS(+1,-1AM,,,,"PORTAGG","MEAN"))&lt;/Q&gt;&lt;R&gt;1&lt;/R&gt;&lt;C&gt;1&lt;/C&gt;&lt;D xsi:type="xsd:double"&gt;0.764169285721584&lt;/D&gt;&lt;/FQL&gt;&lt;FQL&gt;&lt;Q&gt;EWA^FMA_COS_DOWN("EPS","1M",+1,0,,,"PORTAGG","MEANR")&lt;/Q&gt;&lt;R&gt;1&lt;/R&gt;&lt;C&gt;1&lt;/C&gt;&lt;D xsi:type="xsd:double"&gt;26&lt;/D&gt;&lt;/FQL&gt;&lt;FQL&gt;&lt;Q&gt;EWA^FG_TOTAL_RETURNC(0,-6AM)&lt;/Q&gt;&lt;R&gt;1&lt;/R&gt;&lt;C&gt;1&lt;/C&gt;&lt;D xsi:type="xsd:double"&gt;13.240587&lt;/D&gt;&lt;/FQL&gt;&lt;FQL&gt;&lt;Q&gt;UUP^FG_TOTAL_RETURNC(0,-6AM)&lt;/Q&gt;&lt;R&gt;1&lt;/R&gt;&lt;C&gt;1&lt;/C&gt;&lt;D xsi:type="xsd:double"&gt;1.254487&lt;/D&gt;&lt;/FQL&gt;&lt;FQL&gt;&lt;Q&gt;URTH^FMA_COS_DOWN("EPS","1M",+1,0,,,"PORTAGG","MEANR")&lt;/Q&gt;&lt;R&gt;1&lt;/R&gt;&lt;C&gt;1&lt;/C&gt;&lt;D xsi:type="xsd:double"&gt;664&lt;/D&gt;&lt;/FQL&gt;&lt;FQL&gt;&lt;Q&gt;EWL^PERCENT_CHANGE(FMA_EPS(+1,0,,,,"PORTAGG","MEAN"),FMA_EPS(+1,-1AM,,,,"PORTAGG","MEAN"))&lt;/Q&gt;&lt;R&gt;1&lt;/R&gt;&lt;C&gt;1&lt;/C&gt;&lt;D xsi:type="xsd:double"&gt;-0.0788503293658484&lt;/D&gt;&lt;/FQL&gt;&lt;FQL&gt;&lt;Q&gt;EWQ^P_PRICE(0)/P_PRICE_LOW_PR(0,,,USD,,,"PRICE","INTRA","52W")-1&lt;/Q&gt;&lt;R&gt;1&lt;/R&gt;&lt;C&gt;1&lt;/C&gt;&lt;D xsi:type="xsd:double"&gt;0.22756982&lt;/D&gt;&lt;/FQL&gt;&lt;FQL&gt;&lt;Q&gt;GLD^P_PRICE(0)/P_PRICE_HIGH_PR(0,,,USD,,,"PRICE","INTRA","52W")&lt;/Q&gt;&lt;R&gt;1&lt;/R&gt;&lt;C&gt;1&lt;/C&gt;&lt;D xsi:type="xsd:double"&gt;0.9827348&lt;/D&gt;&lt;/FQL&gt;&lt;FQL&gt;&lt;Q&gt;EMXC^PERCENT_CHANGE(FMA_EPS(+1,0,,,,"PORTAGG","MEAN"),FMA_EPS(+1,-1AM,,,,"PORTAGG","MEAN"))&lt;/Q&gt;&lt;R&gt;1&lt;/R&gt;&lt;C&gt;1&lt;/C&gt;&lt;D xsi:type="xsd:double"&gt;-0.737250463144799&lt;/D&gt;&lt;/FQL&gt;&lt;FQL&gt;&lt;Q&gt;EWG^PERCENT_CHANGE(FMA_EPS(+1,0,,,,"PORTAGG","MEAN"),FMA_EPS(+1,-1AM,,,,"PORTAGG","MEAN"))&lt;/Q&gt;&lt;R&gt;1&lt;/R&gt;&lt;C&gt;1&lt;/C&gt;&lt;D xsi:type="xsd:double"&gt;1.0331189042045&lt;/D&gt;&lt;/FQL&gt;&lt;FQL&gt;&lt;Q&gt;EWN^FMA_COS_UP("EPS","1M",+1,0,,,"PORTAGG","MEANR")&lt;/Q&gt;&lt;R&gt;1&lt;/R&gt;&lt;C&gt;1&lt;/C&gt;&lt;D xsi:type="xsd:double"&gt;19&lt;/D&gt;&lt;/FQL&gt;&lt;FQL&gt;&lt;Q&gt;EWU^P_PRICE(0)/P_PRICE_HIGH_PR(0,,,USD,,,"PRICE","INTRA","52W")&lt;/Q&gt;&lt;R&gt;1&lt;/R&gt;&lt;C&gt;1&lt;/C&gt;&lt;D xsi:type="xsd:double"&gt;0.988104&lt;/D&gt;&lt;/FQL&gt;&lt;FQL&gt;&lt;Q&gt;ENZL^FMA_PCT_ABOVE_MAVG(200,0,,,,"PORTAGG")&lt;/Q&gt;&lt;R&gt;1&lt;/R&gt;&lt;C&gt;1&lt;/C&gt;&lt;D xsi:type="xsd:double"&gt;42.8571428571429&lt;/D&gt;&lt;/FQL&gt;&lt;FQL&gt;&lt;Q&gt;EWL^P_PRICE(0)/P_PRICE_LOW_PR(0,,,USD,,,"PRICE","INTRA","52W")-1&lt;/Q&gt;&lt;R&gt;1&lt;/R&gt;&lt;C&gt;1&lt;/C&gt;&lt;D xsi:type="xsd:double"&gt;0.17280388&lt;/D&gt;&lt;/FQL&gt;&lt;FQL&gt;&lt;Q&gt;VWO^P_PRICE(0)/P_PRICE_LOW_PR(0,,,USD,,,"PRICE","INTRA","52W")-1&lt;/Q&gt;&lt;R&gt;1&lt;/R&gt;&lt;C&gt;1&lt;/C&gt;&lt;D xsi:type="xsd:double"&gt;0.12748623&lt;/D&gt;&lt;/FQL&gt;&lt;FQL&gt;&lt;Q&gt;EMXC^P_PRICE(0,-200D)&lt;/Q&gt;&lt;R&gt;201&lt;/R&gt;&lt;C&gt;1&lt;/C&gt;&lt;D xsi:type="xsd:double"&gt;57.65&lt;/D&gt;&lt;D xsi:type="xsd:double"&gt;57.2&lt;/D&gt;&lt;D xsi:type="xsd:double"&gt;57.39&lt;/D&gt;&lt;D xsi:type="xsd:double"&gt;57.57&lt;/D&gt;&lt;D xsi:type="xsd:double"&gt;56.98&lt;/D&gt;&lt;D xsi:type="xsd:double"&gt;56.17&lt;/D&gt;&lt;D xsi:type="xsd:double"&gt;56.64&lt;/D&gt;&lt;D xsi:type="xsd:double"&gt;56.48&lt;/D&gt;&lt;D xsi:type="xsd:double"&gt;55.84&lt;/D&gt;&lt;D xsi:type="xsd:double"&gt;55.76&lt;/D&gt;&lt;D xsi:type="xsd:double"&gt;56.17&lt;/D&gt;&lt;D xsi:type="xsd:double"&gt;56.23&lt;/D&gt;&lt;D xsi:type="xsd:double"&gt;56.43&lt;/D&gt;&lt;D xsi:type="xsd:double"&gt;56.56&lt;/D&gt;&lt;D xsi:type="xsd:double"&gt;56.09&lt;/D&gt;&lt;D xsi:type="xsd:double"&gt;56.31&lt;/D&gt;&lt;D xsi:type="xsd:double"&gt;56.01&lt;/D&gt;&lt;D xsi:type="xsd:double"&gt;56.01&lt;/D&gt;&lt;D xsi:type="xsd:double"&gt;55.79&lt;/D&gt;&lt;D xsi:type="xsd:double"&gt;54.93&lt;/D&gt;&lt;D xsi:type="xsd:double"&gt;55.98&lt;/D&gt;&lt;D xsi:type="xsd:double"&gt;55.79&lt;/D&gt;&lt;D xsi:type="xsd:double"&gt;55.52&lt;/D&gt;&lt;D xsi:type="xsd:double"&gt;55.68&lt;/D&gt;&lt;D xsi:type="xsd:double"&gt;55.36&lt;/D&gt;&lt;D xsi:type="xsd:double"&gt;54.69&lt;/D&gt;&lt;D xsi:type="xsd:double"&gt;54.8&lt;/D&gt;&lt;D xsi:type="xsd:double"&gt;54.68&lt;/D&gt;&lt;D xsi:type="xsd:double"&gt;54.06&lt;/D&gt;&lt;D xsi:type="xsd:double"&gt;54.38&lt;/D&gt;&lt;D xsi:type="xsd:double"&gt;54.68&lt;/D&gt;&lt;D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</t>
        </r>
      </text>
    </comment>
    <comment ref="A5" authorId="0" shapeId="0" xr:uid="{5881DFC2-5ADC-46BB-98A6-A809C1122DFC}">
      <text>
        <r>
          <rPr>
            <b/>
            <sz val="9"/>
            <color indexed="81"/>
            <rFont val="Tahoma"/>
            <charset val="1"/>
          </rPr>
          <t>D&gt;&lt;D xsi:type="xsd:double"&gt;55.5&lt;/D&gt;&lt;D xsi:type="xsd:double"&gt;55.35&lt;/D&gt;&lt;D xsi:type="xsd:double"&gt;54.93&lt;/D&gt;&lt;D xsi:type="xsd:double"&gt;54.45&lt;/D&gt;&lt;D xsi:type="xsd:double"&gt;54.31&lt;/D&gt;&lt;D xsi:type="xsd:double"&gt;53.42&lt;/D&gt;&lt;D xsi:type="xsd:double"&gt;54.89&lt;/D&gt;&lt;D xsi:type="xsd:double"&gt;54.52&lt;/D&gt;&lt;D xsi:type="xsd:double"&gt;54.37&lt;/D&gt;&lt;D xsi:type="xsd:double"&gt;54.69&lt;/D&gt;&lt;D xsi:type="xsd:double"&gt;53.93&lt;/D&gt;&lt;D xsi:type="xsd:double"&gt;53.14&lt;/D&gt;&lt;D xsi:type="xsd:double"&gt;53.21&lt;/D&gt;&lt;D xsi:type="xsd:double"&gt;52.99&lt;/D&gt;&lt;D xsi:type="xsd:double"&gt;53.01&lt;/D&gt;&lt;D xsi:type="xsd:double"&gt;52.72&lt;/D&gt;&lt;D xsi:type="xsd:double"&gt;52.78&lt;/D&gt;&lt;D xsi:type="xsd:double"&gt;52.88&lt;/D&gt;&lt;D xsi:type="xsd:double"&gt;53.35&lt;/D&gt;&lt;D xsi:type="xsd:double"&gt;52.88&lt;/D&gt;&lt;D xsi:type="xsd:double"&gt;52.84&lt;/D&gt;&lt;D xsi:type="xsd:double"&gt;52.91&lt;/D&gt;&lt;D xsi:type="xsd:double"&gt;52.33&lt;/D&gt;&lt;D xsi:type="xsd:double"&gt;52.38&lt;/D&gt;&lt;D xsi:type="xsd:double"&gt;52.45&lt;/D&gt;&lt;D xsi:type="xsd:double"&gt;52.57&lt;/D&gt;&lt;D xsi:type="xsd:double"&gt;52.76&lt;/D&gt;&lt;D xsi:type="xsd:double"&gt;52.31&lt;/D&gt;&lt;D xsi:type="xsd:double"&gt;52.24&lt;/D&gt;&lt;D xsi:type="xsd:double"&gt;52.18&lt;/D&gt;&lt;D xsi:type="xsd:double"&gt;51.98&lt;/D&gt;&lt;D xsi:type="xsd:double"&gt;50.64&lt;/D&gt;&lt;D xsi:type="xsd:double"&gt;50.84&lt;/D&gt;&lt;D xsi:type="xsd:double"&gt;50.32&lt;/D&gt;&lt;D xsi:type="xsd:double"&gt;50.69&lt;/D&gt;&lt;D xsi:type="xsd:double"&gt;51.02&lt;/D&gt;&lt;D xsi:type="xsd:double"&gt;51.16&lt;/D&gt;&lt;D xsi:type="xsd:double"&gt;50.68&lt;/D&gt;&lt;D xsi:type="xsd:double"&gt;49.89&lt;/D&gt;&lt;D xsi:type="xsd:double"&gt;48.87&lt;/D&gt;&lt;D xsi:type="xsd:double"&gt;48.21&lt;/D&gt;&lt;D xsi:type="xsd:double"&gt;48.37&lt;/D&gt;&lt;D xsi:type="xsd:double"&gt;47.86&lt;/D&gt;&lt;D xsi:type="xsd:double"&gt;48.02&lt;/D&gt;&lt;D xsi:type="xsd:double"&gt;48.41&lt;/D&gt;&lt;D xsi:type="xsd:double"&gt;49&lt;/D&gt;&lt;D xsi:type="xsd:double"&gt;48.66&lt;/D&gt;&lt;D xsi:type="xsd:double"&gt;48.81&lt;/D&gt;&lt;D xsi:type="xsd:double"&gt;49.32&lt;/D&gt;&lt;D xsi:type="xsd:double"&gt;49.42&lt;/D&gt;&lt;D xsi:type="xsd:double"&gt;50.13&lt;/D&gt;&lt;D xsi:type="xsd:double"&gt;50.17&lt;/D&gt;&lt;D xsi:type="xsd:double"&gt;49.67&lt;/D&gt;&lt;D xsi:type="xsd:double"&gt;49.86&lt;/D&gt;&lt;D xsi:type="xsd:double"&gt;50.27&lt;/D&gt;&lt;D xsi:type="xsd:double"&gt;49.98&lt;/D&gt;&lt;D xsi:type="xsd:double"&gt;49.37&lt;/D&gt;&lt;D xsi:type="xsd:double"&gt;49.68&lt;/D&gt;&lt;D xsi:type="xsd:double"&gt;49.15&lt;/D&gt;&lt;D xsi:type="xsd:double"&gt;48.99&lt;/D&gt;&lt;D xsi:type="xsd:double"&gt;49.06&lt;/D&gt;&lt;D xsi:type="xsd:double"&gt;49.59&lt;/D&gt;&lt;D xsi:type="xsd:double"&gt;49.83&lt;/D&gt;&lt;D xsi:type="xsd:double"&gt;49.93&lt;/D&gt;&lt;D xsi:type="xsd:double"&gt;49.7&lt;/D&gt;&lt;D xsi:type="xsd:double"&gt;49.68&lt;/D&gt;&lt;D xsi:type="xsd:double"&gt;50.41&lt;/D&gt;&lt;D xsi:type="xsd:double"&gt;50.41&lt;/D&gt;&lt;D xsi:type="xsd:double"&gt;50.25&lt;/D&gt;&lt;D xsi:type="xsd:double"&gt;51.07&lt;/D&gt;&lt;D xsi:type="xsd:double"&gt;51.19&lt;/D&gt;&lt;D xsi:type="xsd:double"&gt;51.47&lt;/D&gt;&lt;D xsi:type="xsd:double"&gt;51.5&lt;/D&gt;&lt;D xsi:type="xsd:double"&gt;51.72&lt;/D&gt;&lt;D xsi:type="xsd:double"&gt;51.32&lt;/D&gt;&lt;D xsi:type="xsd:double"&gt;51.24&lt;/D&gt;&lt;D xsi:type="xsd:double"&gt;51.49&lt;/D&gt;&lt;D xsi:type="xsd:double"&gt;50.95&lt;/D&gt;&lt;D xsi:type="xsd:double"&gt;50.74&lt;/D&gt;&lt;D xsi:type="xsd:double"&gt;50.98&lt;/D&gt;&lt;D xsi:type="xsd:double"&gt;51.36&lt;/D&gt;&lt;D xsi:type="xsd:double"&gt;51.64&lt;/D&gt;&lt;D xsi:type="xsd:double"&gt;51.27&lt;/D&gt;&lt;D xsi:type="xsd:double"&gt;51.93&lt;/D&gt;&lt;D xsi:type="xsd:double"&gt;52.11&lt;/D&gt;&lt;D xsi:type="xsd:double"&gt;51.67&lt;/D&gt;&lt;D xsi:type="xsd:double"&gt;51.37&lt;/D&gt;&lt;D xsi:type="xsd:double"&gt;51.3&lt;/D&gt;&lt;D xsi:type="xsd:double"&gt;51.6&lt;/D&gt;&lt;D xsi:type="xsd:double"&gt;50.77&lt;/D&gt;&lt;D xsi:type="xsd:double"&gt;50.86&lt;/D&gt;&lt;D xsi:type="xsd:double"&gt;50.66&lt;/D&gt;&lt;D xsi:type="xsd:double"&gt;50.64&lt;/D&gt;&lt;D xsi:type="xsd:double"&gt;50.65&lt;/D&gt;&lt;D xsi:type="xsd:double"&gt;50.93&lt;/D&gt;&lt;D xsi:type="xsd:double"&gt;51.4&lt;/D&gt;&lt;D xsi:type="xsd:double"&gt;51.58&lt;/D&gt;&lt;D xsi:type="xsd:double"&gt;52.05&lt;/D&gt;&lt;D xsi:type="xsd:double"&gt;52.12&lt;/D&gt;&lt;D xsi:type="xsd:double"&gt;51.94&lt;/D&gt;&lt;D xsi:type="xsd:double"&gt;52.53&lt;/D&gt;&lt;D xsi:type="xsd:double"&gt;52.41&lt;/D&gt;&lt;D xsi:type="xsd:double"&gt;52.25&lt;/D&gt;&lt;D xsi:type="xsd:double"&gt;52.5&lt;/D&gt;&lt;D xsi:type="xsd:double"&gt;53.65&lt;/D&gt;&lt;D xsi:type="xsd:double"&gt;54.06&lt;/D&gt;&lt;D xsi:type="xsd:double"&gt;54.19&lt;/D&gt;&lt;D xsi:type="xsd:double"&gt;53.58&lt;/D&gt;&lt;D xsi:type="xsd:double"&gt;54.23&lt;/D&gt;&lt;D xsi:type="xsd:double"&gt;54.07&lt;/D&gt;&lt;D xsi:type="xsd:double"&gt;53.75&lt;/D&gt;&lt;D xsi:type="xsd:double"&gt;53.21&lt;/D&gt;&lt;D xsi:type="xsd:double"&gt;53.28&lt;/D&gt;&lt;D xsi:type="xsd:double"&gt;53.67&lt;/D&gt;&lt;D xsi:type="xsd:double"&gt;53.88&lt;/D&gt;&lt;D xsi:type="xsd:double"&gt;53.95&lt;/D&gt;&lt;D xsi:type="xsd:double"&gt;53.69&lt;/D&gt;&lt;D xsi:type="xsd:double"&gt;53.77&lt;/D&gt;&lt;D xsi:type="xsd:double"&gt;53.26&lt;/D&gt;&lt;D xsi:type="xsd:double"&gt;52.31&lt;/D&gt;&lt;D xsi:type="xsd:double"&gt;51.69&lt;/D&gt;&lt;D xsi:type="xsd:double"&gt;51.72&lt;/D&gt;&lt;D xsi:type="xsd:double"&gt;51.33&lt;/D&gt;&lt;D xsi:type="xsd:double"&gt;52.27&lt;/D&gt;&lt;D xsi:type="xsd:double"&gt;52.53&lt;/D&gt;&lt;D xsi:type="xsd:double"&gt;51.98&lt;/D&gt;&lt;D xsi:type="xsd:double"&gt;51.68&lt;/D&gt;&lt;D xsi:type="xsd:double"&gt;51.77&lt;/D&gt;&lt;D xsi:type="xsd:double"&gt;52.05&lt;/D&gt;&lt;D xsi:type="xsd:double"&gt;51.77&lt;/D&gt;&lt;D xsi:type="xsd:double"&gt;51.57&lt;/D&gt;&lt;D xsi:type="xsd:double"&gt;52.19&lt;/D&gt;&lt;D xsi:type="xsd:double"&gt;52.37&lt;/D&gt;&lt;D xsi:type="xsd:double"&gt;52.44&lt;/D&gt;&lt;D xsi:type="xsd:double"&gt;53.01&lt;/D&gt;&lt;D xsi:type="xsd:double"&gt;53.24&lt;/D&gt;&lt;D xsi:type="xsd:double"&gt;53&lt;/D&gt;&lt;D xsi:type="xsd:double"&gt;52.78&lt;/D&gt;&lt;D xsi:type="xsd:double"&gt;52.35&lt;/D&gt;&lt;D xsi:type="xsd:double"&gt;52.19&lt;/D&gt;&lt;D xsi:type="xsd:double"&gt;51.85&lt;/D&gt;&lt;D xsi:type="xsd:double"&gt;51.53&lt;/D&gt;&lt;D xsi:type="xsd:double"&gt;51.98&lt;/D&gt;&lt;D xsi:type="xsd:double"&gt;51.64&lt;/D&gt;&lt;D xsi:type="xsd:double"&gt;51.63&lt;/D&gt;&lt;D xsi:type="xsd:double"&gt;50.96&lt;/D&gt;&lt;D xsi:type="xsd:double"&gt;50.33&lt;/D&gt;&lt;D xsi:type="xsd:double"&gt;50.89&lt;/D&gt;&lt;D xsi:type="xsd:double"&gt;51.19&lt;/D&gt;&lt;D xsi:type="xsd:double"&gt;50.32&lt;/D&gt;&lt;D xsi:type="xsd:double"&gt;50.05&lt;/D&gt;&lt;/FQL&gt;&lt;FQL&gt;&lt;Q&gt;EWA^P_PRICE(0)/P_PRICE_HIGH_PR(0,,,USD,,,"PRICE","INTRA","52W")&lt;/Q&gt;&lt;R&gt;1&lt;/R&gt;&lt;C&gt;1&lt;/C&gt;&lt;D xsi:type="xsd:double"&gt;0.9748402&lt;/D&gt;&lt;/FQL&gt;&lt;FQL&gt;&lt;Q&gt;TLT^P_PRICE(0,-200D)&lt;/Q&gt;&lt;R&gt;201&lt;/R&gt;&lt;C&gt;1&lt;/C&gt;&lt;D xsi:type="xsd:double"&gt;94.88&lt;/D&gt;&lt;D xsi:type="xsd:double"&gt;95.68&lt;/D&gt;&lt;D xsi:type="xsd:double"&gt;95.73&lt;/D&gt;&lt;D xsi:type="xsd:double"&gt;95.9&lt;/D&gt;&lt;D xsi:type="xsd:double"&gt;95.99&lt;/D&gt;&lt;D xsi:type="xsd:double"&gt;95.43&lt;/D&gt;&lt;D xsi:type="xsd:double"&gt;94.09&lt;/D&gt;&lt;D xsi:type="xsd:double"&gt;94.47&lt;/D&gt;&lt;D xsi:type="xsd:double"&gt;94.18&lt;/D&gt;&lt;D xsi:type="xsd:double"&gt;93.52&lt;/D&gt;&lt;D xsi:type="xsd:double"&gt;92.93&lt;/D&gt;&lt;D xsi:type="xsd:double"&gt;93.59&lt;/D&gt;&lt;D xsi:type="xsd:double"&gt;93.87&lt;/D&gt;&lt;D xsi:type="xsd:double"&gt;92.63&lt;/D&gt;&lt;D xsi:type="xsd:double"&gt;92.18&lt;/D&gt;&lt;D xsi:type="xsd:double"&gt;92.84&lt;/D&gt;&lt;D xsi:type="xsd:double"&gt;92.76&lt;/D&gt;&lt;D xsi:type="xsd:double"&gt;93.3&lt;/D&gt;&lt;D xsi:type="xsd:double"&gt;92.82&lt;/D&gt;&lt;D xsi:type="xsd:double"&gt;92.35&lt;/D&gt;&lt;D xsi:type="xsd:double"&gt;93.96&lt;/D&gt;&lt;D xsi:type="xsd:double"&gt;93.85&lt;/D&gt;&lt;D xsi:type="xsd:double"&gt;94.04&lt;/D&gt;&lt;D xsi:type="xsd:double"&gt;94.59&lt;/D&gt;&lt;D xsi:type="xsd:double"&gt;95.05&lt;/D&gt;&lt;D xsi:type="xsd:double"&gt;94.13&lt;/D&gt;&lt;D xsi:type="xsd:double"&gt;96.07&lt;/D&gt;&lt;D xsi:type="xsd:double"&gt;98.24&lt;/D&gt;&lt;D xsi:type="xsd:double"&gt;96.66&lt;/D&gt;&lt;D xsi:type="xsd:double"&gt;95.72&lt;/D&gt;&lt;D xsi:type="xsd:double"&gt;94.86&lt;/D&gt;&lt;D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xsi:type="xsd:double"&gt;98.93&lt;/D&gt;&lt;D xsi:type="xsd:double"&gt;99.56&lt;/D&gt;&lt;D xsi:type="xsd:double"&gt;98.89&lt;/D&gt;&lt;D xsi:type="xsd:double"&gt;98.36&lt;/D&gt;&lt;D xsi:type="xsd:double"&gt;99.15&lt;/D&gt;&lt;D xsi:type="xsd:double"&gt;99.04&lt;/D&gt;&lt;D xsi:type="xsd:double"&gt;96.84&lt;/D&gt;&lt;D xsi:type="xsd:double"&gt;94.62&lt;/D&gt;&lt;D xsi:type="xsd:double"&gt;94.34&lt;/D&gt;&lt;D xsi:type="xsd:double"&gt;94.54&lt;/D&gt;&lt;D xsi:type="xsd:double"&gt;95.32&lt;/D&gt;&lt;D xsi:type="xsd:double"&gt;95.87&lt;/D&gt;&lt;D xsi:type="xsd:double"&gt;94.61&lt;/D&gt;&lt;D xsi:type="xsd:double"&gt;92.615&lt;/D&gt;&lt;D xsi:type="xsd:double"&gt;92.99&lt;/D&gt;&lt;D xsi:type="xsd:double"&gt;91.56&lt;/D&gt;&lt;D xsi:type="xsd:double"&gt;92.63&lt;/D&gt;&lt;D xsi:type="xsd:double"&gt;91.48&lt;/D&gt;&lt;D xsi:type="xsd:double"&gt;91.3&lt;/D&gt;&lt;D xsi:type="xsd:double"&gt;89.8&lt;/D&gt;&lt;D xsi:type="xsd:double"&gt;90.87&lt;/D&gt;&lt;D xsi:type="xsd:double"&gt;90.55&lt;/D&gt;&lt;D xsi:type="xsd:double"&gt;90.59&lt;/D&gt;&lt;D xsi:type="xsd:double"&gt;90.04&lt;/D&gt;&lt;D xsi:type="xsd:double"&gt;89.62&lt;/D&gt;&lt;D xsi:type="xsd:double"&gt;88.52&lt;/D&gt;&lt;D xsi:type="xsd:double"&gt;89.78&lt;/D&gt;&lt;D xsi:type="xsd:double"&gt;87.79&lt;/D&gt;&lt;D xsi:type="xsd:double"&gt;87.99&lt;/D&gt;&lt;D xsi:type="xsd:double"&gt;87.5&lt;/D&gt;&lt;D xsi:type="xsd:double"&gt;89.56&lt;/D&gt;&lt;D xsi:type="xsd:double"&gt;88.06&lt;/D&gt;&lt;D xsi:type="xsd:double"&gt;86.78&lt;/D&gt;&lt;D xsi:type="xsd:double"&gt;87.63&lt;/D&gt;&lt;D xsi:type="xsd:double"&gt;87.04&lt;/D&gt;&lt;D xsi:type="xsd:double"&gt;85.1&lt;/D&gt;&lt;D xsi:type="xsd:double"&gt;83.58&lt;/D&gt;&lt;D xsi:type="xsd:double"&gt;83.99&lt;/D&gt;&lt;D xsi:type="xsd:double"&gt;84.37&lt;/D&gt;&lt;D xsi:type="xsd:double"&gt;84.73&lt;/D&gt;&lt;D xsi:type="xsd:double"&gt;83.45&lt;/D&gt;&lt;D xsi:type="xsd:double"&gt;85.35&lt;/D&gt;&lt;D xsi:type="xsd:double"&gt;84.24&lt;/D&gt;&lt;D xsi:type="xsd:double"&gt;83.24&lt;/D&gt;&lt;D xsi:type="xsd:double"&gt;82.77&lt;/D&gt;&lt;D xsi:type="xsd:double"&gt;84.5&lt;/D&gt;&lt;D xsi:type="xsd:double"&gt;85.25&lt;/D&gt;&lt;D xsi:type="xsd:double"&gt;86.2&lt;/D&gt;&lt;D xsi:type="xsd:double"&gt;87.61&lt;/D&gt;&lt;D xsi:type="xsd:double"&gt;86.07&lt;/D&gt;&lt;D xsi:type="xsd:double"&gt;88.47&lt;/D&gt;&lt;D xsi:type="xsd:double"&gt;86.66&lt;/D&gt;&lt;D xsi:type="xsd:double"&gt;86.78&lt;/D&gt;&lt;D xsi:type="xsd:double"&gt;84.79&lt;/D&gt;&lt;D xsi:type="xsd:double"&gt;85.83&lt;/D&gt;&lt;D xsi:type="xsd:double"&gt;86.26&lt;/D&gt;&lt;D xsi:type="xsd:double"&gt;85.06&lt;/D&gt;&lt;D xsi:type="xsd:double"&gt;86.93&lt;/D&gt;&lt;D xsi:type="xsd:double"&gt;88.69&lt;/D&gt;&lt;D xsi:type="xsd:double"&gt;88.68&lt;/D&gt;&lt;D xsi:type="xsd:double"&gt;88.41&lt;/D&gt;&lt;D xsi:type="xsd:double"&gt;88.87&lt;/D&gt;&lt;D xsi:type="xsd:double"&gt;89.18&lt;/D&gt;&lt;D xsi:type="xsd:double"&gt;91.43&lt;/D&gt;&lt;D xsi:type="xsd:double"&gt;90.7&lt;/D&gt;&lt;D xsi:type="xsd:double"&gt;93.09&lt;/D&gt;&lt;D xsi:type="xsd:double"&gt;92.8&lt;/D&gt;&lt;D xsi:type="xsd:double"&gt;93.49&lt;/D&gt;&lt;D xsi:type="xsd:double"&gt;92.96&lt;/D&gt;&lt;D xsi:type="xsd:double"&gt;93.53&lt;/D&gt;&lt;D xsi:type="xsd:double"&gt;94.21&lt;/D&gt;&lt;D xsi:type="xsd:double"&gt;94.23&lt;/D&gt;&lt;D xsi:type="xsd:double"&gt;93.69&lt;/D&gt;&lt;D xsi:type="xsd:double"&gt;94.37&lt;/D&gt;&lt;D xsi:type="xsd:double"&gt;94.01&lt;/D&gt;&lt;D xsi:type="xsd:double"&gt;93.75&lt;/D&gt;&lt;D xsi:type="xsd:double"&gt;93.52&lt;/D&gt;&lt;D xsi:type="xsd:double"&gt;94.85&lt;/D&gt;&lt;D xsi:type="xsd:double"&gt;96.64&lt;/D&gt;&lt;D xsi:type="xsd:double"&gt;96.21&lt;/D&gt;&lt;D xsi:type="xsd:double"&gt;96.31&lt;/D&gt;&lt;D xsi:type="xsd:double"&gt;95.32&lt;/D&gt;&lt;D xsi:type="xsd:double"&gt;95.22&lt;/D&gt;&lt;D xsi:type="xsd:double"&gt;94.91&lt;/D&gt;&lt;D xsi:type="xsd:double"&gt;95.54&lt;/D&gt;&lt;D xsi:type="xsd:double"&gt;93.23&lt;/D&gt;&lt;D xsi:type="xsd:double"&gt;92.52&lt;/D&gt;&lt;D xsi:type="xsd:double"&gt;93.77&lt;/D&gt;&lt;D xsi:type="xsd:double"&gt;93.44&lt;/D&gt;&lt;D xsi:type="xsd:double"&gt;93.84&lt;/D&gt;&lt;D xsi:type="xsd:double"&gt;94.58&lt;/D&gt;&lt;D xsi:type="xsd:double"&gt;95.16&lt;/D&gt;&lt;D xsi:type="xsd:double"&gt;95.37&lt;/D&gt;&lt;D xsi:type="xsd:double"&gt;95.59&lt;/D&gt;&lt;D xsi:type="xsd:double"&gt;97.19&lt;/D&gt;&lt;D xsi:type="xsd:double"&gt;96.69&lt;/D&gt;&lt;D xsi:type="xsd:double"&gt;95.58&lt;/D&gt;&lt;D xsi:type="xsd:double"&gt;96.53&lt;/D&gt;&lt;D xsi:type="xsd:double"&gt;94.85&lt;/D&gt;&lt;D xsi:type="xsd:double"&gt;97.09&lt;/D&gt;&lt;D xsi:type="xsd:double"&gt;98.14&lt;/D&gt;&lt;D xsi:type="xsd:double"&gt;100.05&lt;/D&gt;&lt;D xsi:type="xsd:double"&gt;99.81&lt;/D&gt;&lt;D xsi:type="xsd:double"&gt;99.3&lt;/D&gt;&lt;D xsi:type="xsd:double"&gt;101.27&lt;/D&gt;&lt;D xsi:type="xsd:double"&gt;101.17&lt;/D&gt;&lt;D xsi:type="xsd:double"&gt;101.36&lt;/D&gt;&lt;D xsi:type="xsd:double"&gt;101.73&lt;/D&gt;&lt;D xsi:type="xsd:double"&gt;101.7&lt;/D&gt;&lt;D xsi:type="xsd:double"&gt;102.95&lt;/D&gt;&lt;D xsi:type="xsd:double"&gt;101.8&lt;/D&gt;&lt;D xsi:type="xsd:double"&gt;101.34&lt;/D&gt;&lt;D xsi:type="xsd:double"&gt;101.29&lt;/D&gt;&lt;D xsi:type="xsd:double"&gt;101.89&lt;/D&gt;&lt;D xsi:type="xsd:double"&gt;100.83&lt;/D&gt;&lt;D xsi:type="xsd:double"&gt;99.72&lt;/D&gt;&lt;D xsi:type="xsd:double"&gt;99.21&lt;/D&gt;&lt;D xsi:type="xsd:double"&gt;99.08&lt;/D&gt;&lt;D xsi:type="xsd:double"&gt;99.68&lt;/D&gt;&lt;D xsi:type="xsd:double"&gt;101.11&lt;/D&gt;&lt;D xsi:type="xsd:double"&gt;102.08&lt;/D&gt;&lt;D xsi:type="xsd:double"&gt;102.94&lt;/D&gt;&lt;D xsi:type="xsd:double"&gt;101.74&lt;/D&gt;&lt;D xsi:type="xsd:double"&gt;103.61&lt;/D&gt;&lt;D xsi:type="xsd:double"&gt;103.17&lt;/D&gt;&lt;D xsi:type="xsd:double"&gt;103.44&lt;/D&gt;&lt;D xsi:type="xsd:double"&gt;103.33&lt;/D&gt;&lt;D xsi:type="xsd:double"&gt;102.31&lt;/D&gt;&lt;D xsi:type="xsd:double"&gt;103.56&lt;/D&gt;&lt;D xsi:type="xsd:double"&gt;103.31&lt;/D&gt;&lt;D xsi:type="xsd:double"&gt;102.6&lt;/D&gt;&lt;D xsi:type="xsd:double"&gt;103&lt;/D&gt;&lt;D xsi:type="xsd:double"&gt;102.02&lt;/D&gt;&lt;D xsi:type="xsd:double"&gt;101.21&lt;/D&gt;&lt;D xsi:type="xsd:double"&gt;102.22&lt;/D&gt;&lt;D xsi:type="xsd:double"&gt;101.92&lt;/D&gt;&lt;D xsi:type="xsd:double"&gt;102.06&lt;/D&gt;&lt;D xsi:type="xsd:double"&gt;100.88&lt;/D&gt;&lt;D xsi:type="xsd:double"&gt;102.4&lt;/D&gt;&lt;D xsi:type="xsd:double"&gt;101.8&lt;/D&gt;&lt;D xsi:type="xsd:double"&gt;101.99&lt;/D&gt;&lt;D xsi:type="xsd:double"&gt;103.12&lt;/D&gt;&lt;D xsi:type="xsd:double"&gt;102.99&lt;/D&gt;&lt;D xsi:type="xsd:double"&gt;102.1&lt;/D&gt;&lt;D xsi:type="xsd:double"&gt;101.09&lt;/D&gt;&lt;D xsi:type="xsd:double"&gt;100.28&lt;/D&gt;&lt;D xsi:type="xsd:double"&gt;100.53&lt;/D&gt;&lt;/FQL&gt;&lt;FQL&gt;&lt;Q&gt;EWI^FG_COMPANY_NAME&lt;/Q&gt;&lt;R&gt;1&lt;/R&gt;&lt;C&gt;1&lt;/C&gt;&lt;D xsi:type="xsd:string"&gt;iShares MSCI Italy ETF&lt;/D&gt;&lt;/FQL&gt;&lt;FQL&gt;&lt;Q&gt;UUP^FG_TOTAL_RETURNC(0,-1AM)&lt;/Q&gt;&lt;R&gt;1&lt;/R&gt;&lt;C&gt;1&lt;/C&gt;&lt;D xsi:type="xsd:double"&gt;-0.6780863&lt;/D&gt;&lt;/FQL&gt;&lt;FQL&gt;&lt;Q&gt;IWM^P_PRICE(0)/P_PRICE_LOW_PR(0,,,USD,,,"PRICE","INTRA","52W")-1&lt;/Q&gt;&lt;R&gt;1&lt;/R&gt;&lt;C&gt;1&lt;/C&gt;&lt;D xsi:type="xsd:double"&gt;0.26745844&lt;/D&gt;&lt;/FQL&gt;&lt;FQL&gt;&lt;Q&gt;EWL^FMA_PCT_ABOVE_MAVG(200,0,,,,"PORTAGG")&lt;/Q&gt;&lt;R&gt;1&lt;/R&gt;&lt;C&gt;1&lt;/C&gt;&lt;D xsi:type="xsd:double"&gt;64.4444444444444&lt;/D&gt;&lt;/FQL&gt;&lt;FQL&gt;&lt;Q&gt;EWI^FMA_COS_UP("EPS","1M",+1,0,,,"PORTAGG","MEANR")&lt;/Q&gt;&lt;R&gt;1&lt;/R&gt;&lt;C&gt;1&lt;/C&gt;&lt;D xsi:type="xsd:double"&gt;12&lt;/D&gt;&lt;/FQL&gt;&lt;FQL&gt;&lt;Q&gt;EWD^FMA_COS_UP("EPS","1M",+1,0,,,"PORTAGG","MEANR")&lt;/Q&gt;&lt;R&gt;1&lt;/R&gt;&lt;C&gt;1&lt;/C&gt;&lt;D xsi:type="xsd:double"&gt;14&lt;/D&gt;&lt;/FQL&gt;&lt;FQL&gt;&lt;Q&gt;EWU^P_PRICE(0)/P_PRICE_LOW_PR(0,,,USD,,,"PRICE","INTRA","52W")-1&lt;/Q&gt;&lt;R&gt;1&lt;/R&gt;&lt;C&gt;1&lt;/C&gt;&lt;D xsi:type="xsd:double"&gt;0.12133336&lt;/D&gt;&lt;/FQL&gt;&lt;FQL&gt;&lt;Q&gt;FXI^FG_TOTAL_RETURNC(0,-1AM)&lt;/Q&gt;&lt;R&gt;1&lt;/R&gt;&lt;C&gt;1&lt;/C&gt;&lt;D xsi:type="xsd:double"&gt;8.098591&lt;/D&gt;&lt;/FQL&gt;&lt;FQL&gt;&lt;Q&gt;URTH^PERCENT_CHANGE(FMA_EPS(+1,0,,,,"PORTAGG","MEAN"),FMA_EPS(+1,-3AM,,,,"PORTAGG","MEAN"))&lt;/Q&gt;&lt;R&gt;1&lt;/R&gt;&lt;C&gt;1&lt;/C&gt;&lt;D xsi:type="xsd:double"&gt;-1.33895923369213&lt;/D&gt;&lt;/FQL&gt;&lt;FQL&gt;&lt;Q&gt;IWM^SIZE(FG_CONSTITUENTS)&lt;/Q&gt;&lt;R&gt;1&lt;/R&gt;&lt;C&gt;1&lt;/C&gt;&lt;D xsi:type="xsd:long"&gt;1940&lt;/D&gt;&lt;/FQL&gt;&lt;FQL&gt;&lt;Q&gt;VWO^PERCENT_CHANGE(FMA_EPS(+1,0,,,,"PORTAGG","MEAN"),FMA_EPS(+1,-1AM,,,,"PORTAGG","MEAN"))&lt;/Q&gt;&lt;R&gt;1&lt;/R&gt;&lt;C&gt;1&lt;/C&gt;&lt;D xsi:type="xsd:double"&gt;-12.89387011746&lt;/D&gt;&lt;/FQL&gt;&lt;FQL&gt;&lt;Q&gt;EWL^FG_TOTAL_RETURNC(0,-6AM)&lt;/Q&gt;&lt;R&gt;1&lt;/R&gt;&lt;C&gt;1&lt;/C&gt;&lt;D xsi:type="xsd:double"&gt;7.857454&lt;/D&gt;&lt;/FQL&gt;&lt;FQL&gt;&lt;Q&gt;EWL^FG_TOTAL_RETURNC(0,-3AM)&lt;/Q&gt;&lt;R&gt;1&lt;/R&gt;&lt;C&gt;1&lt;/C&gt;&lt;D xsi:type="xsd:double"&gt;4.9310923&lt;/D&gt;&lt;/FQL&gt;&lt;FQL&gt;&lt;Q&gt;IWM^FMA_COS_UP("EPS","1M",+1,0,,,"PORTAGG","MEANR")&lt;/Q&gt;&lt;R&gt;1&lt;/R&gt;&lt;C&gt;1&lt;/C&gt;&lt;D xsi:type="xsd:double"&gt;487&lt;/D&gt;&lt;/FQL&gt;&lt;FQL&gt;&lt;Q&gt;EWL^FMA_COS_UP("EPS","1M",+1,0,,,"PORTAGG","MEANR")&lt;/Q&gt;&lt;R&gt;1&lt;/R&gt;&lt;C&gt;1&lt;/C&gt;&lt;D xsi:type="xsd:double"&gt;12&lt;/D&gt;&lt;/FQL&gt;&lt;FQL&gt;&lt;Q&gt;VGK^FG_TOTAL_RETURNC(0,-6AM)&lt;/Q&gt;&lt;R&gt;1&lt;/R&gt;&lt;C&gt;1&lt;/C&gt;&lt;D xsi:type="xsd:double"&gt;14.152217&lt;/D&gt;&lt;/FQL&gt;&lt;FQL&gt;&lt;Q&gt;EWQ^FMA_PCT_ABOVE_MAVG(200,0,,,,"PORTAGG")&lt;/Q&gt;&lt;R&gt;1&lt;/R&gt;&lt;C&gt;1&lt;/C&gt;&lt;D xsi:type="xsd:double"&gt;68.2539682539683&lt;/D&gt;&lt;/FQL&gt;&lt;FQL&gt;&lt;Q&gt;ENZL^FMA_COS_DOWN("EPS","1M",+1,0,,,"PORTAGG","MEANR")&lt;/Q&gt;&lt;R&gt;1&lt;/R&gt;&lt;C&gt;1&lt;/C&gt;&lt;D xsi:type="xsd:double"&gt;7&lt;/D&gt;&lt;/FQL&gt;&lt;FQL&gt;&lt;Q&gt;URTH^SIZE(FG_CONSTITUENTS)&lt;/Q&gt;&lt;R&gt;1&lt;/R&gt;&lt;C&gt;1&lt;/C&gt;&lt;D xsi:type="xsd:long"&gt;1467&lt;/D&gt;&lt;/FQL&gt;&lt;FQL&gt;&lt;Q&gt;EWN^P_PRICE(0)/P_PRICE_LOW_PR(0,,,USD,,,"PRICE","INTRA","52W")-1&lt;/Q&gt;&lt;R&gt;1&lt;/R&gt;&lt;C&gt;1&lt;/C&gt;&lt;D xsi:type="xsd:double"&gt;0.35271418&lt;/D&gt;&lt;/FQL&gt;&lt;FQL&gt;&lt;Q&gt;IWM^PERCENT_CHANGE(FMA_EPS(+1,0,,,,"PORTAGG","MEAN"),FMA_EPS(+1,-1AM,,,,"PORTAGG","MEAN"))&lt;/Q&gt;&lt;R&gt;1&lt;/R&gt;&lt;C&gt;1&lt;/C&gt;&lt;D xsi:type="xsd:double"&gt;-3.29514751092248&lt;/D&gt;&lt;/FQL&gt;&lt;FQL&gt;&lt;Q&gt;EWN^P_PRICE(0)/P_PRICE_HIGH_PR(0,,,USD,,,"PRICE","INTRA","52W")&lt;/Q&gt;&lt;R&gt;1&lt;/R&gt;&lt;C&gt;1&lt;/C&gt;&lt;D xsi:type="xsd:double"&gt;0.9821929&lt;/D&gt;&lt;/FQL&gt;&lt;FQL&gt;&lt;Q&gt;IWM^FMA_PCT_ABOVE_MAVG(200,0,,,,"PORTAGG")&lt;/Q&gt;&lt;R&gt;1&lt;/R&gt;&lt;C&gt;1&lt;/C&gt;&lt;D xsi:type="xsd:double"&gt;55.6363636363636&lt;/D&gt;&lt;/FQL&gt;&lt;FQL&gt;&lt;Q&gt;EWI^FMA_COS_DOWN("EPS","1M",+1,0,,,"PORTAGG","MEANR")&lt;/Q&gt;&lt;R&gt;1&lt;/R&gt;&lt;C&gt;1&lt;/C&gt;&lt;D xsi:type="xsd:double"&gt;10&lt;/D&gt;&lt;/FQL&gt;&lt;FQL&gt;&lt;Q&gt;IWM^P_PRICE(0)/P_PRICE_HIGH_PR(0,,,USD,,,"PRICE","INTRA","52W")&lt;/Q&gt;&lt;R&gt;1&lt;/R&gt;&lt;C&gt;1&lt;/C&gt;&lt;D xsi:type="xsd:double"&gt;0.97386056&lt;/D&gt;&lt;/FQL&gt;&lt;FQL&gt;&lt;Q&gt;EWN^SIZE(FG_CONSTITUENTS)&lt;/Q&gt;&lt;R&gt;1&lt;/R&gt;&lt;C&gt;1&lt;/C&gt;&lt;D xsi:type="xsd:long"&gt;54&lt;/D&gt;&lt;/FQL&gt;&lt;FQL&gt;&lt;Q&gt;INDA^P_PRICE(0)/P_PRICE_LOW_PR(0,,,USD,,,"PRICE","INTRA","52W")-1&lt;/Q&gt;&lt;R&gt;1&lt;/R&gt;&lt;C&gt;1&lt;/C&gt;&lt;D xsi:type="xsd:double"&gt;0.36872768&lt;/D&gt;&lt;/FQL&gt;&lt;FQL&gt;&lt;Q&gt;EMXC^FMA_PCT_ABOVE_MAVG(200,0,,,,"PORTAGG")&lt;/Q&gt;&lt;R&gt;1&lt;/R&gt;&lt;C&gt;1&lt;/C&gt;&lt;D xsi:type="xsd:double"&gt;65.6716417910448&lt;/D&gt;&lt;/FQL&gt;&lt;FQL&gt;&lt;Q&gt;EWN^FMA_COS_DOWN("EPS","1M",+1,0,,,"PORTAGG","MEANR")&lt;/Q&gt;&lt;R&gt;1&lt;/R&gt;&lt;C&gt;1&lt;/C&gt;&lt;D xsi:type="xsd:double"&gt;27&lt;/D&gt;&lt;/FQL&gt;&lt;FQL&gt;&lt;Q&gt;VWO^PERCENT_CHANGE(FMA_EPS(+1,0,,,,"PORTAGG","MEAN"),FMA_EPS(+1,-3AM,,,,"PORTAGG","MEAN"))&lt;/Q&gt;&lt;R&gt;1&lt;/R&gt;&lt;C&gt;1&lt;/C&gt;&lt;D xsi:type="xsd:double"&gt;-16.6699831244645&lt;/D&gt;&lt;/FQL&gt;&lt;FQL&gt;&lt;Q&gt;EWU^SIZE(FG_CONSTITUENTS)&lt;/Q&gt;&lt;R&gt;1&lt;/R&gt;&lt;C&gt;1&lt;/C&gt;&lt;D xsi:type="xsd:long"&gt;85&lt;/D&gt;&lt;/FQL&gt;&lt;FQL&gt;&lt;Q&gt;EWL^SIZE(FG_CONSTITUENTS)&lt;/Q&gt;&lt;R&gt;1&lt;/R&gt;&lt;C&gt;1&lt;/C&gt;&lt;D xsi:type="xsd:long"&gt;47&lt;/D&gt;&lt;/FQL&gt;&lt;FQL&gt;&lt;Q&gt;IWM^FMA_COS_DOWN("EPS","1M",+1,0,,,"PORTAGG","MEANR")&lt;/Q&gt;&lt;R&gt;1&lt;/R&gt;&lt;C&gt;1&lt;/C&gt;&lt;D xsi:type="xsd:double"&gt;732&lt;/D&gt;&lt;/FQL&gt;&lt;FQL&gt;&lt;Q&gt;VWO^FMA_PCT_ABOVE_MAVG(200,0,,,,"PORTAGG")&lt;/Q&gt;&lt;R&gt;1&lt;/R&gt;&lt;C&gt;1&lt;/C&gt;&lt;D xsi:type="xsd:double"&gt;32.6952695269527&lt;/D&gt;&lt;/FQL&gt;&lt;FQL&gt;&lt;Q&gt;EWL^FMA_COS_DOWN("EPS","1M",+1,0,,,"PORTAGG","MEANR")&lt;/Q&gt;&lt;R&gt;1&lt;/R&gt;&lt;C&gt;1&lt;/C&gt;&lt;D xsi:type="xsd:double"&gt;28&lt;/D&gt;&lt;/FQL&gt;&lt;FQL&gt;&lt;Q&gt;VGK^PERCENT_CHANGE(FMA_EPS(+1,0,,,,"PORTAGG","MEAN"),FMA_EPS(+1,-3AM,,,,"PORTAGG","MEAN"))&lt;/Q&gt;&lt;R&gt;1&lt;/R&gt;&lt;C&gt;1&lt;/C&gt;&lt;D xsi:type="xsd:double"&gt;-8.2793631998059&lt;/D&gt;&lt;/FQL&gt;&lt;FQL&gt;&lt;Q&gt;TRYCN10Y-FDS^FG_YIELD(0,,,,"YTM")&lt;/Q&gt;&lt;R&gt;1&lt;/R&gt;&lt;C&gt;1&lt;/C&gt;&lt;D xsi:type="xsd:double"&gt;2.3581&lt;/D&gt;&lt;/FQL&gt;&lt;FQL&gt;&lt;Q&gt;TRYIN10Y-FDS^FG_YIELD(0,,,,"YTM")&lt;/Q&gt;&lt;R&gt;1&lt;/R&gt;&lt;C&gt;1&lt;/C&gt;&lt;D xsi:type="xsd:double"&gt;7.0195&lt;/D&gt;&lt;/FQL&gt;&lt;FQL&gt;&lt;Q&gt;TRYUS10Y-FDS^FG_YIELD(0,,,,"YTM")&lt;/Q&gt;&lt;R&gt;1&lt;/R&gt;&lt;C&gt;1&lt;/C&gt;&lt;D xsi:type="xsd:double"&gt;4.1561&lt;/D&gt;&lt;/FQL&gt;&lt;FQL&gt;&lt;Q&gt;TRYJP10Y-FDS^FG_YIELD(0,,,,"YTM")&lt;/Q&gt;&lt;R&gt;1&lt;/R&gt;&lt;C&gt;1&lt;/C&gt;&lt;D xsi:type="xsd:double"&gt;0.7684&lt;/D&gt;&lt;/FQL&gt;&lt;FQL&gt;&lt;Q&gt;FXI^FG_FCF_YIELD_NTM(0)&lt;/Q&gt;&lt;R&gt;1&lt;/R&gt;&lt;C&gt;1&lt;/C&gt;&lt;D xsi:type="xsd:double"&gt;8.11653963078701&lt;/D&gt;&lt;/FQL&gt;&lt;FQL&gt;&lt;Q&gt;FXI^FMA_DIV_YLD(NTMA,NOW,NOW,M,"PORTAGG","MEANR")&lt;/Q&gt;&lt;R&gt;1&lt;/R&gt;&lt;C&gt;1&lt;/C&gt;&lt;D xsi:type="xsd:double"&gt;3.66809484230428&lt;/D&gt;&lt;/FQL&gt;&lt;FQL&gt;&lt;Q&gt;FXI^FG_PE_NTM(0,,,90,0)&lt;/Q&gt;&lt;R&gt;1&lt;/R&gt;&lt;C&gt;1&lt;/C&gt;&lt;D xsi:type="xsd:double"&gt;6.99148494612729&lt;/D&gt;&lt;/FQL&gt;&lt;FQL&gt;&lt;Q&gt;FXI^FG_PE(0)&lt;/Q&gt;&lt;R&gt;1&lt;/R&gt;&lt;C&gt;1&lt;/C&gt;&lt;D xsi:type="xsd:double"&gt;8.6475458800632&lt;/D&gt;&lt;/FQL&gt;&lt;FQL&gt;&lt;Q&gt;INDA^FG_FCF_YIELD_NTM(0)&lt;/Q&gt;&lt;R&gt;1&lt;/R&gt;&lt;C&gt;1&lt;/C&gt;&lt;D xsi:type="xsd:double"&gt;2.86630695004814&lt;/D&gt;&lt;/FQL&gt;&lt;FQL&gt;&lt;Q&gt;INDA^FMA_DIV_YLD(NTMA,NOW,NOW,M,"PORTAGG","MEANR")&lt;/Q&gt;&lt;R&gt;1&lt;/R&gt;&lt;C&gt;1&lt;/C&gt;&lt;D xsi:type="xsd:double"&gt;1.35315338894655&lt;/D&gt;&lt;/FQL&gt;&lt;FQL&gt;&lt;Q&gt;INDA^FG_PE_NTM(0,,,90,0)&lt;/Q&gt;&lt;R&gt;1&lt;/R&gt;&lt;C&gt;1&lt;/C&gt;&lt;D xsi:type="xsd:double"&gt;22.7061424762647&lt;/D&gt;&lt;/FQL&gt;&lt;FQL&gt;&lt;Q&gt;INDA^FG_PE(0)&lt;/Q&gt;&lt;R&gt;1&lt;/R&gt;&lt;C&gt;1&lt;/C&gt;&lt;D xsi:type="xsd:double"&gt;24.6788971180708&lt;/D&gt;&lt;/FQL&gt;&lt;FQL&gt;&lt;Q&gt;URTH^FG_FCF_YIELD_NTM(0)&lt;/Q&gt;&lt;R&gt;1&lt;/R&gt;&lt;C&gt;1&lt;/C&gt;&lt;D xsi:type="xsd:double"&gt;4.41340691202063&lt;/D&gt;&lt;/FQL&gt;&lt;FQL&gt;&lt;Q&gt;URTH^FMA_DIV_YLD(NTMA,NOW,NOW,M,"PORTAGG","MEANR")&lt;/Q&gt;&lt;R&gt;1&lt;/R&gt;&lt;C&gt;1&lt;/C&gt;&lt;D xsi:type="xsd:double"&gt;1.97053825795866&lt;/D&gt;&lt;/FQL&gt;&lt;FQL&gt;&lt;Q&gt;URTH^FG_PE_NTM(0,,,90,0)&lt;/Q&gt;&lt;R&gt;1&lt;/R&gt;&lt;C&gt;1&lt;/C&gt;&lt;D xsi:type="xsd:double"&gt;18.400830591181&lt;/D&gt;&lt;/FQL&gt;&lt;FQL&gt;&lt;Q&gt;URTH^FG_PE(0)&lt;/Q&gt;&lt;R&gt;1&lt;/R&gt;&lt;C&gt;1&lt;/C&gt;&lt;D xsi:type="xsd:double"&gt;20.6227846546007&lt;/D&gt;&lt;/FQL&gt;&lt;FQL&gt;&lt;Q&gt;VWO^FG_FCF_YIELD_NTM(0)&lt;/Q&gt;&lt;R&gt;1&lt;/R&gt;&lt;C&gt;1&lt;/C&gt;&lt;D xsi:type="xsd:double"&gt;5.06426824903005&lt;/D&gt;&lt;/FQL&gt;&lt;FQL&gt;&lt;Q&gt;VWO^FMA_DIV_YLD(NTMA,NOW,NOW,M,"PORTAGG","MEANR")&lt;/Q&gt;&lt;R&gt;1&lt;/R&gt;&lt;C&gt;1&lt;/C&gt;&lt;D xsi:type="xsd:double"&gt;3.15416449071437&lt;/D&gt;&lt;/FQL&gt;&lt;FQL&gt;&lt;Q&gt;VWO^FG_PE_NTM(0,,,90,0)&lt;/Q&gt;&lt;R&gt;1&lt;/R&gt;&lt;C&gt;1&lt;/C&gt;&lt;D xsi:type="xsd:double"&gt;13.5883510633841&lt;/D&gt;&lt;/FQL&gt;&lt;FQL&gt;&lt;Q&gt;VWO^FG_PE(0)&lt;/Q&gt;&lt;R&gt;1&lt;/R&gt;&lt;C&gt;1&lt;/C&gt;&lt;D xsi:type="xsd:double"&gt;12.863237584072&lt;/D&gt;&lt;/FQL&gt;&lt;FQL&gt;&lt;Q&gt;EWJ^FG_FCF_YIELD_NTM(0)&lt;/Q&gt;&lt;R&gt;1&lt;/R&gt;&lt;C&gt;1&lt;/C&gt;&lt;D xsi:type="xsd:double"&gt;4.0213892987348&lt;/D&gt;&lt;/FQL&gt;&lt;FQL&gt;&lt;Q&gt;EWJ^FMA_DIV_YLD(NTMA,NOW,NOW,M,"PORTAGG","MEANR")&lt;/Q&gt;&lt;R&gt;1&lt;/R&gt;&lt;C&gt;1&lt;/C&gt;&lt;D xsi:type="xsd:double"&gt;2.19308426995126&lt;/D&gt;&lt;/FQL&gt;&lt;FQL&gt;&lt;Q&gt;EWJ^FG_PE_NTM(0,,,90,0)&lt;/Q&gt;&lt;R&gt;1&lt;/R&gt;&lt;C&gt;1&lt;/C&gt;&lt;D xsi:type="xsd:double"&gt;15.7443319136161&lt;/D&gt;&lt;/FQL&gt;&lt;FQL&gt;&lt;Q&gt;EWJ^FG_PE(0)&lt;/Q&gt;&lt;R&gt;1&lt;/R&gt;&lt;C&gt;1&lt;/C&gt;&lt;D xsi:type="xsd:double"&gt;16.1186471590266&lt;/D&gt;&lt;/FQL&gt;&lt;FQL&gt;&lt;Q&gt;QQQ^FG_FCF_YIELD_NTM(0)&lt;/Q&gt;&lt;R&gt;1&lt;/R&gt;&lt;C&gt;1&lt;/C&gt;&lt;D xsi:type="xsd:double"&gt;3.69663072931181&lt;/D&gt;&lt;/FQL&gt;&lt;FQL&gt;&lt;Q&gt;QQQ^FMA_DIV_YLD(NTMA,NOW,NOW,M,"PORTAGG","MEANR")&lt;/Q&gt;&lt;R&gt;1&lt;/R&gt;&lt;C&gt;1&lt;/C&gt;&lt;D xsi:type="xsd:double"&gt;0.873555223793735&lt;/D&gt;&lt;/FQL&gt;&lt;FQL&gt;&lt;Q&gt;QQQ^FG_PE_NTM(0,,,90,0)&lt;/Q&gt;&lt;R&gt;1&lt;/R&gt;&lt;C&gt;1&lt;/C&gt;&lt;D xsi:type="xsd:double"&gt;25.935443032029&lt;/D&gt;&lt;/FQL&gt;&lt;FQL&gt;&lt;Q&gt;QQQ^FG_PE(0)&lt;/Q&gt;&lt;R&gt;1&lt;/R&gt;&lt;C&gt;1&lt;/C&gt;&lt;D xsi:type="xsd:double"&gt;31.5990764807902&lt;/D&gt;&lt;/FQL&gt;&lt;FQL&gt;&lt;Q&gt;SPY^FG_FCF_YIELD_NTM(0)&lt;/Q&gt;&lt;R&gt;1&lt;/R&gt;&lt;C&gt;1&lt;/C&gt;&lt;D xsi:type="xsd:double"&gt;4.24132045419067&lt;/D&gt;&lt;/FQL&gt;&lt;FQL&gt;&lt;Q&gt;SPY^FMA_DIV_YLD(NTMA,NOW,NOW,M,"PORTAGG","MEANR")&lt;/Q&gt;&lt;R&gt;1&lt;/R&gt;&lt;C&gt;1&lt;/C&gt;&lt;D xsi:type="xsd:double"&gt;1.46700603872666&lt;/D&gt;&lt;/FQL&gt;&lt;FQL&gt;&lt;Q&gt;SPY^FG_PE_NTM(0,,,90,0)&lt;/Q&gt;&lt;R&gt;1&lt;/R&gt;&lt;C&gt;1&lt;/C&gt;&lt;D xsi:type="xsd:double"&gt;20.4729536136068&lt;/D&gt;&lt;/FQL&gt;&lt;FQL&gt;&lt;Q&gt;SPY^FG_PE(0)&lt;/Q&gt;&lt;R&gt;1&lt;/R&gt;&lt;C&gt;1&lt;/C&gt;&lt;D xsi:type="xsd:double"&gt;24.6247148117154&lt;/D&gt;&lt;/FQL&gt;&lt;FQL&gt;&lt;Q&gt;FXI^FG_COMPANY_NAME&lt;/Q&gt;&lt;R&gt;1&lt;/R&gt;&lt;C&gt;1&lt;/C&gt;&lt;D xsi:type="xsd:string"&gt;iShares China Large-Cap ETF&lt;/D&gt;&lt;/FQL&gt;&lt;FQL&gt;&lt;Q&gt;INDA^FG_COMPANY_NAME&lt;/Q&gt;&lt;R&gt;1&lt;/R&gt;&lt;C&gt;1&lt;/C&gt;&lt;D xsi:type="xsd:string"&gt;iShares MSCI India ETF&lt;/D&gt;&lt;/FQL&gt;&lt;FQL&gt;&lt;Q&gt;URTH^FG_COMPANY_NAME&lt;/Q&gt;&lt;R&gt;1&lt;/R&gt;&lt;C&gt;1&lt;/C&gt;&lt;D xsi:type="xsd:string"&gt;iShares MSCI World ETF&lt;/D&gt;&lt;/FQL&gt;&lt;FQL&gt;&lt;Q&gt;VWO^FG_COMPANY_NAME&lt;/Q&gt;&lt;R&gt;1&lt;/R&gt;&lt;C&gt;1&lt;/C&gt;&lt;D xsi:type="xsd:string"&gt;Vanguard FTSE Emerging Markets ETF&lt;/D&gt;&lt;/FQL&gt;&lt;/Schema&gt;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<sst xmlns="http://schemas.openxmlformats.org/spreadsheetml/2006/main" count="267" uniqueCount="117">
  <si>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</si>
  <si>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</si>
  <si>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</si>
  <si>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</si>
  <si>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</si>
  <si>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</si>
  <si>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</si>
  <si>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</si>
  <si>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</si>
  <si>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</si>
  <si>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</si>
  <si>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</si>
  <si>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</si>
  <si>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</si>
  <si>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</si>
  <si>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</si>
  <si>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</si>
  <si>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</si>
  <si>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</si>
  <si>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</si>
  <si>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</si>
  <si>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</si>
  <si>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</si>
  <si>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</si>
  <si>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</si>
  <si>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</si>
  <si>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</si>
  <si>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</si>
  <si>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US</t>
  </si>
  <si>
    <t>CC_JP</t>
  </si>
  <si>
    <t>CC_US</t>
  </si>
  <si>
    <t>Europe</t>
  </si>
  <si>
    <t xml:space="preserve"> 1 month revison</t>
  </si>
  <si>
    <t>3 month revsion</t>
  </si>
  <si>
    <t>Rev 1 month</t>
  </si>
  <si>
    <t>Rev 3 month</t>
  </si>
  <si>
    <t>median</t>
  </si>
  <si>
    <t>ENZL</t>
  </si>
  <si>
    <t>Prioce / 52 week low</t>
  </si>
  <si>
    <t>Closeness - 52W- H</t>
  </si>
  <si>
    <t>Away-52W L</t>
  </si>
  <si>
    <t>Closeness - 52w L</t>
  </si>
  <si>
    <t>VGK</t>
  </si>
  <si>
    <t>COUNTRY</t>
  </si>
  <si>
    <t>China</t>
  </si>
  <si>
    <t>Japan</t>
  </si>
  <si>
    <t>United States</t>
  </si>
  <si>
    <t>EM</t>
  </si>
  <si>
    <t>Top down</t>
  </si>
  <si>
    <t>URTH</t>
  </si>
  <si>
    <t>World</t>
  </si>
  <si>
    <t>japan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</si>
  <si>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</si>
  <si>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</si>
  <si>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</si>
  <si>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</si>
  <si>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</si>
  <si>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</si>
  <si>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</si>
  <si>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GLD</t>
  </si>
  <si>
    <t>UUP</t>
  </si>
  <si>
    <t>DBA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</si>
  <si>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</si>
  <si>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</si>
  <si>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</si>
  <si>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</si>
  <si>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</si>
  <si>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</si>
  <si>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</si>
  <si>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</si>
  <si>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</si>
  <si>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</si>
  <si>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</si>
  <si>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</si>
  <si>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</si>
  <si>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</si>
  <si>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</si>
  <si>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</si>
  <si>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</si>
  <si>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</si>
  <si>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</si>
  <si>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</si>
  <si>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</si>
  <si>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</si>
  <si>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</si>
  <si>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</si>
  <si>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</si>
  <si>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</si>
  <si>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</si>
  <si>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Growth in E</t>
  </si>
  <si>
    <t>PE trailing</t>
  </si>
  <si>
    <t>PE forward</t>
  </si>
  <si>
    <t>FCF yield</t>
  </si>
  <si>
    <t>CURRENT RATES</t>
  </si>
  <si>
    <t xml:space="preserve">VWO 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</si>
  <si>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</si>
  <si>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</si>
  <si>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</si>
  <si>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</si>
  <si>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</si>
  <si>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</si>
  <si>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</si>
  <si>
    <t>CC_CN</t>
  </si>
  <si>
    <t>CC_IN</t>
  </si>
  <si>
    <t>10Y Treasury</t>
  </si>
  <si>
    <t>TRYCN10Y-FDS</t>
  </si>
  <si>
    <t>TRYIN10Y-FDS</t>
  </si>
  <si>
    <t>TRYUS10Y-FDS</t>
  </si>
  <si>
    <t>ETF NAME</t>
  </si>
  <si>
    <t>Dividend Yield</t>
  </si>
  <si>
    <t>TRYJP10Y-FDS</t>
  </si>
  <si>
    <t>LONG TERM RETURN</t>
  </si>
  <si>
    <t>ABOVE RATES</t>
  </si>
  <si>
    <t>Growth</t>
  </si>
  <si>
    <t>FC0000IN</t>
  </si>
  <si>
    <t>FC0000CN</t>
  </si>
  <si>
    <t>FC0000JP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</si>
</sst>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_(&quot;$&quot;* #,##0.00_);_(&quot;$&quot;* \(#,##0.00\);_(&quot;$&quot;* &quot;-&quot;??_);_(@_)"/>
    <numFmt numFmtId="170" formatCode="0.000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73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2" fontId="0" fillId="2" borderId="0" xfId="0" applyNumberFormat="1" applyFill="1"/>
    <xf numFmtId="165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69" fontId="0" fillId="0" borderId="0" xfId="0" applyNumberFormat="1"/>
    <xf numFmtId="167" fontId="0" fillId="0" borderId="6" xfId="0" applyNumberFormat="1" applyBorder="1"/>
    <xf numFmtId="0" fontId="24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12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8" xfId="0" applyFont="1" applyBorder="1"/>
    <xf numFmtId="0" fontId="1" fillId="0" borderId="9" xfId="0" applyFont="1" applyBorder="1"/>
    <xf numFmtId="0" fontId="1" fillId="0" borderId="20" xfId="0" applyFont="1" applyBorder="1"/>
    <xf numFmtId="0" fontId="24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67" fontId="0" fillId="0" borderId="4" xfId="0" applyNumberFormat="1" applyBorder="1"/>
    <xf numFmtId="170" fontId="0" fillId="0" borderId="6" xfId="0" applyNumberFormat="1" applyBorder="1"/>
    <xf numFmtId="0" fontId="25" fillId="2" borderId="2" xfId="0" applyFont="1" applyFill="1" applyBorder="1"/>
    <xf numFmtId="0" fontId="25" fillId="2" borderId="3" xfId="0" applyFont="1" applyFill="1" applyBorder="1"/>
    <xf numFmtId="0" fontId="25" fillId="2" borderId="3" xfId="0" applyFont="1" applyFill="1" applyBorder="1" applyAlignment="1">
      <alignment wrapText="1"/>
    </xf>
    <xf numFmtId="0" fontId="25" fillId="2" borderId="21" xfId="0" applyFont="1" applyFill="1" applyBorder="1"/>
    <xf numFmtId="0" fontId="26" fillId="2" borderId="21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  <xf numFmtId="164" fontId="0" fillId="0" borderId="0" xfId="0" applyNumberFormat="1"/>
    <xf numFmtId="1" fontId="0" fillId="0" borderId="6" xfId="0" applyNumberFormat="1" applyBorder="1"/>
    <xf numFmtId="10" fontId="0" fillId="0" borderId="6" xfId="0" applyNumberFormat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168" fontId="0" fillId="0" borderId="0" xfId="1" applyNumberFormat="1" applyFont="1"/>
    <xf numFmtId="168" fontId="0" fillId="0" borderId="0" xfId="1" applyNumberFormat="1" applyFont="1" applyFill="1" applyBorder="1"/>
    <xf numFmtId="170" fontId="0" fillId="0" borderId="0" xfId="0" applyNumberFormat="1"/>
    <xf numFmtId="10" fontId="0" fillId="0" borderId="0" xfId="0" applyNumberFormat="1"/>
    <xf numFmtId="168" fontId="0" fillId="0" borderId="6" xfId="1" applyNumberFormat="1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22" xfId="0" applyBorder="1"/>
    <xf numFmtId="0" fontId="0" fillId="0" borderId="23" xfId="0" applyBorder="1"/>
    <xf numFmtId="0" fontId="0" fillId="2" borderId="0" xfId="0" applyFill="1"/>
    <xf numFmtId="0" fontId="0" fillId="0" borderId="0" xfId="0" applyAlignment="1">
      <alignment horizontal="center"/>
    </xf>
  </cellXfs>
  <cellStyles count="50">
    <cellStyle name="20% - Accent1 2" xfId="22" xr:uid="{6BF567C9-3E19-4630-AF0A-0733C7BFCE04}"/>
    <cellStyle name="20% - Accent2 2" xfId="26" xr:uid="{5F0600A4-5BB4-497F-9807-6F9D2A2A3D3D}"/>
    <cellStyle name="20% - Accent3 2" xfId="30" xr:uid="{DBF42285-B623-4F8B-BA82-E5910643416B}"/>
    <cellStyle name="20% - Accent4 2" xfId="34" xr:uid="{4DCDC153-26D1-4002-8E2D-81916D625F7E}"/>
    <cellStyle name="20% - Accent5 2" xfId="38" xr:uid="{8DAB878B-1406-49CB-A825-4A720222E27A}"/>
    <cellStyle name="20% - Accent6 2" xfId="42" xr:uid="{D7129595-6E29-4C9E-8A40-CB20ED27F2A1}"/>
    <cellStyle name="40% - Accent1 2" xfId="23" xr:uid="{EE5EFDA3-DAFB-44BD-9F41-B55E770AE017}"/>
    <cellStyle name="40% - Accent2 2" xfId="27" xr:uid="{E60B08D7-FCFC-4B75-949E-53F991A87A95}"/>
    <cellStyle name="40% - Accent3 2" xfId="31" xr:uid="{B55CEAC8-3FFC-42A0-9906-73D0C544EB86}"/>
    <cellStyle name="40% - Accent4 2" xfId="35" xr:uid="{59C4DF45-BCD5-46B6-8F9E-6EDD2098F372}"/>
    <cellStyle name="40% - Accent5 2" xfId="39" xr:uid="{B4421AFC-A7D7-4211-8102-F52CAE046248}"/>
    <cellStyle name="40% - Accent6 2" xfId="43" xr:uid="{4375B196-4796-4AEE-B670-08CF84FDA4DE}"/>
    <cellStyle name="60% - Accent1 2" xfId="24" xr:uid="{5AA6FCB0-CD17-4C34-8429-EDB769B7872A}"/>
    <cellStyle name="60% - Accent2 2" xfId="28" xr:uid="{725B5829-70DC-47F8-94AF-24E67FFE08A6}"/>
    <cellStyle name="60% - Accent3 2" xfId="32" xr:uid="{78968431-9ED7-4764-B0A6-174D90961FDE}"/>
    <cellStyle name="60% - Accent4 2" xfId="36" xr:uid="{2CDE5411-0817-42C7-9BE8-A3F5850D4E7C}"/>
    <cellStyle name="60% - Accent5 2" xfId="40" xr:uid="{AA76549F-F357-40F6-A8A0-F4D9C90E33C5}"/>
    <cellStyle name="60% - Accent6 2" xfId="44" xr:uid="{B834F776-29E6-442B-B2A4-13E499B88243}"/>
    <cellStyle name="Accent1 2" xfId="21" xr:uid="{E31E200E-E4F1-40BC-A964-614943D67F5F}"/>
    <cellStyle name="Accent2 2" xfId="25" xr:uid="{14CB3ABC-1D87-42A7-8EC9-22951DAB35B7}"/>
    <cellStyle name="Accent3 2" xfId="29" xr:uid="{FC8DFCD8-A5C1-453C-A832-7C7EEC8D3A45}"/>
    <cellStyle name="Accent4 2" xfId="33" xr:uid="{C984AEFA-60ED-4827-A0A8-CF53BC33DB1C}"/>
    <cellStyle name="Accent5 2" xfId="37" xr:uid="{C4C081E2-30E4-4FE8-9241-47C9A7D4F425}"/>
    <cellStyle name="Accent6 2" xfId="41" xr:uid="{ACBE0022-0325-4427-B342-7D198FC24C57}"/>
    <cellStyle name="Bad 2" xfId="10" xr:uid="{34FA6DDA-7C4A-4AAF-B54F-AC61B9198874}"/>
    <cellStyle name="Calculation 2" xfId="14" xr:uid="{4C103943-B964-476F-8DED-2CBBE8FF5AB3}"/>
    <cellStyle name="Check Cell 2" xfId="16" xr:uid="{A5B4E367-727F-4FF5-97CD-0B2AC393E0AC}"/>
    <cellStyle name="Explanatory Text 2" xfId="19" xr:uid="{CA4E047B-78A0-4149-B455-DA7DEC1140AC}"/>
    <cellStyle name="Good 2" xfId="9" xr:uid="{ACD8C754-FD4D-4B70-9E33-7A7C7FD8649E}"/>
    <cellStyle name="Heading 1 2" xfId="5" xr:uid="{173B1166-3921-420C-8765-28E946828845}"/>
    <cellStyle name="Heading 2 2" xfId="6" xr:uid="{E323F497-5728-45A9-A83B-E5FFBE5F3B8D}"/>
    <cellStyle name="Heading 3 2" xfId="7" xr:uid="{842A6238-2186-496C-BA5F-D924F4DD879D}"/>
    <cellStyle name="Heading 4 2" xfId="8" xr:uid="{0E8A40DF-39D7-4BCE-B781-19E0C27BDDB5}"/>
    <cellStyle name="Hyperlink 2" xfId="48" xr:uid="{585E602A-854D-40CA-B45C-D7EC796A3C12}"/>
    <cellStyle name="Input 2" xfId="12" xr:uid="{9FB5D653-92B2-447E-A9C5-44E81D71809B}"/>
    <cellStyle name="Linked Cell 2" xfId="15" xr:uid="{4DC9DA3A-47A9-4697-9B4B-E2759465A1FF}"/>
    <cellStyle name="Neutral 2" xfId="11" xr:uid="{86A8DAC4-4E23-4DC3-8FAD-3DAEBC1B653E}"/>
    <cellStyle name="Normal" xfId="0" builtinId="0"/>
    <cellStyle name="Normal 2" xfId="3" xr:uid="{1B6474D5-B1FB-4CF3-894C-9CA566BA18CC}"/>
    <cellStyle name="Normal 2 2" xfId="45" xr:uid="{2D7C4D45-C813-4CC8-9258-BED30AB3C215}"/>
    <cellStyle name="Normal 2 2 2" xfId="46" xr:uid="{2C1E2A28-1B42-41ED-B6CB-85F988B9763D}"/>
    <cellStyle name="Normal 3" xfId="47" xr:uid="{D60CEBFB-F3B0-497F-A27B-E0BA49DFEF7C}"/>
    <cellStyle name="Normal 4" xfId="2" xr:uid="{958436DA-23C3-4F88-95CD-360D4C51F944}"/>
    <cellStyle name="Normal 5" xfId="49" xr:uid="{7B936215-C9A4-44ED-9EFF-D9C25E5F21B0}"/>
    <cellStyle name="Note 2" xfId="18" xr:uid="{DA5BF5B2-5940-424E-85C9-00F9C2454F44}"/>
    <cellStyle name="Output 2" xfId="13" xr:uid="{482649A2-BB86-4C01-9ED9-51DFAD926240}"/>
    <cellStyle name="Percent" xfId="1" builtinId="5"/>
    <cellStyle name="Title 2" xfId="4" xr:uid="{FB6D4149-6ABD-4DB4-95B3-0D1495DBAFEF}"/>
    <cellStyle name="Total 2" xfId="20" xr:uid="{AA230248-B9E2-4D03-991C-F308A812F75F}"/>
    <cellStyle name="Warning Text 2" xfId="17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4" x14ac:dyDescent="0.3"/>
  <sheetData>
    <row r="1" spans="1:2" x14ac:dyDescent="0.3">
      <c r="B1" t="s">
        <v>7</v>
      </c>
    </row>
    <row r="2" spans="1:2" x14ac:dyDescent="0.3"/>
    <row r="3" spans="1:2" x14ac:dyDescent="0.3"/>
    <row r="4" spans="1:2" x14ac:dyDescent="0.3"/>
    <row r="5" spans="1:2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68"/>
  <sheetViews>
    <sheetView tabSelected="1" topLeftCell="A28" zoomScale="93" zoomScaleNormal="93" workbookViewId="0">
      <selection activeCell="H58" sqref="H58"/>
    </sheetView>
  </sheetViews>
  <sheetFormatPr defaultRowHeight="14.4" x14ac:dyDescent="0.3"/>
  <cols>
    <col min="4" max="4" width="19.21875" customWidth="1"/>
    <col min="5" max="5" width="21.21875" customWidth="1"/>
    <col min="6" max="6" width="14.44140625" customWidth="1"/>
    <col min="7" max="8" width="14.21875" customWidth="1"/>
    <col min="9" max="9" width="13.77734375" customWidth="1"/>
    <col min="10" max="10" width="14.21875" customWidth="1"/>
    <col min="11" max="11" width="16.5546875" bestFit="1" customWidth="1"/>
    <col min="12" max="12" width="19.21875" bestFit="1" customWidth="1"/>
    <col min="13" max="13" width="15" customWidth="1"/>
    <col min="14" max="14" width="15.21875" customWidth="1"/>
    <col min="15" max="15" width="16.77734375" bestFit="1" customWidth="1"/>
    <col min="16" max="16" width="15.44140625" customWidth="1"/>
    <col min="17" max="17" width="12.77734375" customWidth="1"/>
  </cols>
  <sheetData>
    <row r="1" spans="5:10" x14ac:dyDescent="0.3">
      <c r="E1" s="27" t="s">
        <v>96</v>
      </c>
    </row>
    <row r="2" spans="5:10" ht="15" thickBot="1" x14ac:dyDescent="0.35"/>
    <row r="3" spans="5:10" ht="15" thickBot="1" x14ac:dyDescent="0.35">
      <c r="E3" s="34" t="s">
        <v>72</v>
      </c>
      <c r="F3" s="35" t="s">
        <v>73</v>
      </c>
      <c r="G3" s="35" t="s">
        <v>76</v>
      </c>
      <c r="H3" s="36" t="s">
        <v>74</v>
      </c>
    </row>
    <row r="4" spans="5:10" x14ac:dyDescent="0.3">
      <c r="E4" s="20" t="s">
        <v>49</v>
      </c>
      <c r="F4" t="str">
        <f>IF(HLOOKUP($E4,'Factset Price Data'!$C$208:$Q$215,6,FALSE)&gt;=1,"INVESTED","CASH")</f>
        <v>INVESTED</v>
      </c>
      <c r="G4" t="str">
        <f>IF(HLOOKUP($E4,'Factset Price Data'!$C$208:$Q$215,7,FALSE)&gt;=1,"INVESTED","CASH")</f>
        <v>INVESTED</v>
      </c>
      <c r="H4" s="39" t="str">
        <f>IF(HLOOKUP($E4,'Factset Price Data'!$C$208:$Q$215,8,FALSE)&gt;=1,"INVESTED","CASH")</f>
        <v>INVESTED</v>
      </c>
    </row>
    <row r="5" spans="5:10" x14ac:dyDescent="0.3">
      <c r="E5" s="20" t="s">
        <v>62</v>
      </c>
      <c r="F5" t="str">
        <f>IF(HLOOKUP($E5,'Factset Price Data'!$C$208:$Q$215,6,FALSE)&gt;=1,"INVESTED","CASH")</f>
        <v>INVESTED</v>
      </c>
      <c r="G5" t="str">
        <f>IF(HLOOKUP($E5,'Factset Price Data'!$C$208:$Q$215,7,FALSE)&gt;=1,"INVESTED","CASH")</f>
        <v>CASH</v>
      </c>
      <c r="H5" s="39" t="str">
        <f>IF(HLOOKUP($E5,'Factset Price Data'!$C$208:$Q$215,8,FALSE)&gt;=1,"INVESTED","CASH")</f>
        <v>INVESTED</v>
      </c>
    </row>
    <row r="6" spans="5:10" x14ac:dyDescent="0.3">
      <c r="E6" s="20" t="s">
        <v>59</v>
      </c>
      <c r="F6" t="str">
        <f>IF(HLOOKUP($E6,'Factset Price Data'!$C$208:$Q$215,6,FALSE)&gt;=1,"INVESTED","CASH")</f>
        <v>INVESTED</v>
      </c>
      <c r="G6" t="str">
        <f>IF(HLOOKUP($E6,'Factset Price Data'!$C$208:$Q$215,7,FALSE)&gt;=1,"INVESTED","CASH")</f>
        <v>INVESTED</v>
      </c>
      <c r="H6" s="39" t="str">
        <f>IF(HLOOKUP($E6,'Factset Price Data'!$C$208:$Q$215,8,FALSE)&gt;=1,"INVESTED","CASH")</f>
        <v>INVESTED</v>
      </c>
    </row>
    <row r="7" spans="5:10" x14ac:dyDescent="0.3">
      <c r="E7" s="20" t="s">
        <v>61</v>
      </c>
      <c r="F7" t="str">
        <f>IF(HLOOKUP($E7,'Factset Price Data'!$C$208:$Q$215,6,FALSE)&gt;=1,"INVESTED","CASH")</f>
        <v>INVESTED</v>
      </c>
      <c r="G7" t="str">
        <f>IF(HLOOKUP($E7,'Factset Price Data'!$C$208:$Q$215,7,FALSE)&gt;=1,"INVESTED","CASH")</f>
        <v>INVESTED</v>
      </c>
      <c r="H7" s="39" t="str">
        <f>IF(HLOOKUP($E7,'Factset Price Data'!$C$208:$Q$215,8,FALSE)&gt;=1,"INVESTED","CASH")</f>
        <v>CASH</v>
      </c>
    </row>
    <row r="8" spans="5:10" ht="15" thickBot="1" x14ac:dyDescent="0.35">
      <c r="E8" s="9" t="s">
        <v>60</v>
      </c>
      <c r="F8" s="10" t="str">
        <f>IF(HLOOKUP($E8,'Factset Price Data'!$C$208:$Q$215,6,FALSE)&gt;=1,"INVESTED","CASH")</f>
        <v>CASH</v>
      </c>
      <c r="G8" s="10" t="str">
        <f>IF(HLOOKUP($E8,'Factset Price Data'!$C$208:$Q$215,7,FALSE)&gt;=1,"INVESTED","CASH")</f>
        <v>INVESTED</v>
      </c>
      <c r="H8" s="40" t="str">
        <f>IF(HLOOKUP($E8,'Factset Price Data'!$C$208:$Q$215,8,FALSE)&gt;=1,"INVESTED","CASH")</f>
        <v>CASH</v>
      </c>
    </row>
    <row r="10" spans="5:10" ht="15" thickBot="1" x14ac:dyDescent="0.35"/>
    <row r="11" spans="5:10" x14ac:dyDescent="0.3">
      <c r="E11" s="27" t="s">
        <v>98</v>
      </c>
    </row>
    <row r="12" spans="5:10" ht="15" thickBot="1" x14ac:dyDescent="0.35">
      <c r="E12" t="s">
        <v>68</v>
      </c>
      <c r="F12" t="s">
        <v>2</v>
      </c>
      <c r="G12" t="s">
        <v>21</v>
      </c>
      <c r="H12" t="s">
        <v>77</v>
      </c>
    </row>
    <row r="13" spans="5:10" ht="15" thickBot="1" x14ac:dyDescent="0.35">
      <c r="E13" s="28">
        <v>0.33</v>
      </c>
      <c r="F13" s="28">
        <v>0.33</v>
      </c>
      <c r="G13" s="28">
        <v>0.33</v>
      </c>
    </row>
    <row r="14" spans="5:10" ht="15" thickBot="1" x14ac:dyDescent="0.35">
      <c r="E14" s="23"/>
      <c r="F14" s="7"/>
      <c r="G14" s="7"/>
      <c r="H14" s="66" t="s">
        <v>73</v>
      </c>
      <c r="I14" s="67" t="s">
        <v>76</v>
      </c>
      <c r="J14" s="68" t="s">
        <v>74</v>
      </c>
    </row>
    <row r="15" spans="5:10" x14ac:dyDescent="0.3">
      <c r="E15" s="69" t="s">
        <v>4</v>
      </c>
      <c r="F15" s="70">
        <f>'Asset class'!S3</f>
        <v>8</v>
      </c>
      <c r="G15" s="70">
        <f t="shared" ref="G15:G23" si="0">F15</f>
        <v>8</v>
      </c>
      <c r="H15" s="7" t="str">
        <f>IF(HLOOKUP($E15,'Factset Price Data'!$C$208:$Q$215,6,FALSE)&gt;=1,"INVESTED","CASH")</f>
        <v>INVESTED</v>
      </c>
      <c r="I15" s="7" t="str">
        <f>IF(HLOOKUP($E15,'Factset Price Data'!$C$208:$Q$215,7,FALSE)&gt;=1,"INVESTED","CASH")</f>
        <v>INVESTED</v>
      </c>
      <c r="J15" s="8" t="str">
        <f>IF(HLOOKUP($E15,'Factset Price Data'!$C$208:$Q$215,8,FALSE)&gt;=1,"INVESTED","CASH")</f>
        <v>INVESTED</v>
      </c>
    </row>
    <row r="16" spans="5:10" x14ac:dyDescent="0.3">
      <c r="E16" s="31" t="s">
        <v>1</v>
      </c>
      <c r="F16" s="30">
        <f>'Asset class'!S4</f>
        <v>0</v>
      </c>
      <c r="G16" s="30">
        <f t="shared" si="0"/>
        <v>0</v>
      </c>
      <c r="H16" t="str">
        <f>IF(HLOOKUP($E16,'Factset Price Data'!$C$208:$Q$215,6,FALSE)&gt;=1,"INVESTED","CASH")</f>
        <v>INVESTED</v>
      </c>
      <c r="I16" t="str">
        <f>IF(HLOOKUP($E16,'Factset Price Data'!$C$208:$Q$215,7,FALSE)&gt;=1,"INVESTED","CASH")</f>
        <v>INVESTED</v>
      </c>
      <c r="J16" s="39" t="str">
        <f>IF(HLOOKUP($E16,'Factset Price Data'!$C$208:$Q$215,8,FALSE)&gt;=1,"INVESTED","CASH")</f>
        <v>INVESTED</v>
      </c>
    </row>
    <row r="17" spans="5:16" x14ac:dyDescent="0.3">
      <c r="E17" s="31" t="s">
        <v>59</v>
      </c>
      <c r="F17" s="30">
        <f>'Asset class'!S5</f>
        <v>6</v>
      </c>
      <c r="G17" s="30">
        <f t="shared" si="0"/>
        <v>6</v>
      </c>
      <c r="H17" t="str">
        <f>IF(HLOOKUP($E17,'Factset Price Data'!$C$208:$Q$215,6,FALSE)&gt;=1,"INVESTED","CASH")</f>
        <v>INVESTED</v>
      </c>
      <c r="I17" t="str">
        <f>IF(HLOOKUP($E17,'Factset Price Data'!$C$208:$Q$215,7,FALSE)&gt;=1,"INVESTED","CASH")</f>
        <v>INVESTED</v>
      </c>
      <c r="J17" s="39" t="str">
        <f>IF(HLOOKUP($E17,'Factset Price Data'!$C$208:$Q$215,8,FALSE)&gt;=1,"INVESTED","CASH")</f>
        <v>INVESTED</v>
      </c>
    </row>
    <row r="18" spans="5:16" x14ac:dyDescent="0.3">
      <c r="E18" s="31" t="s">
        <v>60</v>
      </c>
      <c r="F18" s="30">
        <f>'Asset class'!S6</f>
        <v>10</v>
      </c>
      <c r="G18" s="30">
        <f t="shared" si="0"/>
        <v>10</v>
      </c>
      <c r="H18" t="str">
        <f>IF(HLOOKUP($E18,'Factset Price Data'!$C$208:$Q$215,6,FALSE)&gt;=1,"INVESTED","CASH")</f>
        <v>CASH</v>
      </c>
      <c r="I18" t="str">
        <f>IF(HLOOKUP($E18,'Factset Price Data'!$C$208:$Q$215,7,FALSE)&gt;=1,"INVESTED","CASH")</f>
        <v>INVESTED</v>
      </c>
      <c r="J18" s="39" t="str">
        <f>IF(HLOOKUP($E18,'Factset Price Data'!$C$208:$Q$215,8,FALSE)&gt;=1,"INVESTED","CASH")</f>
        <v>CASH</v>
      </c>
    </row>
    <row r="19" spans="5:16" x14ac:dyDescent="0.3">
      <c r="E19" s="31" t="s">
        <v>15</v>
      </c>
      <c r="F19" s="30">
        <f>'Asset class'!S7</f>
        <v>1</v>
      </c>
      <c r="G19" s="30">
        <f t="shared" si="0"/>
        <v>1</v>
      </c>
      <c r="H19" t="str">
        <f>IF(HLOOKUP($E19,'Factset Price Data'!$C$208:$Q$215,6,FALSE)&gt;=1,"INVESTED","CASH")</f>
        <v>INVESTED</v>
      </c>
      <c r="I19" t="str">
        <f>IF(HLOOKUP($E19,'Factset Price Data'!$C$208:$Q$215,7,FALSE)&gt;=1,"INVESTED","CASH")</f>
        <v>INVESTED</v>
      </c>
      <c r="J19" s="39" t="str">
        <f>IF(HLOOKUP($E19,'Factset Price Data'!$C$208:$Q$215,8,FALSE)&gt;=1,"INVESTED","CASH")</f>
        <v>INVESTED</v>
      </c>
    </row>
    <row r="20" spans="5:16" x14ac:dyDescent="0.3">
      <c r="E20" s="31" t="s">
        <v>61</v>
      </c>
      <c r="F20" s="30">
        <f>'Asset class'!S8</f>
        <v>4</v>
      </c>
      <c r="G20" s="30">
        <f t="shared" si="0"/>
        <v>4</v>
      </c>
      <c r="H20" t="str">
        <f>IF(HLOOKUP($E20,'Factset Price Data'!$C$208:$Q$215,6,FALSE)&gt;=1,"INVESTED","CASH")</f>
        <v>INVESTED</v>
      </c>
      <c r="I20" t="str">
        <f>IF(HLOOKUP($E20,'Factset Price Data'!$C$208:$Q$215,7,FALSE)&gt;=1,"INVESTED","CASH")</f>
        <v>INVESTED</v>
      </c>
      <c r="J20" s="39" t="str">
        <f>IF(HLOOKUP($E20,'Factset Price Data'!$C$208:$Q$215,8,FALSE)&gt;=1,"INVESTED","CASH")</f>
        <v>CASH</v>
      </c>
    </row>
    <row r="21" spans="5:16" x14ac:dyDescent="0.3">
      <c r="E21" s="31" t="s">
        <v>70</v>
      </c>
      <c r="F21" s="30">
        <f>'Asset class'!S9</f>
        <v>7</v>
      </c>
      <c r="G21" s="30">
        <f t="shared" si="0"/>
        <v>7</v>
      </c>
      <c r="H21" t="str">
        <f>IF(HLOOKUP($E21,'Factset Price Data'!$C$208:$Q$215,6,FALSE)&gt;=1,"INVESTED","CASH")</f>
        <v>INVESTED</v>
      </c>
      <c r="I21" t="str">
        <f>IF(HLOOKUP($E21,'Factset Price Data'!$C$208:$Q$215,7,FALSE)&gt;=1,"INVESTED","CASH")</f>
        <v>INVESTED</v>
      </c>
      <c r="J21" s="39" t="str">
        <f>IF(HLOOKUP($E21,'Factset Price Data'!$C$208:$Q$215,8,FALSE)&gt;=1,"INVESTED","CASH")</f>
        <v>CASH</v>
      </c>
    </row>
    <row r="22" spans="5:16" x14ac:dyDescent="0.3">
      <c r="E22" s="31" t="s">
        <v>62</v>
      </c>
      <c r="F22" s="30">
        <f>'Asset class'!S10</f>
        <v>10</v>
      </c>
      <c r="G22" s="30">
        <f t="shared" si="0"/>
        <v>10</v>
      </c>
      <c r="H22" t="str">
        <f>IF(HLOOKUP($E22,'Factset Price Data'!$C$208:$Q$215,6,FALSE)&gt;=1,"INVESTED","CASH")</f>
        <v>INVESTED</v>
      </c>
      <c r="I22" t="str">
        <f>IF(HLOOKUP($E22,'Factset Price Data'!$C$208:$Q$215,7,FALSE)&gt;=1,"INVESTED","CASH")</f>
        <v>CASH</v>
      </c>
      <c r="J22" s="39" t="str">
        <f>IF(HLOOKUP($E22,'Factset Price Data'!$C$208:$Q$215,8,FALSE)&gt;=1,"INVESTED","CASH")</f>
        <v>INVESTED</v>
      </c>
    </row>
    <row r="23" spans="5:16" x14ac:dyDescent="0.3">
      <c r="E23" s="31" t="s">
        <v>42</v>
      </c>
      <c r="F23" s="30">
        <f>'Asset class'!S11</f>
        <v>2</v>
      </c>
      <c r="G23" s="30">
        <f t="shared" si="0"/>
        <v>2</v>
      </c>
      <c r="H23" t="str">
        <f>IF(HLOOKUP($E23,'Factset Price Data'!$C$208:$Q$215,6,FALSE)&gt;=1,"INVESTED","CASH")</f>
        <v>INVESTED</v>
      </c>
      <c r="I23" t="str">
        <f>IF(HLOOKUP($E23,'Factset Price Data'!$C$208:$Q$215,7,FALSE)&gt;=1,"INVESTED","CASH")</f>
        <v>INVESTED</v>
      </c>
      <c r="J23" s="39" t="str">
        <f>IF(HLOOKUP($E23,'Factset Price Data'!$C$208:$Q$215,8,FALSE)&gt;=1,"INVESTED","CASH")</f>
        <v>INVESTED</v>
      </c>
    </row>
    <row r="24" spans="5:16" x14ac:dyDescent="0.3">
      <c r="E24" s="31" t="s">
        <v>71</v>
      </c>
      <c r="F24" s="30">
        <f>'Asset class'!S12</f>
        <v>5</v>
      </c>
      <c r="G24" s="30">
        <f t="shared" ref="G24:G26" si="1">F24</f>
        <v>5</v>
      </c>
      <c r="H24" t="str">
        <f>IF(HLOOKUP($E24,'Factset Price Data'!$C$208:$Q$215,6,FALSE)&gt;=1,"INVESTED","CASH")</f>
        <v>INVESTED</v>
      </c>
      <c r="I24" t="str">
        <f>IF(HLOOKUP($E24,'Factset Price Data'!$C$208:$Q$215,7,FALSE)&gt;=1,"INVESTED","CASH")</f>
        <v>INVESTED</v>
      </c>
      <c r="J24" s="39" t="str">
        <f>IF(HLOOKUP($E24,'Factset Price Data'!$C$208:$Q$215,8,FALSE)&gt;=1,"INVESTED","CASH")</f>
        <v>INVESTED</v>
      </c>
    </row>
    <row r="25" spans="5:16" x14ac:dyDescent="0.3">
      <c r="E25" s="30" t="s">
        <v>12</v>
      </c>
      <c r="F25" s="30">
        <f>'Asset class'!S13</f>
        <v>4</v>
      </c>
      <c r="G25" s="30">
        <f t="shared" si="1"/>
        <v>4</v>
      </c>
      <c r="H25" t="str">
        <f>IF(HLOOKUP($E25,'Factset Price Data'!$C$208:$Q$215,6,FALSE)&gt;=1,"INVESTED","CASH")</f>
        <v>INVESTED</v>
      </c>
      <c r="I25" t="str">
        <f>IF(HLOOKUP($E25,'Factset Price Data'!$C$208:$Q$215,7,FALSE)&gt;=1,"INVESTED","CASH")</f>
        <v>INVESTED</v>
      </c>
      <c r="J25" s="39" t="str">
        <f>IF(HLOOKUP($E25,'Factset Price Data'!$C$208:$Q$215,8,FALSE)&gt;=1,"INVESTED","CASH")</f>
        <v>INVESTED</v>
      </c>
    </row>
    <row r="26" spans="5:16" ht="15" thickBot="1" x14ac:dyDescent="0.35">
      <c r="E26" s="32" t="s">
        <v>65</v>
      </c>
      <c r="F26" s="33">
        <f>'Asset class'!S14</f>
        <v>11</v>
      </c>
      <c r="G26" s="33">
        <f t="shared" si="1"/>
        <v>11</v>
      </c>
      <c r="H26" s="10" t="str">
        <f>IF(HLOOKUP($E26,'Factset Price Data'!$C$208:$Q$215,6,FALSE)&gt;=1,"INVESTED","CASH")</f>
        <v>INVESTED</v>
      </c>
      <c r="I26" s="10" t="str">
        <f>IF(HLOOKUP($E26,'Factset Price Data'!$C$208:$Q$215,7,FALSE)&gt;=1,"INVESTED","CASH")</f>
        <v>INVESTED</v>
      </c>
      <c r="J26" s="40" t="str">
        <f>IF(HLOOKUP($E26,'Factset Price Data'!$C$208:$Q$215,8,FALSE)&gt;=1,"INVESTED","CASH")</f>
        <v>CASH</v>
      </c>
    </row>
    <row r="27" spans="5:16" ht="15" thickBot="1" x14ac:dyDescent="0.35"/>
    <row r="28" spans="5:16" ht="15" thickBot="1" x14ac:dyDescent="0.35">
      <c r="E28" s="27" t="s">
        <v>97</v>
      </c>
      <c r="F28" s="7"/>
      <c r="G28" s="7"/>
      <c r="H28" s="7"/>
      <c r="I28" s="7"/>
      <c r="J28" s="7"/>
      <c r="K28" s="7"/>
      <c r="L28" s="7"/>
      <c r="M28" s="7"/>
      <c r="N28" s="7"/>
      <c r="O28" s="8"/>
    </row>
    <row r="29" spans="5:16" ht="28.8" x14ac:dyDescent="0.3">
      <c r="E29" s="45"/>
      <c r="F29" s="46" t="s">
        <v>25</v>
      </c>
      <c r="G29" s="46" t="s">
        <v>20</v>
      </c>
      <c r="H29" s="47" t="s">
        <v>68</v>
      </c>
      <c r="I29" s="46" t="s">
        <v>2</v>
      </c>
      <c r="J29" s="46" t="s">
        <v>3</v>
      </c>
      <c r="K29" s="46" t="s">
        <v>25</v>
      </c>
      <c r="L29" s="46" t="s">
        <v>20</v>
      </c>
      <c r="M29" s="47" t="s">
        <v>66</v>
      </c>
      <c r="N29" s="46" t="s">
        <v>2</v>
      </c>
      <c r="O29" s="49" t="s">
        <v>36</v>
      </c>
      <c r="P29" s="48" t="s">
        <v>95</v>
      </c>
    </row>
    <row r="30" spans="5:16" x14ac:dyDescent="0.3"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50"/>
      <c r="P30" s="30"/>
    </row>
    <row r="31" spans="5:16" x14ac:dyDescent="0.3">
      <c r="E31" s="30" t="str">
        <f>'Momnetum ranking'!B18</f>
        <v>Europe</v>
      </c>
      <c r="F31" s="51">
        <f>'Momnetum ranking'!J18</f>
        <v>-8.8303640588690946E-2</v>
      </c>
      <c r="G31" s="52">
        <f>'Momnetum ranking'!K18</f>
        <v>0.61242138364779897</v>
      </c>
      <c r="H31" s="51">
        <f>'Momnetum ranking'!Q18</f>
        <v>1</v>
      </c>
      <c r="I31" s="53">
        <f>'Momnetum ranking'!O18</f>
        <v>8.6419339999999991</v>
      </c>
      <c r="J31" s="30"/>
      <c r="K31" s="30">
        <f>_xlfn.RANK.EQ(F31,$F$31:$F$40)</f>
        <v>7</v>
      </c>
      <c r="L31" s="30">
        <f>_xlfn.RANK.EQ(G31,$G$31:$G$40)</f>
        <v>7</v>
      </c>
      <c r="M31" s="30">
        <f>_xlfn.RANK.EQ(H31,$H$31:$H$40)</f>
        <v>1</v>
      </c>
      <c r="N31" s="30">
        <f>_xlfn.RANK.EQ(I31,$I$31:$I$40)</f>
        <v>8</v>
      </c>
      <c r="O31" s="50">
        <f>MEDIAN(K31:N31)</f>
        <v>7</v>
      </c>
      <c r="P31" s="54">
        <f>O31-$O$33</f>
        <v>3</v>
      </c>
    </row>
    <row r="32" spans="5:16" x14ac:dyDescent="0.3">
      <c r="E32" s="30" t="str">
        <f>'Momnetum ranking'!B19</f>
        <v>EM</v>
      </c>
      <c r="F32" s="51">
        <f>'Momnetum ranking'!J19</f>
        <v>-9.0228779131922177E-2</v>
      </c>
      <c r="G32" s="52">
        <f>'Momnetum ranking'!K19</f>
        <v>0.32695269526952697</v>
      </c>
      <c r="H32" s="51">
        <f>'Momnetum ranking'!Q19</f>
        <v>0.97981439999999997</v>
      </c>
      <c r="I32" s="53">
        <f>'Momnetum ranking'!O19</f>
        <v>6.8050980000000001</v>
      </c>
      <c r="J32" s="30"/>
      <c r="K32" s="30">
        <f t="shared" ref="K32:K40" si="2">_xlfn.RANK.EQ(F32,$F$31:$F$40)</f>
        <v>8</v>
      </c>
      <c r="L32" s="30">
        <f t="shared" ref="L32:L40" si="3">_xlfn.RANK.EQ(G32,$G$31:$G$40)</f>
        <v>10</v>
      </c>
      <c r="M32" s="30">
        <f t="shared" ref="M32:M40" si="4">_xlfn.RANK.EQ(H32,$H$31:$H$40)</f>
        <v>7</v>
      </c>
      <c r="N32" s="30">
        <f t="shared" ref="N32:N40" si="5">_xlfn.RANK.EQ(I32,$I$31:$I$40)</f>
        <v>9</v>
      </c>
      <c r="O32" s="50">
        <f t="shared" ref="O32:O40" si="6">MEDIAN(K32:N32)</f>
        <v>8.5</v>
      </c>
      <c r="P32" s="54">
        <f t="shared" ref="P32:P40" si="7">O32-$O$33</f>
        <v>4.5</v>
      </c>
    </row>
    <row r="33" spans="5:16" x14ac:dyDescent="0.3">
      <c r="E33" s="30" t="str">
        <f>'Momnetum ranking'!B20</f>
        <v>World</v>
      </c>
      <c r="F33" s="51">
        <f>'Momnetum ranking'!J20</f>
        <v>-4.0899795501022518E-2</v>
      </c>
      <c r="G33" s="52">
        <f>'Momnetum ranking'!K20</f>
        <v>0.69877049180327899</v>
      </c>
      <c r="H33" s="51">
        <f>'Momnetum ranking'!Q20</f>
        <v>0.99686649999999999</v>
      </c>
      <c r="I33" s="53">
        <f>'Momnetum ranking'!O20</f>
        <v>11.255371</v>
      </c>
      <c r="J33" s="30"/>
      <c r="K33" s="30">
        <f t="shared" si="2"/>
        <v>4</v>
      </c>
      <c r="L33" s="30">
        <f t="shared" si="3"/>
        <v>5</v>
      </c>
      <c r="M33" s="30">
        <f t="shared" si="4"/>
        <v>3</v>
      </c>
      <c r="N33" s="30">
        <f t="shared" si="5"/>
        <v>4</v>
      </c>
      <c r="O33" s="50">
        <f t="shared" si="6"/>
        <v>4</v>
      </c>
      <c r="P33" s="54">
        <f t="shared" si="7"/>
        <v>0</v>
      </c>
    </row>
    <row r="34" spans="5:16" x14ac:dyDescent="0.3">
      <c r="E34" s="30" t="str">
        <f>'Momnetum ranking'!B21</f>
        <v>Japan</v>
      </c>
      <c r="F34" s="51">
        <f>'Momnetum ranking'!J21</f>
        <v>0.12328767123287676</v>
      </c>
      <c r="G34" s="52">
        <f>'Momnetum ranking'!K21</f>
        <v>0.72146118721461205</v>
      </c>
      <c r="H34" s="51">
        <f>'Momnetum ranking'!Q21</f>
        <v>0.97526310000000005</v>
      </c>
      <c r="I34" s="53">
        <f>'Momnetum ranking'!O21</f>
        <v>12.555706000000001</v>
      </c>
      <c r="J34" s="30"/>
      <c r="K34" s="30">
        <f t="shared" si="2"/>
        <v>1</v>
      </c>
      <c r="L34" s="30">
        <f t="shared" si="3"/>
        <v>4</v>
      </c>
      <c r="M34" s="30">
        <f t="shared" si="4"/>
        <v>8</v>
      </c>
      <c r="N34" s="30">
        <f t="shared" si="5"/>
        <v>1</v>
      </c>
      <c r="O34" s="50">
        <f t="shared" si="6"/>
        <v>2.5</v>
      </c>
      <c r="P34" s="54">
        <f t="shared" si="7"/>
        <v>-1.5</v>
      </c>
    </row>
    <row r="35" spans="5:16" x14ac:dyDescent="0.3">
      <c r="E35" s="30" t="str">
        <f>'Momnetum ranking'!B22</f>
        <v>US</v>
      </c>
      <c r="F35" s="51">
        <f>'Momnetum ranking'!J22</f>
        <v>-1.1904761904761862E-2</v>
      </c>
      <c r="G35" s="52">
        <f>'Momnetum ranking'!K22</f>
        <v>0.79920477137176904</v>
      </c>
      <c r="H35" s="51">
        <f>'Momnetum ranking'!Q22</f>
        <v>0.99722109999999997</v>
      </c>
      <c r="I35" s="53">
        <f>'Momnetum ranking'!O22</f>
        <v>11.803234</v>
      </c>
      <c r="J35" s="30"/>
      <c r="K35" s="30">
        <f t="shared" si="2"/>
        <v>3</v>
      </c>
      <c r="L35" s="30">
        <f t="shared" si="3"/>
        <v>1</v>
      </c>
      <c r="M35" s="30">
        <f t="shared" si="4"/>
        <v>2</v>
      </c>
      <c r="N35" s="30">
        <f t="shared" si="5"/>
        <v>2</v>
      </c>
      <c r="O35" s="50">
        <f t="shared" si="6"/>
        <v>2</v>
      </c>
      <c r="P35" s="54">
        <f t="shared" si="7"/>
        <v>-2</v>
      </c>
    </row>
    <row r="36" spans="5:16" x14ac:dyDescent="0.3">
      <c r="E36" s="30" t="s">
        <v>9</v>
      </c>
      <c r="F36" s="51">
        <f>'Momnetum ranking'!J23</f>
        <v>3.6231884057971009E-2</v>
      </c>
      <c r="G36" s="52">
        <f>'Momnetum ranking'!K23</f>
        <v>0.78676470588235303</v>
      </c>
      <c r="H36" s="51">
        <f>'Momnetum ranking'!Q23</f>
        <v>0.98551</v>
      </c>
      <c r="I36" s="53">
        <f>'Momnetum ranking'!O23</f>
        <v>9.0966590000000007</v>
      </c>
      <c r="J36" s="30"/>
      <c r="K36" s="30">
        <f t="shared" si="2"/>
        <v>2</v>
      </c>
      <c r="L36" s="30">
        <f t="shared" si="3"/>
        <v>2</v>
      </c>
      <c r="M36" s="30">
        <f t="shared" si="4"/>
        <v>6</v>
      </c>
      <c r="N36" s="30">
        <f t="shared" si="5"/>
        <v>7</v>
      </c>
      <c r="O36" s="50">
        <f t="shared" si="6"/>
        <v>4</v>
      </c>
      <c r="P36" s="54">
        <f t="shared" si="7"/>
        <v>0</v>
      </c>
    </row>
    <row r="37" spans="5:16" x14ac:dyDescent="0.3">
      <c r="E37" s="30" t="s">
        <v>71</v>
      </c>
      <c r="F37" s="51">
        <f>'Momnetum ranking'!J24</f>
        <v>-6.017191977077363E-2</v>
      </c>
      <c r="G37" s="52">
        <f>'Momnetum ranking'!K24</f>
        <v>0.6567164179104481</v>
      </c>
      <c r="H37" s="51">
        <f>'Momnetum ranking'!Q24</f>
        <v>0.99520092999999998</v>
      </c>
      <c r="I37" s="53">
        <f>'Momnetum ranking'!O24</f>
        <v>9.7809430000000006</v>
      </c>
      <c r="J37" s="30"/>
      <c r="K37" s="30">
        <f t="shared" si="2"/>
        <v>5</v>
      </c>
      <c r="L37" s="30">
        <f t="shared" si="3"/>
        <v>6</v>
      </c>
      <c r="M37" s="30">
        <f t="shared" si="4"/>
        <v>4</v>
      </c>
      <c r="N37" s="30">
        <f t="shared" si="5"/>
        <v>6</v>
      </c>
      <c r="O37" s="50">
        <f t="shared" si="6"/>
        <v>5.5</v>
      </c>
      <c r="P37" s="54">
        <f t="shared" si="7"/>
        <v>1.5</v>
      </c>
    </row>
    <row r="38" spans="5:16" x14ac:dyDescent="0.3">
      <c r="E38" s="30" t="s">
        <v>15</v>
      </c>
      <c r="F38" s="51">
        <f>'Momnetum ranking'!J25</f>
        <v>-7.8431372549019607E-2</v>
      </c>
      <c r="G38" s="52">
        <f>'Momnetum ranking'!K25</f>
        <v>0.77450980392156898</v>
      </c>
      <c r="H38" s="51">
        <f>'Momnetum ranking'!Q25</f>
        <v>0.98889976999999996</v>
      </c>
      <c r="I38" s="53">
        <f>'Momnetum ranking'!O25</f>
        <v>11.564457000000001</v>
      </c>
      <c r="J38" s="30"/>
      <c r="K38" s="30">
        <f t="shared" si="2"/>
        <v>6</v>
      </c>
      <c r="L38" s="30">
        <f t="shared" si="3"/>
        <v>3</v>
      </c>
      <c r="M38" s="30">
        <f t="shared" si="4"/>
        <v>5</v>
      </c>
      <c r="N38" s="30">
        <f t="shared" si="5"/>
        <v>3</v>
      </c>
      <c r="O38" s="50">
        <f t="shared" si="6"/>
        <v>4</v>
      </c>
      <c r="P38" s="54">
        <f t="shared" si="7"/>
        <v>0</v>
      </c>
    </row>
    <row r="39" spans="5:16" x14ac:dyDescent="0.3">
      <c r="E39" s="30" t="s">
        <v>79</v>
      </c>
      <c r="F39" s="51">
        <f>'Momnetum ranking'!J26</f>
        <v>-0.12628865979381443</v>
      </c>
      <c r="G39" s="52">
        <f>'Momnetum ranking'!K26</f>
        <v>0.55636363636363595</v>
      </c>
      <c r="H39" s="51">
        <f>'Momnetum ranking'!Q26</f>
        <v>0.97386055999999999</v>
      </c>
      <c r="I39" s="53">
        <f>'Momnetum ranking'!O26</f>
        <v>9.987247</v>
      </c>
      <c r="J39" s="30"/>
      <c r="K39" s="30">
        <f t="shared" si="2"/>
        <v>9</v>
      </c>
      <c r="L39" s="30">
        <f t="shared" si="3"/>
        <v>8</v>
      </c>
      <c r="M39" s="30">
        <f t="shared" si="4"/>
        <v>9</v>
      </c>
      <c r="N39" s="30">
        <f t="shared" si="5"/>
        <v>5</v>
      </c>
      <c r="O39" s="50">
        <f t="shared" si="6"/>
        <v>8.5</v>
      </c>
      <c r="P39" s="54">
        <f t="shared" si="7"/>
        <v>4.5</v>
      </c>
    </row>
    <row r="40" spans="5:16" x14ac:dyDescent="0.3">
      <c r="E40" s="30" t="s">
        <v>65</v>
      </c>
      <c r="F40" s="51">
        <f>'Momnetum ranking'!J27</f>
        <v>-0.13725490196078433</v>
      </c>
      <c r="G40" s="52">
        <f>'Momnetum ranking'!K27</f>
        <v>0.41176470588235298</v>
      </c>
      <c r="H40" s="51">
        <f>'Momnetum ranking'!Q27</f>
        <v>0.80419119999999999</v>
      </c>
      <c r="I40" s="53">
        <f>'Momnetum ranking'!O27</f>
        <v>5.2659153999999999</v>
      </c>
      <c r="J40" s="30"/>
      <c r="K40" s="30">
        <f t="shared" si="2"/>
        <v>10</v>
      </c>
      <c r="L40" s="30">
        <f t="shared" si="3"/>
        <v>9</v>
      </c>
      <c r="M40" s="30">
        <f t="shared" si="4"/>
        <v>10</v>
      </c>
      <c r="N40" s="30">
        <f t="shared" si="5"/>
        <v>10</v>
      </c>
      <c r="O40" s="50">
        <f t="shared" si="6"/>
        <v>10</v>
      </c>
      <c r="P40" s="54">
        <f t="shared" si="7"/>
        <v>6</v>
      </c>
    </row>
    <row r="41" spans="5:16" x14ac:dyDescent="0.3">
      <c r="F41" s="6"/>
      <c r="G41" s="5"/>
      <c r="H41" s="6"/>
      <c r="I41" s="3"/>
      <c r="O41" s="71"/>
      <c r="P41" s="72"/>
    </row>
    <row r="42" spans="5:16" ht="15" thickBot="1" x14ac:dyDescent="0.35">
      <c r="E42" s="37" t="s">
        <v>99</v>
      </c>
      <c r="K42" s="37" t="s">
        <v>100</v>
      </c>
    </row>
    <row r="43" spans="5:16" ht="15" thickBot="1" x14ac:dyDescent="0.35">
      <c r="E43" s="34" t="s">
        <v>87</v>
      </c>
      <c r="F43" s="42"/>
      <c r="G43" s="35" t="s">
        <v>75</v>
      </c>
      <c r="H43" s="35" t="s">
        <v>76</v>
      </c>
      <c r="I43" s="36" t="s">
        <v>74</v>
      </c>
      <c r="K43" s="38"/>
      <c r="L43" s="35" t="s">
        <v>63</v>
      </c>
      <c r="M43" s="36" t="s">
        <v>64</v>
      </c>
    </row>
    <row r="44" spans="5:16" x14ac:dyDescent="0.3">
      <c r="E44" s="20" t="s">
        <v>42</v>
      </c>
      <c r="F44" s="1" t="s">
        <v>31</v>
      </c>
      <c r="G44" t="str">
        <f>IF(HLOOKUP($E44,'Factset Price Data'!$C$208:$Q$215,6,FALSE)&gt;=1,"INVESTED","CASH")</f>
        <v>INVESTED</v>
      </c>
      <c r="H44" t="str">
        <f>IF(HLOOKUP($E44,'Factset Price Data'!$C$208:$Q$215,7,FALSE)&gt;=1,"INVESTED","CASH")</f>
        <v>INVESTED</v>
      </c>
      <c r="I44" s="39" t="str">
        <f>IF(HLOOKUP($E44,'Factset Price Data'!$C$208:$Q$215,8,FALSE)&gt;=1,"INVESTED","CASH")</f>
        <v>INVESTED</v>
      </c>
      <c r="K44" s="20" t="s">
        <v>42</v>
      </c>
      <c r="L44" s="6">
        <f>'Momnetum ranking'!H18</f>
        <v>0.3338497288923315</v>
      </c>
      <c r="M44" s="21">
        <f>'Momnetum ranking'!I18</f>
        <v>0.42215336948102244</v>
      </c>
    </row>
    <row r="45" spans="5:16" x14ac:dyDescent="0.3">
      <c r="E45" s="20" t="s">
        <v>4</v>
      </c>
      <c r="F45" s="1" t="s">
        <v>47</v>
      </c>
      <c r="G45" t="str">
        <f>IF(HLOOKUP($E45,'Factset Price Data'!$C$208:$Q$215,6,FALSE)&gt;=1,"INVESTED","CASH")</f>
        <v>INVESTED</v>
      </c>
      <c r="H45" t="str">
        <f>IF(HLOOKUP($E45,'Factset Price Data'!$C$208:$Q$215,7,FALSE)&gt;=1,"INVESTED","CASH")</f>
        <v>INVESTED</v>
      </c>
      <c r="I45" s="39" t="str">
        <f>IF(HLOOKUP($E45,'Factset Price Data'!$C$208:$Q$215,8,FALSE)&gt;=1,"INVESTED","CASH")</f>
        <v>INVESTED</v>
      </c>
      <c r="K45" s="20" t="s">
        <v>4</v>
      </c>
      <c r="L45" s="6">
        <f>'Momnetum ranking'!H19</f>
        <v>0.16570451143895659</v>
      </c>
      <c r="M45" s="21">
        <f>'Momnetum ranking'!I19</f>
        <v>0.25593329057087877</v>
      </c>
    </row>
    <row r="46" spans="5:16" x14ac:dyDescent="0.3">
      <c r="E46" s="20" t="s">
        <v>49</v>
      </c>
      <c r="F46" s="1" t="s">
        <v>50</v>
      </c>
      <c r="G46" t="str">
        <f>IF(HLOOKUP($E46,'Factset Price Data'!$C$208:$Q$215,6,FALSE)&gt;=1,"INVESTED","CASH")</f>
        <v>INVESTED</v>
      </c>
      <c r="H46" t="str">
        <f>IF(HLOOKUP($E46,'Factset Price Data'!$C$208:$Q$215,7,FALSE)&gt;=1,"INVESTED","CASH")</f>
        <v>INVESTED</v>
      </c>
      <c r="I46" s="39" t="str">
        <f>IF(HLOOKUP($E46,'Factset Price Data'!$C$208:$Q$215,8,FALSE)&gt;=1,"INVESTED","CASH")</f>
        <v>INVESTED</v>
      </c>
      <c r="K46" s="20" t="s">
        <v>49</v>
      </c>
      <c r="L46" s="6">
        <f>'Momnetum ranking'!H20</f>
        <v>0.41172460804362643</v>
      </c>
      <c r="M46" s="21">
        <f>'Momnetum ranking'!I20</f>
        <v>0.45262440354464895</v>
      </c>
    </row>
    <row r="47" spans="5:16" x14ac:dyDescent="0.3">
      <c r="E47" s="20" t="s">
        <v>12</v>
      </c>
      <c r="F47" s="1" t="s">
        <v>51</v>
      </c>
      <c r="G47" t="str">
        <f>IF(HLOOKUP($E47,'Factset Price Data'!$C$208:$Q$215,6,FALSE)&gt;=1,"INVESTED","CASH")</f>
        <v>INVESTED</v>
      </c>
      <c r="H47" t="str">
        <f>IF(HLOOKUP($E47,'Factset Price Data'!$C$208:$Q$215,7,FALSE)&gt;=1,"INVESTED","CASH")</f>
        <v>INVESTED</v>
      </c>
      <c r="I47" s="39" t="str">
        <f>IF(HLOOKUP($E47,'Factset Price Data'!$C$208:$Q$215,8,FALSE)&gt;=1,"INVESTED","CASH")</f>
        <v>INVESTED</v>
      </c>
      <c r="K47" s="20" t="s">
        <v>12</v>
      </c>
      <c r="L47" s="6">
        <f>'Momnetum ranking'!H21</f>
        <v>0.53424657534246578</v>
      </c>
      <c r="M47" s="21">
        <f>'Momnetum ranking'!I21</f>
        <v>0.41095890410958902</v>
      </c>
    </row>
    <row r="48" spans="5:16" x14ac:dyDescent="0.3">
      <c r="E48" s="20" t="s">
        <v>1</v>
      </c>
      <c r="F48" s="1" t="s">
        <v>28</v>
      </c>
      <c r="G48" t="str">
        <f>IF(HLOOKUP($E48,'Factset Price Data'!$C$208:$Q$215,6,FALSE)&gt;=1,"INVESTED","CASH")</f>
        <v>INVESTED</v>
      </c>
      <c r="H48" t="str">
        <f>IF(HLOOKUP($E48,'Factset Price Data'!$C$208:$Q$215,7,FALSE)&gt;=1,"INVESTED","CASH")</f>
        <v>INVESTED</v>
      </c>
      <c r="I48" s="39" t="str">
        <f>IF(HLOOKUP($E48,'Factset Price Data'!$C$208:$Q$215,8,FALSE)&gt;=1,"INVESTED","CASH")</f>
        <v>INVESTED</v>
      </c>
      <c r="K48" s="20" t="s">
        <v>1</v>
      </c>
      <c r="L48" s="6">
        <f>'Momnetum ranking'!H22</f>
        <v>0.36904761904761907</v>
      </c>
      <c r="M48" s="21">
        <f>'Momnetum ranking'!I22</f>
        <v>0.38095238095238093</v>
      </c>
    </row>
    <row r="49" spans="5:15" x14ac:dyDescent="0.3">
      <c r="E49" s="20" t="s">
        <v>9</v>
      </c>
      <c r="F49" s="1" t="s">
        <v>9</v>
      </c>
      <c r="G49" t="str">
        <f>IF(HLOOKUP($E49,'Factset Price Data'!$C$208:$Q$215,6,FALSE)&gt;=1,"INVESTED","CASH")</f>
        <v>INVESTED</v>
      </c>
      <c r="H49" t="str">
        <f>IF(HLOOKUP($E49,'Factset Price Data'!$C$208:$Q$215,7,FALSE)&gt;=1,"INVESTED","CASH")</f>
        <v>INVESTED</v>
      </c>
      <c r="I49" s="39" t="str">
        <f>IF(HLOOKUP($E49,'Factset Price Data'!$C$208:$Q$215,8,FALSE)&gt;=1,"INVESTED","CASH")</f>
        <v>INVESTED</v>
      </c>
      <c r="K49" s="20" t="s">
        <v>9</v>
      </c>
      <c r="L49" s="6">
        <f>'Momnetum ranking'!H23</f>
        <v>0.39855072463768115</v>
      </c>
      <c r="M49" s="21">
        <f>'Momnetum ranking'!I23</f>
        <v>0.36231884057971014</v>
      </c>
    </row>
    <row r="50" spans="5:15" x14ac:dyDescent="0.3">
      <c r="E50" s="20" t="s">
        <v>71</v>
      </c>
      <c r="F50" s="1" t="s">
        <v>71</v>
      </c>
      <c r="G50" t="str">
        <f>IF(HLOOKUP($E50,'Factset Price Data'!$C$208:$Q$215,6,FALSE)&gt;=1,"INVESTED","CASH")</f>
        <v>INVESTED</v>
      </c>
      <c r="H50" t="str">
        <f>IF(HLOOKUP($E50,'Factset Price Data'!$C$208:$Q$215,7,FALSE)&gt;=1,"INVESTED","CASH")</f>
        <v>INVESTED</v>
      </c>
      <c r="I50" s="39" t="str">
        <f>IF(HLOOKUP($E50,'Factset Price Data'!$C$208:$Q$215,8,FALSE)&gt;=1,"INVESTED","CASH")</f>
        <v>INVESTED</v>
      </c>
      <c r="K50" s="20" t="s">
        <v>71</v>
      </c>
      <c r="L50" s="6">
        <f>'Momnetum ranking'!H24</f>
        <v>0.33524355300859598</v>
      </c>
      <c r="M50" s="21">
        <f>'Momnetum ranking'!I24</f>
        <v>0.39541547277936961</v>
      </c>
    </row>
    <row r="51" spans="5:15" x14ac:dyDescent="0.3">
      <c r="E51" s="20" t="s">
        <v>15</v>
      </c>
      <c r="F51" s="1" t="s">
        <v>15</v>
      </c>
      <c r="G51" t="str">
        <f>IF(HLOOKUP($E51,'Factset Price Data'!$C$208:$Q$215,6,FALSE)&gt;=1,"INVESTED","CASH")</f>
        <v>INVESTED</v>
      </c>
      <c r="H51" t="str">
        <f>IF(HLOOKUP($E51,'Factset Price Data'!$C$208:$Q$215,7,FALSE)&gt;=1,"INVESTED","CASH")</f>
        <v>INVESTED</v>
      </c>
      <c r="I51" s="39" t="str">
        <f>IF(HLOOKUP($E51,'Factset Price Data'!$C$208:$Q$215,8,FALSE)&gt;=1,"INVESTED","CASH")</f>
        <v>INVESTED</v>
      </c>
      <c r="K51" s="20" t="s">
        <v>15</v>
      </c>
      <c r="L51" s="6">
        <f>'Momnetum ranking'!H25</f>
        <v>0.34313725490196079</v>
      </c>
      <c r="M51" s="21">
        <f>'Momnetum ranking'!I25</f>
        <v>0.42156862745098039</v>
      </c>
    </row>
    <row r="52" spans="5:15" ht="15" thickBot="1" x14ac:dyDescent="0.35">
      <c r="E52" s="9" t="s">
        <v>79</v>
      </c>
      <c r="F52" s="41" t="s">
        <v>78</v>
      </c>
      <c r="G52" s="10" t="str">
        <f>IF(HLOOKUP($E52,'Factset Price Data'!$C$208:$Q$215,6,FALSE)&gt;=1,"INVESTED","CASH")</f>
        <v>INVESTED</v>
      </c>
      <c r="H52" s="10" t="str">
        <f>IF(HLOOKUP($E52,'Factset Price Data'!$C$208:$Q$215,7,FALSE)&gt;=1,"INVESTED","CASH")</f>
        <v>INVESTED</v>
      </c>
      <c r="I52" s="40" t="str">
        <f>IF(HLOOKUP($E52,'Factset Price Data'!$C$208:$Q$215,8,FALSE)&gt;=1,"INVESTED","CASH")</f>
        <v>INVESTED</v>
      </c>
      <c r="K52" s="20" t="s">
        <v>79</v>
      </c>
      <c r="L52" s="6">
        <f>'Momnetum ranking'!H26</f>
        <v>0.25103092783505154</v>
      </c>
      <c r="M52" s="21">
        <f>'Momnetum ranking'!I26</f>
        <v>0.37731958762886597</v>
      </c>
    </row>
    <row r="53" spans="5:15" ht="15" thickBot="1" x14ac:dyDescent="0.35">
      <c r="K53" s="9" t="s">
        <v>65</v>
      </c>
      <c r="L53" s="26">
        <f>'Momnetum ranking'!H27</f>
        <v>0.29411764705882354</v>
      </c>
      <c r="M53" s="22">
        <f>'Momnetum ranking'!I27</f>
        <v>0.43137254901960786</v>
      </c>
    </row>
    <row r="55" spans="5:15" ht="15" thickBot="1" x14ac:dyDescent="0.35">
      <c r="E55" s="37" t="s">
        <v>101</v>
      </c>
    </row>
    <row r="56" spans="5:15" x14ac:dyDescent="0.3">
      <c r="E56" s="23" t="s">
        <v>1</v>
      </c>
      <c r="F56" s="43">
        <f>'Global Value'!M3</f>
        <v>6.0742751681434157E-2</v>
      </c>
      <c r="G56" s="1"/>
      <c r="J56" s="6"/>
    </row>
    <row r="57" spans="5:15" x14ac:dyDescent="0.3">
      <c r="E57" s="20" t="s">
        <v>15</v>
      </c>
      <c r="F57" s="21">
        <f>'Global Value'!M4</f>
        <v>0.12528966272333547</v>
      </c>
      <c r="J57" s="6"/>
    </row>
    <row r="58" spans="5:15" x14ac:dyDescent="0.3">
      <c r="E58" s="20" t="s">
        <v>12</v>
      </c>
      <c r="F58" s="21">
        <f>'Global Value'!M5</f>
        <v>6.508810017097523E-2</v>
      </c>
      <c r="J58" s="6"/>
    </row>
    <row r="59" spans="5:15" x14ac:dyDescent="0.3">
      <c r="E59" s="20" t="s">
        <v>94</v>
      </c>
      <c r="F59" s="21">
        <f>'Global Value'!M6</f>
        <v>2.5809148861923314E-2</v>
      </c>
      <c r="J59" s="6"/>
    </row>
    <row r="60" spans="5:15" x14ac:dyDescent="0.3">
      <c r="E60" s="20" t="s">
        <v>49</v>
      </c>
      <c r="F60" s="21">
        <f>'Global Value'!M7</f>
        <v>4.7169603490884976E-2</v>
      </c>
      <c r="J60" s="6"/>
      <c r="O60" s="19"/>
    </row>
    <row r="61" spans="5:15" x14ac:dyDescent="0.3">
      <c r="E61" s="20" t="s">
        <v>9</v>
      </c>
      <c r="F61" s="21">
        <f>'Global Value'!M8</f>
        <v>1.8616870429358487E-2</v>
      </c>
      <c r="J61" s="6"/>
    </row>
    <row r="62" spans="5:15" ht="15" thickBot="1" x14ac:dyDescent="0.35">
      <c r="E62" s="9" t="s">
        <v>65</v>
      </c>
      <c r="F62" s="22">
        <f>'Global Value'!M9</f>
        <v>8.5270285253675804E-2</v>
      </c>
      <c r="J62" s="6"/>
    </row>
    <row r="63" spans="5:15" x14ac:dyDescent="0.3">
      <c r="F63" s="6"/>
      <c r="J63" s="6"/>
    </row>
    <row r="64" spans="5:15" x14ac:dyDescent="0.3">
      <c r="F64" s="6"/>
      <c r="J64" s="6"/>
    </row>
    <row r="65" spans="6:10" x14ac:dyDescent="0.3">
      <c r="F65" s="6"/>
      <c r="J65" s="6"/>
    </row>
    <row r="66" spans="6:10" x14ac:dyDescent="0.3">
      <c r="F66" s="6"/>
      <c r="J66" s="6"/>
    </row>
    <row r="67" spans="6:10" x14ac:dyDescent="0.3">
      <c r="F67" s="6"/>
      <c r="J67" s="6"/>
    </row>
    <row r="68" spans="6:10" x14ac:dyDescent="0.3">
      <c r="F68" s="6"/>
      <c r="J68" s="6"/>
    </row>
  </sheetData>
  <conditionalFormatting sqref="F4:H8">
    <cfRule type="cellIs" dxfId="7" priority="22" operator="equal">
      <formula>"CASH"</formula>
    </cfRule>
    <cfRule type="cellIs" dxfId="6" priority="23" operator="equal">
      <formula>"INVESTED"</formula>
    </cfRule>
    <cfRule type="colorScale" priority="24">
      <colorScale>
        <cfvo type="formula" val="$H$19"/>
        <cfvo type="max"/>
        <color theme="9"/>
        <color rgb="FFFF0000"/>
      </colorScale>
    </cfRule>
    <cfRule type="colorScale" priority="25">
      <colorScale>
        <cfvo type="min"/>
        <cfvo type="max"/>
        <color rgb="FFFF7128"/>
        <color rgb="FFFFEF9C"/>
      </colorScale>
    </cfRule>
    <cfRule type="colorScale" priority="27">
      <colorScale>
        <cfvo type="min"/>
        <cfvo type="max"/>
        <color theme="9"/>
        <color rgb="FFFF0000"/>
      </colorScale>
    </cfRule>
  </conditionalFormatting>
  <conditionalFormatting sqref="F5:H8">
    <cfRule type="cellIs" dxfId="5" priority="18" operator="equal">
      <formula>"CASH"</formula>
    </cfRule>
    <cfRule type="cellIs" dxfId="4" priority="19" operator="equal">
      <formula>"INVESTED"</formula>
    </cfRule>
    <cfRule type="colorScale" priority="20">
      <colorScale>
        <cfvo type="formula" val="$H$19"/>
        <cfvo type="max"/>
        <color theme="9"/>
        <color rgb="FFFF0000"/>
      </colorScale>
    </cfRule>
    <cfRule type="colorScale" priority="21">
      <colorScale>
        <cfvo type="min"/>
        <cfvo type="max"/>
        <color rgb="FFFF7128"/>
        <color rgb="FFFFEF9C"/>
      </colorScale>
    </cfRule>
  </conditionalFormatting>
  <conditionalFormatting sqref="G44:I52">
    <cfRule type="cellIs" dxfId="3" priority="3" operator="equal">
      <formula>"CASH"</formula>
    </cfRule>
    <cfRule type="cellIs" dxfId="2" priority="4" operator="equal">
      <formula>"INVESTED"</formula>
    </cfRule>
    <cfRule type="colorScale" priority="5">
      <colorScale>
        <cfvo type="formula" val="$H$19"/>
        <cfvo type="max"/>
        <color theme="9"/>
        <color rgb="FFFF0000"/>
      </colorScale>
    </cfRule>
    <cfRule type="colorScale" priority="6">
      <colorScale>
        <cfvo type="min"/>
        <cfvo type="max"/>
        <color rgb="FFFF7128"/>
        <color rgb="FFFFEF9C"/>
      </colorScale>
    </cfRule>
    <cfRule type="colorScale" priority="7">
      <colorScale>
        <cfvo type="min"/>
        <cfvo type="max"/>
        <color theme="9"/>
        <color rgb="FFFF0000"/>
      </colorScale>
    </cfRule>
  </conditionalFormatting>
  <conditionalFormatting sqref="H15:J26">
    <cfRule type="cellIs" dxfId="1" priority="8" operator="equal">
      <formula>"CASH"</formula>
    </cfRule>
    <cfRule type="cellIs" dxfId="0" priority="9" operator="equal">
      <formula>"INVESTED"</formula>
    </cfRule>
    <cfRule type="colorScale" priority="10">
      <colorScale>
        <cfvo type="formula" val="$H$19"/>
        <cfvo type="max"/>
        <color theme="9"/>
        <color rgb="FFFF0000"/>
      </colorScale>
    </cfRule>
    <cfRule type="colorScale" priority="11">
      <colorScale>
        <cfvo type="min"/>
        <cfvo type="max"/>
        <color rgb="FFFF7128"/>
        <color rgb="FFFFEF9C"/>
      </colorScale>
    </cfRule>
    <cfRule type="colorScale" priority="12">
      <colorScale>
        <cfvo type="min"/>
        <cfvo type="max"/>
        <color theme="9"/>
        <color rgb="FFFF0000"/>
      </colorScale>
    </cfRule>
  </conditionalFormatting>
  <conditionalFormatting sqref="P31:P41">
    <cfRule type="iconSet" priority="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9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G15:G27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B72F-F5D5-4016-98E3-761756AC8D90}">
  <dimension ref="A1:M9"/>
  <sheetViews>
    <sheetView workbookViewId="0">
      <selection activeCell="L20" sqref="L20"/>
    </sheetView>
  </sheetViews>
  <sheetFormatPr defaultRowHeight="14.4" x14ac:dyDescent="0.3"/>
  <cols>
    <col min="3" max="3" width="32.33203125" bestFit="1" customWidth="1"/>
    <col min="4" max="4" width="11.77734375" bestFit="1" customWidth="1"/>
    <col min="5" max="5" width="13.109375" bestFit="1" customWidth="1"/>
    <col min="6" max="6" width="9" bestFit="1" customWidth="1"/>
    <col min="7" max="7" width="10" bestFit="1" customWidth="1"/>
    <col min="8" max="8" width="12.6640625" bestFit="1" customWidth="1"/>
    <col min="9" max="9" width="9.6640625" customWidth="1"/>
    <col min="10" max="10" width="10.5546875" bestFit="1" customWidth="1"/>
    <col min="11" max="11" width="14.33203125" bestFit="1" customWidth="1"/>
    <col min="12" max="12" width="20" bestFit="1" customWidth="1"/>
    <col min="13" max="13" width="12.21875" bestFit="1" customWidth="1"/>
  </cols>
  <sheetData>
    <row r="1" spans="1:13" ht="15" thickBot="1" x14ac:dyDescent="0.35"/>
    <row r="2" spans="1:13" x14ac:dyDescent="0.3">
      <c r="A2" s="58" t="s">
        <v>87</v>
      </c>
      <c r="B2" s="59" t="s">
        <v>43</v>
      </c>
      <c r="C2" s="59" t="s">
        <v>108</v>
      </c>
      <c r="D2" s="59" t="s">
        <v>43</v>
      </c>
      <c r="E2" s="59" t="s">
        <v>104</v>
      </c>
      <c r="F2" s="59" t="s">
        <v>90</v>
      </c>
      <c r="G2" s="59" t="s">
        <v>91</v>
      </c>
      <c r="H2" s="59" t="s">
        <v>109</v>
      </c>
      <c r="I2" s="59" t="s">
        <v>92</v>
      </c>
      <c r="J2" s="59" t="s">
        <v>89</v>
      </c>
      <c r="K2" s="59" t="s">
        <v>93</v>
      </c>
      <c r="L2" s="59" t="s">
        <v>111</v>
      </c>
      <c r="M2" s="60" t="s">
        <v>112</v>
      </c>
    </row>
    <row r="3" spans="1:13" x14ac:dyDescent="0.3">
      <c r="A3" s="20" t="s">
        <v>1</v>
      </c>
      <c r="B3" t="s">
        <v>30</v>
      </c>
      <c r="C3" t="str" cm="1">
        <f t="array" ref="C3">_xll.FDSR(A3,"FG_COMPANY_NAME")</f>
        <v>SPDR S&amp;P 500 ETF Trust</v>
      </c>
      <c r="D3" t="s">
        <v>46</v>
      </c>
      <c r="E3" t="s">
        <v>107</v>
      </c>
      <c r="F3" s="4" cm="1">
        <f t="array" ref="F3">_xll.FDS(A3,"FG_PE(0)")</f>
        <v>24.6247148117154</v>
      </c>
      <c r="G3" s="4" cm="1">
        <f t="array" ref="G3">_xll.FDS(A3,"FG_PE_NTM(0,,,90,0)")</f>
        <v>20.472953613606801</v>
      </c>
      <c r="H3" cm="1">
        <f t="array" ref="H3">_xll.FDS(A3,"FMA_DIV_YLD(NTMA,NOW,NOW,M,""PORTAGG"",""MEANR"")")</f>
        <v>1.4670060387266599</v>
      </c>
      <c r="I3" s="63" cm="1">
        <f t="array" ref="I3">_xll.FDS(A3,"FG_FCF_YIELD_NTM(0)")</f>
        <v>4.2413204541906699</v>
      </c>
      <c r="J3" s="62">
        <f>HLOOKUP(A3,'Index earnings'!$B$1:$H$26,26,FALSE)</f>
        <v>5.9890547139527461E-2</v>
      </c>
      <c r="K3" cm="1">
        <f t="array" ref="K3">_xll.FDS(E3,"FG_YIELD(0,,,,""YTM"")")</f>
        <v>4.1561000000000003</v>
      </c>
      <c r="L3" s="64">
        <f>I3/100+J3</f>
        <v>0.10230375168143416</v>
      </c>
      <c r="M3" s="21">
        <f>L3-K3/100</f>
        <v>6.0742751681434157E-2</v>
      </c>
    </row>
    <row r="4" spans="1:13" x14ac:dyDescent="0.3">
      <c r="A4" s="20" t="s">
        <v>15</v>
      </c>
      <c r="B4" t="s">
        <v>30</v>
      </c>
      <c r="C4" t="str" cm="1">
        <f t="array" ref="C4">_xll.FDSR(A4,"FG_COMPANY_NAME")</f>
        <v>Invesco QQQ Trust Series I</v>
      </c>
      <c r="D4" t="s">
        <v>46</v>
      </c>
      <c r="E4" t="s">
        <v>107</v>
      </c>
      <c r="F4" s="4" cm="1">
        <f t="array" ref="F4">_xll.FDS(A4,"FG_PE(0)")</f>
        <v>31.599076480790199</v>
      </c>
      <c r="G4" s="4" cm="1">
        <f t="array" ref="G4">_xll.FDS(A4,"FG_PE_NTM(0,,,90,0)")</f>
        <v>25.935443032028999</v>
      </c>
      <c r="H4" cm="1">
        <f t="array" ref="H4">_xll.FDS(A4,"FMA_DIV_YLD(NTMA,NOW,NOW,M,""PORTAGG"",""MEANR"")")</f>
        <v>0.87355522379373496</v>
      </c>
      <c r="I4" s="63" cm="1">
        <f t="array" ref="I4">_xll.FDS(A4,"FG_FCF_YIELD_NTM(0)")</f>
        <v>3.6966307293118099</v>
      </c>
      <c r="J4" s="62">
        <f>HLOOKUP(A4,'Index earnings'!$B$1:$H$26,26,FALSE)</f>
        <v>0.12988435543021737</v>
      </c>
      <c r="K4" cm="1">
        <f t="array" ref="K4">_xll.FDS(E4,"FG_YIELD(0,,,,""YTM"")")</f>
        <v>4.1561000000000003</v>
      </c>
      <c r="L4" s="64">
        <f t="shared" ref="L4:L8" si="0">I4/100+J4</f>
        <v>0.16685066272333546</v>
      </c>
      <c r="M4" s="21">
        <f t="shared" ref="M4:M9" si="1">L4-K4/100</f>
        <v>0.12528966272333547</v>
      </c>
    </row>
    <row r="5" spans="1:13" x14ac:dyDescent="0.3">
      <c r="A5" s="20" t="s">
        <v>12</v>
      </c>
      <c r="B5" t="s">
        <v>29</v>
      </c>
      <c r="C5" t="str" cm="1">
        <f t="array" ref="C5">_xll.FDSR(A5,"FG_COMPANY_NAME")</f>
        <v>iShares MSCI Japan ETF</v>
      </c>
      <c r="D5" t="s">
        <v>45</v>
      </c>
      <c r="E5" t="s">
        <v>110</v>
      </c>
      <c r="F5" s="4" cm="1">
        <f t="array" ref="F5">_xll.FDS(A5,"FG_PE(0)")</f>
        <v>16.118647159026601</v>
      </c>
      <c r="G5" s="4" cm="1">
        <f t="array" ref="G5">_xll.FDS(A5,"FG_PE_NTM(0,,,90,0)")</f>
        <v>15.744331913616101</v>
      </c>
      <c r="H5" cm="1">
        <f t="array" ref="H5">_xll.FDS(A5,"FMA_DIV_YLD(NTMA,NOW,NOW,M,""PORTAGG"",""MEANR"")")</f>
        <v>2.1930842699512598</v>
      </c>
      <c r="I5" s="63" cm="1">
        <f t="array" ref="I5">_xll.FDS(A5,"FG_FCF_YIELD_NTM(0)")</f>
        <v>4.0213892987347997</v>
      </c>
      <c r="J5" s="62">
        <f>HLOOKUP(A5,'Index earnings'!$B$1:$H$26,26,FALSE)</f>
        <v>3.255820718362723E-2</v>
      </c>
      <c r="K5" cm="1">
        <f t="array" ref="K5">_xll.FDS(E5,"FG_YIELD(0,,,,""YTM"")")</f>
        <v>0.76839999999999997</v>
      </c>
      <c r="L5" s="64">
        <f t="shared" si="0"/>
        <v>7.2772100170975226E-2</v>
      </c>
      <c r="M5" s="21">
        <f t="shared" si="1"/>
        <v>6.508810017097523E-2</v>
      </c>
    </row>
    <row r="6" spans="1:13" x14ac:dyDescent="0.3">
      <c r="A6" s="20" t="s">
        <v>94</v>
      </c>
      <c r="B6" t="s">
        <v>30</v>
      </c>
      <c r="C6" t="str" cm="1">
        <f t="array" ref="C6">_xll.FDSR(A6,"FG_COMPANY_NAME")</f>
        <v>Vanguard FTSE Emerging Markets ETF</v>
      </c>
      <c r="D6" t="s">
        <v>46</v>
      </c>
      <c r="E6" t="s">
        <v>107</v>
      </c>
      <c r="F6" s="4" cm="1">
        <f t="array" ref="F6">_xll.FDS(A6,"FG_PE(0)")</f>
        <v>12.863237584071999</v>
      </c>
      <c r="G6" s="4" cm="1">
        <f t="array" ref="G6">_xll.FDS(A6,"FG_PE_NTM(0,,,90,0)")</f>
        <v>13.588351063384099</v>
      </c>
      <c r="H6" cm="1">
        <f t="array" ref="H6">_xll.FDS(A6,"FMA_DIV_YLD(NTMA,NOW,NOW,M,""PORTAGG"",""MEANR"")")</f>
        <v>3.1541644907143702</v>
      </c>
      <c r="I6" s="63" cm="1">
        <f t="array" ref="I6">_xll.FDS(A6,"FG_FCF_YIELD_NTM(0)")</f>
        <v>5.0642682490300501</v>
      </c>
      <c r="J6" s="62">
        <f>HLOOKUP(A6,'Index earnings'!$B$1:$H$26,26,FALSE)</f>
        <v>1.6727466371622812E-2</v>
      </c>
      <c r="K6" cm="1">
        <f t="array" ref="K6">_xll.FDS(E6,"FG_YIELD(0,,,,""YTM"")")</f>
        <v>4.1561000000000003</v>
      </c>
      <c r="L6" s="64">
        <f t="shared" si="0"/>
        <v>6.7370148861923315E-2</v>
      </c>
      <c r="M6" s="21">
        <f t="shared" si="1"/>
        <v>2.5809148861923314E-2</v>
      </c>
    </row>
    <row r="7" spans="1:13" x14ac:dyDescent="0.3">
      <c r="A7" s="20" t="s">
        <v>49</v>
      </c>
      <c r="B7" t="s">
        <v>30</v>
      </c>
      <c r="C7" t="str" cm="1">
        <f t="array" ref="C7">_xll.FDSR(A7,"FG_COMPANY_NAME")</f>
        <v>iShares MSCI World ETF</v>
      </c>
      <c r="D7" t="s">
        <v>46</v>
      </c>
      <c r="E7" t="s">
        <v>107</v>
      </c>
      <c r="F7" s="4" cm="1">
        <f t="array" ref="F7">_xll.FDS(A7,"FG_PE(0)")</f>
        <v>20.6227846546007</v>
      </c>
      <c r="G7" s="4" cm="1">
        <f t="array" ref="G7">_xll.FDS(A7,"FG_PE_NTM(0,,,90,0)")</f>
        <v>18.400830591180998</v>
      </c>
      <c r="H7" cm="1">
        <f t="array" ref="H7">_xll.FDS(A7,"FMA_DIV_YLD(NTMA,NOW,NOW,M,""PORTAGG"",""MEANR"")")</f>
        <v>1.9705382579586601</v>
      </c>
      <c r="I7" s="63" cm="1">
        <f t="array" ref="I7">_xll.FDS(A7,"FG_FCF_YIELD_NTM(0)")</f>
        <v>4.4134069120206298</v>
      </c>
      <c r="J7" s="62">
        <f>HLOOKUP(A7,'Index earnings'!$B$1:$H$26,26,FALSE)</f>
        <v>4.4596534370678675E-2</v>
      </c>
      <c r="K7" cm="1">
        <f t="array" ref="K7">_xll.FDS(E7,"FG_YIELD(0,,,,""YTM"")")</f>
        <v>4.1561000000000003</v>
      </c>
      <c r="L7" s="64">
        <f t="shared" si="0"/>
        <v>8.8730603490884977E-2</v>
      </c>
      <c r="M7" s="21">
        <f t="shared" si="1"/>
        <v>4.7169603490884976E-2</v>
      </c>
    </row>
    <row r="8" spans="1:13" x14ac:dyDescent="0.3">
      <c r="A8" s="20" t="s">
        <v>9</v>
      </c>
      <c r="B8" t="s">
        <v>103</v>
      </c>
      <c r="C8" t="str" cm="1">
        <f t="array" ref="C8">_xll.FDSR(A8,"FG_COMPANY_NAME")</f>
        <v>iShares MSCI India ETF</v>
      </c>
      <c r="D8" t="s">
        <v>88</v>
      </c>
      <c r="E8" t="s">
        <v>106</v>
      </c>
      <c r="F8" s="4" cm="1">
        <f t="array" ref="F8">_xll.FDS(A8,"FG_PE(0)")</f>
        <v>24.6788971180708</v>
      </c>
      <c r="G8" s="4" cm="1">
        <f t="array" ref="G8">_xll.FDS(A8,"FG_PE_NTM(0,,,90,0)")</f>
        <v>22.706142476264699</v>
      </c>
      <c r="H8" cm="1">
        <f t="array" ref="H8">_xll.FDS(A8,"FMA_DIV_YLD(NTMA,NOW,NOW,M,""PORTAGG"",""MEANR"")")</f>
        <v>1.3531533889465499</v>
      </c>
      <c r="I8" s="63" cm="1">
        <f t="array" ref="I8">_xll.FDS(A8,"FG_FCF_YIELD_NTM(0)")</f>
        <v>2.86630695004814</v>
      </c>
      <c r="J8" s="62">
        <f>HLOOKUP(A8,'Index earnings'!$B$1:$H$26,26,FALSE)</f>
        <v>6.0148800928877089E-2</v>
      </c>
      <c r="K8" cm="1">
        <f t="array" ref="K8">_xll.FDS(E8,"FG_YIELD(0,,,,""YTM"")")</f>
        <v>7.0194999999999999</v>
      </c>
      <c r="L8" s="64">
        <f t="shared" si="0"/>
        <v>8.881187042935848E-2</v>
      </c>
      <c r="M8" s="21">
        <f t="shared" si="1"/>
        <v>1.8616870429358487E-2</v>
      </c>
    </row>
    <row r="9" spans="1:13" ht="15" thickBot="1" x14ac:dyDescent="0.35">
      <c r="A9" s="9" t="s">
        <v>65</v>
      </c>
      <c r="B9" s="10" t="s">
        <v>102</v>
      </c>
      <c r="C9" s="10" t="str" cm="1">
        <f t="array" ref="C9">_xll.FDSR(A9,"FG_COMPANY_NAME")</f>
        <v>iShares China Large-Cap ETF</v>
      </c>
      <c r="D9" s="10" t="s">
        <v>44</v>
      </c>
      <c r="E9" s="10" t="s">
        <v>105</v>
      </c>
      <c r="F9" s="56" cm="1">
        <f t="array" ref="F9">_xll.FDS(A9,"FG_PE(0)")</f>
        <v>8.6475458800632001</v>
      </c>
      <c r="G9" s="56" cm="1">
        <f t="array" ref="G9">_xll.FDS(A9,"FG_PE_NTM(0,,,90,0)")</f>
        <v>6.9914849461272901</v>
      </c>
      <c r="H9" s="10" cm="1">
        <f t="array" ref="H9">_xll.FDS(A9,"FMA_DIV_YLD(NTMA,NOW,NOW,M,""PORTAGG"",""MEANR"")")</f>
        <v>3.6680948423042801</v>
      </c>
      <c r="I9" s="44" cm="1">
        <f t="array" ref="I9">_xll.FDS(A9,"FG_FCF_YIELD_NTM(0)")</f>
        <v>8.1165396307870097</v>
      </c>
      <c r="J9" s="65">
        <f>HLOOKUP(A9,'Index earnings'!$B$1:$H$26,26,FALSE)</f>
        <v>7.2170336830633008E-2</v>
      </c>
      <c r="K9" s="10" cm="1">
        <f t="array" ref="K9">_xll.FDS(E9,"FG_YIELD(0,,,,""YTM"")")</f>
        <v>2.3580999999999999</v>
      </c>
      <c r="L9" s="57">
        <f>H9/100+J9</f>
        <v>0.10885128525367581</v>
      </c>
      <c r="M9" s="22">
        <f t="shared" si="1"/>
        <v>8.5270285253675804E-2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workbookViewId="0">
      <selection activeCell="A14" sqref="A14"/>
    </sheetView>
  </sheetViews>
  <sheetFormatPr defaultRowHeight="14.4" x14ac:dyDescent="0.3"/>
  <cols>
    <col min="1" max="1" width="12" customWidth="1"/>
    <col min="2" max="2" width="25.21875" customWidth="1"/>
    <col min="3" max="3" width="20.77734375" customWidth="1"/>
    <col min="4" max="4" width="0.21875" customWidth="1"/>
    <col min="5" max="5" width="18" customWidth="1"/>
    <col min="6" max="6" width="13.44140625" customWidth="1"/>
    <col min="7" max="7" width="15.21875" customWidth="1"/>
    <col min="8" max="8" width="16.21875" customWidth="1"/>
    <col min="9" max="9" width="7.21875" customWidth="1"/>
    <col min="10" max="10" width="6.5546875" customWidth="1"/>
    <col min="11" max="11" width="18.77734375" customWidth="1"/>
    <col min="12" max="12" width="13.21875" customWidth="1"/>
    <col min="13" max="13" width="13" customWidth="1"/>
    <col min="14" max="14" width="13.44140625" customWidth="1"/>
    <col min="15" max="15" width="5" customWidth="1"/>
    <col min="16" max="16" width="9.77734375" customWidth="1"/>
  </cols>
  <sheetData>
    <row r="1" spans="1:19" ht="15" thickBot="1" x14ac:dyDescent="0.35">
      <c r="C1" t="s">
        <v>0</v>
      </c>
      <c r="E1" t="s">
        <v>67</v>
      </c>
      <c r="F1" t="s">
        <v>2</v>
      </c>
      <c r="G1" t="s">
        <v>3</v>
      </c>
      <c r="H1" t="s">
        <v>5</v>
      </c>
      <c r="K1" t="s">
        <v>68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69</v>
      </c>
    </row>
    <row r="2" spans="1:19" s="12" customFormat="1" ht="15" thickBot="1" x14ac:dyDescent="0.35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">
      <c r="A3" t="s">
        <v>4</v>
      </c>
      <c r="C3" t="str">
        <f>A3</f>
        <v>VWO</v>
      </c>
      <c r="E3" s="3" cm="1">
        <f t="array" ref="E3">_xll.FDS(C3,"FG_TOTAL_RETURNC(0,-1AM)")</f>
        <v>3.4795403</v>
      </c>
      <c r="F3" s="3" cm="1">
        <f t="array" ref="F3">_xll.FDS(C3,"FG_TOTAL_RETURNC(0,-3AM)")</f>
        <v>6.8050980000000001</v>
      </c>
      <c r="G3" s="3" cm="1">
        <f t="array" ref="G3">_xll.FDS(C3,"FG_TOTAL_RETURNC(0,-6AM)")</f>
        <v>7.2514175999999999</v>
      </c>
      <c r="H3" s="6" cm="1">
        <f t="array" ref="H3">_xll.FDS(C3,"P_PRICE(0)/P_PRICE_HIGH_PR(0,,,USD,,,""PRICE"",""INTRA"",""52W"")")</f>
        <v>0.97981439999999997</v>
      </c>
      <c r="K3" s="4">
        <f>_xlfn.RANK.EQ(H3,H$3:H$14)</f>
        <v>7</v>
      </c>
      <c r="L3" s="4">
        <f>_xlfn.RANK.EQ(F3,F$3:F$14)</f>
        <v>9</v>
      </c>
      <c r="M3" s="4">
        <f>_xlfn.RANK.EQ(G3,G$3:G$14)</f>
        <v>8</v>
      </c>
      <c r="N3" s="4"/>
      <c r="P3" s="3">
        <f t="shared" ref="P3:P13" si="0">SUMPRODUCT($K$2:$M$2,K3:M3)</f>
        <v>7.92</v>
      </c>
      <c r="Q3">
        <f t="shared" ref="Q3:Q13" si="1">COUNTIF(K3:N3,"&gt;70")</f>
        <v>0</v>
      </c>
      <c r="S3" s="3">
        <f>12-_xlfn.RANK.EQ(P3,$P$3:$P$14)</f>
        <v>8</v>
      </c>
    </row>
    <row r="4" spans="1:19" x14ac:dyDescent="0.3">
      <c r="A4" t="s">
        <v>1</v>
      </c>
      <c r="C4" t="str">
        <f t="shared" ref="C4:C14" si="2">A4</f>
        <v>SPY</v>
      </c>
      <c r="E4" s="3" cm="1">
        <f t="array" ref="E4">_xll.FDS(C4,"FG_TOTAL_RETURNC(0,-1AM)")</f>
        <v>3.1538248000000002</v>
      </c>
      <c r="F4" s="3" cm="1">
        <f t="array" ref="F4">_xll.FDS(C4,"FG_TOTAL_RETURNC(0,-3AM)")</f>
        <v>11.803234</v>
      </c>
      <c r="G4" s="3" cm="1">
        <f t="array" ref="G4">_xll.FDS(C4,"FG_TOTAL_RETURNC(0,-6AM)")</f>
        <v>16.758585</v>
      </c>
      <c r="H4" s="6" cm="1">
        <f t="array" ref="H4">_xll.FDS(C4,"P_PRICE(0)/P_PRICE_HIGH_PR(0,,,USD,,,""PRICE"",""INTRA"",""52W"")")</f>
        <v>0.99722109999999997</v>
      </c>
      <c r="I4" s="29"/>
      <c r="K4" s="4">
        <f t="shared" ref="K4:K14" si="3">_xlfn.RANK.EQ(H4,H$3:H$14)</f>
        <v>3</v>
      </c>
      <c r="L4" s="4">
        <f t="shared" ref="L4:L14" si="4">_xlfn.RANK.EQ(F4,F$3:F$14)</f>
        <v>3</v>
      </c>
      <c r="M4" s="4">
        <f t="shared" ref="M4:M14" si="5">_xlfn.RANK.EQ(G4,G$3:G$14)</f>
        <v>2</v>
      </c>
      <c r="N4" s="4"/>
      <c r="P4" s="3">
        <f t="shared" si="0"/>
        <v>2.64</v>
      </c>
      <c r="Q4">
        <f t="shared" si="1"/>
        <v>0</v>
      </c>
      <c r="S4" s="3">
        <f t="shared" ref="S4:S14" si="6">12-_xlfn.RANK.EQ(P4,$P$3:$P$14)</f>
        <v>0</v>
      </c>
    </row>
    <row r="5" spans="1:19" x14ac:dyDescent="0.3">
      <c r="A5" t="s">
        <v>59</v>
      </c>
      <c r="C5" t="str">
        <f t="shared" si="2"/>
        <v>GLD</v>
      </c>
      <c r="E5" s="3" cm="1">
        <f t="array" ref="E5">_xll.FDS(C5,"FG_TOTAL_RETURNC(0,-1AM)")</f>
        <v>6.7767619999999997</v>
      </c>
      <c r="F5" s="3" cm="1">
        <f t="array" ref="F5">_xll.FDS(C5,"FG_TOTAL_RETURNC(0,-3AM)")</f>
        <v>8.8833090000000006</v>
      </c>
      <c r="G5" s="3" cm="1">
        <f t="array" ref="G5">_xll.FDS(C5,"FG_TOTAL_RETURNC(0,-6AM)")</f>
        <v>12.564075000000001</v>
      </c>
      <c r="H5" s="6" cm="1">
        <f t="array" ref="H5">_xll.FDS(C5,"P_PRICE(0)/P_PRICE_HIGH_PR(0,,,USD,,,""PRICE"",""INTRA"",""52W"")")</f>
        <v>0.98273480000000002</v>
      </c>
      <c r="I5" s="29"/>
      <c r="K5" s="4">
        <f t="shared" si="3"/>
        <v>6</v>
      </c>
      <c r="L5" s="4">
        <f t="shared" si="4"/>
        <v>7</v>
      </c>
      <c r="M5" s="4">
        <f t="shared" si="5"/>
        <v>6</v>
      </c>
      <c r="N5" s="4"/>
      <c r="P5" s="3">
        <f t="shared" si="0"/>
        <v>6.27</v>
      </c>
      <c r="Q5">
        <f t="shared" si="1"/>
        <v>0</v>
      </c>
      <c r="S5" s="3">
        <f t="shared" si="6"/>
        <v>6</v>
      </c>
    </row>
    <row r="6" spans="1:19" x14ac:dyDescent="0.3">
      <c r="A6" t="s">
        <v>60</v>
      </c>
      <c r="C6" t="str">
        <f t="shared" si="2"/>
        <v>UUP</v>
      </c>
      <c r="E6" s="3" cm="1">
        <f t="array" ref="E6">_xll.FDS(C6,"FG_TOTAL_RETURNC(0,-1AM)")</f>
        <v>-0.67808630000000003</v>
      </c>
      <c r="F6" s="3" cm="1">
        <f t="array" ref="F6">_xll.FDS(C6,"FG_TOTAL_RETURNC(0,-3AM)")</f>
        <v>0.63498019999999999</v>
      </c>
      <c r="G6" s="3" cm="1">
        <f t="array" ref="G6">_xll.FDS(C6,"FG_TOTAL_RETURNC(0,-6AM)")</f>
        <v>1.2544869999999999</v>
      </c>
      <c r="H6" s="6" cm="1">
        <f t="array" ref="H6">_xll.FDS(C6,"P_PRICE(0)/P_PRICE_HIGH_PR(0,,,USD,,,""PRICE"",""INTRA"",""52W"")")</f>
        <v>0.92259239999999998</v>
      </c>
      <c r="I6" s="29"/>
      <c r="K6" s="4">
        <f t="shared" si="3"/>
        <v>9</v>
      </c>
      <c r="L6" s="4">
        <f t="shared" si="4"/>
        <v>12</v>
      </c>
      <c r="M6" s="4">
        <f t="shared" si="5"/>
        <v>10</v>
      </c>
      <c r="N6" s="4"/>
      <c r="P6" s="3">
        <f t="shared" si="0"/>
        <v>10.23</v>
      </c>
      <c r="Q6">
        <f t="shared" si="1"/>
        <v>0</v>
      </c>
      <c r="S6" s="3">
        <f t="shared" si="6"/>
        <v>10</v>
      </c>
    </row>
    <row r="7" spans="1:19" x14ac:dyDescent="0.3">
      <c r="A7" t="s">
        <v>15</v>
      </c>
      <c r="C7" t="str">
        <f t="shared" si="2"/>
        <v>QQQ</v>
      </c>
      <c r="E7" s="3" cm="1">
        <f t="array" ref="E7">_xll.FDS(C7,"FG_TOTAL_RETURNC(0,-1AM)")</f>
        <v>1.9111514000000001</v>
      </c>
      <c r="F7" s="3" cm="1">
        <f t="array" ref="F7">_xll.FDS(C7,"FG_TOTAL_RETURNC(0,-3AM)")</f>
        <v>11.564457000000001</v>
      </c>
      <c r="G7" s="3" cm="1">
        <f t="array" ref="G7">_xll.FDS(C7,"FG_TOTAL_RETURNC(0,-6AM)")</f>
        <v>19.481922000000001</v>
      </c>
      <c r="H7" s="6" cm="1">
        <f t="array" ref="H7">_xll.FDS(C7,"P_PRICE(0)/P_PRICE_HIGH_PR(0,,,USD,,,""PRICE"",""INTRA"",""52W"")")</f>
        <v>0.98889976999999996</v>
      </c>
      <c r="I7" s="1"/>
      <c r="K7" s="4">
        <f t="shared" si="3"/>
        <v>5</v>
      </c>
      <c r="L7" s="4">
        <f t="shared" si="4"/>
        <v>4</v>
      </c>
      <c r="M7" s="4">
        <f t="shared" si="5"/>
        <v>1</v>
      </c>
      <c r="N7" s="4"/>
      <c r="P7" s="3">
        <f t="shared" si="0"/>
        <v>3.3000000000000003</v>
      </c>
      <c r="Q7">
        <f t="shared" si="1"/>
        <v>0</v>
      </c>
      <c r="S7" s="3">
        <f t="shared" si="6"/>
        <v>1</v>
      </c>
    </row>
    <row r="8" spans="1:19" x14ac:dyDescent="0.3">
      <c r="A8" t="s">
        <v>61</v>
      </c>
      <c r="C8" t="str">
        <f t="shared" si="2"/>
        <v>DBA</v>
      </c>
      <c r="E8" s="3" cm="1">
        <f t="array" ref="E8">_xll.FDS(C8,"FG_TOTAL_RETURNC(0,-1AM)")</f>
        <v>4.3083906000000001</v>
      </c>
      <c r="F8" s="3" cm="1">
        <f t="array" ref="F8">_xll.FDS(C8,"FG_TOTAL_RETURNC(0,-3AM)")</f>
        <v>10.072863</v>
      </c>
      <c r="G8" s="3" cm="1">
        <f t="array" ref="G8">_xll.FDS(C8,"FG_TOTAL_RETURNC(0,-6AM)")</f>
        <v>9.1239570000000008</v>
      </c>
      <c r="H8" s="6" cm="1">
        <f t="array" ref="H8">_xll.FDS(C8,"P_PRICE(0)/P_PRICE_HIGH_PR(0,,,USD,,,""PRICE"",""INTRA"",""52W"")")</f>
        <v>0.99913114000000003</v>
      </c>
      <c r="I8" s="1"/>
      <c r="K8" s="4">
        <f t="shared" si="3"/>
        <v>2</v>
      </c>
      <c r="L8" s="4">
        <f t="shared" si="4"/>
        <v>5</v>
      </c>
      <c r="M8" s="4">
        <f t="shared" si="5"/>
        <v>7</v>
      </c>
      <c r="N8" s="4"/>
      <c r="P8" s="3">
        <f t="shared" si="0"/>
        <v>4.62</v>
      </c>
      <c r="Q8">
        <f t="shared" si="1"/>
        <v>0</v>
      </c>
      <c r="S8" s="3">
        <f t="shared" si="6"/>
        <v>4</v>
      </c>
    </row>
    <row r="9" spans="1:19" x14ac:dyDescent="0.3">
      <c r="A9" t="s">
        <v>70</v>
      </c>
      <c r="C9" t="str">
        <f t="shared" si="2"/>
        <v>USO</v>
      </c>
      <c r="E9" s="3" cm="1">
        <f t="array" ref="E9">_xll.FDS(C9,"FG_TOTAL_RETURNC(0,-1AM)")</f>
        <v>1.7195940000000001</v>
      </c>
      <c r="F9" s="3" cm="1">
        <f t="array" ref="F9">_xll.FDS(C9,"FG_TOTAL_RETURNC(0,-3AM)")</f>
        <v>14.163423</v>
      </c>
      <c r="G9" s="3" cm="1">
        <f t="array" ref="G9">_xll.FDS(C9,"FG_TOTAL_RETURNC(0,-6AM)")</f>
        <v>-7.9673767</v>
      </c>
      <c r="H9" s="6" cm="1">
        <f t="array" ref="H9">_xll.FDS(C9,"P_PRICE(0)/P_PRICE_HIGH_PR(0,,,USD,,,""PRICE"",""INTRA"",""52W"")")</f>
        <v>0.88065789999999999</v>
      </c>
      <c r="I9" s="1"/>
      <c r="K9" s="4">
        <f t="shared" si="3"/>
        <v>10</v>
      </c>
      <c r="L9" s="4">
        <f t="shared" si="4"/>
        <v>1</v>
      </c>
      <c r="M9" s="4">
        <f t="shared" si="5"/>
        <v>12</v>
      </c>
      <c r="N9" s="4"/>
      <c r="P9" s="3">
        <f t="shared" si="0"/>
        <v>7.59</v>
      </c>
      <c r="Q9">
        <f t="shared" si="1"/>
        <v>0</v>
      </c>
      <c r="S9" s="3">
        <f t="shared" si="6"/>
        <v>7</v>
      </c>
    </row>
    <row r="10" spans="1:19" x14ac:dyDescent="0.3">
      <c r="A10" t="s">
        <v>62</v>
      </c>
      <c r="C10" t="str">
        <f t="shared" si="2"/>
        <v>TLT</v>
      </c>
      <c r="E10" s="3" cm="1">
        <f t="array" ref="E10">_xll.FDS(C10,"FG_TOTAL_RETURNC(0,-1AM)")</f>
        <v>1.2947082999999999</v>
      </c>
      <c r="F10" s="3" cm="1">
        <f t="array" ref="F10">_xll.FDS(C10,"FG_TOTAL_RETURNC(0,-3AM)")</f>
        <v>1.2220621</v>
      </c>
      <c r="G10" s="3" cm="1">
        <f t="array" ref="G10">_xll.FDS(C10,"FG_TOTAL_RETURNC(0,-6AM)")</f>
        <v>2.6293158999999999</v>
      </c>
      <c r="H10" s="6" cm="1">
        <f t="array" ref="H10">_xll.FDS(C10,"P_PRICE(0)/P_PRICE_HIGH_PR(0,,,USD,,,""PRICE"",""INTRA"",""52W"")")</f>
        <v>0.86966085000000004</v>
      </c>
      <c r="K10" s="4">
        <f t="shared" si="3"/>
        <v>11</v>
      </c>
      <c r="L10" s="4">
        <f t="shared" si="4"/>
        <v>11</v>
      </c>
      <c r="M10" s="4">
        <f t="shared" si="5"/>
        <v>9</v>
      </c>
      <c r="N10" s="4"/>
      <c r="P10" s="3">
        <f t="shared" si="0"/>
        <v>10.23</v>
      </c>
      <c r="Q10">
        <f t="shared" si="1"/>
        <v>0</v>
      </c>
      <c r="S10" s="3">
        <f t="shared" si="6"/>
        <v>10</v>
      </c>
    </row>
    <row r="11" spans="1:19" x14ac:dyDescent="0.3">
      <c r="A11" t="s">
        <v>42</v>
      </c>
      <c r="C11" t="str">
        <f t="shared" si="2"/>
        <v>VGK</v>
      </c>
      <c r="E11" s="3" cm="1">
        <f t="array" ref="E11">_xll.FDS(C11,"FG_TOTAL_RETURNC(0,-1AM)")</f>
        <v>5.6337953000000001</v>
      </c>
      <c r="F11" s="3" cm="1">
        <f t="array" ref="F11">_xll.FDS(C11,"FG_TOTAL_RETURNC(0,-3AM)")</f>
        <v>8.6419339999999991</v>
      </c>
      <c r="G11" s="3" cm="1">
        <f t="array" ref="G11">_xll.FDS(C11,"FG_TOTAL_RETURNC(0,-6AM)")</f>
        <v>14.152217</v>
      </c>
      <c r="H11" s="6" cm="1">
        <f t="array" ref="H11">_xll.FDS(C11,"P_PRICE(0)/P_PRICE_HIGH_PR(0,,,USD,,,""PRICE"",""INTRA"",""52W"")")</f>
        <v>1</v>
      </c>
      <c r="K11" s="4">
        <f t="shared" si="3"/>
        <v>1</v>
      </c>
      <c r="L11" s="4">
        <f t="shared" si="4"/>
        <v>8</v>
      </c>
      <c r="M11" s="4">
        <f t="shared" si="5"/>
        <v>3</v>
      </c>
      <c r="P11" s="3">
        <f t="shared" si="0"/>
        <v>3.96</v>
      </c>
      <c r="Q11">
        <f t="shared" si="1"/>
        <v>0</v>
      </c>
      <c r="S11" s="3">
        <f t="shared" si="6"/>
        <v>2</v>
      </c>
    </row>
    <row r="12" spans="1:19" x14ac:dyDescent="0.3">
      <c r="A12" t="s">
        <v>71</v>
      </c>
      <c r="C12" t="str">
        <f t="shared" si="2"/>
        <v>EMXC</v>
      </c>
      <c r="E12" s="3" cm="1">
        <f t="array" ref="E12">_xll.FDS(C12,"FG_TOTAL_RETURNC(0,-1AM)")</f>
        <v>2.9832125</v>
      </c>
      <c r="F12" s="3" cm="1">
        <f t="array" ref="F12">_xll.FDS(C12,"FG_TOTAL_RETURNC(0,-3AM)")</f>
        <v>9.7809430000000006</v>
      </c>
      <c r="G12" s="3" cm="1">
        <f t="array" ref="G12">_xll.FDS(C12,"FG_TOTAL_RETURNC(0,-6AM)")</f>
        <v>13.851666</v>
      </c>
      <c r="H12" s="6" cm="1">
        <f t="array" ref="H12">_xll.FDS(C12,"P_PRICE(0)/P_PRICE_HIGH_PR(0,,,USD,,,""PRICE"",""INTRA"",""52W"")")</f>
        <v>0.99520092999999998</v>
      </c>
      <c r="K12" s="4">
        <f t="shared" si="3"/>
        <v>4</v>
      </c>
      <c r="L12" s="4">
        <f t="shared" si="4"/>
        <v>6</v>
      </c>
      <c r="M12" s="4">
        <f t="shared" si="5"/>
        <v>5</v>
      </c>
      <c r="P12" s="3">
        <f t="shared" ref="P12" si="7">SUMPRODUCT($K$2:$M$2,K12:M12)</f>
        <v>4.95</v>
      </c>
      <c r="Q12">
        <f t="shared" ref="Q12" si="8">COUNTIF(K12:N12,"&gt;70")</f>
        <v>0</v>
      </c>
      <c r="S12" s="3">
        <f t="shared" si="6"/>
        <v>5</v>
      </c>
    </row>
    <row r="13" spans="1:19" x14ac:dyDescent="0.3">
      <c r="A13" t="s">
        <v>12</v>
      </c>
      <c r="C13" t="str">
        <f t="shared" si="2"/>
        <v>EWJ</v>
      </c>
      <c r="E13" s="3" cm="1">
        <f t="array" ref="E13">_xll.FDS(C13,"FG_TOTAL_RETURNC(0,-1AM)")</f>
        <v>4.494548</v>
      </c>
      <c r="F13" s="3" cm="1">
        <f t="array" ref="F13">_xll.FDS(C13,"FG_TOTAL_RETURNC(0,-3AM)")</f>
        <v>12.555706000000001</v>
      </c>
      <c r="G13" s="3" cm="1">
        <f t="array" ref="G13">_xll.FDS(C13,"FG_TOTAL_RETURNC(0,-6AM)")</f>
        <v>13.892424</v>
      </c>
      <c r="H13" s="6" cm="1">
        <f t="array" ref="H13">_xll.FDS(C13,"P_PRICE(0)/P_PRICE_HIGH_PR(0,,,USD,,,""PRICE"",""INTRA"",""52W"")")</f>
        <v>0.97526310000000005</v>
      </c>
      <c r="K13" s="4">
        <f t="shared" si="3"/>
        <v>8</v>
      </c>
      <c r="L13" s="4">
        <f t="shared" si="4"/>
        <v>2</v>
      </c>
      <c r="M13" s="4">
        <f t="shared" si="5"/>
        <v>4</v>
      </c>
      <c r="P13" s="3">
        <f t="shared" si="0"/>
        <v>4.62</v>
      </c>
      <c r="Q13">
        <f t="shared" si="1"/>
        <v>0</v>
      </c>
      <c r="S13" s="3">
        <f t="shared" si="6"/>
        <v>4</v>
      </c>
    </row>
    <row r="14" spans="1:19" x14ac:dyDescent="0.3">
      <c r="A14" t="s">
        <v>65</v>
      </c>
      <c r="C14" t="str">
        <f t="shared" si="2"/>
        <v>FXI</v>
      </c>
      <c r="E14" s="3" cm="1">
        <f t="array" ref="E14">_xll.FDS(C14,"FG_TOTAL_RETURNC(0,-1AM)")</f>
        <v>8.0985910000000008</v>
      </c>
      <c r="F14" s="3" cm="1">
        <f t="array" ref="F14">_xll.FDS(C14,"FG_TOTAL_RETURNC(0,-3AM)")</f>
        <v>5.2659153999999999</v>
      </c>
      <c r="G14" s="3" cm="1">
        <f t="array" ref="G14">_xll.FDS(C14,"FG_TOTAL_RETURNC(0,-6AM)")</f>
        <v>-7.6513232999999996</v>
      </c>
      <c r="H14" s="6" cm="1">
        <f t="array" ref="H14">_xll.FDS(C14,"P_PRICE(0)/P_PRICE_HIGH_PR(0,,,USD,,,""PRICE"",""INTRA"",""52W"")")</f>
        <v>0.80419119999999999</v>
      </c>
      <c r="K14" s="4">
        <f t="shared" si="3"/>
        <v>12</v>
      </c>
      <c r="L14" s="4">
        <f t="shared" si="4"/>
        <v>10</v>
      </c>
      <c r="M14" s="4">
        <f t="shared" si="5"/>
        <v>11</v>
      </c>
      <c r="P14" s="3">
        <f>SUMPRODUCT($K$2:$M$2,K14:M14)</f>
        <v>10.89</v>
      </c>
      <c r="Q14">
        <f>COUNTIF(K14:N14,"&gt;70")</f>
        <v>0</v>
      </c>
      <c r="S14" s="3">
        <f t="shared" si="6"/>
        <v>11</v>
      </c>
    </row>
    <row r="22" spans="3:3" ht="15" customHeight="1" x14ac:dyDescent="0.3"/>
    <row r="23" spans="3:3" ht="15" customHeight="1" x14ac:dyDescent="0.3"/>
    <row r="24" spans="3:3" ht="15" customHeight="1" x14ac:dyDescent="0.3"/>
    <row r="25" spans="3:3" ht="15" customHeight="1" x14ac:dyDescent="0.3">
      <c r="C25" s="1"/>
    </row>
    <row r="26" spans="3:3" ht="15" customHeight="1" x14ac:dyDescent="0.3"/>
    <row r="27" spans="3:3" ht="15" customHeight="1" x14ac:dyDescent="0.3"/>
    <row r="28" spans="3:3" ht="15" customHeight="1" x14ac:dyDescent="0.3"/>
    <row r="29" spans="3:3" ht="15" customHeight="1" x14ac:dyDescent="0.3"/>
    <row r="30" spans="3:3" ht="15" customHeight="1" x14ac:dyDescent="0.3"/>
    <row r="31" spans="3:3" ht="15" customHeight="1" x14ac:dyDescent="0.3"/>
    <row r="32" spans="3:3" ht="15" customHeight="1" x14ac:dyDescent="0.3">
      <c r="C32" s="1"/>
    </row>
    <row r="33" spans="3:3" ht="15" customHeight="1" x14ac:dyDescent="0.3"/>
    <row r="34" spans="3:3" ht="15" customHeight="1" x14ac:dyDescent="0.3"/>
    <row r="35" spans="3:3" ht="15" customHeight="1" x14ac:dyDescent="0.3"/>
    <row r="36" spans="3:3" ht="15" customHeight="1" x14ac:dyDescent="0.3"/>
    <row r="37" spans="3:3" ht="15" customHeight="1" x14ac:dyDescent="0.3">
      <c r="C37" s="1"/>
    </row>
    <row r="38" spans="3:3" ht="15" customHeight="1" x14ac:dyDescent="0.3"/>
    <row r="39" spans="3:3" ht="15" customHeight="1" x14ac:dyDescent="0.3"/>
    <row r="40" spans="3:3" ht="15" customHeight="1" x14ac:dyDescent="0.3"/>
    <row r="41" spans="3:3" ht="15" customHeight="1" x14ac:dyDescent="0.3"/>
    <row r="42" spans="3:3" ht="15" customHeight="1" x14ac:dyDescent="0.3">
      <c r="C42" s="1"/>
    </row>
    <row r="43" spans="3:3" ht="15" customHeight="1" x14ac:dyDescent="0.3">
      <c r="C43" s="1"/>
    </row>
    <row r="44" spans="3:3" ht="15" customHeight="1" x14ac:dyDescent="0.3"/>
    <row r="45" spans="3:3" ht="15" customHeight="1" x14ac:dyDescent="0.3"/>
    <row r="46" spans="3:3" ht="15" customHeight="1" x14ac:dyDescent="0.3"/>
    <row r="47" spans="3:3" ht="15" customHeight="1" x14ac:dyDescent="0.3"/>
    <row r="48" spans="3:3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J28" sqref="J28"/>
    </sheetView>
  </sheetViews>
  <sheetFormatPr defaultRowHeight="14.4" x14ac:dyDescent="0.3"/>
  <cols>
    <col min="1" max="1" width="12" customWidth="1"/>
    <col min="2" max="2" width="41.44140625" customWidth="1"/>
    <col min="3" max="3" width="22.44140625" customWidth="1"/>
    <col min="4" max="4" width="14.5546875" bestFit="1" customWidth="1"/>
    <col min="5" max="5" width="13.77734375" customWidth="1"/>
    <col min="6" max="6" width="11.21875" customWidth="1"/>
    <col min="7" max="7" width="12.5546875" customWidth="1"/>
    <col min="8" max="8" width="10.21875" bestFit="1" customWidth="1"/>
    <col min="9" max="9" width="12" customWidth="1"/>
    <col min="10" max="10" width="11.5546875" customWidth="1"/>
    <col min="11" max="11" width="25" customWidth="1"/>
    <col min="12" max="12" width="17.44140625" customWidth="1"/>
    <col min="13" max="13" width="20.21875" customWidth="1"/>
    <col min="14" max="14" width="0.21875" customWidth="1"/>
    <col min="15" max="15" width="15.77734375" bestFit="1" customWidth="1"/>
    <col min="16" max="16" width="15.21875" customWidth="1"/>
    <col min="17" max="17" width="18.44140625" customWidth="1"/>
    <col min="18" max="18" width="17.21875" customWidth="1"/>
    <col min="19" max="19" width="6.5546875" customWidth="1"/>
    <col min="20" max="21" width="17.5546875" customWidth="1"/>
    <col min="22" max="22" width="18.77734375" customWidth="1"/>
    <col min="23" max="23" width="13.21875" customWidth="1"/>
    <col min="24" max="24" width="13" customWidth="1"/>
    <col min="25" max="25" width="13.44140625" customWidth="1"/>
    <col min="26" max="26" width="13" customWidth="1"/>
    <col min="27" max="27" width="12.21875" customWidth="1"/>
    <col min="28" max="28" width="11.44140625" customWidth="1"/>
    <col min="29" max="31" width="13.77734375" customWidth="1"/>
    <col min="32" max="32" width="10.21875" customWidth="1"/>
    <col min="33" max="33" width="7" customWidth="1"/>
    <col min="34" max="34" width="9.77734375" customWidth="1"/>
  </cols>
  <sheetData>
    <row r="1" spans="1:37" ht="62.25" customHeight="1" thickBot="1" x14ac:dyDescent="0.35">
      <c r="C1" t="s">
        <v>0</v>
      </c>
      <c r="D1" s="18" t="s">
        <v>52</v>
      </c>
      <c r="E1" s="24" t="s">
        <v>53</v>
      </c>
      <c r="F1" s="24" t="s">
        <v>8</v>
      </c>
      <c r="G1" s="24" t="s">
        <v>17</v>
      </c>
      <c r="H1" s="24" t="s">
        <v>16</v>
      </c>
      <c r="I1" s="24" t="s">
        <v>19</v>
      </c>
      <c r="J1" s="24" t="s">
        <v>25</v>
      </c>
      <c r="K1" t="s">
        <v>18</v>
      </c>
      <c r="L1" t="s">
        <v>32</v>
      </c>
      <c r="M1" t="s">
        <v>33</v>
      </c>
      <c r="O1" t="s">
        <v>2</v>
      </c>
      <c r="P1" t="s">
        <v>3</v>
      </c>
      <c r="Q1" t="s">
        <v>5</v>
      </c>
      <c r="R1" t="s">
        <v>38</v>
      </c>
      <c r="T1" t="s">
        <v>40</v>
      </c>
      <c r="U1" t="s">
        <v>41</v>
      </c>
      <c r="V1" t="s">
        <v>39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34</v>
      </c>
      <c r="AD1" t="s">
        <v>35</v>
      </c>
      <c r="AE1" s="24" t="s">
        <v>54</v>
      </c>
      <c r="AH1" s="1" t="s">
        <v>26</v>
      </c>
      <c r="AI1" t="s">
        <v>27</v>
      </c>
    </row>
    <row r="2" spans="1:37" s="12" customFormat="1" ht="15" thickBot="1" x14ac:dyDescent="0.35">
      <c r="A2" s="11"/>
      <c r="U2" s="13" t="e">
        <f>#REF!</f>
        <v>#REF!</v>
      </c>
      <c r="V2" s="13" t="e">
        <f>#REF!</f>
        <v>#REF!</v>
      </c>
      <c r="W2" s="13" t="e">
        <f>#REF!</f>
        <v>#REF!</v>
      </c>
      <c r="X2" s="13" t="e">
        <f>#REF!</f>
        <v>#REF!</v>
      </c>
      <c r="Z2" s="12" t="e">
        <f>#REF!</f>
        <v>#REF!</v>
      </c>
      <c r="AA2" s="13" t="e">
        <f>#REF!</f>
        <v>#REF!</v>
      </c>
      <c r="AB2" s="13" t="e">
        <f>#REF!</f>
        <v>#REF!</v>
      </c>
      <c r="AC2" s="13" t="e">
        <f>#REF!</f>
        <v>#REF!</v>
      </c>
      <c r="AD2" s="13" t="e">
        <f>#REF!</f>
        <v>#REF!</v>
      </c>
      <c r="AE2" s="13" t="e">
        <f>#REF!</f>
        <v>#REF!</v>
      </c>
      <c r="AF2" s="13" t="e">
        <f>SUM(V2:AD2)</f>
        <v>#REF!</v>
      </c>
    </row>
    <row r="3" spans="1:37" hidden="1" x14ac:dyDescent="0.3">
      <c r="A3" t="s">
        <v>37</v>
      </c>
      <c r="B3" t="str" cm="1">
        <f t="array" ref="B3">_xll.FDS(A3,"FG_COMPANY_NAME")</f>
        <v>iShares MSCI New Zealand ETF</v>
      </c>
      <c r="C3" t="s">
        <v>37</v>
      </c>
      <c r="D3" s="25" t="e">
        <f>VLOOKUP(C3,#REF!,5,FALSE)</f>
        <v>#REF!</v>
      </c>
      <c r="E3" cm="1">
        <f t="array" ref="E3">_xll.FDS(C3,"FMA_COS_UP(""EPS"",""1M"",+1,0,,,""PORTAGG"",""MEANR"")")</f>
        <v>4</v>
      </c>
      <c r="F3" cm="1">
        <f t="array" ref="F3">_xll.FDS(C3,"FMA_COS_DOWN(""EPS"",""1M"",+1,0,,,""PORTAGG"",""MEANR"")")</f>
        <v>7</v>
      </c>
      <c r="G3" cm="1">
        <f t="array" ref="G3">_xll.FDS(A3,"SIZE(FG_CONSTITUENTS)")</f>
        <v>14</v>
      </c>
      <c r="H3" s="6">
        <f t="shared" ref="H3:H11" si="0">E3/$G3</f>
        <v>0.2857142857142857</v>
      </c>
      <c r="I3" s="6">
        <f t="shared" ref="I3:I11" si="1">F3/$G3</f>
        <v>0.5</v>
      </c>
      <c r="J3" s="6">
        <f t="shared" ref="J3:J11" si="2">H3-I3</f>
        <v>-0.2142857142857143</v>
      </c>
      <c r="K3" s="5" cm="1">
        <f t="array" ref="K3">_xll.FDS(A3,"FMA_PCT_ABOVE_MAVG(200,0,,,,""PORTAGG"")")/100</f>
        <v>0.42857142857142899</v>
      </c>
      <c r="L3" s="14" cm="1">
        <f t="array" ref="L3">_xll.FDSB(A3,"PERCENT_CHANGE(FMA_EPS(+1,0,,,,""PORTAGG"",""MEAN""),FMA_EPS(+1,-1AM,,,,""PORTAGG"",""MEAN""))")</f>
        <v>-11.883239772104</v>
      </c>
      <c r="M3" s="14" cm="1">
        <f t="array" ref="M3">_xll.FDSB(A3,"PERCENT_CHANGE(FMA_EPS(+1,0,,,,""PORTAGG"",""MEAN""),FMA_EPS(+1,-3AM,,,,""PORTAGG"",""MEAN""))")</f>
        <v>-14.9782078795676</v>
      </c>
      <c r="O3" s="3" cm="1">
        <f t="array" ref="O3">_xll.FDS(C3,"FG_TOTAL_RETURNC(0,-3AM)")</f>
        <v>1.1329532</v>
      </c>
      <c r="P3" s="3" cm="1">
        <f t="array" ref="P3">_xll.FDS(C3,"FG_TOTAL_RETURNC(0,-6AM)")</f>
        <v>6.3952803999999999</v>
      </c>
      <c r="Q3" s="6" cm="1">
        <f t="array" ref="Q3">_xll.FDS(C3,"P_PRICE(0)/P_PRICE_HIGH_PR(0,,,USD,,,""PRICE"",""INTRA"",""52W"")")</f>
        <v>0.89415204999999998</v>
      </c>
      <c r="R3" s="6" cm="1">
        <f t="array" ref="R3">_xll.FDS(C3,"P_PRICE(0)/P_PRICE_low_PR(0,,,USD,,,""PRICE"",""INTRA"",""52W"")-1")</f>
        <v>0.11795962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7.1</v>
      </c>
      <c r="X3" s="4" cm="1">
        <f t="array" ref="X3">_xlfn.PERCENTRANK.EXC(_xlfn._xlws.FILTER($P$3:$P$15, ISNUMBER($P$3:$P$15)),P3)*100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14.2</v>
      </c>
      <c r="AB3" s="4" cm="1">
        <f t="array" ref="AB3">_xlfn.PERCENTRANK.EXC(_xlfn._xlws.FILTER($J$3:$J$15, ISNUMBER($J$3:$J$15)),J3)*100</f>
        <v>14.2</v>
      </c>
      <c r="AC3" s="4">
        <f>_xlfn.PERCENTRANK.EXC($L$3:$L$15,L3)*100</f>
        <v>7.1</v>
      </c>
      <c r="AD3" s="4">
        <f>_xlfn.PERCENTRANK.EXC($M$3:$M$15,M3)*100</f>
        <v>7.1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0</v>
      </c>
      <c r="AK3" s="4"/>
    </row>
    <row r="4" spans="1:37" hidden="1" x14ac:dyDescent="0.3">
      <c r="A4" t="s">
        <v>11</v>
      </c>
      <c r="B4" t="str" cm="1">
        <f t="array" ref="B4">_xll.FDS(A4,"FG_COMPANY_NAME")</f>
        <v>iShares MSCI Australia ETF</v>
      </c>
      <c r="C4" t="s">
        <v>11</v>
      </c>
      <c r="D4" s="25" t="e">
        <f>VLOOKUP(C4,#REF!,5,FALSE)</f>
        <v>#REF!</v>
      </c>
      <c r="E4" cm="1">
        <f t="array" ref="E4">_xll.FDS(C4,"FMA_COS_UP(""EPS"",""1M"",+1,0,,,""PORTAGG"",""MEANR"")")</f>
        <v>31</v>
      </c>
      <c r="F4" cm="1">
        <f t="array" ref="F4">_xll.FDS(C4,"FMA_COS_DOWN(""EPS"",""1M"",+1,0,,,""PORTAGG"",""MEANR"")")</f>
        <v>26</v>
      </c>
      <c r="G4" cm="1">
        <f t="array" ref="G4">_xll.FDS(A4,"SIZE(FG_CONSTITUENTS)")</f>
        <v>59</v>
      </c>
      <c r="H4" s="6">
        <f t="shared" si="0"/>
        <v>0.52542372881355937</v>
      </c>
      <c r="I4" s="6">
        <f t="shared" si="1"/>
        <v>0.44067796610169491</v>
      </c>
      <c r="J4" s="6">
        <f t="shared" si="2"/>
        <v>8.4745762711864459E-2</v>
      </c>
      <c r="K4" s="5" cm="1">
        <f t="array" ref="K4">_xll.FDS(A4,"FMA_PCT_ABOVE_MAVG(200,0,,,,""PORTAGG"")")/100</f>
        <v>0.74576271186440701</v>
      </c>
      <c r="L4" s="14" cm="1">
        <f t="array" ref="L4">_xll.FDSB(A4,"PERCENT_CHANGE(FMA_EPS(+1,0,,,,""PORTAGG"",""MEAN""),FMA_EPS(+1,-1AM,,,,""PORTAGG"",""MEAN""))")</f>
        <v>2.1543578400409702</v>
      </c>
      <c r="M4" s="14" cm="1">
        <f t="array" ref="M4">_xll.FDSB(A4,"PERCENT_CHANGE(FMA_EPS(+1,0,,,,""PORTAGG"",""MEAN""),FMA_EPS(+1,-3AM,,,,""PORTAGG"",""MEAN""))")</f>
        <v>-0.50598484976471803</v>
      </c>
      <c r="O4" s="3" cm="1">
        <f t="array" ref="O4">_xll.FDS(C4,"FG_TOTAL_RETURNC(0,-3AM)")</f>
        <v>8.9327810000000003</v>
      </c>
      <c r="P4" s="3" cm="1">
        <f t="array" ref="P4">_xll.FDS(C4,"FG_TOTAL_RETURNC(0,-6AM)")</f>
        <v>13.240587</v>
      </c>
      <c r="Q4" s="6" cm="1">
        <f t="array" ref="Q4">_xll.FDS(C4,"P_PRICE(0)/P_PRICE_HIGH_PR(0,,,USD,,,""PRICE"",""INTRA"",""52W"")")</f>
        <v>0.97484020000000005</v>
      </c>
      <c r="R4" s="6" cm="1">
        <f t="array" ref="R4">_xll.FDS(C4,"P_PRICE(0)/P_PRICE_low_PR(0,,,USD,,,""PRICE"",""INTRA"",""52W"")-1")</f>
        <v>0.19305968000000001</v>
      </c>
      <c r="T4" s="4" cm="1">
        <f t="array" ref="T4">_xlfn.PERCENTRANK.EXC(_xlfn._xlws.FILTER($R$3:$R$15, ISNUMBER($R$3:$R$15)),R4)*100</f>
        <v>28.499999999999996</v>
      </c>
      <c r="U4" s="4">
        <f t="shared" si="3"/>
        <v>71.5</v>
      </c>
      <c r="V4" s="4" cm="1">
        <f t="array" ref="V4">_xlfn.PERCENTRANK.EXC(_xlfn._xlws.FILTER($Q$3:$Q$15, ISNUMBER($Q$3:$Q$15)),Q4)*100</f>
        <v>14.2</v>
      </c>
      <c r="W4" s="4" cm="1">
        <f t="array" ref="W4">_xlfn.PERCENTRANK.EXC(_xlfn._xlws.FILTER($O$3:$O$15, ISNUMBER($O$3:$O$15)),O4)*100</f>
        <v>42.8</v>
      </c>
      <c r="X4" s="4" cm="1">
        <f t="array" ref="X4">_xlfn.PERCENTRANK.EXC(_xlfn._xlws.FILTER($P$3:$P$15, ISNUMBER($P$3:$P$15)),P4)*100</f>
        <v>42.8</v>
      </c>
      <c r="Z4" s="4" cm="1">
        <f t="array" ref="Z4">_xlfn.PERCENTRANK.EXC(_xlfn._xlws.FILTER($K$3:$K$15, ISNUMBER($K$3:$K$15)),K4)*100</f>
        <v>64.2</v>
      </c>
      <c r="AA4" s="4" cm="1">
        <f t="array" ref="AA4">_xlfn.PERCENTRANK.EXC(_xlfn._xlws.FILTER($H$3:$H$15, ISNUMBER($H$3:$H$15)),H4)*100</f>
        <v>85.7</v>
      </c>
      <c r="AB4" s="4" cm="1">
        <f t="array" ref="AB4">_xlfn.PERCENTRANK.EXC(_xlfn._xlws.FILTER($J$3:$J$15, ISNUMBER($J$3:$J$15)),J4)*100</f>
        <v>85.7</v>
      </c>
      <c r="AC4" s="4">
        <f t="shared" ref="AC4:AC15" si="6">_xlfn.PERCENTRANK.EXC($L$3:$L$15,L4)*100</f>
        <v>78.5</v>
      </c>
      <c r="AD4" s="4">
        <f t="shared" ref="AD4:AD15" si="7">_xlfn.PERCENTRANK.EXC($M$3:$M$15,M4)*100</f>
        <v>71.399999999999991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2</v>
      </c>
      <c r="AK4" s="4"/>
    </row>
    <row r="5" spans="1:37" hidden="1" x14ac:dyDescent="0.3">
      <c r="A5" t="s">
        <v>14</v>
      </c>
      <c r="B5" t="str" cm="1">
        <f t="array" ref="B5">_xll.FDS(A5,"FG_COMPANY_NAME")</f>
        <v>iShares MSCI Canada ETF</v>
      </c>
      <c r="C5" t="s">
        <v>14</v>
      </c>
      <c r="D5" s="25" t="e">
        <f>VLOOKUP(C5,#REF!,5,FALSE)</f>
        <v>#REF!</v>
      </c>
      <c r="E5" cm="1">
        <f t="array" ref="E5">_xll.FDS(C5,"FMA_COS_UP(""EPS"",""1M"",+1,0,,,""PORTAGG"",""MEANR"")")</f>
        <v>31</v>
      </c>
      <c r="F5" cm="1">
        <f t="array" ref="F5">_xll.FDS(C5,"FMA_COS_DOWN(""EPS"",""1M"",+1,0,,,""PORTAGG"",""MEANR"")")</f>
        <v>45</v>
      </c>
      <c r="G5" cm="1">
        <f t="array" ref="G5">_xll.FDS(A5,"SIZE(FG_CONSTITUENTS)")</f>
        <v>88</v>
      </c>
      <c r="H5" s="6">
        <f t="shared" si="0"/>
        <v>0.35227272727272729</v>
      </c>
      <c r="I5" s="6">
        <f t="shared" si="1"/>
        <v>0.51136363636363635</v>
      </c>
      <c r="J5" s="6">
        <f t="shared" si="2"/>
        <v>-0.15909090909090906</v>
      </c>
      <c r="K5" s="5" cm="1">
        <f t="array" ref="K5">_xll.FDS(A5,"FMA_PCT_ABOVE_MAVG(200,0,,,,""PORTAGG"")")/100</f>
        <v>0.69318181818181801</v>
      </c>
      <c r="L5" s="14" cm="1">
        <f t="array" ref="L5">_xll.FDSB(A5,"PERCENT_CHANGE(FMA_EPS(+1,0,,,,""PORTAGG"",""MEAN""),FMA_EPS(+1,-1AM,,,,""PORTAGG"",""MEAN""))")</f>
        <v>-1.49980064924339</v>
      </c>
      <c r="M5" s="14" cm="1">
        <f t="array" ref="M5">_xll.FDSB(A5,"PERCENT_CHANGE(FMA_EPS(+1,0,,,,""PORTAGG"",""MEAN""),FMA_EPS(+1,-3AM,,,,""PORTAGG"",""MEAN""))")</f>
        <v>-4.6139280729688803</v>
      </c>
      <c r="O5" s="3" cm="1">
        <f t="array" ref="O5">_xll.FDS(C5,"FG_TOTAL_RETURNC(0,-3AM)")</f>
        <v>9.7803710000000006</v>
      </c>
      <c r="P5" s="3" cm="1">
        <f t="array" ref="P5">_xll.FDS(C5,"FG_TOTAL_RETURNC(0,-6AM)")</f>
        <v>11.181271000000001</v>
      </c>
      <c r="Q5" s="6" cm="1">
        <f t="array" ref="Q5">_xll.FDS(C5,"P_PRICE(0)/P_PRICE_HIGH_PR(0,,,USD,,,""PRICE"",""INTRA"",""52W"")")</f>
        <v>0.99447805</v>
      </c>
      <c r="R5" s="6" cm="1">
        <f t="array" ref="R5">_xll.FDS(C5,"P_PRICE(0)/P_PRICE_low_PR(0,,,USD,,,""PRICE"",""INTRA"",""52W"")-1")</f>
        <v>0.20407510000000001</v>
      </c>
      <c r="T5" s="4" cm="1">
        <f t="array" ref="T5">_xlfn.PERCENTRANK.EXC(_xlfn._xlws.FILTER($R$3:$R$15, ISNUMBER($R$3:$R$15)),R5)*100</f>
        <v>35.699999999999996</v>
      </c>
      <c r="U5" s="4">
        <f t="shared" si="3"/>
        <v>64.300000000000011</v>
      </c>
      <c r="V5" s="4" cm="1">
        <f t="array" ref="V5">_xlfn.PERCENTRANK.EXC(_xlfn._xlws.FILTER($Q$3:$Q$15, ISNUMBER($Q$3:$Q$15)),Q5)*100</f>
        <v>50</v>
      </c>
      <c r="W5" s="4" cm="1">
        <f t="array" ref="W5">_xlfn.PERCENTRANK.EXC(_xlfn._xlws.FILTER($O$3:$O$15, ISNUMBER($O$3:$O$15)),O5)*100</f>
        <v>50</v>
      </c>
      <c r="X5" s="4" cm="1">
        <f t="array" ref="X5">_xlfn.PERCENTRANK.EXC(_xlfn._xlws.FILTER($P$3:$P$15, ISNUMBER($P$3:$P$15)),P5)*100</f>
        <v>28.499999999999996</v>
      </c>
      <c r="Z5" s="4" cm="1">
        <f t="array" ref="Z5">_xlfn.PERCENTRANK.EXC(_xlfn._xlws.FILTER($K$3:$K$15, ISNUMBER($K$3:$K$15)),K5)*100</f>
        <v>50</v>
      </c>
      <c r="AA5" s="4" cm="1">
        <f t="array" ref="AA5">_xlfn.PERCENTRANK.EXC(_xlfn._xlws.FILTER($H$3:$H$15, ISNUMBER($H$3:$H$15)),H5)*100</f>
        <v>50</v>
      </c>
      <c r="AB5" s="4" cm="1">
        <f t="array" ref="AB5">_xlfn.PERCENTRANK.EXC(_xlfn._xlws.FILTER($J$3:$J$15, ISNUMBER($J$3:$J$15)),J5)*100</f>
        <v>28.499999999999996</v>
      </c>
      <c r="AC5" s="4">
        <f t="shared" si="6"/>
        <v>14.2</v>
      </c>
      <c r="AD5" s="4">
        <f t="shared" si="7"/>
        <v>28.499999999999996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0</v>
      </c>
      <c r="AK5" s="4"/>
    </row>
    <row r="6" spans="1:37" hidden="1" x14ac:dyDescent="0.3">
      <c r="A6" t="s">
        <v>6</v>
      </c>
      <c r="B6" t="str" cm="1">
        <f t="array" ref="B6">_xll.FDS(A6,"FG_COMPANY_NAME")</f>
        <v>iShares MSCI Germany ETF</v>
      </c>
      <c r="C6" t="s">
        <v>6</v>
      </c>
      <c r="D6" s="25" t="e">
        <f>VLOOKUP(C6,#REF!,5,FALSE)</f>
        <v>#REF!</v>
      </c>
      <c r="E6" cm="1">
        <f t="array" ref="E6">_xll.FDS(C6,"FMA_COS_UP(""EPS"",""1M"",+1,0,,,""PORTAGG"",""MEANR"")")</f>
        <v>24</v>
      </c>
      <c r="F6" cm="1">
        <f t="array" ref="F6">_xll.FDS(C6,"FMA_COS_DOWN(""EPS"",""1M"",+1,0,,,""PORTAGG"",""MEANR"")")</f>
        <v>28</v>
      </c>
      <c r="G6" cm="1">
        <f t="array" ref="G6">_xll.FDS(A6,"SIZE(FG_CONSTITUENTS)")</f>
        <v>57</v>
      </c>
      <c r="H6" s="6">
        <f t="shared" si="0"/>
        <v>0.42105263157894735</v>
      </c>
      <c r="I6" s="6">
        <f t="shared" si="1"/>
        <v>0.49122807017543857</v>
      </c>
      <c r="J6" s="6">
        <f t="shared" si="2"/>
        <v>-7.0175438596491224E-2</v>
      </c>
      <c r="K6" s="5" cm="1">
        <f t="array" ref="K6">_xll.FDS(A6,"FMA_PCT_ABOVE_MAVG(200,0,,,,""PORTAGG"")")/100</f>
        <v>0.75438596491228094</v>
      </c>
      <c r="L6" s="14" cm="1">
        <f t="array" ref="L6">_xll.FDSB(A6,"PERCENT_CHANGE(FMA_EPS(+1,0,,,,""PORTAGG"",""MEAN""),FMA_EPS(+1,-1AM,,,,""PORTAGG"",""MEAN""))")</f>
        <v>1.0331189042044999</v>
      </c>
      <c r="M6" s="14" cm="1">
        <f t="array" ref="M6">_xll.FDSB(A6,"PERCENT_CHANGE(FMA_EPS(+1,0,,,,""PORTAGG"",""MEAN""),FMA_EPS(+1,-3AM,,,,""PORTAGG"",""MEAN""))")</f>
        <v>-2.73810548708486</v>
      </c>
      <c r="O6" s="3" cm="1">
        <f t="array" ref="O6">_xll.FDS(C6,"FG_TOTAL_RETURNC(0,-3AM)")</f>
        <v>7.9781529999999998</v>
      </c>
      <c r="P6" s="3" cm="1">
        <f t="array" ref="P6">_xll.FDS(C6,"FG_TOTAL_RETURNC(0,-6AM)")</f>
        <v>15.478301</v>
      </c>
      <c r="Q6" s="6" cm="1">
        <f t="array" ref="Q6">_xll.FDS(C6,"P_PRICE(0)/P_PRICE_HIGH_PR(0,,,USD,,,""PRICE"",""INTRA"",""52W"")")</f>
        <v>0.99968182999999999</v>
      </c>
      <c r="R6" s="6" cm="1">
        <f t="array" ref="R6">_xll.FDS(C6,"P_PRICE(0)/P_PRICE_low_PR(0,,,USD,,,""PRICE"",""INTRA"",""52W"")-1")</f>
        <v>0.27180729999999997</v>
      </c>
      <c r="T6" s="4" cm="1">
        <f t="array" ref="T6">_xlfn.PERCENTRANK.EXC(_xlfn._xlws.FILTER($R$3:$R$15, ISNUMBER($R$3:$R$15)),R6)*100</f>
        <v>50</v>
      </c>
      <c r="U6" s="4">
        <f t="shared" si="3"/>
        <v>50</v>
      </c>
      <c r="V6" s="4" cm="1">
        <f t="array" ref="V6">_xlfn.PERCENTRANK.EXC(_xlfn._xlws.FILTER($Q$3:$Q$15, ISNUMBER($Q$3:$Q$15)),Q6)*100</f>
        <v>78.5</v>
      </c>
      <c r="W6" s="4" cm="1">
        <f t="array" ref="W6">_xlfn.PERCENTRANK.EXC(_xlfn._xlws.FILTER($O$3:$O$15, ISNUMBER($O$3:$O$15)),O6)*100</f>
        <v>28.499999999999996</v>
      </c>
      <c r="X6" s="4" cm="1">
        <f t="array" ref="X6">_xlfn.PERCENTRANK.EXC(_xlfn._xlws.FILTER($P$3:$P$15, ISNUMBER($P$3:$P$15)),P6)*100</f>
        <v>57.099999999999994</v>
      </c>
      <c r="Z6" s="4" cm="1">
        <f t="array" ref="Z6">_xlfn.PERCENTRANK.EXC(_xlfn._xlws.FILTER($K$3:$K$15, ISNUMBER($K$3:$K$15)),K6)*100</f>
        <v>71.399999999999991</v>
      </c>
      <c r="AA6" s="4" cm="1">
        <f t="array" ref="AA6">_xlfn.PERCENTRANK.EXC(_xlfn._xlws.FILTER($H$3:$H$15, ISNUMBER($H$3:$H$15)),H6)*100</f>
        <v>71.399999999999991</v>
      </c>
      <c r="AB6" s="4" cm="1">
        <f t="array" ref="AB6">_xlfn.PERCENTRANK.EXC(_xlfn._xlws.FILTER($J$3:$J$15, ISNUMBER($J$3:$J$15)),J6)*100</f>
        <v>57.099999999999994</v>
      </c>
      <c r="AC6" s="4">
        <f t="shared" si="6"/>
        <v>57.099999999999994</v>
      </c>
      <c r="AD6" s="4">
        <f t="shared" si="7"/>
        <v>50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3</v>
      </c>
      <c r="AK6" s="4"/>
    </row>
    <row r="7" spans="1:37" hidden="1" x14ac:dyDescent="0.3">
      <c r="A7" t="s">
        <v>12</v>
      </c>
      <c r="B7" t="str" cm="1">
        <f t="array" ref="B7">_xll.FDS(A7,"FG_COMPANY_NAME")</f>
        <v>iShares MSCI Japan ETF</v>
      </c>
      <c r="C7" t="s">
        <v>12</v>
      </c>
      <c r="D7" s="25" t="e">
        <f>VLOOKUP(C7,#REF!,5,FALSE)</f>
        <v>#REF!</v>
      </c>
      <c r="E7" cm="1">
        <f t="array" ref="E7">_xll.FDS(C7,"FMA_COS_UP(""EPS"",""1M"",+1,0,,,""PORTAGG"",""MEANR"")")</f>
        <v>117</v>
      </c>
      <c r="F7" cm="1">
        <f t="array" ref="F7">_xll.FDS(C7,"FMA_COS_DOWN(""EPS"",""1M"",+1,0,,,""PORTAGG"",""MEANR"")")</f>
        <v>90</v>
      </c>
      <c r="G7" cm="1">
        <f t="array" ref="G7">_xll.FDS(A7,"SIZE(FG_CONSTITUENTS)")</f>
        <v>219</v>
      </c>
      <c r="H7" s="6">
        <f t="shared" si="0"/>
        <v>0.53424657534246578</v>
      </c>
      <c r="I7" s="6">
        <f t="shared" si="1"/>
        <v>0.41095890410958902</v>
      </c>
      <c r="J7" s="6">
        <f t="shared" si="2"/>
        <v>0.12328767123287676</v>
      </c>
      <c r="K7" s="5" cm="1">
        <f t="array" ref="K7">_xll.FDS(A7,"FMA_PCT_ABOVE_MAVG(200,0,,,,""PORTAGG"")")/100</f>
        <v>0.72146118721461205</v>
      </c>
      <c r="L7" s="14" cm="1">
        <f t="array" ref="L7">_xll.FDSB(A7,"PERCENT_CHANGE(FMA_EPS(+1,0,,,,""PORTAGG"",""MEAN""),FMA_EPS(+1,-1AM,,,,""PORTAGG"",""MEAN""))")</f>
        <v>1.0505327254835</v>
      </c>
      <c r="M7" s="14" cm="1">
        <f t="array" ref="M7">_xll.FDSB(A7,"PERCENT_CHANGE(FMA_EPS(+1,0,,,,""PORTAGG"",""MEAN""),FMA_EPS(+1,-3AM,,,,""PORTAGG"",""MEAN""))")</f>
        <v>-0.89750003997565697</v>
      </c>
      <c r="O7" s="3" cm="1">
        <f t="array" ref="O7">_xll.FDS(C7,"FG_TOTAL_RETURNC(0,-3AM)")</f>
        <v>12.555706000000001</v>
      </c>
      <c r="P7" s="3" cm="1">
        <f t="array" ref="P7">_xll.FDS(C7,"FG_TOTAL_RETURNC(0,-6AM)")</f>
        <v>13.892424</v>
      </c>
      <c r="Q7" s="6" cm="1">
        <f t="array" ref="Q7">_xll.FDS(C7,"P_PRICE(0)/P_PRICE_HIGH_PR(0,,,USD,,,""PRICE"",""INTRA"",""52W"")")</f>
        <v>0.97526310000000005</v>
      </c>
      <c r="R7" s="6" cm="1">
        <f t="array" ref="R7">_xll.FDS(C7,"P_PRICE(0)/P_PRICE_low_PR(0,,,USD,,,""PRICE"",""INTRA"",""52W"")-1")</f>
        <v>0.28274226000000002</v>
      </c>
      <c r="T7" s="4" cm="1">
        <f t="array" ref="T7">_xlfn.PERCENTRANK.EXC(_xlfn._xlws.FILTER($R$3:$R$15, ISNUMBER($R$3:$R$15)),R7)*100</f>
        <v>57.099999999999994</v>
      </c>
      <c r="U7" s="4">
        <f t="shared" si="3"/>
        <v>42.900000000000006</v>
      </c>
      <c r="V7" s="4" cm="1">
        <f t="array" ref="V7">_xlfn.PERCENTRANK.EXC(_xlfn._xlws.FILTER($Q$3:$Q$15, ISNUMBER($Q$3:$Q$15)),Q7)*100</f>
        <v>21.4</v>
      </c>
      <c r="W7" s="4" cm="1">
        <f t="array" ref="W7">_xlfn.PERCENTRANK.EXC(_xlfn._xlws.FILTER($O$3:$O$15, ISNUMBER($O$3:$O$15)),O7)*100</f>
        <v>85.7</v>
      </c>
      <c r="X7" s="4" cm="1">
        <f t="array" ref="X7">_xlfn.PERCENTRANK.EXC(_xlfn._xlws.FILTER($P$3:$P$15, ISNUMBER($P$3:$P$15)),P7)*100</f>
        <v>50</v>
      </c>
      <c r="Z7" s="4" cm="1">
        <f t="array" ref="Z7">_xlfn.PERCENTRANK.EXC(_xlfn._xlws.FILTER($K$3:$K$15, ISNUMBER($K$3:$K$15)),K7)*100</f>
        <v>57.099999999999994</v>
      </c>
      <c r="AA7" s="4" cm="1">
        <f t="array" ref="AA7">_xlfn.PERCENTRANK.EXC(_xlfn._xlws.FILTER($H$3:$H$15, ISNUMBER($H$3:$H$15)),H7)*100</f>
        <v>92.800000000000011</v>
      </c>
      <c r="AB7" s="4" cm="1">
        <f t="array" ref="AB7">_xlfn.PERCENTRANK.EXC(_xlfn._xlws.FILTER($J$3:$J$15, ISNUMBER($J$3:$J$15)),J7)*100</f>
        <v>92.800000000000011</v>
      </c>
      <c r="AC7" s="4">
        <f t="shared" si="6"/>
        <v>64.2</v>
      </c>
      <c r="AD7" s="4">
        <f t="shared" si="7"/>
        <v>57.099999999999994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3</v>
      </c>
      <c r="AK7" s="4"/>
    </row>
    <row r="8" spans="1:37" hidden="1" x14ac:dyDescent="0.3">
      <c r="A8" t="s">
        <v>10</v>
      </c>
      <c r="B8" t="str" cm="1">
        <f t="array" ref="B8">_xll.FDS(A8,"FG_COMPANY_NAME")</f>
        <v>iShares MSCI Switzerland ETF</v>
      </c>
      <c r="C8" t="s">
        <v>10</v>
      </c>
      <c r="D8" s="25" t="e">
        <f>VLOOKUP(C8,#REF!,5,FALSE)</f>
        <v>#REF!</v>
      </c>
      <c r="E8" cm="1">
        <f t="array" ref="E8">_xll.FDS(C8,"FMA_COS_UP(""EPS"",""1M"",+1,0,,,""PORTAGG"",""MEANR"")")</f>
        <v>12</v>
      </c>
      <c r="F8" cm="1">
        <f t="array" ref="F8">_xll.FDS(C8,"FMA_COS_DOWN(""EPS"",""1M"",+1,0,,,""PORTAGG"",""MEANR"")")</f>
        <v>28</v>
      </c>
      <c r="G8" cm="1">
        <f t="array" ref="G8">_xll.FDS(A8,"SIZE(FG_CONSTITUENTS)")</f>
        <v>47</v>
      </c>
      <c r="H8" s="6">
        <f t="shared" si="0"/>
        <v>0.25531914893617019</v>
      </c>
      <c r="I8" s="6">
        <f t="shared" si="1"/>
        <v>0.5957446808510638</v>
      </c>
      <c r="J8" s="6">
        <f t="shared" si="2"/>
        <v>-0.34042553191489361</v>
      </c>
      <c r="K8" s="5" cm="1">
        <f t="array" ref="K8">_xll.FDS(A8,"FMA_PCT_ABOVE_MAVG(200,0,,,,""PORTAGG"")")/100</f>
        <v>0.64444444444444404</v>
      </c>
      <c r="L8" s="14" cm="1">
        <f t="array" ref="L8">_xll.FDSB(A8,"PERCENT_CHANGE(FMA_EPS(+1,0,,,,""PORTAGG"",""MEAN""),FMA_EPS(+1,-1AM,,,,""PORTAGG"",""MEAN""))")</f>
        <v>-7.8850329365848404E-2</v>
      </c>
      <c r="M8" s="14" cm="1">
        <f t="array" ref="M8">_xll.FDSB(A8,"PERCENT_CHANGE(FMA_EPS(+1,0,,,,""PORTAGG"",""MEAN""),FMA_EPS(+1,-3AM,,,,""PORTAGG"",""MEAN""))")</f>
        <v>-4.9019331936972597</v>
      </c>
      <c r="O8" s="3" cm="1">
        <f t="array" ref="O8">_xll.FDS(C8,"FG_TOTAL_RETURNC(0,-3AM)")</f>
        <v>4.9310923000000004</v>
      </c>
      <c r="P8" s="3" cm="1">
        <f t="array" ref="P8">_xll.FDS(C8,"FG_TOTAL_RETURNC(0,-6AM)")</f>
        <v>7.8574539999999997</v>
      </c>
      <c r="Q8" s="6" cm="1">
        <f t="array" ref="Q8">_xll.FDS(C8,"P_PRICE(0)/P_PRICE_HIGH_PR(0,,,USD,,,""PRICE"",""INTRA"",""52W"")")</f>
        <v>0.99581074999999997</v>
      </c>
      <c r="R8" s="6" cm="1">
        <f t="array" ref="R8">_xll.FDS(C8,"P_PRICE(0)/P_PRICE_low_PR(0,,,USD,,,""PRICE"",""INTRA"",""52W"")-1")</f>
        <v>0.17280387999999999</v>
      </c>
      <c r="T8" s="4" cm="1">
        <f t="array" ref="T8">_xlfn.PERCENTRANK.EXC(_xlfn._xlws.FILTER($R$3:$R$15, ISNUMBER($R$3:$R$15)),R8)*100</f>
        <v>21.4</v>
      </c>
      <c r="U8" s="4">
        <f t="shared" si="3"/>
        <v>78.599999999999994</v>
      </c>
      <c r="V8" s="4" cm="1">
        <f t="array" ref="V8">_xlfn.PERCENTRANK.EXC(_xlfn._xlws.FILTER($Q$3:$Q$15, ISNUMBER($Q$3:$Q$15)),Q8)*100</f>
        <v>57.099999999999994</v>
      </c>
      <c r="W8" s="4" cm="1">
        <f t="array" ref="W8">_xlfn.PERCENTRANK.EXC(_xlfn._xlws.FILTER($O$3:$O$15, ISNUMBER($O$3:$O$15)),O8)*100</f>
        <v>14.2</v>
      </c>
      <c r="X8" s="4" cm="1">
        <f t="array" ref="X8">_xlfn.PERCENTRANK.EXC(_xlfn._xlws.FILTER($P$3:$P$15, ISNUMBER($P$3:$P$15)),P8)*100</f>
        <v>21.4</v>
      </c>
      <c r="Z8" s="4" cm="1">
        <f t="array" ref="Z8">_xlfn.PERCENTRANK.EXC(_xlfn._xlws.FILTER($K$3:$K$15, ISNUMBER($K$3:$K$15)),K8)*100</f>
        <v>28.499999999999996</v>
      </c>
      <c r="AA8" s="4" cm="1">
        <f t="array" ref="AA8">_xlfn.PERCENTRANK.EXC(_xlfn._xlws.FILTER($H$3:$H$15, ISNUMBER($H$3:$H$15)),H8)*100</f>
        <v>7.1</v>
      </c>
      <c r="AB8" s="4" cm="1">
        <f t="array" ref="AB8">_xlfn.PERCENTRANK.EXC(_xlfn._xlws.FILTER($J$3:$J$15, ISNUMBER($J$3:$J$15)),J8)*100</f>
        <v>7.1</v>
      </c>
      <c r="AC8" s="4">
        <f t="shared" si="6"/>
        <v>21.4</v>
      </c>
      <c r="AD8" s="4">
        <f t="shared" si="7"/>
        <v>21.4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0</v>
      </c>
      <c r="AK8" s="4"/>
    </row>
    <row r="9" spans="1:37" hidden="1" x14ac:dyDescent="0.3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25" t="e">
        <f>VLOOKUP(C9,#REF!,5,FALSE)</f>
        <v>#REF!</v>
      </c>
      <c r="E9" cm="1">
        <f t="array" ref="E9">_xll.FDS(C9,"FMA_COS_UP(""EPS"",""1M"",+1,0,,,""PORTAGG"",""MEANR"")")</f>
        <v>29</v>
      </c>
      <c r="F9" cm="1">
        <f t="array" ref="F9">_xll.FDS(C9,"FMA_COS_DOWN(""EPS"",""1M"",+1,0,,,""PORTAGG"",""MEANR"")")</f>
        <v>46</v>
      </c>
      <c r="G9" cm="1">
        <f t="array" ref="G9">_xll.FDS(A9,"SIZE(FG_CONSTITUENTS)")</f>
        <v>85</v>
      </c>
      <c r="H9" s="6">
        <f t="shared" si="0"/>
        <v>0.3411764705882353</v>
      </c>
      <c r="I9" s="6">
        <f t="shared" si="1"/>
        <v>0.54117647058823526</v>
      </c>
      <c r="J9" s="6">
        <f t="shared" si="2"/>
        <v>-0.19999999999999996</v>
      </c>
      <c r="K9" s="5" cm="1">
        <f t="array" ref="K9">_xll.FDS(A9,"FMA_PCT_ABOVE_MAVG(200,0,,,,""PORTAGG"")")/100</f>
        <v>0.55952380952380998</v>
      </c>
      <c r="L9" s="14" cm="1">
        <f t="array" ref="L9">_xll.FDSB(A9,"PERCENT_CHANGE(FMA_EPS(+1,0,,,,""PORTAGG"",""MEAN""),FMA_EPS(+1,-1AM,,,,""PORTAGG"",""MEAN""))")</f>
        <v>0.62113315254407997</v>
      </c>
      <c r="M9" s="14" cm="1">
        <f t="array" ref="M9">_xll.FDSB(A9,"PERCENT_CHANGE(FMA_EPS(+1,0,,,,""PORTAGG"",""MEAN""),FMA_EPS(+1,-3AM,,,,""PORTAGG"",""MEAN""))")</f>
        <v>-5.0135171837683599</v>
      </c>
      <c r="O9" s="3" cm="1">
        <f t="array" ref="O9">_xll.FDS(C9,"FG_TOTAL_RETURNC(0,-3AM)")</f>
        <v>5.5657864000000004</v>
      </c>
      <c r="P9" s="3" cm="1">
        <f t="array" ref="P9">_xll.FDS(C9,"FG_TOTAL_RETURNC(0,-6AM)")</f>
        <v>7.5115439999999998</v>
      </c>
      <c r="Q9" s="6" cm="1">
        <f t="array" ref="Q9">_xll.FDS(C9,"P_PRICE(0)/P_PRICE_HIGH_PR(0,,,USD,,,""PRICE"",""INTRA"",""52W"")")</f>
        <v>0.98810399999999998</v>
      </c>
      <c r="R9" s="6" cm="1">
        <f t="array" ref="R9">_xll.FDS(C9,"P_PRICE(0)/P_PRICE_low_PR(0,,,USD,,,""PRICE"",""INTRA"",""52W"")-1")</f>
        <v>0.12133336</v>
      </c>
      <c r="T9" s="4" cm="1">
        <f t="array" ref="T9">_xlfn.PERCENTRANK.EXC(_xlfn._xlws.FILTER($R$3:$R$15, ISNUMBER($R$3:$R$15)),R9)*100</f>
        <v>14.2</v>
      </c>
      <c r="U9" s="4">
        <f t="shared" si="3"/>
        <v>85.8</v>
      </c>
      <c r="V9" s="4" cm="1">
        <f t="array" ref="V9">_xlfn.PERCENTRANK.EXC(_xlfn._xlws.FILTER($Q$3:$Q$15, ISNUMBER($Q$3:$Q$15)),Q9)*100</f>
        <v>35.699999999999996</v>
      </c>
      <c r="W9" s="4" cm="1">
        <f t="array" ref="W9">_xlfn.PERCENTRANK.EXC(_xlfn._xlws.FILTER($O$3:$O$15, ISNUMBER($O$3:$O$15)),O9)*100</f>
        <v>21.4</v>
      </c>
      <c r="X9" s="4" cm="1">
        <f t="array" ref="X9">_xlfn.PERCENTRANK.EXC(_xlfn._xlws.FILTER($P$3:$P$15, ISNUMBER($P$3:$P$15)),P9)*100</f>
        <v>14.2</v>
      </c>
      <c r="Z9" s="4" cm="1">
        <f t="array" ref="Z9">_xlfn.PERCENTRANK.EXC(_xlfn._xlws.FILTER($K$3:$K$15, ISNUMBER($K$3:$K$15)),K9)*100</f>
        <v>14.2</v>
      </c>
      <c r="AA9" s="4" cm="1">
        <f t="array" ref="AA9">_xlfn.PERCENTRANK.EXC(_xlfn._xlws.FILTER($H$3:$H$15, ISNUMBER($H$3:$H$15)),H9)*100</f>
        <v>28.499999999999996</v>
      </c>
      <c r="AB9" s="4" cm="1">
        <f t="array" ref="AB9">_xlfn.PERCENTRANK.EXC(_xlfn._xlws.FILTER($J$3:$J$15, ISNUMBER($J$3:$J$15)),J9)*100</f>
        <v>21.4</v>
      </c>
      <c r="AC9" s="4">
        <f t="shared" si="6"/>
        <v>42.8</v>
      </c>
      <c r="AD9" s="4">
        <f t="shared" si="7"/>
        <v>14.2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0</v>
      </c>
      <c r="AK9" s="4"/>
    </row>
    <row r="10" spans="1:37" hidden="1" x14ac:dyDescent="0.3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25" t="e">
        <f>VLOOKUP(C10,#REF!,5,FALSE)</f>
        <v>#REF!</v>
      </c>
      <c r="E10" cm="1">
        <f t="array" ref="E10">_xll.FDS(C10,"FMA_COS_UP(""EPS"",""1M"",+1,0,,,""PORTAGG"",""MEANR"")")</f>
        <v>35</v>
      </c>
      <c r="F10" cm="1">
        <f t="array" ref="F10">_xll.FDS(C10,"FMA_COS_DOWN(""EPS"",""1M"",+1,0,,,""PORTAGG"",""MEANR"")")</f>
        <v>43</v>
      </c>
      <c r="G10" cm="1">
        <f t="array" ref="G10">_xll.FDS(A10,"SIZE(FG_CONSTITUENTS)")</f>
        <v>102</v>
      </c>
      <c r="H10" s="6">
        <f t="shared" si="0"/>
        <v>0.34313725490196079</v>
      </c>
      <c r="I10" s="6">
        <f t="shared" si="1"/>
        <v>0.42156862745098039</v>
      </c>
      <c r="J10" s="6">
        <f t="shared" si="2"/>
        <v>-7.8431372549019607E-2</v>
      </c>
      <c r="K10" s="5" cm="1">
        <f t="array" ref="K10">_xll.FDS(A10,"FMA_PCT_ABOVE_MAVG(200,0,,,,""PORTAGG"")")/100</f>
        <v>0.77450980392156898</v>
      </c>
      <c r="L10" s="14" cm="1">
        <f t="array" ref="L10">_xll.FDSB(A10,"PERCENT_CHANGE(FMA_EPS(+1,0,,,,""PORTAGG"",""MEAN""),FMA_EPS(+1,-1AM,,,,""PORTAGG"",""MEAN""))")</f>
        <v>0.41278931300372401</v>
      </c>
      <c r="M10" s="14" cm="1">
        <f t="array" ref="M10">_xll.FDSB(A10,"PERCENT_CHANGE(FMA_EPS(+1,0,,,,""PORTAGG"",""MEAN""),FMA_EPS(+1,-3AM,,,,""PORTAGG"",""MEAN""))")</f>
        <v>0.56852966239707203</v>
      </c>
      <c r="O10" s="3" cm="1">
        <f t="array" ref="O10">_xll.FDS(C10,"FG_TOTAL_RETURNC(0,-3AM)")</f>
        <v>11.564457000000001</v>
      </c>
      <c r="P10" s="3" cm="1">
        <f t="array" ref="P10">_xll.FDS(C10,"FG_TOTAL_RETURNC(0,-6AM)")</f>
        <v>19.481922000000001</v>
      </c>
      <c r="Q10" s="6" cm="1">
        <f t="array" ref="Q10">_xll.FDS(C10,"P_PRICE(0)/P_PRICE_HIGH_PR(0,,,USD,,,""PRICE"",""INTRA"",""52W"")")</f>
        <v>0.98889976999999996</v>
      </c>
      <c r="R10" s="6" cm="1">
        <f t="array" ref="R10">_xll.FDS(C10,"P_PRICE(0)/P_PRICE_low_PR(0,,,USD,,,""PRICE"",""INTRA"",""52W"")-1")</f>
        <v>0.55566466000000003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42.8</v>
      </c>
      <c r="W10" s="4" cm="1">
        <f t="array" ref="W10">_xlfn.PERCENTRANK.EXC(_xlfn._xlws.FILTER($O$3:$O$15, ISNUMBER($O$3:$O$15)),O10)*100</f>
        <v>57.099999999999994</v>
      </c>
      <c r="X10" s="4" cm="1">
        <f t="array" ref="X10">_xlfn.PERCENTRANK.EXC(_xlfn._xlws.FILTER($P$3:$P$15, ISNUMBER($P$3:$P$15)),P10)*100</f>
        <v>78.5</v>
      </c>
      <c r="Z10" s="4" cm="1">
        <f t="array" ref="Z10">_xlfn.PERCENTRANK.EXC(_xlfn._xlws.FILTER($K$3:$K$15, ISNUMBER($K$3:$K$15)),K10)*100</f>
        <v>85.7</v>
      </c>
      <c r="AA10" s="4" cm="1">
        <f t="array" ref="AA10">_xlfn.PERCENTRANK.EXC(_xlfn._xlws.FILTER($H$3:$H$15, ISNUMBER($H$3:$H$15)),H10)*100</f>
        <v>35.699999999999996</v>
      </c>
      <c r="AB10" s="4" cm="1">
        <f t="array" ref="AB10">_xlfn.PERCENTRANK.EXC(_xlfn._xlws.FILTER($J$3:$J$15, ISNUMBER($J$3:$J$15)),J10)*100</f>
        <v>50</v>
      </c>
      <c r="AC10" s="4">
        <f t="shared" si="6"/>
        <v>28.499999999999996</v>
      </c>
      <c r="AD10" s="4">
        <f t="shared" si="7"/>
        <v>85.7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2</v>
      </c>
      <c r="AK10" s="4"/>
    </row>
    <row r="11" spans="1:37" hidden="1" x14ac:dyDescent="0.3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25" t="e">
        <f>VLOOKUP(C11,#REF!,5,FALSE)</f>
        <v>#REF!</v>
      </c>
      <c r="E11" cm="1">
        <f t="array" ref="E11">_xll.FDS(C11,"FMA_COS_UP(""EPS"",""1M"",+1,0,,,""PORTAGG"",""MEANR"")")</f>
        <v>186</v>
      </c>
      <c r="F11" cm="1">
        <f t="array" ref="F11">_xll.FDS(C11,"FMA_COS_DOWN(""EPS"",""1M"",+1,0,,,""PORTAGG"",""MEANR"")")</f>
        <v>192</v>
      </c>
      <c r="G11" cm="1">
        <f t="array" ref="G11">_xll.FDS(A11,"SIZE(FG_CONSTITUENTS)")</f>
        <v>504</v>
      </c>
      <c r="H11" s="6">
        <f t="shared" si="0"/>
        <v>0.36904761904761907</v>
      </c>
      <c r="I11" s="6">
        <f t="shared" si="1"/>
        <v>0.38095238095238093</v>
      </c>
      <c r="J11" s="6">
        <f t="shared" si="2"/>
        <v>-1.1904761904761862E-2</v>
      </c>
      <c r="K11" s="5" cm="1">
        <f t="array" ref="K11">_xll.FDS(A11,"FMA_PCT_ABOVE_MAVG(200,0,,,,""PORTAGG"")")/100</f>
        <v>0.79920477137176904</v>
      </c>
      <c r="L11" s="14" cm="1">
        <f t="array" ref="L11">_xll.FDSB(A11,"PERCENT_CHANGE(FMA_EPS(+1,0,,,,""PORTAGG"",""MEAN""),FMA_EPS(+1,-1AM,,,,""PORTAGG"",""MEAN""))")</f>
        <v>0.52035965963753295</v>
      </c>
      <c r="M11" s="14" cm="1">
        <f t="array" ref="M11">_xll.FDSB(A11,"PERCENT_CHANGE(FMA_EPS(+1,0,,,,""PORTAGG"",""MEAN""),FMA_EPS(+1,-3AM,,,,""PORTAGG"",""MEAN""))")</f>
        <v>-0.73723738140771999</v>
      </c>
      <c r="O11" s="3" cm="1">
        <f t="array" ref="O11">_xll.FDS(C11,"FG_TOTAL_RETURNC(0,-3AM)")</f>
        <v>11.803234</v>
      </c>
      <c r="P11" s="3" cm="1">
        <f t="array" ref="P11">_xll.FDS(C11,"FG_TOTAL_RETURNC(0,-6AM)")</f>
        <v>16.758585</v>
      </c>
      <c r="Q11" s="6" cm="1">
        <f t="array" ref="Q11">_xll.FDS(C11,"P_PRICE(0)/P_PRICE_HIGH_PR(0,,,USD,,,""PRICE"",""INTRA"",""52W"")")</f>
        <v>0.99722109999999997</v>
      </c>
      <c r="R11" s="6" cm="1">
        <f t="array" ref="R11">_xll.FDS(C11,"P_PRICE(0)/P_PRICE_low_PR(0,,,USD,,,""PRICE"",""INTRA"",""52W"")-1")</f>
        <v>0.35762525000000001</v>
      </c>
      <c r="T11" s="4" cm="1">
        <f t="array" ref="T11">_xlfn.PERCENTRANK.EXC(_xlfn._xlws.FILTER($R$3:$R$15, ISNUMBER($R$3:$R$15)),R11)*100</f>
        <v>85.7</v>
      </c>
      <c r="U11" s="4">
        <f t="shared" si="3"/>
        <v>14.299999999999997</v>
      </c>
      <c r="V11" s="4" cm="1">
        <f t="array" ref="V11">_xlfn.PERCENTRANK.EXC(_xlfn._xlws.FILTER($Q$3:$Q$15, ISNUMBER($Q$3:$Q$15)),Q11)*100</f>
        <v>64.2</v>
      </c>
      <c r="W11" s="4" cm="1">
        <f t="array" ref="W11">_xlfn.PERCENTRANK.EXC(_xlfn._xlws.FILTER($O$3:$O$15, ISNUMBER($O$3:$O$15)),O11)*100</f>
        <v>64.2</v>
      </c>
      <c r="X11" s="4" cm="1">
        <f t="array" ref="X11">_xlfn.PERCENTRANK.EXC(_xlfn._xlws.FILTER($P$3:$P$15, ISNUMBER($P$3:$P$15)),P11)*100</f>
        <v>64.2</v>
      </c>
      <c r="Z11" s="4" cm="1">
        <f t="array" ref="Z11">_xlfn.PERCENTRANK.EXC(_xlfn._xlws.FILTER($K$3:$K$15, ISNUMBER($K$3:$K$15)),K11)*100</f>
        <v>92.800000000000011</v>
      </c>
      <c r="AA11" s="4" cm="1">
        <f t="array" ref="AA11">_xlfn.PERCENTRANK.EXC(_xlfn._xlws.FILTER($H$3:$H$15, ISNUMBER($H$3:$H$15)),H11)*100</f>
        <v>57.099999999999994</v>
      </c>
      <c r="AB11" s="4" cm="1">
        <f t="array" ref="AB11">_xlfn.PERCENTRANK.EXC(_xlfn._xlws.FILTER($J$3:$J$15, ISNUMBER($J$3:$J$15)),J11)*100</f>
        <v>64.2</v>
      </c>
      <c r="AC11" s="4">
        <f t="shared" si="6"/>
        <v>35.699999999999996</v>
      </c>
      <c r="AD11" s="4">
        <f t="shared" si="7"/>
        <v>64.2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1</v>
      </c>
      <c r="AK11" s="4"/>
    </row>
    <row r="12" spans="1:37" hidden="1" x14ac:dyDescent="0.3">
      <c r="A12" t="s">
        <v>56</v>
      </c>
      <c r="B12" t="str" cm="1">
        <f t="array" ref="B12">_xll.FDS(A12,"FG_COMPANY_NAME")</f>
        <v>iShares MSCI France ETF</v>
      </c>
      <c r="C12" t="s">
        <v>56</v>
      </c>
      <c r="D12" s="25" t="e">
        <f>VLOOKUP(C12,#REF!,5,FALSE)</f>
        <v>#REF!</v>
      </c>
      <c r="E12" cm="1">
        <f t="array" ref="E12">_xll.FDS(C12,"FMA_COS_UP(""EPS"",""1M"",+1,0,,,""PORTAGG"",""MEANR"")")</f>
        <v>25</v>
      </c>
      <c r="F12" cm="1">
        <f t="array" ref="F12">_xll.FDS(C12,"FMA_COS_DOWN(""EPS"",""1M"",+1,0,,,""PORTAGG"",""MEANR"")")</f>
        <v>32</v>
      </c>
      <c r="G12" cm="1">
        <f t="array" ref="G12">_xll.FDS(A12,"SIZE(FG_CONSTITUENTS)")</f>
        <v>63</v>
      </c>
      <c r="H12" s="6">
        <f t="shared" ref="H12:H15" si="9">E12/$G12</f>
        <v>0.3968253968253968</v>
      </c>
      <c r="I12" s="6">
        <f t="shared" ref="I12:I15" si="10">F12/$G12</f>
        <v>0.50793650793650791</v>
      </c>
      <c r="J12" s="6">
        <f t="shared" ref="J12:J15" si="11">H12-I12</f>
        <v>-0.1111111111111111</v>
      </c>
      <c r="K12" s="5" cm="1">
        <f t="array" ref="K12">_xll.FDS(A12,"FMA_PCT_ABOVE_MAVG(200,0,,,,""PORTAGG"")")/100</f>
        <v>0.682539682539683</v>
      </c>
      <c r="L12" s="14" cm="1">
        <f t="array" ref="L12">_xll.FDSB(A12,"PERCENT_CHANGE(FMA_EPS(+1,0,,,,""PORTAGG"",""MEAN""),FMA_EPS(+1,-1AM,,,,""PORTAGG"",""MEAN""))")</f>
        <v>0.76416928572158405</v>
      </c>
      <c r="M12" s="14" cm="1">
        <f t="array" ref="M12">_xll.FDSB(A12,"PERCENT_CHANGE(FMA_EPS(+1,0,,,,""PORTAGG"",""MEAN""),FMA_EPS(+1,-3AM,,,,""PORTAGG"",""MEAN""))")</f>
        <v>-3.54143688098541</v>
      </c>
      <c r="O12" s="3" cm="1">
        <f t="array" ref="O12">_xll.FDS(C12,"FG_TOTAL_RETURNC(0,-3AM)")</f>
        <v>8.1079240000000006</v>
      </c>
      <c r="P12" s="3" cm="1">
        <f t="array" ref="P12">_xll.FDS(C12,"FG_TOTAL_RETURNC(0,-6AM)")</f>
        <v>12.891209</v>
      </c>
      <c r="Q12" s="6" cm="1">
        <f t="array" ref="Q12">_xll.FDS(C12,"P_PRICE(0)/P_PRICE_HIGH_PR(0,,,USD,,,""PRICE"",""INTRA"",""52W"")")</f>
        <v>0.99987899999999996</v>
      </c>
      <c r="R12" s="6" cm="1">
        <f t="array" ref="R12">_xll.FDS(C12,"P_PRICE(0)/P_PRICE_low_PR(0,,,USD,,,""PRICE"",""INTRA"",""52W"")-1")</f>
        <v>0.22756982000000001</v>
      </c>
      <c r="T12" s="4" cm="1">
        <f t="array" ref="T12">_xlfn.PERCENTRANK.EXC(_xlfn._xlws.FILTER($R$3:$R$15, ISNUMBER($R$3:$R$15)),R12)*100</f>
        <v>42.8</v>
      </c>
      <c r="U12" s="4">
        <f t="shared" ref="U12:U15" si="12">100-T12</f>
        <v>57.2</v>
      </c>
      <c r="V12" s="4" cm="1">
        <f t="array" ref="V12">_xlfn.PERCENTRANK.EXC(_xlfn._xlws.FILTER($Q$3:$Q$15, ISNUMBER($Q$3:$Q$15)),Q12)*100</f>
        <v>85.7</v>
      </c>
      <c r="W12" s="4" cm="1">
        <f t="array" ref="W12">_xlfn.PERCENTRANK.EXC(_xlfn._xlws.FILTER($O$3:$O$15, ISNUMBER($O$3:$O$15)),O12)*100</f>
        <v>35.699999999999996</v>
      </c>
      <c r="X12" s="4" cm="1">
        <f t="array" ref="X12">_xlfn.PERCENTRANK.EXC(_xlfn._xlws.FILTER($P$3:$P$15, ISNUMBER($P$3:$P$15)),P12)*100</f>
        <v>35.699999999999996</v>
      </c>
      <c r="Z12" s="4" cm="1">
        <f t="array" ref="Z12">_xlfn.PERCENTRANK.EXC(_xlfn._xlws.FILTER($K$3:$K$15, ISNUMBER($K$3:$K$15)),K12)*100</f>
        <v>42.8</v>
      </c>
      <c r="AA12" s="4" cm="1">
        <f t="array" ref="AA12">_xlfn.PERCENTRANK.EXC(_xlfn._xlws.FILTER($H$3:$H$15, ISNUMBER($H$3:$H$15)),H12)*100</f>
        <v>64.2</v>
      </c>
      <c r="AB12" s="4" cm="1">
        <f t="array" ref="AB12">_xlfn.PERCENTRANK.EXC(_xlfn._xlws.FILTER($J$3:$J$15, ISNUMBER($J$3:$J$15)),J12)*100</f>
        <v>42.8</v>
      </c>
      <c r="AC12" s="4">
        <f t="shared" si="6"/>
        <v>50</v>
      </c>
      <c r="AD12" s="4">
        <f t="shared" si="7"/>
        <v>35.699999999999996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1</v>
      </c>
    </row>
    <row r="13" spans="1:37" hidden="1" x14ac:dyDescent="0.3">
      <c r="A13" t="s">
        <v>58</v>
      </c>
      <c r="B13" t="str" cm="1">
        <f t="array" ref="B13">_xll.FDS(A13,"FG_COMPANY_NAME")</f>
        <v>iShares MSCI Netherlands ETF</v>
      </c>
      <c r="C13" t="s">
        <v>58</v>
      </c>
      <c r="D13" s="25" t="e">
        <f>VLOOKUP(C13,#REF!,5,FALSE)</f>
        <v>#REF!</v>
      </c>
      <c r="E13" cm="1">
        <f t="array" ref="E13">_xll.FDS(C13,"FMA_COS_UP(""EPS"",""1M"",+1,0,,,""PORTAGG"",""MEANR"")")</f>
        <v>19</v>
      </c>
      <c r="F13" cm="1">
        <f t="array" ref="F13">_xll.FDS(C13,"FMA_COS_DOWN(""EPS"",""1M"",+1,0,,,""PORTAGG"",""MEANR"")")</f>
        <v>27</v>
      </c>
      <c r="G13" cm="1">
        <f t="array" ref="G13">_xll.FDS(A13,"SIZE(FG_CONSTITUENTS)")</f>
        <v>54</v>
      </c>
      <c r="H13" s="6">
        <f t="shared" si="9"/>
        <v>0.35185185185185186</v>
      </c>
      <c r="I13" s="6">
        <f t="shared" si="10"/>
        <v>0.5</v>
      </c>
      <c r="J13" s="6">
        <f t="shared" si="11"/>
        <v>-0.14814814814814814</v>
      </c>
      <c r="K13" s="5" cm="1">
        <f t="array" ref="K13">_xll.FDS(A13,"FMA_PCT_ABOVE_MAVG(200,0,,,,""PORTAGG"")")/100</f>
        <v>0.57407407407407396</v>
      </c>
      <c r="L13" s="14" cm="1">
        <f t="array" ref="L13">_xll.FDSB(A13,"PERCENT_CHANGE(FMA_EPS(+1,0,,,,""PORTAGG"",""MEAN""),FMA_EPS(+1,-1AM,,,,""PORTAGG"",""MEAN""))")</f>
        <v>3.34465971262849</v>
      </c>
      <c r="M13" s="14" cm="1">
        <f t="array" ref="M13">_xll.FDSB(A13,"PERCENT_CHANGE(FMA_EPS(+1,0,,,,""PORTAGG"",""MEAN""),FMA_EPS(+1,-3AM,,,,""PORTAGG"",""MEAN""))")</f>
        <v>0.33169527335627902</v>
      </c>
      <c r="O13" s="3" cm="1">
        <f t="array" ref="O13">_xll.FDS(C13,"FG_TOTAL_RETURNC(0,-3AM)")</f>
        <v>13.702</v>
      </c>
      <c r="P13" s="3" cm="1">
        <f t="array" ref="P13">_xll.FDS(C13,"FG_TOTAL_RETURNC(0,-6AM)")</f>
        <v>25.089442999999999</v>
      </c>
      <c r="Q13" s="6" cm="1">
        <f t="array" ref="Q13">_xll.FDS(C13,"P_PRICE(0)/P_PRICE_HIGH_PR(0,,,USD,,,""PRICE"",""INTRA"",""52W"")")</f>
        <v>0.98219290000000004</v>
      </c>
      <c r="R13" s="6" cm="1">
        <f t="array" ref="R13">_xll.FDS(C13,"P_PRICE(0)/P_PRICE_low_PR(0,,,USD,,,""PRICE"",""INTRA"",""52W"")-1")</f>
        <v>0.35271417999999999</v>
      </c>
      <c r="T13" s="4" cm="1">
        <f t="array" ref="T13">_xlfn.PERCENTRANK.EXC(_xlfn._xlws.FILTER($R$3:$R$15, ISNUMBER($R$3:$R$15)),R13)*100</f>
        <v>78.5</v>
      </c>
      <c r="U13" s="4">
        <f t="shared" si="12"/>
        <v>21.5</v>
      </c>
      <c r="V13" s="4" cm="1">
        <f t="array" ref="V13">_xlfn.PERCENTRANK.EXC(_xlfn._xlws.FILTER($Q$3:$Q$15, ISNUMBER($Q$3:$Q$15)),Q13)*100</f>
        <v>28.499999999999996</v>
      </c>
      <c r="W13" s="4" cm="1">
        <f t="array" ref="W13">_xlfn.PERCENTRANK.EXC(_xlfn._xlws.FILTER($O$3:$O$15, ISNUMBER($O$3:$O$15)),O13)*100</f>
        <v>92.800000000000011</v>
      </c>
      <c r="X13" s="4" cm="1">
        <f t="array" ref="X13">_xlfn.PERCENTRANK.EXC(_xlfn._xlws.FILTER($P$3:$P$15, ISNUMBER($P$3:$P$15)),P13)*100</f>
        <v>85.7</v>
      </c>
      <c r="Z13" s="4" cm="1">
        <f t="array" ref="Z13">_xlfn.PERCENTRANK.EXC(_xlfn._xlws.FILTER($K$3:$K$15, ISNUMBER($K$3:$K$15)),K13)*100</f>
        <v>21.4</v>
      </c>
      <c r="AA13" s="4" cm="1">
        <f t="array" ref="AA13">_xlfn.PERCENTRANK.EXC(_xlfn._xlws.FILTER($H$3:$H$15, ISNUMBER($H$3:$H$15)),H13)*100</f>
        <v>42.8</v>
      </c>
      <c r="AB13" s="4" cm="1">
        <f t="array" ref="AB13">_xlfn.PERCENTRANK.EXC(_xlfn._xlws.FILTER($J$3:$J$15, ISNUMBER($J$3:$J$15)),J13)*100</f>
        <v>35.699999999999996</v>
      </c>
      <c r="AC13" s="4">
        <f t="shared" si="6"/>
        <v>92.800000000000011</v>
      </c>
      <c r="AD13" s="4">
        <f t="shared" si="7"/>
        <v>78.5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2</v>
      </c>
    </row>
    <row r="14" spans="1:37" hidden="1" x14ac:dyDescent="0.3">
      <c r="A14" t="s">
        <v>55</v>
      </c>
      <c r="B14" t="str" cm="1">
        <f t="array" ref="B14">_xll.FDS(A14,"FG_COMPANY_NAME")</f>
        <v>iShares MSCI Sweden ETF</v>
      </c>
      <c r="C14" t="s">
        <v>55</v>
      </c>
      <c r="D14" s="25" t="e">
        <f>VLOOKUP(C14,#REF!,5,FALSE)</f>
        <v>#REF!</v>
      </c>
      <c r="E14" cm="1">
        <f t="array" ref="E14">_xll.FDS(C14,"FMA_COS_UP(""EPS"",""1M"",+1,0,,,""PORTAGG"",""MEANR"")")</f>
        <v>14</v>
      </c>
      <c r="F14" cm="1">
        <f t="array" ref="F14">_xll.FDS(C14,"FMA_COS_DOWN(""EPS"",""1M"",+1,0,,,""PORTAGG"",""MEANR"")")</f>
        <v>14</v>
      </c>
      <c r="G14" cm="1">
        <f t="array" ref="G14">_xll.FDS(A14,"SIZE(FG_CONSTITUENTS)")</f>
        <v>44</v>
      </c>
      <c r="H14" s="6">
        <f t="shared" si="9"/>
        <v>0.31818181818181818</v>
      </c>
      <c r="I14" s="6">
        <f t="shared" si="10"/>
        <v>0.31818181818181818</v>
      </c>
      <c r="J14" s="6">
        <f t="shared" si="11"/>
        <v>0</v>
      </c>
      <c r="K14" s="5" cm="1">
        <f t="array" ref="K14">_xll.FDS(A14,"FMA_PCT_ABOVE_MAVG(200,0,,,,""PORTAGG"")")/100</f>
        <v>0.76744186046511598</v>
      </c>
      <c r="L14" s="14" cm="1">
        <f t="array" ref="L14">_xll.FDSB(A14,"PERCENT_CHANGE(FMA_EPS(+1,0,,,,""PORTAGG"",""MEAN""),FMA_EPS(+1,-1AM,,,,""PORTAGG"",""MEAN""))")</f>
        <v>2.0131894251111402</v>
      </c>
      <c r="M14" s="14" cm="1">
        <f t="array" ref="M14">_xll.FDSB(A14,"PERCENT_CHANGE(FMA_EPS(+1,0,,,,""PORTAGG"",""MEAN""),FMA_EPS(+1,-3AM,,,,""PORTAGG"",""MEAN""))")</f>
        <v>-3.23566563437483</v>
      </c>
      <c r="O14" s="3" cm="1">
        <f t="array" ref="O14">_xll.FDS(C14,"FG_TOTAL_RETURNC(0,-3AM)")</f>
        <v>11.974382</v>
      </c>
      <c r="P14" s="3" cm="1">
        <f t="array" ref="P14">_xll.FDS(C14,"FG_TOTAL_RETURNC(0,-6AM)")</f>
        <v>29.298459999999999</v>
      </c>
      <c r="Q14" s="6" cm="1">
        <f t="array" ref="Q14">_xll.FDS(C14,"P_PRICE(0)/P_PRICE_HIGH_PR(0,,,USD,,,""PRICE"",""INTRA"",""52W"")")</f>
        <v>0.99903359999999997</v>
      </c>
      <c r="R14" s="6" cm="1">
        <f t="array" ref="R14">_xll.FDS(C14,"P_PRICE(0)/P_PRICE_low_PR(0,,,USD,,,""PRICE"",""INTRA"",""52W"")-1")</f>
        <v>0.34756397999999999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71.399999999999991</v>
      </c>
      <c r="W14" s="4" cm="1">
        <f t="array" ref="W14">_xlfn.PERCENTRANK.EXC(_xlfn._xlws.FILTER($O$3:$O$15, ISNUMBER($O$3:$O$15)),O14)*100</f>
        <v>71.399999999999991</v>
      </c>
      <c r="X14" s="4" cm="1">
        <f t="array" ref="X14">_xlfn.PERCENTRANK.EXC(_xlfn._xlws.FILTER($P$3:$P$15, ISNUMBER($P$3:$P$15)),P14)*100</f>
        <v>92.800000000000011</v>
      </c>
      <c r="Z14" s="4" cm="1">
        <f t="array" ref="Z14">_xlfn.PERCENTRANK.EXC(_xlfn._xlws.FILTER($K$3:$K$15, ISNUMBER($K$3:$K$15)),K14)*100</f>
        <v>78.5</v>
      </c>
      <c r="AA14" s="4" cm="1">
        <f t="array" ref="AA14">_xlfn.PERCENTRANK.EXC(_xlfn._xlws.FILTER($H$3:$H$15, ISNUMBER($H$3:$H$15)),H14)*100</f>
        <v>21.4</v>
      </c>
      <c r="AB14" s="4" cm="1">
        <f t="array" ref="AB14">_xlfn.PERCENTRANK.EXC(_xlfn._xlws.FILTER($J$3:$J$15, ISNUMBER($J$3:$J$15)),J14)*100</f>
        <v>71.399999999999991</v>
      </c>
      <c r="AC14" s="4">
        <f t="shared" si="6"/>
        <v>71.399999999999991</v>
      </c>
      <c r="AD14" s="4">
        <f t="shared" si="7"/>
        <v>42.8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5</v>
      </c>
    </row>
    <row r="15" spans="1:37" hidden="1" x14ac:dyDescent="0.3">
      <c r="A15" t="s">
        <v>57</v>
      </c>
      <c r="B15" t="str" cm="1">
        <f t="array" ref="B15">_xll.FDS(A15,"FG_COMPANY_NAME")</f>
        <v>iShares MSCI Italy ETF</v>
      </c>
      <c r="C15" t="s">
        <v>57</v>
      </c>
      <c r="D15" s="25" t="e">
        <f>VLOOKUP(C15,#REF!,5,FALSE)</f>
        <v>#REF!</v>
      </c>
      <c r="E15" cm="1">
        <f t="array" ref="E15">_xll.FDS(C15,"FMA_COS_UP(""EPS"",""1M"",+1,0,,,""PORTAGG"",""MEANR"")")</f>
        <v>12</v>
      </c>
      <c r="F15" cm="1">
        <f t="array" ref="F15">_xll.FDS(C15,"FMA_COS_DOWN(""EPS"",""1M"",+1,0,,,""PORTAGG"",""MEANR"")")</f>
        <v>10</v>
      </c>
      <c r="G15" cm="1">
        <f t="array" ref="G15">_xll.FDS(A15,"SIZE(FG_CONSTITUENTS)")</f>
        <v>26</v>
      </c>
      <c r="H15" s="6">
        <f t="shared" si="9"/>
        <v>0.46153846153846156</v>
      </c>
      <c r="I15" s="6">
        <f t="shared" si="10"/>
        <v>0.38461538461538464</v>
      </c>
      <c r="J15" s="6">
        <f t="shared" si="11"/>
        <v>7.6923076923076927E-2</v>
      </c>
      <c r="K15" s="5" cm="1">
        <f t="array" ref="K15">_xll.FDS(A15,"FMA_PCT_ABOVE_MAVG(200,0,,,,""PORTAGG"")")/100</f>
        <v>0.68</v>
      </c>
      <c r="L15" s="14" cm="1">
        <f t="array" ref="L15">_xll.FDSB(A15,"PERCENT_CHANGE(FMA_EPS(+1,0,,,,""PORTAGG"",""MEAN""),FMA_EPS(+1,-1AM,,,,""PORTAGG"",""MEAN""))")</f>
        <v>2.67757176281965</v>
      </c>
      <c r="M15" s="14" cm="1">
        <f t="array" ref="M15">_xll.FDSB(A15,"PERCENT_CHANGE(FMA_EPS(+1,0,,,,""PORTAGG"",""MEAN""),FMA_EPS(+1,-3AM,,,,""PORTAGG"",""MEAN""))")</f>
        <v>1.33211370926352</v>
      </c>
      <c r="O15" s="3" cm="1">
        <f t="array" ref="O15">_xll.FDS(C15,"FG_TOTAL_RETURNC(0,-3AM)")</f>
        <v>12.122965000000001</v>
      </c>
      <c r="P15" s="3" cm="1">
        <f t="array" ref="P15">_xll.FDS(C15,"FG_TOTAL_RETURNC(0,-6AM)")</f>
        <v>19.135093999999999</v>
      </c>
      <c r="Q15" s="6" cm="1">
        <f t="array" ref="Q15">_xll.FDS(C15,"P_PRICE(0)/P_PRICE_HIGH_PR(0,,,USD,,,""PRICE"",""INTRA"",""52W"")")</f>
        <v>1</v>
      </c>
      <c r="R15" s="6" cm="1">
        <f t="array" ref="R15">_xll.FDS(C15,"P_PRICE(0)/P_PRICE_low_PR(0,,,USD,,,""PRICE"",""INTRA"",""52W"")-1")</f>
        <v>0.33165657999999998</v>
      </c>
      <c r="T15" s="4" cm="1">
        <f t="array" ref="T15">_xlfn.PERCENTRANK.EXC(_xlfn._xlws.FILTER($R$3:$R$15, ISNUMBER($R$3:$R$15)),R15)*100</f>
        <v>64.2</v>
      </c>
      <c r="U15" s="4">
        <f t="shared" si="12"/>
        <v>35.799999999999997</v>
      </c>
      <c r="V15" s="4" cm="1">
        <f t="array" ref="V15">_xlfn.PERCENTRANK.EXC(_xlfn._xlws.FILTER($Q$3:$Q$15, ISNUMBER($Q$3:$Q$15)),Q15)*100</f>
        <v>92.800000000000011</v>
      </c>
      <c r="W15" s="4" cm="1">
        <f t="array" ref="W15">_xlfn.PERCENTRANK.EXC(_xlfn._xlws.FILTER($O$3:$O$15, ISNUMBER($O$3:$O$15)),O15)*100</f>
        <v>78.5</v>
      </c>
      <c r="X15" s="4" cm="1">
        <f t="array" ref="X15">_xlfn.PERCENTRANK.EXC(_xlfn._xlws.FILTER($P$3:$P$15, ISNUMBER($P$3:$P$15)),P15)*100</f>
        <v>71.399999999999991</v>
      </c>
      <c r="Z15" s="4" cm="1">
        <f t="array" ref="Z15">_xlfn.PERCENTRANK.EXC(_xlfn._xlws.FILTER($K$3:$K$15, ISNUMBER($K$3:$K$15)),K15)*100</f>
        <v>35.699999999999996</v>
      </c>
      <c r="AA15" s="4" cm="1">
        <f t="array" ref="AA15">_xlfn.PERCENTRANK.EXC(_xlfn._xlws.FILTER($H$3:$H$15, ISNUMBER($H$3:$H$15)),H15)*100</f>
        <v>78.5</v>
      </c>
      <c r="AB15" s="4" cm="1">
        <f t="array" ref="AB15">_xlfn.PERCENTRANK.EXC(_xlfn._xlws.FILTER($J$3:$J$15, ISNUMBER($J$3:$J$15)),J15)*100</f>
        <v>78.5</v>
      </c>
      <c r="AC15" s="4">
        <f t="shared" si="6"/>
        <v>85.7</v>
      </c>
      <c r="AD15" s="4">
        <f t="shared" si="7"/>
        <v>92.800000000000011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5</v>
      </c>
    </row>
    <row r="16" spans="1:37" x14ac:dyDescent="0.3">
      <c r="H16" s="6"/>
      <c r="I16" s="6"/>
      <c r="J16" s="6"/>
      <c r="K16" s="5"/>
      <c r="L16" s="14"/>
      <c r="M16" s="14"/>
      <c r="O16" s="3"/>
      <c r="Q16" s="6"/>
      <c r="R16" s="6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">
      <c r="A17" s="1" t="s">
        <v>48</v>
      </c>
      <c r="H17" s="6"/>
      <c r="I17" s="6"/>
      <c r="J17" s="6"/>
      <c r="K17" s="5"/>
      <c r="L17" s="14"/>
      <c r="M17" s="14"/>
      <c r="O17" s="3"/>
      <c r="Q17" s="6"/>
      <c r="R17" s="6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">
      <c r="A18" t="s">
        <v>42</v>
      </c>
      <c r="B18" t="s">
        <v>31</v>
      </c>
      <c r="C18" t="str">
        <f>A18</f>
        <v>VGK</v>
      </c>
      <c r="E18" cm="1">
        <f t="array" ref="E18">_xll.FDS(C18,"FMA_COS_UP(""EPS"",""1M"",+1,0,,,""PORTAGG"",""MEANR"")")</f>
        <v>431</v>
      </c>
      <c r="F18" cm="1">
        <f t="array" ref="F18">_xll.FDS(C18,"FMA_COS_DOWN(""EPS"",""1M"",+1,0,,,""PORTAGG"",""MEANR"")")</f>
        <v>545</v>
      </c>
      <c r="G18" cm="1">
        <f t="array" ref="G18">_xll.FDS(A18,"SIZE(FG_CONSTITUENTS)")</f>
        <v>1291</v>
      </c>
      <c r="H18" s="6">
        <f>E18/$G18</f>
        <v>0.3338497288923315</v>
      </c>
      <c r="I18" s="6">
        <f>F18/$G18</f>
        <v>0.42215336948102244</v>
      </c>
      <c r="J18" s="6">
        <f t="shared" ref="J18" si="15">H18-I18</f>
        <v>-8.8303640588690946E-2</v>
      </c>
      <c r="K18" s="5" cm="1">
        <f t="array" ref="K18">_xll.FDS(A18,"FMA_PCT_ABOVE_MAVG(200,0,,,,""PORTAGG"")")/100</f>
        <v>0.61242138364779897</v>
      </c>
      <c r="L18" s="14" cm="1">
        <f t="array" ref="L18">_xll.FDSB(A18,"PERCENT_CHANGE(FMA_EPS(+1,0,,,,""PORTAGG"",""MEAN""),FMA_EPS(+1,-1AM,,,,""PORTAGG"",""MEAN""))")</f>
        <v>-4.7412477962527699</v>
      </c>
      <c r="M18" s="14" cm="1">
        <f t="array" ref="M18">_xll.FDSB(A18,"PERCENT_CHANGE(FMA_EPS(+1,0,,,,""PORTAGG"",""MEAN""),FMA_EPS(+1,-3AM,,,,""PORTAGG"",""MEAN""))")</f>
        <v>-8.2793631998058999</v>
      </c>
      <c r="O18" s="3" cm="1">
        <f t="array" ref="O18">_xll.FDS(C18,"FG_TOTAL_RETURNC(0,-3AM)")</f>
        <v>8.6419339999999991</v>
      </c>
      <c r="P18" s="3" cm="1">
        <f t="array" ref="P18">_xll.FDS(C18,"FG_TOTAL_RETURNC(0,-6AM)")</f>
        <v>14.152217</v>
      </c>
      <c r="Q18" s="6" cm="1">
        <f t="array" ref="Q18">_xll.FDS(C18,"P_PRICE(0)/P_PRICE_HIGH_PR(0,,,USD,,,""PRICE"",""INTRA"",""52W"")")</f>
        <v>1</v>
      </c>
      <c r="R18" s="6" cm="1">
        <f t="array" ref="R18">_xll.FDS(C18,"P_PRICE(0)/P_PRICE_low_PR(0,,,USD,,,""PRICE"",""INTRA"",""52W"")-1")</f>
        <v>0.22593534000000001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">
      <c r="A19" t="s">
        <v>4</v>
      </c>
      <c r="B19" t="s">
        <v>47</v>
      </c>
      <c r="C19" t="str">
        <f>A19</f>
        <v>VWO</v>
      </c>
      <c r="E19" cm="1">
        <f t="array" ref="E19">_xll.FDS(C19,"FMA_COS_UP(""EPS"",""1M"",+1,0,,,""PORTAGG"",""MEANR"")")</f>
        <v>775</v>
      </c>
      <c r="F19" cm="1">
        <f t="array" ref="F19">_xll.FDS(C19,"FMA_COS_DOWN(""EPS"",""1M"",+1,0,,,""PORTAGG"",""MEANR"")")</f>
        <v>1197</v>
      </c>
      <c r="G19" cm="1">
        <f t="array" ref="G19">_xll.FDS(A19,"SIZE(FG_CONSTITUENTS)")</f>
        <v>4677</v>
      </c>
      <c r="H19" s="6">
        <f>E19/$G19</f>
        <v>0.16570451143895659</v>
      </c>
      <c r="I19" s="6">
        <f>F19/$G19</f>
        <v>0.25593329057087877</v>
      </c>
      <c r="J19" s="6">
        <f t="shared" ref="J19" si="16">H19-I19</f>
        <v>-9.0228779131922177E-2</v>
      </c>
      <c r="K19" s="5" cm="1">
        <f t="array" ref="K19">_xll.FDS(A19,"FMA_PCT_ABOVE_MAVG(200,0,,,,""PORTAGG"")")/100</f>
        <v>0.32695269526952697</v>
      </c>
      <c r="L19" s="14" cm="1">
        <f t="array" ref="L19">_xll.FDSB(A19,"PERCENT_CHANGE(FMA_EPS(+1,0,,,,""PORTAGG"",""MEAN""),FMA_EPS(+1,-1AM,,,,""PORTAGG"",""MEAN""))")</f>
        <v>-12.893870117460001</v>
      </c>
      <c r="M19" s="14" cm="1">
        <f t="array" ref="M19">_xll.FDSB(A19,"PERCENT_CHANGE(FMA_EPS(+1,0,,,,""PORTAGG"",""MEAN""),FMA_EPS(+1,-3AM,,,,""PORTAGG"",""MEAN""))")</f>
        <v>-16.669983124464501</v>
      </c>
      <c r="O19" s="3" cm="1">
        <f t="array" ref="O19">_xll.FDS(C19,"FG_TOTAL_RETURNC(0,-3AM)")</f>
        <v>6.8050980000000001</v>
      </c>
      <c r="P19" s="3" cm="1">
        <f t="array" ref="P19">_xll.FDS(C19,"FG_TOTAL_RETURNC(0,-6AM)")</f>
        <v>7.2514175999999999</v>
      </c>
      <c r="Q19" s="6" cm="1">
        <f t="array" ref="Q19">_xll.FDS(C19,"P_PRICE(0)/P_PRICE_HIGH_PR(0,,,USD,,,""PRICE"",""INTRA"",""52W"")")</f>
        <v>0.97981439999999997</v>
      </c>
      <c r="R19" s="6" cm="1">
        <f t="array" ref="R19">_xll.FDS(C19,"P_PRICE(0)/P_PRICE_low_PR(0,,,USD,,,""PRICE"",""INTRA"",""52W"")-1")</f>
        <v>0.12748623000000001</v>
      </c>
    </row>
    <row r="20" spans="1:35" x14ac:dyDescent="0.3">
      <c r="A20" t="s">
        <v>49</v>
      </c>
      <c r="B20" t="s">
        <v>50</v>
      </c>
      <c r="C20" t="str">
        <f t="shared" ref="C20" si="17">A20</f>
        <v>URTH</v>
      </c>
      <c r="E20" cm="1">
        <f t="array" ref="E20">_xll.FDS(C20,"FMA_COS_UP(""EPS"",""1M"",+1,0,,,""PORTAGG"",""MEANR"")")</f>
        <v>604</v>
      </c>
      <c r="F20" cm="1">
        <f t="array" ref="F20">_xll.FDS(C20,"FMA_COS_DOWN(""EPS"",""1M"",+1,0,,,""PORTAGG"",""MEANR"")")</f>
        <v>664</v>
      </c>
      <c r="G20" cm="1">
        <f t="array" ref="G20">_xll.FDS(A20,"SIZE(FG_CONSTITUENTS)")</f>
        <v>1467</v>
      </c>
      <c r="H20" s="6">
        <f t="shared" ref="H20" si="18">E20/$G20</f>
        <v>0.41172460804362643</v>
      </c>
      <c r="I20" s="6">
        <f t="shared" ref="I20" si="19">F20/$G20</f>
        <v>0.45262440354464895</v>
      </c>
      <c r="J20" s="6">
        <f t="shared" ref="J20" si="20">H20-I20</f>
        <v>-4.0899795501022518E-2</v>
      </c>
      <c r="K20" s="5" cm="1">
        <f t="array" ref="K20">_xll.FDS(A20,"FMA_PCT_ABOVE_MAVG(200,0,,,,""PORTAGG"")")/100</f>
        <v>0.69877049180327899</v>
      </c>
      <c r="L20" s="14" cm="1">
        <f t="array" ref="L20">_xll.FDSB(A20,"PERCENT_CHANGE(FMA_EPS(+1,0,,,,""PORTAGG"",""MEAN""),FMA_EPS(+1,-1AM,,,,""PORTAGG"",""MEAN""))")</f>
        <v>0.54640232143567302</v>
      </c>
      <c r="M20" s="14" cm="1">
        <f t="array" ref="M20">_xll.FDSB(A20,"PERCENT_CHANGE(FMA_EPS(+1,0,,,,""PORTAGG"",""MEAN""),FMA_EPS(+1,-3AM,,,,""PORTAGG"",""MEAN""))")</f>
        <v>-1.3389592336921301</v>
      </c>
      <c r="O20" s="3" cm="1">
        <f t="array" ref="O20">_xll.FDS(C20,"FG_TOTAL_RETURNC(0,-3AM)")</f>
        <v>11.255371</v>
      </c>
      <c r="P20" s="3" cm="1">
        <f t="array" ref="P20">_xll.FDS(C20,"FG_TOTAL_RETURNC(0,-6AM)")</f>
        <v>15.965498</v>
      </c>
      <c r="Q20" s="6" cm="1">
        <f t="array" ref="Q20">_xll.FDS(C20,"P_PRICE(0)/P_PRICE_HIGH_PR(0,,,USD,,,""PRICE"",""INTRA"",""52W"")")</f>
        <v>0.99686649999999999</v>
      </c>
      <c r="R20" s="6" cm="1">
        <f t="array" ref="R20">_xll.FDS(C20,"P_PRICE(0)/P_PRICE_low_PR(0,,,USD,,,""PRICE"",""INTRA"",""52W"")-1")</f>
        <v>0.30763614</v>
      </c>
    </row>
    <row r="21" spans="1:35" x14ac:dyDescent="0.3">
      <c r="A21" t="s">
        <v>12</v>
      </c>
      <c r="B21" t="s">
        <v>45</v>
      </c>
      <c r="C21" t="str">
        <f t="shared" ref="C21:C22" si="21">A21</f>
        <v>EWJ</v>
      </c>
      <c r="E21" cm="1">
        <f t="array" ref="E21">_xll.FDS(C21,"FMA_COS_UP(""EPS"",""1M"",+1,0,,,""PORTAGG"",""MEANR"")")</f>
        <v>117</v>
      </c>
      <c r="F21" cm="1">
        <f t="array" ref="F21">_xll.FDS(C21,"FMA_COS_DOWN(""EPS"",""1M"",+1,0,,,""PORTAGG"",""MEANR"")")</f>
        <v>90</v>
      </c>
      <c r="G21" cm="1">
        <f t="array" ref="G21">_xll.FDS(A21,"SIZE(FG_CONSTITUENTS)")</f>
        <v>219</v>
      </c>
      <c r="H21" s="6">
        <f t="shared" ref="H21:H22" si="22">E21/$G21</f>
        <v>0.53424657534246578</v>
      </c>
      <c r="I21" s="6">
        <f t="shared" ref="I21:I22" si="23">F21/$G21</f>
        <v>0.41095890410958902</v>
      </c>
      <c r="J21" s="6">
        <f t="shared" ref="J21:J22" si="24">H21-I21</f>
        <v>0.12328767123287676</v>
      </c>
      <c r="K21" s="5" cm="1">
        <f t="array" ref="K21">_xll.FDS(A21,"FMA_PCT_ABOVE_MAVG(200,0,,,,""PORTAGG"")")/100</f>
        <v>0.72146118721461205</v>
      </c>
      <c r="L21" s="14" cm="1">
        <f t="array" ref="L21">_xll.FDSB(A21,"PERCENT_CHANGE(FMA_EPS(+1,0,,,,""PORTAGG"",""MEAN""),FMA_EPS(+1,-1AM,,,,""PORTAGG"",""MEAN""))")</f>
        <v>1.0505327254835</v>
      </c>
      <c r="M21" s="14" cm="1">
        <f t="array" ref="M21">_xll.FDSB(A21,"PERCENT_CHANGE(FMA_EPS(+1,0,,,,""PORTAGG"",""MEAN""),FMA_EPS(+1,-3AM,,,,""PORTAGG"",""MEAN""))")</f>
        <v>-0.89750003997565697</v>
      </c>
      <c r="O21" s="3" cm="1">
        <f t="array" ref="O21">_xll.FDS(C21,"FG_TOTAL_RETURNC(0,-3AM)")</f>
        <v>12.555706000000001</v>
      </c>
      <c r="P21" s="3" cm="1">
        <f t="array" ref="P21">_xll.FDS(C21,"FG_TOTAL_RETURNC(0,-6AM)")</f>
        <v>13.892424</v>
      </c>
      <c r="Q21" s="6" cm="1">
        <f t="array" ref="Q21">_xll.FDS(C21,"P_PRICE(0)/P_PRICE_HIGH_PR(0,,,USD,,,""PRICE"",""INTRA"",""52W"")")</f>
        <v>0.97526310000000005</v>
      </c>
      <c r="R21" s="6" cm="1">
        <f t="array" ref="R21">_xll.FDS(C21,"P_PRICE(0)/P_PRICE_low_PR(0,,,USD,,,""PRICE"",""INTRA"",""52W"")-1")</f>
        <v>0.28274226000000002</v>
      </c>
    </row>
    <row r="22" spans="1:35" x14ac:dyDescent="0.3">
      <c r="A22" t="s">
        <v>1</v>
      </c>
      <c r="B22" t="s">
        <v>28</v>
      </c>
      <c r="C22" t="str">
        <f t="shared" si="21"/>
        <v>SPY</v>
      </c>
      <c r="E22" cm="1">
        <f t="array" ref="E22">_xll.FDS(C22,"FMA_COS_UP(""EPS"",""1M"",+1,0,,,""PORTAGG"",""MEANR"")")</f>
        <v>186</v>
      </c>
      <c r="F22" cm="1">
        <f t="array" ref="F22">_xll.FDS(C22,"FMA_COS_DOWN(""EPS"",""1M"",+1,0,,,""PORTAGG"",""MEANR"")")</f>
        <v>192</v>
      </c>
      <c r="G22" cm="1">
        <f t="array" ref="G22">_xll.FDS(A22,"SIZE(FG_CONSTITUENTS)")</f>
        <v>504</v>
      </c>
      <c r="H22" s="6">
        <f t="shared" si="22"/>
        <v>0.36904761904761907</v>
      </c>
      <c r="I22" s="6">
        <f t="shared" si="23"/>
        <v>0.38095238095238093</v>
      </c>
      <c r="J22" s="6">
        <f t="shared" si="24"/>
        <v>-1.1904761904761862E-2</v>
      </c>
      <c r="K22" s="5" cm="1">
        <f t="array" ref="K22">_xll.FDS(A22,"FMA_PCT_ABOVE_MAVG(200,0,,,,""PORTAGG"")")/100</f>
        <v>0.79920477137176904</v>
      </c>
      <c r="L22" s="14" cm="1">
        <f t="array" ref="L22">_xll.FDSB(A22,"PERCENT_CHANGE(FMA_EPS(+1,0,,,,""PORTAGG"",""MEAN""),FMA_EPS(+1,-1AM,,,,""PORTAGG"",""MEAN""))")</f>
        <v>0.52035965963753295</v>
      </c>
      <c r="M22" s="14" cm="1">
        <f t="array" ref="M22">_xll.FDSB(A22,"PERCENT_CHANGE(FMA_EPS(+1,0,,,,""PORTAGG"",""MEAN""),FMA_EPS(+1,-3AM,,,,""PORTAGG"",""MEAN""))")</f>
        <v>-0.73723738140771999</v>
      </c>
      <c r="O22" s="3" cm="1">
        <f t="array" ref="O22">_xll.FDS(C22,"FG_TOTAL_RETURNC(0,-3AM)")</f>
        <v>11.803234</v>
      </c>
      <c r="P22" s="3" cm="1">
        <f t="array" ref="P22">_xll.FDS(C22,"FG_TOTAL_RETURNC(0,-6AM)")</f>
        <v>16.758585</v>
      </c>
      <c r="Q22" s="6" cm="1">
        <f t="array" ref="Q22">_xll.FDS(C22,"P_PRICE(0)/P_PRICE_HIGH_PR(0,,,USD,,,""PRICE"",""INTRA"",""52W"")")</f>
        <v>0.99722109999999997</v>
      </c>
      <c r="R22" s="6" cm="1">
        <f t="array" ref="R22">_xll.FDS(C22,"P_PRICE(0)/P_PRICE_low_PR(0,,,USD,,,""PRICE"",""INTRA"",""52W"")-1")</f>
        <v>0.35762525000000001</v>
      </c>
    </row>
    <row r="23" spans="1:35" x14ac:dyDescent="0.3">
      <c r="A23" t="s">
        <v>9</v>
      </c>
      <c r="B23" t="s">
        <v>88</v>
      </c>
      <c r="C23" t="str">
        <f t="shared" ref="C23:C27" si="25">A23</f>
        <v>INDA</v>
      </c>
      <c r="E23" cm="1">
        <f t="array" ref="E23">_xll.FDS(C23,"FMA_COS_UP(""EPS"",""1M"",+1,0,,,""PORTAGG"",""MEANR"")")</f>
        <v>55</v>
      </c>
      <c r="F23" cm="1">
        <f t="array" ref="F23">_xll.FDS(C23,"FMA_COS_DOWN(""EPS"",""1M"",+1,0,,,""PORTAGG"",""MEANR"")")</f>
        <v>50</v>
      </c>
      <c r="G23" cm="1">
        <f t="array" ref="G23">_xll.FDS(A23,"SIZE(FG_CONSTITUENTS)")</f>
        <v>138</v>
      </c>
      <c r="H23" s="6">
        <f t="shared" ref="H23" si="26">E23/$G23</f>
        <v>0.39855072463768115</v>
      </c>
      <c r="I23" s="6">
        <f t="shared" ref="I23" si="27">F23/$G23</f>
        <v>0.36231884057971014</v>
      </c>
      <c r="J23" s="6">
        <f t="shared" ref="J23" si="28">H23-I23</f>
        <v>3.6231884057971009E-2</v>
      </c>
      <c r="K23" s="5" cm="1">
        <f t="array" ref="K23">_xll.FDS(A23,"FMA_PCT_ABOVE_MAVG(200,0,,,,""PORTAGG"")")/100</f>
        <v>0.78676470588235303</v>
      </c>
      <c r="L23" s="14" cm="1">
        <f t="array" ref="L23">_xll.FDSB(A23,"PERCENT_CHANGE(FMA_EPS(+1,0,,,,""PORTAGG"",""MEAN""),FMA_EPS(+1,-1AM,,,,""PORTAGG"",""MEAN""))")</f>
        <v>0.50635599651444696</v>
      </c>
      <c r="M23" s="14" cm="1">
        <f t="array" ref="M23">_xll.FDSB(A23,"PERCENT_CHANGE(FMA_EPS(+1,0,,,,""PORTAGG"",""MEAN""),FMA_EPS(+1,-3AM,,,,""PORTAGG"",""MEAN""))")</f>
        <v>0.23871283706587099</v>
      </c>
      <c r="O23" s="3" cm="1">
        <f t="array" ref="O23">_xll.FDS(C23,"FG_TOTAL_RETURNC(0,-3AM)")</f>
        <v>9.0966590000000007</v>
      </c>
      <c r="P23" s="3" cm="1">
        <f t="array" ref="P23">_xll.FDS(C23,"FG_TOTAL_RETURNC(0,-6AM)")</f>
        <v>14.713704999999999</v>
      </c>
      <c r="Q23" s="6" cm="1">
        <f t="array" ref="Q23">_xll.FDS(C23,"P_PRICE(0)/P_PRICE_HIGH_PR(0,,,USD,,,""PRICE"",""INTRA"",""52W"")")</f>
        <v>0.98551</v>
      </c>
      <c r="R23" s="6" cm="1">
        <f t="array" ref="R23">_xll.FDS(C23,"P_PRICE(0)/P_PRICE_low_PR(0,,,USD,,,""PRICE"",""INTRA"",""52W"")-1")</f>
        <v>0.36872768</v>
      </c>
    </row>
    <row r="24" spans="1:35" x14ac:dyDescent="0.3">
      <c r="A24" t="s">
        <v>71</v>
      </c>
      <c r="C24" t="str">
        <f t="shared" si="25"/>
        <v>EMXC</v>
      </c>
      <c r="E24" cm="1">
        <f t="array" ref="E24">_xll.FDS(C24,"FMA_COS_UP(""EPS"",""1M"",+1,0,,,""PORTAGG"",""MEANR"")")</f>
        <v>234</v>
      </c>
      <c r="F24" cm="1">
        <f t="array" ref="F24">_xll.FDS(C24,"FMA_COS_DOWN(""EPS"",""1M"",+1,0,,,""PORTAGG"",""MEANR"")")</f>
        <v>276</v>
      </c>
      <c r="G24" cm="1">
        <f t="array" ref="G24">_xll.FDS(A24,"SIZE(FG_CONSTITUENTS)")</f>
        <v>698</v>
      </c>
      <c r="H24" s="6">
        <f t="shared" ref="H24" si="29">E24/$G24</f>
        <v>0.33524355300859598</v>
      </c>
      <c r="I24" s="6">
        <f t="shared" ref="I24" si="30">F24/$G24</f>
        <v>0.39541547277936961</v>
      </c>
      <c r="J24" s="6">
        <f t="shared" ref="J24" si="31">H24-I24</f>
        <v>-6.017191977077363E-2</v>
      </c>
      <c r="K24" s="5" cm="1">
        <f t="array" ref="K24">_xll.FDS(A24,"FMA_PCT_ABOVE_MAVG(200,0,,,,""PORTAGG"")")/100</f>
        <v>0.6567164179104481</v>
      </c>
      <c r="L24" s="14" cm="1">
        <f t="array" ref="L24">_xll.FDSB(A24,"PERCENT_CHANGE(FMA_EPS(+1,0,,,,""PORTAGG"",""MEAN""),FMA_EPS(+1,-1AM,,,,""PORTAGG"",""MEAN""))")</f>
        <v>-0.73725046314479903</v>
      </c>
      <c r="M24" s="14" cm="1">
        <f t="array" ref="M24">_xll.FDSB(A24,"PERCENT_CHANGE(FMA_EPS(+1,0,,,,""PORTAGG"",""MEAN""),FMA_EPS(+1,-3AM,,,,""PORTAGG"",""MEAN""))")</f>
        <v>-2.2469375756686798</v>
      </c>
      <c r="O24" s="3" cm="1">
        <f t="array" ref="O24">_xll.FDS(C24,"FG_TOTAL_RETURNC(0,-3AM)")</f>
        <v>9.7809430000000006</v>
      </c>
      <c r="P24" s="3" cm="1">
        <f t="array" ref="P24">_xll.FDS(C24,"FG_TOTAL_RETURNC(0,-6AM)")</f>
        <v>13.851666</v>
      </c>
      <c r="Q24" s="6" cm="1">
        <f t="array" ref="Q24">_xll.FDS(C24,"P_PRICE(0)/P_PRICE_HIGH_PR(0,,,USD,,,""PRICE"",""INTRA"",""52W"")")</f>
        <v>0.99520092999999998</v>
      </c>
      <c r="R24" s="6" cm="1">
        <f t="array" ref="R24">_xll.FDS(C24,"P_PRICE(0)/P_PRICE_low_PR(0,,,USD,,,""PRICE"",""INTRA"",""52W"")-1")</f>
        <v>0.24058532999999999</v>
      </c>
    </row>
    <row r="25" spans="1:35" x14ac:dyDescent="0.3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35</v>
      </c>
      <c r="F25" cm="1">
        <f t="array" ref="F25">_xll.FDS(C25,"FMA_COS_DOWN(""EPS"",""1M"",+1,0,,,""PORTAGG"",""MEANR"")")</f>
        <v>43</v>
      </c>
      <c r="G25" cm="1">
        <f t="array" ref="G25">_xll.FDS(A25,"SIZE(FG_CONSTITUENTS)")</f>
        <v>102</v>
      </c>
      <c r="H25" s="6">
        <f t="shared" ref="H25:H27" si="32">E25/$G25</f>
        <v>0.34313725490196079</v>
      </c>
      <c r="I25" s="6">
        <f t="shared" ref="I25:I27" si="33">F25/$G25</f>
        <v>0.42156862745098039</v>
      </c>
      <c r="J25" s="6">
        <f t="shared" ref="J25:J27" si="34">H25-I25</f>
        <v>-7.8431372549019607E-2</v>
      </c>
      <c r="K25" s="5" cm="1">
        <f t="array" ref="K25">_xll.FDS(A25,"FMA_PCT_ABOVE_MAVG(200,0,,,,""PORTAGG"")")/100</f>
        <v>0.77450980392156898</v>
      </c>
      <c r="L25" s="14" cm="1">
        <f t="array" ref="L25">_xll.FDSB(A25,"PERCENT_CHANGE(FMA_EPS(+1,0,,,,""PORTAGG"",""MEAN""),FMA_EPS(+1,-1AM,,,,""PORTAGG"",""MEAN""))")</f>
        <v>0.41278931300372401</v>
      </c>
      <c r="M25" s="14" cm="1">
        <f t="array" ref="M25">_xll.FDSB(A25,"PERCENT_CHANGE(FMA_EPS(+1,0,,,,""PORTAGG"",""MEAN""),FMA_EPS(+1,-3AM,,,,""PORTAGG"",""MEAN""))")</f>
        <v>0.56852966239707203</v>
      </c>
      <c r="O25" s="3" cm="1">
        <f t="array" ref="O25">_xll.FDS(C25,"FG_TOTAL_RETURNC(0,-3AM)")</f>
        <v>11.564457000000001</v>
      </c>
      <c r="P25" s="3" cm="1">
        <f t="array" ref="P25">_xll.FDS(C25,"FG_TOTAL_RETURNC(0,-6AM)")</f>
        <v>19.481922000000001</v>
      </c>
      <c r="Q25" s="6" cm="1">
        <f t="array" ref="Q25">_xll.FDS(C25,"P_PRICE(0)/P_PRICE_HIGH_PR(0,,,USD,,,""PRICE"",""INTRA"",""52W"")")</f>
        <v>0.98889976999999996</v>
      </c>
      <c r="R25" s="6" cm="1">
        <f t="array" ref="R25">_xll.FDS(C25,"P_PRICE(0)/P_PRICE_low_PR(0,,,USD,,,""PRICE"",""INTRA"",""52W"")-1")</f>
        <v>0.55566466000000003</v>
      </c>
    </row>
    <row r="26" spans="1:35" ht="15" customHeight="1" x14ac:dyDescent="0.3">
      <c r="A26" t="s">
        <v>79</v>
      </c>
      <c r="C26" t="str">
        <f t="shared" si="25"/>
        <v>IWM</v>
      </c>
      <c r="E26" cm="1">
        <f t="array" ref="E26">_xll.FDS(C26,"FMA_COS_UP(""EPS"",""1M"",+1,0,,,""PORTAGG"",""MEANR"")")</f>
        <v>487</v>
      </c>
      <c r="F26" cm="1">
        <f t="array" ref="F26">_xll.FDS(C26,"FMA_COS_DOWN(""EPS"",""1M"",+1,0,,,""PORTAGG"",""MEANR"")")</f>
        <v>732</v>
      </c>
      <c r="G26" cm="1">
        <f t="array" ref="G26">_xll.FDS(A26,"SIZE(FG_CONSTITUENTS)")</f>
        <v>1940</v>
      </c>
      <c r="H26" s="6">
        <f t="shared" si="32"/>
        <v>0.25103092783505154</v>
      </c>
      <c r="I26" s="6">
        <f t="shared" si="33"/>
        <v>0.37731958762886597</v>
      </c>
      <c r="J26" s="6">
        <f t="shared" si="34"/>
        <v>-0.12628865979381443</v>
      </c>
      <c r="K26" s="5" cm="1">
        <f t="array" ref="K26">_xll.FDS(A26,"FMA_PCT_ABOVE_MAVG(200,0,,,,""PORTAGG"")")/100</f>
        <v>0.55636363636363595</v>
      </c>
      <c r="L26" s="14" cm="1">
        <f t="array" ref="L26">_xll.FDSB(A26,"PERCENT_CHANGE(FMA_EPS(+1,0,,,,""PORTAGG"",""MEAN""),FMA_EPS(+1,-1AM,,,,""PORTAGG"",""MEAN""))")</f>
        <v>-3.2951475109224799</v>
      </c>
      <c r="M26" s="14" cm="1">
        <f t="array" ref="M26">_xll.FDSB(A26,"PERCENT_CHANGE(FMA_EPS(+1,0,,,,""PORTAGG"",""MEAN""),FMA_EPS(+1,-3AM,,,,""PORTAGG"",""MEAN""))")</f>
        <v>-7.6457394810455996</v>
      </c>
      <c r="O26" s="3" cm="1">
        <f t="array" ref="O26">_xll.FDS(C26,"FG_TOTAL_RETURNC(0,-3AM)")</f>
        <v>9.987247</v>
      </c>
      <c r="P26" s="3" cm="1">
        <f t="array" ref="P26">_xll.FDS(C26,"FG_TOTAL_RETURNC(0,-6AM)")</f>
        <v>12.202144000000001</v>
      </c>
      <c r="Q26" s="6" cm="1">
        <f t="array" ref="Q26">_xll.FDS(C26,"P_PRICE(0)/P_PRICE_HIGH_PR(0,,,USD,,,""PRICE"",""INTRA"",""52W"")")</f>
        <v>0.97386055999999999</v>
      </c>
      <c r="R26" s="6" cm="1">
        <f t="array" ref="R26">_xll.FDS(C26,"P_PRICE(0)/P_PRICE_low_PR(0,,,USD,,,""PRICE"",""INTRA"",""52W"")-1")</f>
        <v>0.26745844000000002</v>
      </c>
    </row>
    <row r="27" spans="1:35" ht="15" customHeight="1" x14ac:dyDescent="0.3">
      <c r="A27" t="s">
        <v>65</v>
      </c>
      <c r="B27" t="s">
        <v>44</v>
      </c>
      <c r="C27" t="str">
        <f t="shared" si="25"/>
        <v>FXI</v>
      </c>
      <c r="E27" cm="1">
        <f t="array" ref="E27">_xll.FDS(C27,"FMA_COS_UP(""EPS"",""1M"",+1,0,,,""PORTAGG"",""MEANR"")")</f>
        <v>15</v>
      </c>
      <c r="F27" cm="1">
        <f t="array" ref="F27">_xll.FDS(C27,"FMA_COS_DOWN(""EPS"",""1M"",+1,0,,,""PORTAGG"",""MEANR"")")</f>
        <v>22</v>
      </c>
      <c r="G27" cm="1">
        <f t="array" ref="G27">_xll.FDS(A27,"SIZE(FG_CONSTITUENTS)")</f>
        <v>51</v>
      </c>
      <c r="H27" s="6">
        <f t="shared" si="32"/>
        <v>0.29411764705882354</v>
      </c>
      <c r="I27" s="6">
        <f t="shared" si="33"/>
        <v>0.43137254901960786</v>
      </c>
      <c r="J27" s="6">
        <f t="shared" si="34"/>
        <v>-0.13725490196078433</v>
      </c>
      <c r="K27" s="5" cm="1">
        <f t="array" ref="K27">_xll.FDS(A27,"FMA_PCT_ABOVE_MAVG(200,0,,,,""PORTAGG"")")/100</f>
        <v>0.41176470588235298</v>
      </c>
      <c r="L27" s="14" cm="1">
        <f t="array" ref="L27">_xll.FDSB(A27,"PERCENT_CHANGE(FMA_EPS(+1,0,,,,""PORTAGG"",""MEAN""),FMA_EPS(+1,-1AM,,,,""PORTAGG"",""MEAN""))")</f>
        <v>-1.9635043758087101</v>
      </c>
      <c r="M27" s="14" cm="1">
        <f t="array" ref="M27">_xll.FDSB(A27,"PERCENT_CHANGE(FMA_EPS(+1,0,,,,""PORTAGG"",""MEAN""),FMA_EPS(+1,-3AM,,,,""PORTAGG"",""MEAN""))")</f>
        <v>-6.05093459434881</v>
      </c>
      <c r="O27" s="3" cm="1">
        <f t="array" ref="O27">_xll.FDS(C27,"FG_TOTAL_RETURNC(0,-3AM)")</f>
        <v>5.2659153999999999</v>
      </c>
      <c r="P27" s="3" cm="1">
        <f t="array" ref="P27">_xll.FDS(C27,"FG_TOTAL_RETURNC(0,-6AM)")</f>
        <v>-7.6513232999999996</v>
      </c>
      <c r="Q27" s="6" cm="1">
        <f t="array" ref="Q27">_xll.FDS(C27,"P_PRICE(0)/P_PRICE_HIGH_PR(0,,,USD,,,""PRICE"",""INTRA"",""52W"")")</f>
        <v>0.80419119999999999</v>
      </c>
      <c r="R27" s="6" cm="1">
        <f t="array" ref="R27">_xll.FDS(C27,"P_PRICE(0)/P_PRICE_low_PR(0,,,USD,,,""PRICE"",""INTRA"",""52W"")-1")</f>
        <v>0.17737293000000001</v>
      </c>
    </row>
    <row r="28" spans="1:35" ht="15" customHeight="1" x14ac:dyDescent="0.3">
      <c r="E28" s="15"/>
      <c r="F28" s="15"/>
      <c r="Q28" s="6"/>
      <c r="R28" s="6"/>
    </row>
    <row r="29" spans="1:35" ht="15" customHeight="1" x14ac:dyDescent="0.3">
      <c r="C29" s="1"/>
      <c r="D29" s="1"/>
      <c r="E29" s="15"/>
      <c r="F29" s="15"/>
      <c r="Q29" s="6"/>
      <c r="R29" s="6"/>
    </row>
    <row r="30" spans="1:35" ht="15" customHeight="1" x14ac:dyDescent="0.3">
      <c r="E30" s="15"/>
      <c r="F30" s="15"/>
      <c r="Q30" s="6"/>
      <c r="R30" s="6"/>
    </row>
    <row r="31" spans="1:35" ht="15" customHeight="1" x14ac:dyDescent="0.3">
      <c r="E31" s="15"/>
      <c r="F31" s="15"/>
      <c r="Q31" s="6"/>
      <c r="R31" s="6"/>
    </row>
    <row r="32" spans="1:35" ht="15" customHeight="1" x14ac:dyDescent="0.3">
      <c r="E32" s="15"/>
      <c r="F32" s="15"/>
      <c r="Q32" s="6"/>
      <c r="R32" s="6"/>
    </row>
    <row r="33" spans="3:18" ht="15" customHeight="1" x14ac:dyDescent="0.3">
      <c r="E33" s="15"/>
      <c r="F33" s="15"/>
      <c r="P33" s="1"/>
      <c r="Q33" s="6"/>
      <c r="R33" s="6"/>
    </row>
    <row r="34" spans="3:18" ht="15" customHeight="1" x14ac:dyDescent="0.3">
      <c r="E34" s="15"/>
      <c r="F34" s="15"/>
      <c r="Q34" s="6"/>
      <c r="R34" s="6"/>
    </row>
    <row r="35" spans="3:18" ht="15" customHeight="1" x14ac:dyDescent="0.3">
      <c r="E35" s="15"/>
      <c r="F35" s="15"/>
      <c r="Q35" s="6"/>
      <c r="R35" s="6"/>
    </row>
    <row r="36" spans="3:18" ht="15" customHeight="1" x14ac:dyDescent="0.3">
      <c r="C36" s="1"/>
      <c r="D36" s="1"/>
      <c r="E36" s="15"/>
      <c r="F36" s="15"/>
      <c r="Q36" s="6"/>
      <c r="R36" s="6"/>
    </row>
    <row r="37" spans="3:18" ht="15" customHeight="1" x14ac:dyDescent="0.3">
      <c r="E37" s="15"/>
      <c r="F37" s="15"/>
      <c r="Q37" s="6"/>
      <c r="R37" s="6"/>
    </row>
    <row r="38" spans="3:18" ht="15" customHeight="1" x14ac:dyDescent="0.3">
      <c r="E38" s="15"/>
      <c r="F38" s="15"/>
      <c r="Q38" s="6"/>
      <c r="R38" s="6"/>
    </row>
    <row r="39" spans="3:18" ht="15" customHeight="1" x14ac:dyDescent="0.3">
      <c r="E39" s="15"/>
      <c r="F39" s="15"/>
      <c r="Q39" s="6"/>
      <c r="R39" s="6"/>
    </row>
    <row r="40" spans="3:18" ht="15" customHeight="1" x14ac:dyDescent="0.3">
      <c r="E40" s="15"/>
      <c r="F40" s="15"/>
      <c r="Q40" s="6"/>
      <c r="R40" s="6"/>
    </row>
    <row r="41" spans="3:18" ht="15" customHeight="1" x14ac:dyDescent="0.3">
      <c r="C41" s="1"/>
      <c r="D41" s="1"/>
      <c r="E41" s="15"/>
      <c r="F41" s="15"/>
      <c r="Q41" s="6"/>
      <c r="R41" s="6"/>
    </row>
    <row r="42" spans="3:18" ht="15" customHeight="1" x14ac:dyDescent="0.3">
      <c r="E42" s="15"/>
      <c r="F42" s="15"/>
      <c r="Q42" s="6"/>
      <c r="R42" s="6"/>
    </row>
    <row r="43" spans="3:18" ht="15" customHeight="1" x14ac:dyDescent="0.3">
      <c r="E43" s="15"/>
      <c r="F43" s="15"/>
      <c r="Q43" s="6"/>
      <c r="R43" s="6"/>
    </row>
    <row r="44" spans="3:18" ht="15" customHeight="1" x14ac:dyDescent="0.3">
      <c r="E44" s="15"/>
      <c r="F44" s="15"/>
      <c r="Q44" s="6"/>
      <c r="R44" s="6"/>
    </row>
    <row r="45" spans="3:18" ht="15" customHeight="1" x14ac:dyDescent="0.3">
      <c r="E45" s="15"/>
      <c r="F45" s="15"/>
      <c r="Q45" s="6"/>
      <c r="R45" s="6"/>
    </row>
    <row r="46" spans="3:18" ht="15" customHeight="1" x14ac:dyDescent="0.3">
      <c r="C46" s="1"/>
      <c r="D46" s="1"/>
      <c r="E46" s="15"/>
      <c r="F46" s="15"/>
      <c r="Q46" s="6"/>
      <c r="R46" s="6"/>
    </row>
    <row r="47" spans="3:18" ht="15" customHeight="1" x14ac:dyDescent="0.3">
      <c r="C47" s="1"/>
      <c r="D47" s="1"/>
      <c r="E47" s="15"/>
      <c r="F47" s="15"/>
    </row>
    <row r="48" spans="3:18" ht="15" customHeight="1" x14ac:dyDescent="0.3">
      <c r="E48" s="15"/>
      <c r="F48" s="15"/>
    </row>
    <row r="49" spans="5:7" ht="15" customHeight="1" x14ac:dyDescent="0.3">
      <c r="E49" s="15"/>
      <c r="F49" s="15"/>
    </row>
    <row r="50" spans="5:7" ht="15" customHeight="1" x14ac:dyDescent="0.3">
      <c r="E50" s="16"/>
      <c r="F50" s="16"/>
      <c r="G50" s="1"/>
    </row>
    <row r="51" spans="5:7" ht="15" customHeight="1" x14ac:dyDescent="0.3">
      <c r="E51" s="15"/>
      <c r="F51" s="15"/>
    </row>
    <row r="52" spans="5:7" ht="15" customHeight="1" x14ac:dyDescent="0.3">
      <c r="E52" s="15"/>
      <c r="F52" s="15"/>
    </row>
    <row r="53" spans="5:7" ht="15" customHeight="1" x14ac:dyDescent="0.3">
      <c r="E53" s="15"/>
      <c r="F53" s="15"/>
    </row>
    <row r="54" spans="5:7" ht="15" customHeight="1" x14ac:dyDescent="0.3">
      <c r="E54" s="15"/>
      <c r="F54" s="15"/>
    </row>
    <row r="55" spans="5:7" ht="15" customHeight="1" x14ac:dyDescent="0.3">
      <c r="E55" s="15"/>
      <c r="F55" s="15"/>
    </row>
    <row r="56" spans="5:7" ht="15" customHeight="1" x14ac:dyDescent="0.3">
      <c r="E56" s="15"/>
      <c r="F56" s="15"/>
    </row>
    <row r="57" spans="5:7" ht="15" customHeight="1" x14ac:dyDescent="0.3">
      <c r="E57" s="15"/>
      <c r="F57" s="15"/>
    </row>
    <row r="58" spans="5:7" ht="15" customHeight="1" x14ac:dyDescent="0.3">
      <c r="E58" s="16"/>
      <c r="F58" s="16"/>
      <c r="G58" s="1"/>
    </row>
    <row r="59" spans="5:7" ht="15" customHeight="1" x14ac:dyDescent="0.3">
      <c r="E59" s="15"/>
      <c r="F59" s="15"/>
    </row>
    <row r="60" spans="5:7" ht="15" customHeight="1" x14ac:dyDescent="0.3">
      <c r="E60" s="15"/>
      <c r="F60" s="15"/>
    </row>
    <row r="61" spans="5:7" ht="15" customHeight="1" x14ac:dyDescent="0.3">
      <c r="E61" s="15"/>
      <c r="F61" s="15"/>
    </row>
    <row r="62" spans="5:7" ht="15" customHeight="1" x14ac:dyDescent="0.3">
      <c r="E62" s="15"/>
      <c r="F62" s="15"/>
    </row>
    <row r="63" spans="5:7" ht="15" customHeight="1" x14ac:dyDescent="0.3">
      <c r="E63" s="15"/>
      <c r="F63" s="15"/>
    </row>
    <row r="64" spans="5:7" ht="15" customHeight="1" x14ac:dyDescent="0.3">
      <c r="E64" s="15"/>
      <c r="F64" s="15"/>
    </row>
    <row r="65" spans="6:6" x14ac:dyDescent="0.3">
      <c r="F65" s="4"/>
    </row>
    <row r="66" spans="6:6" x14ac:dyDescent="0.3">
      <c r="F66" s="4"/>
    </row>
    <row r="67" spans="6:6" x14ac:dyDescent="0.3">
      <c r="F67" s="4"/>
    </row>
    <row r="68" spans="6:6" x14ac:dyDescent="0.3">
      <c r="F68" s="4"/>
    </row>
    <row r="69" spans="6:6" x14ac:dyDescent="0.3">
      <c r="F69" s="4"/>
    </row>
    <row r="70" spans="6:6" x14ac:dyDescent="0.3">
      <c r="F70" s="4"/>
    </row>
    <row r="71" spans="6:6" x14ac:dyDescent="0.3">
      <c r="F71" s="4"/>
    </row>
    <row r="72" spans="6:6" x14ac:dyDescent="0.3">
      <c r="F72" s="4"/>
    </row>
    <row r="73" spans="6:6" x14ac:dyDescent="0.3">
      <c r="F73" s="4"/>
    </row>
    <row r="74" spans="6:6" x14ac:dyDescent="0.3">
      <c r="F74" s="4"/>
    </row>
    <row r="75" spans="6:6" x14ac:dyDescent="0.3">
      <c r="F75" s="4"/>
    </row>
    <row r="76" spans="6:6" x14ac:dyDescent="0.3">
      <c r="F76" s="4"/>
    </row>
    <row r="77" spans="6:6" x14ac:dyDescent="0.3">
      <c r="F77" s="4"/>
    </row>
    <row r="78" spans="6:6" x14ac:dyDescent="0.3">
      <c r="F78" s="4"/>
    </row>
    <row r="79" spans="6:6" x14ac:dyDescent="0.3">
      <c r="F79" s="4"/>
    </row>
    <row r="80" spans="6:6" x14ac:dyDescent="0.3">
      <c r="F80" s="4"/>
    </row>
    <row r="81" spans="6:6" x14ac:dyDescent="0.3">
      <c r="F81" s="4"/>
    </row>
    <row r="82" spans="6:6" x14ac:dyDescent="0.3">
      <c r="F82" s="4"/>
    </row>
    <row r="83" spans="6:6" x14ac:dyDescent="0.3">
      <c r="F83" s="4"/>
    </row>
    <row r="84" spans="6:6" x14ac:dyDescent="0.3">
      <c r="F84" s="4"/>
    </row>
    <row r="85" spans="6:6" x14ac:dyDescent="0.3">
      <c r="F85" s="4"/>
    </row>
    <row r="86" spans="6:6" x14ac:dyDescent="0.3">
      <c r="F86" s="4"/>
    </row>
    <row r="87" spans="6:6" x14ac:dyDescent="0.3">
      <c r="F87" s="4"/>
    </row>
    <row r="88" spans="6:6" x14ac:dyDescent="0.3">
      <c r="F88" s="4"/>
    </row>
    <row r="89" spans="6:6" x14ac:dyDescent="0.3">
      <c r="F89" s="4"/>
    </row>
    <row r="90" spans="6:6" x14ac:dyDescent="0.3">
      <c r="F90" s="4"/>
    </row>
    <row r="91" spans="6:6" x14ac:dyDescent="0.3">
      <c r="F91" s="4"/>
    </row>
    <row r="92" spans="6:6" x14ac:dyDescent="0.3">
      <c r="F92" s="4"/>
    </row>
    <row r="93" spans="6:6" x14ac:dyDescent="0.3">
      <c r="F93" s="4"/>
    </row>
    <row r="94" spans="6:6" x14ac:dyDescent="0.3">
      <c r="F94" s="4"/>
    </row>
    <row r="95" spans="6:6" x14ac:dyDescent="0.3">
      <c r="F95" s="4"/>
    </row>
    <row r="96" spans="6:6" x14ac:dyDescent="0.3">
      <c r="F96" s="4"/>
    </row>
    <row r="97" spans="6:6" x14ac:dyDescent="0.3">
      <c r="F97" s="4"/>
    </row>
    <row r="98" spans="6:6" x14ac:dyDescent="0.3">
      <c r="F98" s="4"/>
    </row>
    <row r="99" spans="6:6" x14ac:dyDescent="0.3">
      <c r="F99" s="4"/>
    </row>
    <row r="100" spans="6:6" x14ac:dyDescent="0.3">
      <c r="F100" s="4"/>
    </row>
    <row r="101" spans="6:6" x14ac:dyDescent="0.3">
      <c r="F101" s="4"/>
    </row>
    <row r="102" spans="6:6" x14ac:dyDescent="0.3">
      <c r="F102" s="4"/>
    </row>
    <row r="103" spans="6:6" x14ac:dyDescent="0.3">
      <c r="F103" s="4"/>
    </row>
    <row r="104" spans="6:6" x14ac:dyDescent="0.3">
      <c r="F104" s="4"/>
    </row>
    <row r="105" spans="6:6" x14ac:dyDescent="0.3">
      <c r="F105" s="4"/>
    </row>
    <row r="106" spans="6:6" x14ac:dyDescent="0.3">
      <c r="F106" s="4"/>
    </row>
    <row r="107" spans="6:6" x14ac:dyDescent="0.3">
      <c r="F107" s="4"/>
    </row>
    <row r="108" spans="6:6" x14ac:dyDescent="0.3">
      <c r="F108" s="4"/>
    </row>
    <row r="109" spans="6:6" x14ac:dyDescent="0.3">
      <c r="F109" s="4"/>
    </row>
    <row r="110" spans="6:6" x14ac:dyDescent="0.3">
      <c r="F110" s="4"/>
    </row>
    <row r="111" spans="6:6" x14ac:dyDescent="0.3">
      <c r="F111" s="4"/>
    </row>
    <row r="112" spans="6:6" x14ac:dyDescent="0.3">
      <c r="F112" s="4"/>
    </row>
    <row r="113" spans="6:6" x14ac:dyDescent="0.3">
      <c r="F113" s="4"/>
    </row>
    <row r="114" spans="6:6" x14ac:dyDescent="0.3">
      <c r="F114" s="4"/>
    </row>
    <row r="115" spans="6:6" x14ac:dyDescent="0.3">
      <c r="F115" s="4"/>
    </row>
    <row r="116" spans="6:6" x14ac:dyDescent="0.3">
      <c r="F116" s="4"/>
    </row>
    <row r="117" spans="6:6" x14ac:dyDescent="0.3">
      <c r="F117" s="4"/>
    </row>
    <row r="118" spans="6:6" x14ac:dyDescent="0.3">
      <c r="F118" s="4"/>
    </row>
    <row r="119" spans="6:6" x14ac:dyDescent="0.3">
      <c r="F119" s="4"/>
    </row>
    <row r="120" spans="6:6" x14ac:dyDescent="0.3">
      <c r="F120" s="4"/>
    </row>
    <row r="121" spans="6:6" x14ac:dyDescent="0.3">
      <c r="F121" s="4"/>
    </row>
    <row r="122" spans="6:6" x14ac:dyDescent="0.3">
      <c r="F122" s="4"/>
    </row>
    <row r="123" spans="6:6" x14ac:dyDescent="0.3">
      <c r="F123" s="4"/>
    </row>
    <row r="124" spans="6:6" x14ac:dyDescent="0.3">
      <c r="F124" s="4"/>
    </row>
    <row r="125" spans="6:6" x14ac:dyDescent="0.3">
      <c r="F125" s="4"/>
    </row>
    <row r="126" spans="6:6" x14ac:dyDescent="0.3">
      <c r="F126" s="4"/>
    </row>
    <row r="127" spans="6:6" x14ac:dyDescent="0.3">
      <c r="F127" s="4"/>
    </row>
    <row r="128" spans="6:6" x14ac:dyDescent="0.3">
      <c r="F128" s="4"/>
    </row>
    <row r="129" spans="6:6" x14ac:dyDescent="0.3">
      <c r="F129" s="4"/>
    </row>
    <row r="130" spans="6:6" x14ac:dyDescent="0.3">
      <c r="F130" s="4"/>
    </row>
    <row r="131" spans="6:6" x14ac:dyDescent="0.3">
      <c r="F131" s="4"/>
    </row>
    <row r="132" spans="6:6" x14ac:dyDescent="0.3">
      <c r="F132" s="4"/>
    </row>
    <row r="133" spans="6:6" x14ac:dyDescent="0.3">
      <c r="F133" s="4"/>
    </row>
    <row r="134" spans="6:6" x14ac:dyDescent="0.3">
      <c r="F134" s="4"/>
    </row>
    <row r="135" spans="6:6" x14ac:dyDescent="0.3">
      <c r="F135" s="4"/>
    </row>
    <row r="136" spans="6:6" x14ac:dyDescent="0.3">
      <c r="F136" s="4"/>
    </row>
    <row r="137" spans="6:6" x14ac:dyDescent="0.3">
      <c r="F137" s="4"/>
    </row>
    <row r="138" spans="6:6" x14ac:dyDescent="0.3">
      <c r="F138" s="4"/>
    </row>
    <row r="139" spans="6:6" x14ac:dyDescent="0.3">
      <c r="F139" s="4"/>
    </row>
    <row r="140" spans="6:6" x14ac:dyDescent="0.3">
      <c r="F140" s="4"/>
    </row>
    <row r="141" spans="6:6" x14ac:dyDescent="0.3">
      <c r="F141" s="4"/>
    </row>
    <row r="142" spans="6:6" x14ac:dyDescent="0.3">
      <c r="F142" s="4"/>
    </row>
    <row r="143" spans="6:6" x14ac:dyDescent="0.3">
      <c r="F143" s="4"/>
    </row>
    <row r="144" spans="6:6" x14ac:dyDescent="0.3">
      <c r="F144" s="4"/>
    </row>
    <row r="145" spans="6:6" x14ac:dyDescent="0.3">
      <c r="F145" s="4"/>
    </row>
    <row r="146" spans="6:6" x14ac:dyDescent="0.3">
      <c r="F146" s="4"/>
    </row>
    <row r="147" spans="6:6" x14ac:dyDescent="0.3">
      <c r="F147" s="4"/>
    </row>
    <row r="148" spans="6:6" x14ac:dyDescent="0.3">
      <c r="F148" s="4"/>
    </row>
    <row r="149" spans="6:6" x14ac:dyDescent="0.3">
      <c r="F149" s="4"/>
    </row>
    <row r="150" spans="6:6" x14ac:dyDescent="0.3">
      <c r="F150" s="4"/>
    </row>
    <row r="151" spans="6:6" x14ac:dyDescent="0.3">
      <c r="F151" s="4"/>
    </row>
    <row r="152" spans="6:6" x14ac:dyDescent="0.3">
      <c r="F152" s="4"/>
    </row>
    <row r="153" spans="6:6" x14ac:dyDescent="0.3">
      <c r="F153" s="4"/>
    </row>
    <row r="154" spans="6:6" x14ac:dyDescent="0.3">
      <c r="F154" s="4"/>
    </row>
    <row r="155" spans="6:6" x14ac:dyDescent="0.3">
      <c r="F155" s="4"/>
    </row>
    <row r="156" spans="6:6" x14ac:dyDescent="0.3">
      <c r="F156" s="4"/>
    </row>
    <row r="157" spans="6:6" x14ac:dyDescent="0.3">
      <c r="F157" s="4"/>
    </row>
    <row r="158" spans="6:6" x14ac:dyDescent="0.3">
      <c r="F158" s="4"/>
    </row>
    <row r="159" spans="6:6" x14ac:dyDescent="0.3">
      <c r="F159" s="4"/>
    </row>
    <row r="160" spans="6:6" x14ac:dyDescent="0.3">
      <c r="F160" s="4"/>
    </row>
    <row r="161" spans="6:6" x14ac:dyDescent="0.3">
      <c r="F161" s="4"/>
    </row>
    <row r="162" spans="6:6" x14ac:dyDescent="0.3">
      <c r="F162" s="4"/>
    </row>
    <row r="163" spans="6:6" x14ac:dyDescent="0.3">
      <c r="F163" s="4"/>
    </row>
    <row r="164" spans="6:6" x14ac:dyDescent="0.3">
      <c r="F164" s="4"/>
    </row>
    <row r="165" spans="6:6" x14ac:dyDescent="0.3">
      <c r="F165" s="4"/>
    </row>
    <row r="166" spans="6:6" x14ac:dyDescent="0.3">
      <c r="F166" s="4"/>
    </row>
    <row r="167" spans="6:6" x14ac:dyDescent="0.3">
      <c r="F167" s="4"/>
    </row>
    <row r="168" spans="6:6" x14ac:dyDescent="0.3">
      <c r="F168" s="4"/>
    </row>
    <row r="169" spans="6:6" x14ac:dyDescent="0.3">
      <c r="F169" s="4"/>
    </row>
    <row r="170" spans="6:6" x14ac:dyDescent="0.3">
      <c r="F170" s="4"/>
    </row>
    <row r="171" spans="6:6" x14ac:dyDescent="0.3">
      <c r="F171" s="4"/>
    </row>
    <row r="172" spans="6:6" x14ac:dyDescent="0.3">
      <c r="F172" s="4"/>
    </row>
    <row r="173" spans="6:6" x14ac:dyDescent="0.3">
      <c r="F173" s="4"/>
    </row>
    <row r="174" spans="6:6" x14ac:dyDescent="0.3">
      <c r="F174" s="4"/>
    </row>
    <row r="175" spans="6:6" x14ac:dyDescent="0.3">
      <c r="F175" s="4"/>
    </row>
    <row r="176" spans="6:6" x14ac:dyDescent="0.3">
      <c r="F176" s="4"/>
    </row>
    <row r="177" spans="6:6" x14ac:dyDescent="0.3">
      <c r="F177" s="4"/>
    </row>
    <row r="178" spans="6:6" x14ac:dyDescent="0.3">
      <c r="F178" s="4"/>
    </row>
    <row r="179" spans="6:6" x14ac:dyDescent="0.3">
      <c r="F179" s="4"/>
    </row>
    <row r="180" spans="6:6" x14ac:dyDescent="0.3">
      <c r="F180" s="4"/>
    </row>
    <row r="181" spans="6:6" x14ac:dyDescent="0.3">
      <c r="F181" s="4"/>
    </row>
    <row r="182" spans="6:6" x14ac:dyDescent="0.3">
      <c r="F182" s="4"/>
    </row>
    <row r="183" spans="6:6" x14ac:dyDescent="0.3">
      <c r="F183" s="4"/>
    </row>
    <row r="184" spans="6:6" x14ac:dyDescent="0.3">
      <c r="F184" s="4"/>
    </row>
    <row r="185" spans="6:6" x14ac:dyDescent="0.3">
      <c r="F185" s="4"/>
    </row>
    <row r="186" spans="6:6" x14ac:dyDescent="0.3">
      <c r="F186" s="4"/>
    </row>
    <row r="187" spans="6:6" x14ac:dyDescent="0.3">
      <c r="F187" s="4"/>
    </row>
    <row r="188" spans="6:6" x14ac:dyDescent="0.3">
      <c r="F188" s="4"/>
    </row>
    <row r="189" spans="6:6" x14ac:dyDescent="0.3">
      <c r="F189" s="4"/>
    </row>
    <row r="190" spans="6:6" x14ac:dyDescent="0.3">
      <c r="F190" s="4"/>
    </row>
    <row r="191" spans="6:6" x14ac:dyDescent="0.3">
      <c r="F191" s="4"/>
    </row>
    <row r="192" spans="6:6" x14ac:dyDescent="0.3">
      <c r="F192" s="4"/>
    </row>
    <row r="193" spans="6:6" x14ac:dyDescent="0.3">
      <c r="F193" s="4"/>
    </row>
    <row r="194" spans="6:6" x14ac:dyDescent="0.3">
      <c r="F194" s="4"/>
    </row>
    <row r="195" spans="6:6" x14ac:dyDescent="0.3">
      <c r="F195" s="4"/>
    </row>
    <row r="196" spans="6:6" x14ac:dyDescent="0.3">
      <c r="F196" s="4"/>
    </row>
    <row r="197" spans="6:6" x14ac:dyDescent="0.3">
      <c r="F197" s="4"/>
    </row>
    <row r="198" spans="6:6" x14ac:dyDescent="0.3">
      <c r="F198" s="4"/>
    </row>
    <row r="199" spans="6:6" x14ac:dyDescent="0.3">
      <c r="F199" s="4"/>
    </row>
    <row r="200" spans="6:6" x14ac:dyDescent="0.3">
      <c r="F200" s="4"/>
    </row>
    <row r="201" spans="6:6" x14ac:dyDescent="0.3">
      <c r="F201" s="4"/>
    </row>
    <row r="202" spans="6:6" x14ac:dyDescent="0.3">
      <c r="F202" s="4"/>
    </row>
    <row r="203" spans="6:6" x14ac:dyDescent="0.3">
      <c r="F203" s="4"/>
    </row>
    <row r="204" spans="6:6" x14ac:dyDescent="0.3">
      <c r="F204" s="4"/>
    </row>
    <row r="205" spans="6:6" x14ac:dyDescent="0.3">
      <c r="F205" s="4"/>
    </row>
    <row r="206" spans="6:6" x14ac:dyDescent="0.3">
      <c r="F206" s="4"/>
    </row>
    <row r="207" spans="6:6" x14ac:dyDescent="0.3">
      <c r="F207" s="4"/>
    </row>
    <row r="208" spans="6:6" x14ac:dyDescent="0.3">
      <c r="F208" s="4"/>
    </row>
    <row r="209" spans="6:6" x14ac:dyDescent="0.3">
      <c r="F209" s="4"/>
    </row>
    <row r="210" spans="6:6" x14ac:dyDescent="0.3">
      <c r="F210" s="4"/>
    </row>
    <row r="211" spans="6:6" x14ac:dyDescent="0.3">
      <c r="F211" s="4"/>
    </row>
    <row r="212" spans="6:6" x14ac:dyDescent="0.3">
      <c r="F212" s="4"/>
    </row>
    <row r="213" spans="6:6" x14ac:dyDescent="0.3">
      <c r="F213" s="4"/>
    </row>
    <row r="214" spans="6:6" x14ac:dyDescent="0.3">
      <c r="F214" s="4"/>
    </row>
    <row r="215" spans="6:6" x14ac:dyDescent="0.3">
      <c r="F215" s="4"/>
    </row>
    <row r="216" spans="6:6" x14ac:dyDescent="0.3">
      <c r="F216" s="4"/>
    </row>
    <row r="217" spans="6:6" x14ac:dyDescent="0.3">
      <c r="F217" s="4"/>
    </row>
    <row r="218" spans="6:6" x14ac:dyDescent="0.3">
      <c r="F218" s="4"/>
    </row>
    <row r="219" spans="6:6" x14ac:dyDescent="0.3">
      <c r="F219" s="4"/>
    </row>
    <row r="220" spans="6:6" x14ac:dyDescent="0.3">
      <c r="F220" s="4"/>
    </row>
    <row r="221" spans="6:6" x14ac:dyDescent="0.3">
      <c r="F221" s="4"/>
    </row>
    <row r="222" spans="6:6" x14ac:dyDescent="0.3">
      <c r="F222" s="4"/>
    </row>
    <row r="223" spans="6:6" x14ac:dyDescent="0.3">
      <c r="F223" s="4"/>
    </row>
    <row r="224" spans="6:6" x14ac:dyDescent="0.3">
      <c r="F224" s="4"/>
    </row>
    <row r="225" spans="6:6" x14ac:dyDescent="0.3">
      <c r="F225" s="4"/>
    </row>
    <row r="226" spans="6:6" x14ac:dyDescent="0.3">
      <c r="F226" s="4"/>
    </row>
    <row r="227" spans="6:6" x14ac:dyDescent="0.3">
      <c r="F227" s="4"/>
    </row>
    <row r="228" spans="6:6" x14ac:dyDescent="0.3">
      <c r="F228" s="4"/>
    </row>
    <row r="229" spans="6:6" x14ac:dyDescent="0.3">
      <c r="F229" s="4"/>
    </row>
    <row r="230" spans="6:6" x14ac:dyDescent="0.3">
      <c r="F230" s="4"/>
    </row>
    <row r="231" spans="6:6" x14ac:dyDescent="0.3">
      <c r="F231" s="4"/>
    </row>
    <row r="232" spans="6:6" x14ac:dyDescent="0.3">
      <c r="F232" s="4"/>
    </row>
    <row r="233" spans="6:6" x14ac:dyDescent="0.3">
      <c r="F233" s="4"/>
    </row>
    <row r="234" spans="6:6" x14ac:dyDescent="0.3">
      <c r="F234" s="4"/>
    </row>
    <row r="235" spans="6:6" x14ac:dyDescent="0.3">
      <c r="F235" s="4"/>
    </row>
    <row r="236" spans="6:6" x14ac:dyDescent="0.3">
      <c r="F236" s="4"/>
    </row>
    <row r="237" spans="6:6" x14ac:dyDescent="0.3">
      <c r="F237" s="4"/>
    </row>
    <row r="238" spans="6:6" x14ac:dyDescent="0.3">
      <c r="F238" s="4"/>
    </row>
    <row r="239" spans="6:6" x14ac:dyDescent="0.3">
      <c r="F239" s="4"/>
    </row>
    <row r="240" spans="6:6" x14ac:dyDescent="0.3">
      <c r="F240" s="4"/>
    </row>
    <row r="241" spans="6:6" x14ac:dyDescent="0.3">
      <c r="F241" s="4"/>
    </row>
    <row r="242" spans="6:6" x14ac:dyDescent="0.3">
      <c r="F242" s="4"/>
    </row>
    <row r="243" spans="6:6" x14ac:dyDescent="0.3">
      <c r="F243" s="4"/>
    </row>
    <row r="244" spans="6:6" x14ac:dyDescent="0.3">
      <c r="F244" s="4"/>
    </row>
    <row r="245" spans="6:6" x14ac:dyDescent="0.3">
      <c r="F245" s="4"/>
    </row>
    <row r="246" spans="6:6" x14ac:dyDescent="0.3">
      <c r="F246" s="4"/>
    </row>
    <row r="247" spans="6:6" x14ac:dyDescent="0.3">
      <c r="F247" s="4"/>
    </row>
    <row r="248" spans="6:6" x14ac:dyDescent="0.3">
      <c r="F248" s="4"/>
    </row>
    <row r="249" spans="6:6" x14ac:dyDescent="0.3">
      <c r="F249" s="4"/>
    </row>
    <row r="250" spans="6:6" x14ac:dyDescent="0.3">
      <c r="F250" s="4"/>
    </row>
    <row r="251" spans="6:6" x14ac:dyDescent="0.3">
      <c r="F251" s="4"/>
    </row>
    <row r="252" spans="6:6" x14ac:dyDescent="0.3">
      <c r="F252" s="4"/>
    </row>
    <row r="253" spans="6:6" x14ac:dyDescent="0.3">
      <c r="F253" s="4"/>
    </row>
    <row r="254" spans="6:6" x14ac:dyDescent="0.3">
      <c r="F254" s="4"/>
    </row>
    <row r="255" spans="6:6" x14ac:dyDescent="0.3">
      <c r="F255" s="4"/>
    </row>
    <row r="256" spans="6:6" x14ac:dyDescent="0.3">
      <c r="F256" s="4"/>
    </row>
    <row r="257" spans="6:6" x14ac:dyDescent="0.3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Q215"/>
  <sheetViews>
    <sheetView topLeftCell="A193" workbookViewId="0">
      <selection activeCell="G227" sqref="G227"/>
    </sheetView>
  </sheetViews>
  <sheetFormatPr defaultRowHeight="14.4" x14ac:dyDescent="0.3"/>
  <cols>
    <col min="2" max="2" width="12.21875" bestFit="1" customWidth="1"/>
    <col min="3" max="17" width="11.77734375" bestFit="1" customWidth="1"/>
  </cols>
  <sheetData>
    <row r="5" spans="2:17" x14ac:dyDescent="0.3">
      <c r="C5" t="s">
        <v>4</v>
      </c>
      <c r="D5" t="s">
        <v>1</v>
      </c>
      <c r="E5" t="s">
        <v>59</v>
      </c>
      <c r="F5" t="s">
        <v>60</v>
      </c>
      <c r="G5" t="s">
        <v>15</v>
      </c>
      <c r="H5" t="s">
        <v>61</v>
      </c>
      <c r="I5" t="s">
        <v>70</v>
      </c>
      <c r="J5" t="s">
        <v>62</v>
      </c>
      <c r="K5" t="s">
        <v>42</v>
      </c>
      <c r="L5" t="s">
        <v>71</v>
      </c>
      <c r="M5" t="s">
        <v>12</v>
      </c>
      <c r="N5" t="s">
        <v>49</v>
      </c>
      <c r="O5" t="s">
        <v>9</v>
      </c>
      <c r="P5" t="s">
        <v>79</v>
      </c>
      <c r="Q5" t="s">
        <v>65</v>
      </c>
    </row>
    <row r="6" spans="2:17" x14ac:dyDescent="0.3">
      <c r="B6" s="2" cm="1">
        <f t="array" ref="B6:B206">_xll.FDS(C5,"JULIAN(P_PRICE(0,-200D).dates)")</f>
        <v>45363</v>
      </c>
      <c r="C6" cm="1">
        <f t="array" ref="C6:C206">_xll.FDS(C5,"P_PRICE(0,-200D)")</f>
        <v>42.23</v>
      </c>
      <c r="D6" cm="1">
        <f t="array" ref="D6:D206">_xll.FDS(D5,"P_PRICE(0,-200D)")</f>
        <v>516.78</v>
      </c>
      <c r="E6" cm="1">
        <f t="array" ref="E6:E206">_xll.FDS(E5,"P_PRICE(0,-200D)")</f>
        <v>199.79</v>
      </c>
      <c r="F6" cm="1">
        <f t="array" ref="F6:F206">_xll.FDS(F5,"P_PRICE(0,-200D)")</f>
        <v>27.83</v>
      </c>
      <c r="G6" cm="1">
        <f t="array" ref="G6:G206">_xll.FDS(G5,"P_PRICE(0,-200D)")</f>
        <v>443.66</v>
      </c>
      <c r="H6" cm="1">
        <f t="array" ref="H6:H206">_xll.FDS(H5,"P_PRICE(0,-200D)")</f>
        <v>23</v>
      </c>
      <c r="I6" cm="1">
        <f t="array" ref="I6:I206">_xll.FDS(I5,"P_PRICE(0,-200D)")</f>
        <v>73.349999999999994</v>
      </c>
      <c r="J6" cm="1">
        <f t="array" ref="J6:J206">_xll.FDS(J5,"P_PRICE(0,-200D)")</f>
        <v>94.88</v>
      </c>
      <c r="K6" cm="1">
        <f t="array" ref="K6:K206">_xll.FDS(K5,"P_PRICE(0,-200D)")</f>
        <v>67.5</v>
      </c>
      <c r="L6" cm="1">
        <f t="array" ref="L6:L206">_xll.FDS(L5,"P_PRICE(0,-200D)")</f>
        <v>57.65</v>
      </c>
      <c r="M6" cm="1">
        <f t="array" ref="M6:M206">_xll.FDS(M5,"P_PRICE(0,-200D)")</f>
        <v>69.98</v>
      </c>
      <c r="N6" cm="1">
        <f t="array" ref="N6:N206">_xll.FDS(N5,"P_PRICE(0,-200D)")</f>
        <v>143.16</v>
      </c>
      <c r="O6" cm="1">
        <f t="array" ref="O6:O206">_xll.FDS(O5,"P_PRICE(0,-200D)")</f>
        <v>51.69</v>
      </c>
      <c r="P6" cm="1">
        <f t="array" ref="P6:P206">_xll.FDS(P5,"P_PRICE(0,-200D)")</f>
        <v>204.91</v>
      </c>
      <c r="Q6" cm="1">
        <f t="array" ref="Q6:Q206">_xll.FDS(Q5,"P_PRICE(0,-200D)")</f>
        <v>24.56</v>
      </c>
    </row>
    <row r="7" spans="2:17" x14ac:dyDescent="0.3">
      <c r="B7" s="2">
        <v>45362</v>
      </c>
      <c r="C7">
        <v>41.87</v>
      </c>
      <c r="D7">
        <v>511.28</v>
      </c>
      <c r="E7">
        <v>202</v>
      </c>
      <c r="F7">
        <v>27.81</v>
      </c>
      <c r="G7">
        <v>437.39</v>
      </c>
      <c r="H7">
        <v>22.74</v>
      </c>
      <c r="I7">
        <v>73.62</v>
      </c>
      <c r="J7">
        <v>95.68</v>
      </c>
      <c r="K7">
        <v>66.849999999999994</v>
      </c>
      <c r="L7">
        <v>57.2</v>
      </c>
      <c r="M7">
        <v>69.599999999999994</v>
      </c>
      <c r="N7">
        <v>141.66999999999999</v>
      </c>
      <c r="O7">
        <v>51.9</v>
      </c>
      <c r="P7">
        <v>205.19</v>
      </c>
      <c r="Q7">
        <v>24.04</v>
      </c>
    </row>
    <row r="8" spans="2:17" x14ac:dyDescent="0.3">
      <c r="B8" s="2">
        <v>45359</v>
      </c>
      <c r="C8">
        <v>41.76</v>
      </c>
      <c r="D8">
        <v>511.72</v>
      </c>
      <c r="E8">
        <v>201.63</v>
      </c>
      <c r="F8">
        <v>27.78</v>
      </c>
      <c r="G8">
        <v>439.02</v>
      </c>
      <c r="H8">
        <v>22.43</v>
      </c>
      <c r="I8">
        <v>73.36</v>
      </c>
      <c r="J8">
        <v>95.73</v>
      </c>
      <c r="K8">
        <v>66.84</v>
      </c>
      <c r="L8">
        <v>57.39</v>
      </c>
      <c r="M8">
        <v>71.180000000000007</v>
      </c>
      <c r="N8">
        <v>142.08000000000001</v>
      </c>
      <c r="O8">
        <v>52.28</v>
      </c>
      <c r="P8">
        <v>206.83</v>
      </c>
      <c r="Q8">
        <v>23.47</v>
      </c>
    </row>
    <row r="9" spans="2:17" x14ac:dyDescent="0.3">
      <c r="B9" s="2">
        <v>45358</v>
      </c>
      <c r="C9">
        <v>41.83</v>
      </c>
      <c r="D9">
        <v>514.80999999999995</v>
      </c>
      <c r="E9">
        <v>199.94</v>
      </c>
      <c r="F9">
        <v>27.77</v>
      </c>
      <c r="G9">
        <v>445.45</v>
      </c>
      <c r="H9">
        <v>22.45</v>
      </c>
      <c r="I9">
        <v>74.23</v>
      </c>
      <c r="J9">
        <v>95.9</v>
      </c>
      <c r="K9">
        <v>67.14</v>
      </c>
      <c r="L9">
        <v>57.57</v>
      </c>
      <c r="M9">
        <v>71.34</v>
      </c>
      <c r="N9">
        <v>142.84</v>
      </c>
      <c r="O9">
        <v>52.29</v>
      </c>
      <c r="P9">
        <v>206.96</v>
      </c>
      <c r="Q9">
        <v>23.33</v>
      </c>
    </row>
    <row r="10" spans="2:17" x14ac:dyDescent="0.3">
      <c r="B10" s="2">
        <v>45357</v>
      </c>
      <c r="C10">
        <v>41.63</v>
      </c>
      <c r="D10">
        <v>509.75</v>
      </c>
      <c r="E10">
        <v>198.81</v>
      </c>
      <c r="F10">
        <v>27.91</v>
      </c>
      <c r="G10">
        <v>438.79</v>
      </c>
      <c r="H10">
        <v>22.35</v>
      </c>
      <c r="I10">
        <v>74.34</v>
      </c>
      <c r="J10">
        <v>95.99</v>
      </c>
      <c r="K10">
        <v>66.11</v>
      </c>
      <c r="L10">
        <v>56.98</v>
      </c>
      <c r="M10">
        <v>71.37</v>
      </c>
      <c r="N10">
        <v>141.32</v>
      </c>
      <c r="O10">
        <v>52.11</v>
      </c>
      <c r="P10">
        <v>205.25</v>
      </c>
      <c r="Q10">
        <v>23.53</v>
      </c>
    </row>
    <row r="11" spans="2:17" x14ac:dyDescent="0.3">
      <c r="B11" s="2">
        <v>45356</v>
      </c>
      <c r="C11">
        <v>41.12</v>
      </c>
      <c r="D11">
        <v>507.18</v>
      </c>
      <c r="E11">
        <v>197.19</v>
      </c>
      <c r="F11">
        <v>28.01</v>
      </c>
      <c r="G11">
        <v>436.05</v>
      </c>
      <c r="H11">
        <v>22.19</v>
      </c>
      <c r="I11">
        <v>73.45</v>
      </c>
      <c r="J11">
        <v>95.43</v>
      </c>
      <c r="K11">
        <v>65.41</v>
      </c>
      <c r="L11">
        <v>56.17</v>
      </c>
      <c r="M11">
        <v>70.3</v>
      </c>
      <c r="N11">
        <v>140.27000000000001</v>
      </c>
      <c r="O11">
        <v>51.72</v>
      </c>
      <c r="P11">
        <v>203.73</v>
      </c>
      <c r="Q11">
        <v>23.03</v>
      </c>
    </row>
    <row r="12" spans="2:17" x14ac:dyDescent="0.3">
      <c r="B12" s="2">
        <v>45355</v>
      </c>
      <c r="C12">
        <v>41.4</v>
      </c>
      <c r="D12">
        <v>512.29999999999995</v>
      </c>
      <c r="E12">
        <v>196.01</v>
      </c>
      <c r="F12">
        <v>28.04</v>
      </c>
      <c r="G12">
        <v>444.02</v>
      </c>
      <c r="H12">
        <v>22.45</v>
      </c>
      <c r="I12">
        <v>74.010000000000005</v>
      </c>
      <c r="J12">
        <v>94.09</v>
      </c>
      <c r="K12">
        <v>65.680000000000007</v>
      </c>
      <c r="L12">
        <v>56.64</v>
      </c>
      <c r="M12">
        <v>69.92</v>
      </c>
      <c r="N12">
        <v>141.37</v>
      </c>
      <c r="O12">
        <v>51.91</v>
      </c>
      <c r="P12">
        <v>205.7</v>
      </c>
      <c r="Q12">
        <v>23.39</v>
      </c>
    </row>
    <row r="13" spans="2:17" x14ac:dyDescent="0.3">
      <c r="B13" s="2">
        <v>45352</v>
      </c>
      <c r="C13">
        <v>41.57</v>
      </c>
      <c r="D13">
        <v>512.85</v>
      </c>
      <c r="E13">
        <v>192.89</v>
      </c>
      <c r="F13">
        <v>28.04</v>
      </c>
      <c r="G13">
        <v>445.61</v>
      </c>
      <c r="H13">
        <v>22.2</v>
      </c>
      <c r="I13">
        <v>74.959999999999994</v>
      </c>
      <c r="J13">
        <v>94.47</v>
      </c>
      <c r="K13">
        <v>65.77</v>
      </c>
      <c r="L13">
        <v>56.48</v>
      </c>
      <c r="M13">
        <v>70.33</v>
      </c>
      <c r="N13">
        <v>141.54</v>
      </c>
      <c r="O13">
        <v>51.92</v>
      </c>
      <c r="P13">
        <v>205.89</v>
      </c>
      <c r="Q13">
        <v>23.92</v>
      </c>
    </row>
    <row r="14" spans="2:17" x14ac:dyDescent="0.3">
      <c r="B14" s="2">
        <v>45351</v>
      </c>
      <c r="C14">
        <v>41.02</v>
      </c>
      <c r="D14">
        <v>508.08</v>
      </c>
      <c r="E14">
        <v>189.31</v>
      </c>
      <c r="F14">
        <v>28.09</v>
      </c>
      <c r="G14">
        <v>439</v>
      </c>
      <c r="H14">
        <v>22.18</v>
      </c>
      <c r="I14">
        <v>73.36</v>
      </c>
      <c r="J14">
        <v>94.18</v>
      </c>
      <c r="K14">
        <v>65.22</v>
      </c>
      <c r="L14">
        <v>55.84</v>
      </c>
      <c r="M14">
        <v>69.12</v>
      </c>
      <c r="N14">
        <v>140.28</v>
      </c>
      <c r="O14">
        <v>51.16</v>
      </c>
      <c r="P14">
        <v>203.73</v>
      </c>
      <c r="Q14">
        <v>23.42</v>
      </c>
    </row>
    <row r="15" spans="2:17" x14ac:dyDescent="0.3">
      <c r="B15" s="2">
        <v>45350</v>
      </c>
      <c r="C15">
        <v>40.93</v>
      </c>
      <c r="D15">
        <v>506.26</v>
      </c>
      <c r="E15">
        <v>188.34</v>
      </c>
      <c r="F15">
        <v>28.03</v>
      </c>
      <c r="G15">
        <v>435.27</v>
      </c>
      <c r="H15">
        <v>22.17</v>
      </c>
      <c r="I15">
        <v>73.62</v>
      </c>
      <c r="J15">
        <v>93.52</v>
      </c>
      <c r="K15">
        <v>65.19</v>
      </c>
      <c r="L15">
        <v>55.76</v>
      </c>
      <c r="M15">
        <v>68.67</v>
      </c>
      <c r="N15">
        <v>139.71</v>
      </c>
      <c r="O15">
        <v>51.06</v>
      </c>
      <c r="P15">
        <v>202.32</v>
      </c>
      <c r="Q15">
        <v>23.46</v>
      </c>
    </row>
    <row r="16" spans="2:17" x14ac:dyDescent="0.3">
      <c r="B16" s="2">
        <v>45349</v>
      </c>
      <c r="C16">
        <v>41.57</v>
      </c>
      <c r="D16">
        <v>506.93</v>
      </c>
      <c r="E16">
        <v>188</v>
      </c>
      <c r="F16">
        <v>28.01</v>
      </c>
      <c r="G16">
        <v>437.6</v>
      </c>
      <c r="H16">
        <v>22.44</v>
      </c>
      <c r="I16">
        <v>73.849999999999994</v>
      </c>
      <c r="J16">
        <v>92.93</v>
      </c>
      <c r="K16">
        <v>65.52</v>
      </c>
      <c r="L16">
        <v>56.17</v>
      </c>
      <c r="M16">
        <v>69.180000000000007</v>
      </c>
      <c r="N16">
        <v>140.15</v>
      </c>
      <c r="O16">
        <v>51.625</v>
      </c>
      <c r="P16">
        <v>204</v>
      </c>
      <c r="Q16">
        <v>24.32</v>
      </c>
    </row>
    <row r="17" spans="2:17" x14ac:dyDescent="0.3">
      <c r="B17" s="2">
        <v>45348</v>
      </c>
      <c r="C17">
        <v>41.44</v>
      </c>
      <c r="D17">
        <v>505.99</v>
      </c>
      <c r="E17">
        <v>188.2</v>
      </c>
      <c r="F17">
        <v>27.99</v>
      </c>
      <c r="G17">
        <v>436.55</v>
      </c>
      <c r="H17">
        <v>22.38</v>
      </c>
      <c r="I17">
        <v>72.790000000000006</v>
      </c>
      <c r="J17">
        <v>93.59</v>
      </c>
      <c r="K17">
        <v>65.41</v>
      </c>
      <c r="L17">
        <v>56.23</v>
      </c>
      <c r="M17">
        <v>69</v>
      </c>
      <c r="N17">
        <v>139.79</v>
      </c>
      <c r="O17">
        <v>51.56</v>
      </c>
      <c r="P17">
        <v>201.15</v>
      </c>
      <c r="Q17">
        <v>23.91</v>
      </c>
    </row>
    <row r="18" spans="2:17" x14ac:dyDescent="0.3">
      <c r="B18" s="2">
        <v>45345</v>
      </c>
      <c r="C18">
        <v>41.58</v>
      </c>
      <c r="D18">
        <v>507.85</v>
      </c>
      <c r="E18">
        <v>188.62</v>
      </c>
      <c r="F18">
        <v>28.04</v>
      </c>
      <c r="G18">
        <v>436.78</v>
      </c>
      <c r="H18">
        <v>22.16</v>
      </c>
      <c r="I18">
        <v>71.92</v>
      </c>
      <c r="J18">
        <v>93.87</v>
      </c>
      <c r="K18">
        <v>65.48</v>
      </c>
      <c r="L18">
        <v>56.43</v>
      </c>
      <c r="M18">
        <v>69.010000000000005</v>
      </c>
      <c r="N18">
        <v>140.33000000000001</v>
      </c>
      <c r="O18">
        <v>51.8</v>
      </c>
      <c r="P18">
        <v>199.89</v>
      </c>
      <c r="Q18">
        <v>24.12</v>
      </c>
    </row>
    <row r="19" spans="2:17" x14ac:dyDescent="0.3">
      <c r="B19" s="2">
        <v>45344</v>
      </c>
      <c r="C19">
        <v>41.57</v>
      </c>
      <c r="D19">
        <v>507.5</v>
      </c>
      <c r="E19">
        <v>187.56</v>
      </c>
      <c r="F19">
        <v>28.02</v>
      </c>
      <c r="G19">
        <v>438.07</v>
      </c>
      <c r="H19">
        <v>22.09</v>
      </c>
      <c r="I19">
        <v>73.599999999999994</v>
      </c>
      <c r="J19">
        <v>92.63</v>
      </c>
      <c r="K19">
        <v>65.400000000000006</v>
      </c>
      <c r="L19">
        <v>56.56</v>
      </c>
      <c r="M19">
        <v>68.900000000000006</v>
      </c>
      <c r="N19">
        <v>140.18</v>
      </c>
      <c r="O19">
        <v>51.73</v>
      </c>
      <c r="P19">
        <v>199.44</v>
      </c>
      <c r="Q19">
        <v>23.95</v>
      </c>
    </row>
    <row r="20" spans="2:17" x14ac:dyDescent="0.3">
      <c r="B20" s="2">
        <v>45343</v>
      </c>
      <c r="C20">
        <v>41.21</v>
      </c>
      <c r="D20">
        <v>497.21</v>
      </c>
      <c r="E20">
        <v>187.48</v>
      </c>
      <c r="F20">
        <v>28.02</v>
      </c>
      <c r="G20">
        <v>425.61</v>
      </c>
      <c r="H20">
        <v>22.15</v>
      </c>
      <c r="I20">
        <v>73.2</v>
      </c>
      <c r="J20">
        <v>92.18</v>
      </c>
      <c r="K20">
        <v>64.75</v>
      </c>
      <c r="L20">
        <v>56.09</v>
      </c>
      <c r="M20">
        <v>67.790000000000006</v>
      </c>
      <c r="N20">
        <v>137.69999999999999</v>
      </c>
      <c r="O20">
        <v>51.18</v>
      </c>
      <c r="P20">
        <v>197.94</v>
      </c>
      <c r="Q20">
        <v>23.59</v>
      </c>
    </row>
    <row r="21" spans="2:17" x14ac:dyDescent="0.3">
      <c r="B21" s="2">
        <v>45342</v>
      </c>
      <c r="C21">
        <v>41.17</v>
      </c>
      <c r="D21">
        <v>496.76</v>
      </c>
      <c r="E21">
        <v>187.47</v>
      </c>
      <c r="F21">
        <v>28.05</v>
      </c>
      <c r="G21">
        <v>427.32</v>
      </c>
      <c r="H21">
        <v>22</v>
      </c>
      <c r="I21">
        <v>72.42</v>
      </c>
      <c r="J21">
        <v>92.84</v>
      </c>
      <c r="K21">
        <v>64.67</v>
      </c>
      <c r="L21">
        <v>56.31</v>
      </c>
      <c r="M21">
        <v>67.930000000000007</v>
      </c>
      <c r="N21">
        <v>137.61000000000001</v>
      </c>
      <c r="O21">
        <v>51.56</v>
      </c>
      <c r="P21">
        <v>198.88</v>
      </c>
      <c r="Q21">
        <v>22.92</v>
      </c>
    </row>
    <row r="22" spans="2:17" x14ac:dyDescent="0.3">
      <c r="B22" s="2">
        <v>45338</v>
      </c>
      <c r="C22">
        <v>41.09</v>
      </c>
      <c r="D22">
        <v>499.51</v>
      </c>
      <c r="E22">
        <v>186.34</v>
      </c>
      <c r="F22">
        <v>28.09</v>
      </c>
      <c r="G22">
        <v>430.57</v>
      </c>
      <c r="H22">
        <v>21.69</v>
      </c>
      <c r="I22">
        <v>73.41</v>
      </c>
      <c r="J22">
        <v>92.76</v>
      </c>
      <c r="K22">
        <v>64.34</v>
      </c>
      <c r="L22">
        <v>56.01</v>
      </c>
      <c r="M22">
        <v>67.63</v>
      </c>
      <c r="N22">
        <v>138.04</v>
      </c>
      <c r="O22">
        <v>51.2</v>
      </c>
      <c r="P22">
        <v>201.66</v>
      </c>
      <c r="Q22">
        <v>23.07</v>
      </c>
    </row>
    <row r="23" spans="2:17" x14ac:dyDescent="0.3">
      <c r="B23" s="2">
        <v>45337</v>
      </c>
      <c r="C23">
        <v>40.89</v>
      </c>
      <c r="D23">
        <v>502.01</v>
      </c>
      <c r="E23">
        <v>185.66</v>
      </c>
      <c r="F23">
        <v>28.08</v>
      </c>
      <c r="G23">
        <v>434.51</v>
      </c>
      <c r="H23">
        <v>21.8</v>
      </c>
      <c r="I23">
        <v>72.84</v>
      </c>
      <c r="J23">
        <v>93.3</v>
      </c>
      <c r="K23">
        <v>64.239999999999995</v>
      </c>
      <c r="L23">
        <v>56.01</v>
      </c>
      <c r="M23">
        <v>67.64</v>
      </c>
      <c r="N23">
        <v>138.55000000000001</v>
      </c>
      <c r="O23">
        <v>51.08</v>
      </c>
      <c r="P23">
        <v>204.44</v>
      </c>
      <c r="Q23">
        <v>22.76</v>
      </c>
    </row>
    <row r="24" spans="2:17" x14ac:dyDescent="0.3">
      <c r="B24" s="2">
        <v>45336</v>
      </c>
      <c r="C24">
        <v>40.64</v>
      </c>
      <c r="D24">
        <v>498.57</v>
      </c>
      <c r="E24">
        <v>184.42</v>
      </c>
      <c r="F24">
        <v>28.19</v>
      </c>
      <c r="G24">
        <v>433.22</v>
      </c>
      <c r="H24">
        <v>21.89</v>
      </c>
      <c r="I24">
        <v>71.55</v>
      </c>
      <c r="J24">
        <v>92.82</v>
      </c>
      <c r="K24">
        <v>63.54</v>
      </c>
      <c r="L24">
        <v>55.79</v>
      </c>
      <c r="M24">
        <v>67</v>
      </c>
      <c r="N24">
        <v>137.38</v>
      </c>
      <c r="O24">
        <v>50.81</v>
      </c>
      <c r="P24">
        <v>199.13</v>
      </c>
      <c r="Q24">
        <v>22.67</v>
      </c>
    </row>
    <row r="25" spans="2:17" x14ac:dyDescent="0.3">
      <c r="B25" s="2">
        <v>45335</v>
      </c>
      <c r="C25">
        <v>40.06</v>
      </c>
      <c r="D25">
        <v>494.08</v>
      </c>
      <c r="E25">
        <v>184.53</v>
      </c>
      <c r="F25">
        <v>28.24</v>
      </c>
      <c r="G25">
        <v>428.55</v>
      </c>
      <c r="H25">
        <v>21.99</v>
      </c>
      <c r="I25">
        <v>72.650000000000006</v>
      </c>
      <c r="J25">
        <v>92.35</v>
      </c>
      <c r="K25">
        <v>62.66</v>
      </c>
      <c r="L25">
        <v>54.93</v>
      </c>
      <c r="M25">
        <v>66.739999999999995</v>
      </c>
      <c r="N25">
        <v>135.93</v>
      </c>
      <c r="O25">
        <v>49.97</v>
      </c>
      <c r="P25">
        <v>194.61</v>
      </c>
      <c r="Q25">
        <v>22.2</v>
      </c>
    </row>
    <row r="26" spans="2:17" x14ac:dyDescent="0.3">
      <c r="B26" s="2">
        <v>45334</v>
      </c>
      <c r="C26">
        <v>40.81</v>
      </c>
      <c r="D26">
        <v>500.98</v>
      </c>
      <c r="E26">
        <v>187.11</v>
      </c>
      <c r="F26">
        <v>28.02</v>
      </c>
      <c r="G26">
        <v>435.34</v>
      </c>
      <c r="H26">
        <v>22.05</v>
      </c>
      <c r="I26">
        <v>72.11</v>
      </c>
      <c r="J26">
        <v>93.96</v>
      </c>
      <c r="K26">
        <v>63.9</v>
      </c>
      <c r="L26">
        <v>55.98</v>
      </c>
      <c r="M26">
        <v>66.97</v>
      </c>
      <c r="N26">
        <v>138</v>
      </c>
      <c r="O26">
        <v>50.28</v>
      </c>
      <c r="P26">
        <v>202.96</v>
      </c>
      <c r="Q26">
        <v>22.72</v>
      </c>
    </row>
    <row r="27" spans="2:17" x14ac:dyDescent="0.3">
      <c r="B27" s="2">
        <v>45331</v>
      </c>
      <c r="C27">
        <v>40.630000000000003</v>
      </c>
      <c r="D27">
        <v>501.2</v>
      </c>
      <c r="E27">
        <v>187.6</v>
      </c>
      <c r="F27">
        <v>27.99</v>
      </c>
      <c r="G27">
        <v>437.05</v>
      </c>
      <c r="H27">
        <v>22.14</v>
      </c>
      <c r="I27">
        <v>71.67</v>
      </c>
      <c r="J27">
        <v>93.85</v>
      </c>
      <c r="K27">
        <v>63.85</v>
      </c>
      <c r="L27">
        <v>55.79</v>
      </c>
      <c r="M27">
        <v>66.63</v>
      </c>
      <c r="N27">
        <v>137.9</v>
      </c>
      <c r="O27">
        <v>50.72</v>
      </c>
      <c r="P27">
        <v>199.34</v>
      </c>
      <c r="Q27">
        <v>22.36</v>
      </c>
    </row>
    <row r="28" spans="2:17" x14ac:dyDescent="0.3">
      <c r="B28" s="2">
        <v>45330</v>
      </c>
      <c r="C28">
        <v>40.47</v>
      </c>
      <c r="D28">
        <v>498.32</v>
      </c>
      <c r="E28">
        <v>188.33</v>
      </c>
      <c r="F28">
        <v>28.01</v>
      </c>
      <c r="G28">
        <v>432.79</v>
      </c>
      <c r="H28">
        <v>22.06</v>
      </c>
      <c r="I28">
        <v>71.52</v>
      </c>
      <c r="J28">
        <v>94.04</v>
      </c>
      <c r="K28">
        <v>63.63</v>
      </c>
      <c r="L28">
        <v>55.52</v>
      </c>
      <c r="M28">
        <v>66.39</v>
      </c>
      <c r="N28">
        <v>137.22999999999999</v>
      </c>
      <c r="O28">
        <v>50.5</v>
      </c>
      <c r="P28">
        <v>196.15</v>
      </c>
      <c r="Q28">
        <v>22.1</v>
      </c>
    </row>
    <row r="29" spans="2:17" x14ac:dyDescent="0.3">
      <c r="B29" s="2">
        <v>45329</v>
      </c>
      <c r="C29">
        <v>40.68</v>
      </c>
      <c r="D29">
        <v>498.1</v>
      </c>
      <c r="E29">
        <v>188.5</v>
      </c>
      <c r="F29">
        <v>27.98</v>
      </c>
      <c r="G29">
        <v>431.99</v>
      </c>
      <c r="H29">
        <v>21.85</v>
      </c>
      <c r="I29">
        <v>69.42</v>
      </c>
      <c r="J29">
        <v>94.59</v>
      </c>
      <c r="K29">
        <v>63.63</v>
      </c>
      <c r="L29">
        <v>55.68</v>
      </c>
      <c r="M29">
        <v>66.56</v>
      </c>
      <c r="N29">
        <v>137.15</v>
      </c>
      <c r="O29">
        <v>50.89</v>
      </c>
      <c r="P29">
        <v>193.22</v>
      </c>
      <c r="Q29">
        <v>22.62</v>
      </c>
    </row>
    <row r="30" spans="2:17" x14ac:dyDescent="0.3">
      <c r="B30" s="2">
        <v>45328</v>
      </c>
      <c r="C30">
        <v>40.71</v>
      </c>
      <c r="D30">
        <v>493.98</v>
      </c>
      <c r="E30">
        <v>188.55</v>
      </c>
      <c r="F30">
        <v>28.01</v>
      </c>
      <c r="G30">
        <v>427.59</v>
      </c>
      <c r="H30">
        <v>21.77</v>
      </c>
      <c r="I30">
        <v>68.81</v>
      </c>
      <c r="J30">
        <v>95.05</v>
      </c>
      <c r="K30">
        <v>63.84</v>
      </c>
      <c r="L30">
        <v>55.36</v>
      </c>
      <c r="M30">
        <v>66.180000000000007</v>
      </c>
      <c r="N30">
        <v>136.37</v>
      </c>
      <c r="O30">
        <v>50.78</v>
      </c>
      <c r="P30">
        <v>193.67</v>
      </c>
      <c r="Q30">
        <v>23.13</v>
      </c>
    </row>
    <row r="31" spans="2:17" x14ac:dyDescent="0.3">
      <c r="B31" s="2">
        <v>45327</v>
      </c>
      <c r="C31">
        <v>39.729999999999997</v>
      </c>
      <c r="D31">
        <v>492.55</v>
      </c>
      <c r="E31">
        <v>187.57</v>
      </c>
      <c r="F31">
        <v>28.09</v>
      </c>
      <c r="G31">
        <v>428.45</v>
      </c>
      <c r="H31">
        <v>21.71</v>
      </c>
      <c r="I31">
        <v>68.180000000000007</v>
      </c>
      <c r="J31">
        <v>94.13</v>
      </c>
      <c r="K31">
        <v>63.33</v>
      </c>
      <c r="L31">
        <v>54.69</v>
      </c>
      <c r="M31">
        <v>66.19</v>
      </c>
      <c r="N31">
        <v>135.84</v>
      </c>
      <c r="O31">
        <v>50.11</v>
      </c>
      <c r="P31">
        <v>191.94</v>
      </c>
      <c r="Q31">
        <v>21.88</v>
      </c>
    </row>
    <row r="32" spans="2:17" x14ac:dyDescent="0.3">
      <c r="B32" s="2">
        <v>45324</v>
      </c>
      <c r="C32">
        <v>39.630000000000003</v>
      </c>
      <c r="D32">
        <v>494.35</v>
      </c>
      <c r="E32">
        <v>188.61</v>
      </c>
      <c r="F32">
        <v>27.94</v>
      </c>
      <c r="G32">
        <v>429.01</v>
      </c>
      <c r="H32">
        <v>21.7</v>
      </c>
      <c r="I32">
        <v>67.510000000000005</v>
      </c>
      <c r="J32">
        <v>96.07</v>
      </c>
      <c r="K32">
        <v>63.7</v>
      </c>
      <c r="L32">
        <v>54.8</v>
      </c>
      <c r="M32">
        <v>66.510000000000005</v>
      </c>
      <c r="N32">
        <v>136.44999999999999</v>
      </c>
      <c r="O32">
        <v>50.375</v>
      </c>
      <c r="P32">
        <v>194.41</v>
      </c>
      <c r="Q32">
        <v>21.41</v>
      </c>
    </row>
    <row r="33" spans="2:17" x14ac:dyDescent="0.3">
      <c r="B33" s="2">
        <v>45323</v>
      </c>
      <c r="C33">
        <v>39.909999999999997</v>
      </c>
      <c r="D33">
        <v>489.2</v>
      </c>
      <c r="E33">
        <v>190.41</v>
      </c>
      <c r="F33">
        <v>27.69</v>
      </c>
      <c r="G33">
        <v>421.88</v>
      </c>
      <c r="H33">
        <v>21.69</v>
      </c>
      <c r="I33">
        <v>69.069999999999993</v>
      </c>
      <c r="J33">
        <v>98.24</v>
      </c>
      <c r="K33">
        <v>64.319999999999993</v>
      </c>
      <c r="L33">
        <v>54.68</v>
      </c>
      <c r="M33">
        <v>66.92</v>
      </c>
      <c r="N33">
        <v>135.75</v>
      </c>
      <c r="O33">
        <v>50.23</v>
      </c>
      <c r="P33">
        <v>195.44</v>
      </c>
      <c r="Q33">
        <v>21.86</v>
      </c>
    </row>
    <row r="34" spans="2:17" x14ac:dyDescent="0.3">
      <c r="B34" s="2">
        <v>45322</v>
      </c>
      <c r="C34">
        <v>39.64</v>
      </c>
      <c r="D34">
        <v>482.88</v>
      </c>
      <c r="E34">
        <v>188.45</v>
      </c>
      <c r="F34">
        <v>27.83</v>
      </c>
      <c r="G34">
        <v>416.97</v>
      </c>
      <c r="H34">
        <v>21.63</v>
      </c>
      <c r="I34">
        <v>70.92</v>
      </c>
      <c r="J34">
        <v>96.66</v>
      </c>
      <c r="K34">
        <v>63.69</v>
      </c>
      <c r="L34">
        <v>54.06</v>
      </c>
      <c r="M34">
        <v>66.209999999999994</v>
      </c>
      <c r="N34">
        <v>134.19999999999999</v>
      </c>
      <c r="O34">
        <v>49.89</v>
      </c>
      <c r="P34">
        <v>192.88</v>
      </c>
      <c r="Q34">
        <v>21.76</v>
      </c>
    </row>
    <row r="35" spans="2:17" x14ac:dyDescent="0.3">
      <c r="B35" s="2">
        <v>45321</v>
      </c>
      <c r="C35">
        <v>39.79</v>
      </c>
      <c r="D35">
        <v>490.89</v>
      </c>
      <c r="E35">
        <v>188.59</v>
      </c>
      <c r="F35">
        <v>27.76</v>
      </c>
      <c r="G35">
        <v>425.3</v>
      </c>
      <c r="H35">
        <v>21.67</v>
      </c>
      <c r="I35">
        <v>72.81</v>
      </c>
      <c r="J35">
        <v>95.72</v>
      </c>
      <c r="K35">
        <v>64.17</v>
      </c>
      <c r="L35">
        <v>54.38</v>
      </c>
      <c r="M35">
        <v>65.930000000000007</v>
      </c>
      <c r="N35">
        <v>135.99</v>
      </c>
      <c r="O35">
        <v>49.52</v>
      </c>
      <c r="P35">
        <v>197.71</v>
      </c>
      <c r="Q35">
        <v>21.93</v>
      </c>
    </row>
    <row r="36" spans="2:17" x14ac:dyDescent="0.3">
      <c r="B36" s="2">
        <v>45320</v>
      </c>
      <c r="C36">
        <v>40.17</v>
      </c>
      <c r="D36">
        <v>491.27</v>
      </c>
      <c r="E36">
        <v>188.33</v>
      </c>
      <c r="F36">
        <v>27.78</v>
      </c>
      <c r="G36">
        <v>428.15</v>
      </c>
      <c r="H36">
        <v>21.35</v>
      </c>
      <c r="I36">
        <v>72.05</v>
      </c>
      <c r="J36">
        <v>94.86</v>
      </c>
      <c r="K36">
        <v>64.14</v>
      </c>
      <c r="L36">
        <v>54.68</v>
      </c>
      <c r="M36">
        <v>66.17</v>
      </c>
      <c r="N36">
        <v>136.11000000000001</v>
      </c>
      <c r="O36">
        <v>49.98</v>
      </c>
      <c r="P36">
        <v>199.41</v>
      </c>
      <c r="Q36">
        <v>22.29</v>
      </c>
    </row>
    <row r="37" spans="2:17" x14ac:dyDescent="0.3">
      <c r="B37" s="2">
        <v>45317</v>
      </c>
      <c r="C37">
        <v>40.159999999999997</v>
      </c>
      <c r="D37">
        <v>487.41</v>
      </c>
      <c r="E37">
        <v>187.01</v>
      </c>
      <c r="F37">
        <v>27.78</v>
      </c>
      <c r="G37">
        <v>423.81</v>
      </c>
      <c r="H37">
        <v>21.45</v>
      </c>
      <c r="I37">
        <v>73.099999999999994</v>
      </c>
      <c r="J37">
        <v>93.78</v>
      </c>
      <c r="K37">
        <v>63.93</v>
      </c>
      <c r="L37">
        <v>54.27</v>
      </c>
      <c r="M37">
        <v>65.39</v>
      </c>
      <c r="N37">
        <v>135.07</v>
      </c>
      <c r="O37">
        <v>49.19</v>
      </c>
      <c r="P37">
        <v>195.98</v>
      </c>
      <c r="Q37">
        <v>22.6</v>
      </c>
    </row>
    <row r="38" spans="2:17" x14ac:dyDescent="0.3">
      <c r="B38" s="2">
        <v>45316</v>
      </c>
      <c r="C38">
        <v>40.15</v>
      </c>
      <c r="D38">
        <v>488.03</v>
      </c>
      <c r="E38">
        <v>187.14</v>
      </c>
      <c r="F38">
        <v>27.78</v>
      </c>
      <c r="G38">
        <v>426.35</v>
      </c>
      <c r="H38">
        <v>21.4</v>
      </c>
      <c r="I38">
        <v>72.23</v>
      </c>
      <c r="J38">
        <v>93.96</v>
      </c>
      <c r="K38">
        <v>63.36</v>
      </c>
      <c r="L38">
        <v>54.06</v>
      </c>
      <c r="M38">
        <v>65.92</v>
      </c>
      <c r="N38">
        <v>134.94999999999999</v>
      </c>
      <c r="O38">
        <v>49.11</v>
      </c>
      <c r="P38">
        <v>195.97</v>
      </c>
      <c r="Q38">
        <v>22.75</v>
      </c>
    </row>
    <row r="39" spans="2:17" x14ac:dyDescent="0.3">
      <c r="B39" s="2">
        <v>45315</v>
      </c>
      <c r="C39">
        <v>40.049999999999997</v>
      </c>
      <c r="D39">
        <v>485.39</v>
      </c>
      <c r="E39">
        <v>186.4</v>
      </c>
      <c r="F39">
        <v>27.7</v>
      </c>
      <c r="G39">
        <v>425.83</v>
      </c>
      <c r="H39">
        <v>21.5</v>
      </c>
      <c r="I39">
        <v>70.540000000000006</v>
      </c>
      <c r="J39">
        <v>93.35</v>
      </c>
      <c r="K39">
        <v>63.07</v>
      </c>
      <c r="L39">
        <v>54.04</v>
      </c>
      <c r="M39">
        <v>66.17</v>
      </c>
      <c r="N39">
        <v>134.41999999999999</v>
      </c>
      <c r="O39">
        <v>49.2</v>
      </c>
      <c r="P39">
        <v>194.36</v>
      </c>
      <c r="Q39">
        <v>22.77</v>
      </c>
    </row>
    <row r="40" spans="2:17" x14ac:dyDescent="0.3">
      <c r="B40" s="2">
        <v>45314</v>
      </c>
      <c r="C40">
        <v>39.54</v>
      </c>
      <c r="D40">
        <v>484.86</v>
      </c>
      <c r="E40">
        <v>187.95</v>
      </c>
      <c r="F40">
        <v>27.78</v>
      </c>
      <c r="G40">
        <v>423.48</v>
      </c>
      <c r="H40">
        <v>21.34</v>
      </c>
      <c r="I40">
        <v>69.66</v>
      </c>
      <c r="J40">
        <v>93.9</v>
      </c>
      <c r="K40">
        <v>62.45</v>
      </c>
      <c r="L40">
        <v>53.74</v>
      </c>
      <c r="M40">
        <v>66.09</v>
      </c>
      <c r="N40">
        <v>134.11000000000001</v>
      </c>
      <c r="O40">
        <v>48.68</v>
      </c>
      <c r="P40">
        <v>195.97</v>
      </c>
      <c r="Q40">
        <v>22.11</v>
      </c>
    </row>
    <row r="41" spans="2:17" x14ac:dyDescent="0.3">
      <c r="B41" s="2">
        <v>45313</v>
      </c>
      <c r="C41">
        <v>39.32</v>
      </c>
      <c r="D41">
        <v>483.45</v>
      </c>
      <c r="E41">
        <v>187.22</v>
      </c>
      <c r="F41">
        <v>27.71</v>
      </c>
      <c r="G41">
        <v>421.73</v>
      </c>
      <c r="H41">
        <v>21.1</v>
      </c>
      <c r="I41">
        <v>69.69</v>
      </c>
      <c r="J41">
        <v>94.65</v>
      </c>
      <c r="K41">
        <v>62.6</v>
      </c>
      <c r="L41">
        <v>53.74</v>
      </c>
      <c r="M41">
        <v>66.680000000000007</v>
      </c>
      <c r="N41">
        <v>133.94</v>
      </c>
      <c r="O41">
        <v>49.77</v>
      </c>
      <c r="P41">
        <v>196.54</v>
      </c>
      <c r="Q41">
        <v>21.14</v>
      </c>
    </row>
    <row r="42" spans="2:17" x14ac:dyDescent="0.3">
      <c r="B42" s="2">
        <v>45310</v>
      </c>
      <c r="C42">
        <v>39.630000000000003</v>
      </c>
      <c r="D42">
        <v>482.43</v>
      </c>
      <c r="E42">
        <v>187.93</v>
      </c>
      <c r="F42">
        <v>27.7</v>
      </c>
      <c r="G42">
        <v>421.18</v>
      </c>
      <c r="H42">
        <v>21.01</v>
      </c>
      <c r="I42">
        <v>68.819999999999993</v>
      </c>
      <c r="J42">
        <v>94.09</v>
      </c>
      <c r="K42">
        <v>62.49</v>
      </c>
      <c r="L42">
        <v>53.95</v>
      </c>
      <c r="M42">
        <v>65.900000000000006</v>
      </c>
      <c r="N42">
        <v>133.63</v>
      </c>
      <c r="O42">
        <v>49.59</v>
      </c>
      <c r="P42">
        <v>192.43</v>
      </c>
      <c r="Q42">
        <v>21.68</v>
      </c>
    </row>
    <row r="43" spans="2:17" x14ac:dyDescent="0.3">
      <c r="B43" s="2">
        <v>45309</v>
      </c>
      <c r="C43">
        <v>39.270000000000003</v>
      </c>
      <c r="D43">
        <v>476.49</v>
      </c>
      <c r="E43">
        <v>187.37</v>
      </c>
      <c r="F43">
        <v>27.74</v>
      </c>
      <c r="G43">
        <v>412.99</v>
      </c>
      <c r="H43">
        <v>20.85</v>
      </c>
      <c r="I43">
        <v>69.06</v>
      </c>
      <c r="J43">
        <v>93.79</v>
      </c>
      <c r="K43">
        <v>62.47</v>
      </c>
      <c r="L43">
        <v>53.29</v>
      </c>
      <c r="M43">
        <v>65.73</v>
      </c>
      <c r="N43">
        <v>132.25</v>
      </c>
      <c r="O43">
        <v>49.08</v>
      </c>
      <c r="P43">
        <v>190.6</v>
      </c>
      <c r="Q43">
        <v>21.53</v>
      </c>
    </row>
    <row r="44" spans="2:17" x14ac:dyDescent="0.3">
      <c r="B44" s="2">
        <v>45308</v>
      </c>
      <c r="C44">
        <v>39.04</v>
      </c>
      <c r="D44">
        <v>472.29</v>
      </c>
      <c r="E44">
        <v>185.84</v>
      </c>
      <c r="F44">
        <v>27.71</v>
      </c>
      <c r="G44">
        <v>407.21</v>
      </c>
      <c r="H44">
        <v>20.61</v>
      </c>
      <c r="I44">
        <v>67.94</v>
      </c>
      <c r="J44">
        <v>94.67</v>
      </c>
      <c r="K44">
        <v>61.92</v>
      </c>
      <c r="L44">
        <v>52.7</v>
      </c>
      <c r="M44">
        <v>65.12</v>
      </c>
      <c r="N44">
        <v>131.15</v>
      </c>
      <c r="O44">
        <v>48.83</v>
      </c>
      <c r="P44">
        <v>189.48</v>
      </c>
      <c r="Q44">
        <v>21.45</v>
      </c>
    </row>
    <row r="45" spans="2:17" x14ac:dyDescent="0.3">
      <c r="B45" s="2">
        <v>45307</v>
      </c>
      <c r="C45">
        <v>39.57</v>
      </c>
      <c r="D45">
        <v>474.93</v>
      </c>
      <c r="E45">
        <v>187.91</v>
      </c>
      <c r="F45">
        <v>27.69</v>
      </c>
      <c r="G45">
        <v>409.52</v>
      </c>
      <c r="H45">
        <v>20.76</v>
      </c>
      <c r="I45">
        <v>67.25</v>
      </c>
      <c r="J45">
        <v>94.82</v>
      </c>
      <c r="K45">
        <v>62.41</v>
      </c>
      <c r="L45">
        <v>53.34</v>
      </c>
      <c r="M45">
        <v>65.94</v>
      </c>
      <c r="N45">
        <v>132.01</v>
      </c>
      <c r="O45">
        <v>49.4</v>
      </c>
      <c r="P45">
        <v>190.84</v>
      </c>
      <c r="Q45">
        <v>22.02</v>
      </c>
    </row>
    <row r="46" spans="2:17" x14ac:dyDescent="0.3">
      <c r="B46" s="2">
        <v>45303</v>
      </c>
      <c r="C46">
        <v>40.409999999999997</v>
      </c>
      <c r="D46">
        <v>476.68</v>
      </c>
      <c r="E46">
        <v>189.71</v>
      </c>
      <c r="F46">
        <v>27.45</v>
      </c>
      <c r="G46">
        <v>409.56</v>
      </c>
      <c r="H46">
        <v>20.61</v>
      </c>
      <c r="I46">
        <v>68.02</v>
      </c>
      <c r="J46">
        <v>96.52</v>
      </c>
      <c r="K46">
        <v>63.62</v>
      </c>
      <c r="L46">
        <v>54.55</v>
      </c>
      <c r="M46">
        <v>66.430000000000007</v>
      </c>
      <c r="N46">
        <v>132.93</v>
      </c>
      <c r="O46">
        <v>49.96</v>
      </c>
      <c r="P46">
        <v>193.23</v>
      </c>
      <c r="Q46">
        <v>22.73</v>
      </c>
    </row>
    <row r="47" spans="2:17" x14ac:dyDescent="0.3">
      <c r="B47" s="2">
        <v>45302</v>
      </c>
      <c r="C47">
        <v>40.22</v>
      </c>
      <c r="D47">
        <v>476.35</v>
      </c>
      <c r="E47">
        <v>187.87</v>
      </c>
      <c r="F47">
        <v>27.42</v>
      </c>
      <c r="G47">
        <v>409.35</v>
      </c>
      <c r="H47">
        <v>20.72</v>
      </c>
      <c r="I47">
        <v>67.650000000000006</v>
      </c>
      <c r="J47">
        <v>96.71</v>
      </c>
      <c r="K47">
        <v>63.44</v>
      </c>
      <c r="L47">
        <v>54.24</v>
      </c>
      <c r="M47">
        <v>65.8</v>
      </c>
      <c r="N47">
        <v>132.82</v>
      </c>
      <c r="O47">
        <v>49.19</v>
      </c>
      <c r="P47">
        <v>193.55</v>
      </c>
      <c r="Q47">
        <v>22.83</v>
      </c>
    </row>
    <row r="48" spans="2:17" x14ac:dyDescent="0.3">
      <c r="B48" s="2">
        <v>45301</v>
      </c>
      <c r="C48">
        <v>40.049999999999997</v>
      </c>
      <c r="D48">
        <v>476.56</v>
      </c>
      <c r="E48">
        <v>187.5</v>
      </c>
      <c r="F48">
        <v>27.4</v>
      </c>
      <c r="G48">
        <v>408.5</v>
      </c>
      <c r="H48">
        <v>20.61</v>
      </c>
      <c r="I48">
        <v>66.56</v>
      </c>
      <c r="J48">
        <v>96.17</v>
      </c>
      <c r="K48">
        <v>63.72</v>
      </c>
      <c r="L48">
        <v>54.12</v>
      </c>
      <c r="M48">
        <v>65.22</v>
      </c>
      <c r="N48">
        <v>132.83000000000001</v>
      </c>
      <c r="O48">
        <v>49.15</v>
      </c>
      <c r="P48">
        <v>195.08</v>
      </c>
      <c r="Q48">
        <v>22.49</v>
      </c>
    </row>
    <row r="49" spans="2:17" x14ac:dyDescent="0.3">
      <c r="B49" s="2">
        <v>45300</v>
      </c>
      <c r="C49">
        <v>40.090000000000003</v>
      </c>
      <c r="D49">
        <v>473.88</v>
      </c>
      <c r="E49">
        <v>187.93</v>
      </c>
      <c r="F49">
        <v>27.45</v>
      </c>
      <c r="G49">
        <v>405.75</v>
      </c>
      <c r="H49">
        <v>20.65</v>
      </c>
      <c r="I49">
        <v>67.39</v>
      </c>
      <c r="J49">
        <v>96.62</v>
      </c>
      <c r="K49">
        <v>63.45</v>
      </c>
      <c r="L49">
        <v>54.23</v>
      </c>
      <c r="M49">
        <v>64.069999999999993</v>
      </c>
      <c r="N49">
        <v>132.06</v>
      </c>
      <c r="O49">
        <v>48.85</v>
      </c>
      <c r="P49">
        <v>194.97</v>
      </c>
      <c r="Q49">
        <v>22.48</v>
      </c>
    </row>
    <row r="50" spans="2:17" x14ac:dyDescent="0.3">
      <c r="B50" s="2">
        <v>45299</v>
      </c>
      <c r="C50">
        <v>40.56</v>
      </c>
      <c r="D50">
        <v>474.6</v>
      </c>
      <c r="E50">
        <v>187.87</v>
      </c>
      <c r="F50">
        <v>27.36</v>
      </c>
      <c r="G50">
        <v>404.95</v>
      </c>
      <c r="H50">
        <v>20.51</v>
      </c>
      <c r="I50">
        <v>66.400000000000006</v>
      </c>
      <c r="J50">
        <v>97.24</v>
      </c>
      <c r="K50">
        <v>64.09</v>
      </c>
      <c r="L50">
        <v>54.99</v>
      </c>
      <c r="M50">
        <v>64.459999999999994</v>
      </c>
      <c r="N50">
        <v>132.59</v>
      </c>
      <c r="O50">
        <v>49.09</v>
      </c>
      <c r="P50">
        <v>196.73</v>
      </c>
      <c r="Q50">
        <v>22.94</v>
      </c>
    </row>
    <row r="51" spans="2:17" x14ac:dyDescent="0.3">
      <c r="B51" s="2">
        <v>45296</v>
      </c>
      <c r="C51">
        <v>40.49</v>
      </c>
      <c r="D51">
        <v>467.92</v>
      </c>
      <c r="E51">
        <v>189.35</v>
      </c>
      <c r="F51">
        <v>27.41</v>
      </c>
      <c r="G51">
        <v>396.75</v>
      </c>
      <c r="H51">
        <v>20.58</v>
      </c>
      <c r="I51">
        <v>69.03</v>
      </c>
      <c r="J51">
        <v>96.29</v>
      </c>
      <c r="K51">
        <v>63.37</v>
      </c>
      <c r="L51">
        <v>54.54</v>
      </c>
      <c r="M51">
        <v>63.53</v>
      </c>
      <c r="N51">
        <v>130.86000000000001</v>
      </c>
      <c r="O51">
        <v>49.09</v>
      </c>
      <c r="P51">
        <v>193.25</v>
      </c>
      <c r="Q51">
        <v>23.23</v>
      </c>
    </row>
    <row r="52" spans="2:17" x14ac:dyDescent="0.3">
      <c r="B52" s="2">
        <v>45295</v>
      </c>
      <c r="C52">
        <v>40.43</v>
      </c>
      <c r="D52">
        <v>467.28</v>
      </c>
      <c r="E52">
        <v>189.32</v>
      </c>
      <c r="F52">
        <v>27.41</v>
      </c>
      <c r="G52">
        <v>396.28</v>
      </c>
      <c r="H52">
        <v>20.72</v>
      </c>
      <c r="I52">
        <v>67.569999999999993</v>
      </c>
      <c r="J52">
        <v>97.22</v>
      </c>
      <c r="K52">
        <v>63.49</v>
      </c>
      <c r="L52">
        <v>54.34</v>
      </c>
      <c r="M52">
        <v>63.06</v>
      </c>
      <c r="N52">
        <v>130.69999999999999</v>
      </c>
      <c r="O52">
        <v>49.01</v>
      </c>
      <c r="P52">
        <v>193.82</v>
      </c>
      <c r="Q52">
        <v>23.36</v>
      </c>
    </row>
    <row r="53" spans="2:17" x14ac:dyDescent="0.3">
      <c r="B53" s="2">
        <v>45294</v>
      </c>
      <c r="C53">
        <v>40.5</v>
      </c>
      <c r="D53">
        <v>468.79</v>
      </c>
      <c r="E53">
        <v>189.13</v>
      </c>
      <c r="F53">
        <v>27.41</v>
      </c>
      <c r="G53">
        <v>398.33</v>
      </c>
      <c r="H53">
        <v>20.59</v>
      </c>
      <c r="I53">
        <v>68.19</v>
      </c>
      <c r="J53">
        <v>98.72</v>
      </c>
      <c r="K53">
        <v>63.13</v>
      </c>
      <c r="L53">
        <v>54.3</v>
      </c>
      <c r="M53">
        <v>63.21</v>
      </c>
      <c r="N53">
        <v>130.85</v>
      </c>
      <c r="O53">
        <v>48.59</v>
      </c>
      <c r="P53">
        <v>194.2</v>
      </c>
      <c r="Q53">
        <v>23.67</v>
      </c>
    </row>
    <row r="54" spans="2:17" x14ac:dyDescent="0.3">
      <c r="B54" s="2">
        <v>45293</v>
      </c>
      <c r="C54">
        <v>40.619999999999997</v>
      </c>
      <c r="D54">
        <v>472.65</v>
      </c>
      <c r="E54">
        <v>190.72</v>
      </c>
      <c r="F54">
        <v>27.32</v>
      </c>
      <c r="G54">
        <v>402.59</v>
      </c>
      <c r="H54">
        <v>20.69</v>
      </c>
      <c r="I54">
        <v>65.77</v>
      </c>
      <c r="J54">
        <v>98.31</v>
      </c>
      <c r="K54">
        <v>63.67</v>
      </c>
      <c r="L54">
        <v>54.92</v>
      </c>
      <c r="M54">
        <v>63.56</v>
      </c>
      <c r="N54">
        <v>131.91</v>
      </c>
      <c r="O54">
        <v>48.67</v>
      </c>
      <c r="P54">
        <v>199.52</v>
      </c>
      <c r="Q54">
        <v>23.24</v>
      </c>
    </row>
    <row r="55" spans="2:17" x14ac:dyDescent="0.3">
      <c r="B55" s="2">
        <v>45289</v>
      </c>
      <c r="C55">
        <v>41.1</v>
      </c>
      <c r="D55">
        <v>475.31</v>
      </c>
      <c r="E55">
        <v>191.17</v>
      </c>
      <c r="F55">
        <v>27.09</v>
      </c>
      <c r="G55">
        <v>409.52</v>
      </c>
      <c r="H55">
        <v>20.74</v>
      </c>
      <c r="I55">
        <v>66.650000000000006</v>
      </c>
      <c r="J55">
        <v>98.88</v>
      </c>
      <c r="K55">
        <v>64.48</v>
      </c>
      <c r="L55">
        <v>55.41</v>
      </c>
      <c r="M55">
        <v>64.14</v>
      </c>
      <c r="N55">
        <v>133.02000000000001</v>
      </c>
      <c r="O55">
        <v>48.81</v>
      </c>
      <c r="P55">
        <v>200.71</v>
      </c>
      <c r="Q55">
        <v>24.03</v>
      </c>
    </row>
    <row r="56" spans="2:17" x14ac:dyDescent="0.3">
      <c r="B56" s="2">
        <v>45288</v>
      </c>
      <c r="C56">
        <v>40.99</v>
      </c>
      <c r="D56">
        <v>476.69</v>
      </c>
      <c r="E56">
        <v>191.47</v>
      </c>
      <c r="F56">
        <v>27.04</v>
      </c>
      <c r="G56">
        <v>411.3</v>
      </c>
      <c r="H56">
        <v>21.05</v>
      </c>
      <c r="I56">
        <v>67.180000000000007</v>
      </c>
      <c r="J56">
        <v>99.78</v>
      </c>
      <c r="K56">
        <v>64.42</v>
      </c>
      <c r="L56">
        <v>55.5</v>
      </c>
      <c r="M56">
        <v>64.040000000000006</v>
      </c>
      <c r="N56">
        <v>133.28</v>
      </c>
      <c r="O56">
        <v>49.02</v>
      </c>
      <c r="P56">
        <v>204.04</v>
      </c>
      <c r="Q56">
        <v>23.88</v>
      </c>
    </row>
    <row r="57" spans="2:17" x14ac:dyDescent="0.3">
      <c r="B57" s="2">
        <v>45287</v>
      </c>
      <c r="C57">
        <v>40.74</v>
      </c>
      <c r="D57">
        <v>476.51</v>
      </c>
      <c r="E57">
        <v>192.59</v>
      </c>
      <c r="F57">
        <v>26.95</v>
      </c>
      <c r="G57">
        <v>411.5</v>
      </c>
      <c r="H57">
        <v>21</v>
      </c>
      <c r="I57">
        <v>68.92</v>
      </c>
      <c r="J57">
        <v>100.51</v>
      </c>
      <c r="K57">
        <v>64.86</v>
      </c>
      <c r="L57">
        <v>55.35</v>
      </c>
      <c r="M57">
        <v>63.66</v>
      </c>
      <c r="N57">
        <v>133.36000000000001</v>
      </c>
      <c r="O57">
        <v>48.84</v>
      </c>
      <c r="P57">
        <v>204.82</v>
      </c>
      <c r="Q57">
        <v>23.25</v>
      </c>
    </row>
    <row r="58" spans="2:17" x14ac:dyDescent="0.3">
      <c r="B58" s="2">
        <v>45286</v>
      </c>
      <c r="C58">
        <v>40.520000000000003</v>
      </c>
      <c r="D58">
        <v>475.65</v>
      </c>
      <c r="E58">
        <v>191.72</v>
      </c>
      <c r="F58">
        <v>27.09</v>
      </c>
      <c r="G58">
        <v>410.88</v>
      </c>
      <c r="H58">
        <v>20.98</v>
      </c>
      <c r="I58">
        <v>70.209999999999994</v>
      </c>
      <c r="J58">
        <v>98.76</v>
      </c>
      <c r="K58">
        <v>64.5</v>
      </c>
      <c r="L58">
        <v>54.93</v>
      </c>
      <c r="M58">
        <v>63.31</v>
      </c>
      <c r="N58">
        <v>132.97999999999999</v>
      </c>
      <c r="O58">
        <v>48.53</v>
      </c>
      <c r="P58">
        <v>204.1</v>
      </c>
      <c r="Q58">
        <v>23.22</v>
      </c>
    </row>
    <row r="59" spans="2:17" x14ac:dyDescent="0.3">
      <c r="B59" s="2">
        <v>45282</v>
      </c>
      <c r="C59">
        <v>40.26</v>
      </c>
      <c r="D59">
        <v>473.65</v>
      </c>
      <c r="E59">
        <v>190.27</v>
      </c>
      <c r="F59">
        <v>27.15</v>
      </c>
      <c r="G59">
        <v>408.38</v>
      </c>
      <c r="H59">
        <v>20.89</v>
      </c>
      <c r="I59">
        <v>68.69</v>
      </c>
      <c r="J59">
        <v>98.474999999999994</v>
      </c>
      <c r="K59">
        <v>64.099999999999994</v>
      </c>
      <c r="L59">
        <v>54.45</v>
      </c>
      <c r="M59">
        <v>63.33</v>
      </c>
      <c r="N59">
        <v>132.43</v>
      </c>
      <c r="O59">
        <v>48.36</v>
      </c>
      <c r="P59">
        <v>201.48</v>
      </c>
      <c r="Q59">
        <v>23.05</v>
      </c>
    </row>
    <row r="60" spans="2:17" x14ac:dyDescent="0.3">
      <c r="B60" s="2">
        <v>45281</v>
      </c>
      <c r="C60">
        <v>40.4</v>
      </c>
      <c r="D60">
        <v>472.7</v>
      </c>
      <c r="E60">
        <v>189.43</v>
      </c>
      <c r="F60">
        <v>27.16</v>
      </c>
      <c r="G60">
        <v>407.77</v>
      </c>
      <c r="H60">
        <v>20.79</v>
      </c>
      <c r="I60">
        <v>69.03</v>
      </c>
      <c r="J60">
        <v>98.93</v>
      </c>
      <c r="K60">
        <v>64.06</v>
      </c>
      <c r="L60">
        <v>54.31</v>
      </c>
      <c r="M60">
        <v>63.13</v>
      </c>
      <c r="N60">
        <v>132.16</v>
      </c>
      <c r="O60">
        <v>48.16</v>
      </c>
      <c r="P60">
        <v>199.62</v>
      </c>
      <c r="Q60">
        <v>23.71</v>
      </c>
    </row>
    <row r="61" spans="2:17" x14ac:dyDescent="0.3">
      <c r="B61" s="2">
        <v>45280</v>
      </c>
      <c r="C61">
        <v>39.630000000000003</v>
      </c>
      <c r="D61">
        <v>468.26</v>
      </c>
      <c r="E61">
        <v>188.1</v>
      </c>
      <c r="F61">
        <v>27.34</v>
      </c>
      <c r="G61">
        <v>403.08</v>
      </c>
      <c r="H61">
        <v>20.82</v>
      </c>
      <c r="I61">
        <v>68.790000000000006</v>
      </c>
      <c r="J61">
        <v>99.56</v>
      </c>
      <c r="K61">
        <v>63.12</v>
      </c>
      <c r="L61">
        <v>53.42</v>
      </c>
      <c r="M61">
        <v>62.05</v>
      </c>
      <c r="N61">
        <v>130.63</v>
      </c>
      <c r="O61">
        <v>47.4</v>
      </c>
      <c r="P61">
        <v>196.28</v>
      </c>
      <c r="Q61">
        <v>22.91</v>
      </c>
    </row>
    <row r="62" spans="2:17" x14ac:dyDescent="0.3">
      <c r="B62" s="2">
        <v>45279</v>
      </c>
      <c r="C62">
        <v>40.479999999999997</v>
      </c>
      <c r="D62">
        <v>474.84</v>
      </c>
      <c r="E62">
        <v>189.13</v>
      </c>
      <c r="F62">
        <v>27.22</v>
      </c>
      <c r="G62">
        <v>409.16</v>
      </c>
      <c r="H62">
        <v>21.07</v>
      </c>
      <c r="I62">
        <v>69.36</v>
      </c>
      <c r="J62">
        <v>98.89</v>
      </c>
      <c r="K62">
        <v>63.87</v>
      </c>
      <c r="L62">
        <v>54.89</v>
      </c>
      <c r="M62">
        <v>63.24</v>
      </c>
      <c r="N62">
        <v>133.47999999999999</v>
      </c>
      <c r="O62">
        <v>48.72</v>
      </c>
      <c r="P62">
        <v>200.93</v>
      </c>
      <c r="Q62">
        <v>24.2</v>
      </c>
    </row>
    <row r="63" spans="2:17" x14ac:dyDescent="0.3">
      <c r="B63" s="2">
        <v>45278</v>
      </c>
      <c r="C63">
        <v>40.200000000000003</v>
      </c>
      <c r="D63">
        <v>471.97</v>
      </c>
      <c r="E63">
        <v>187.85</v>
      </c>
      <c r="F63">
        <v>27.34</v>
      </c>
      <c r="G63">
        <v>407.08</v>
      </c>
      <c r="H63">
        <v>21.02</v>
      </c>
      <c r="I63">
        <v>68.09</v>
      </c>
      <c r="J63">
        <v>98.36</v>
      </c>
      <c r="K63">
        <v>63.21</v>
      </c>
      <c r="L63">
        <v>54.52</v>
      </c>
      <c r="M63">
        <v>63.05</v>
      </c>
      <c r="N63">
        <v>132.56</v>
      </c>
      <c r="O63">
        <v>48.454999999999998</v>
      </c>
      <c r="P63">
        <v>197.11</v>
      </c>
      <c r="Q63">
        <v>23.88</v>
      </c>
    </row>
    <row r="64" spans="2:17" x14ac:dyDescent="0.3">
      <c r="B64" s="2">
        <v>45275</v>
      </c>
      <c r="C64">
        <v>41.07</v>
      </c>
      <c r="D64">
        <v>469.33</v>
      </c>
      <c r="E64">
        <v>187</v>
      </c>
      <c r="F64">
        <v>29.09</v>
      </c>
      <c r="G64">
        <v>405.34</v>
      </c>
      <c r="H64">
        <v>21.96</v>
      </c>
      <c r="I64">
        <v>67.150000000000006</v>
      </c>
      <c r="J64">
        <v>99.15</v>
      </c>
      <c r="K64">
        <v>63.48</v>
      </c>
      <c r="L64">
        <v>54.37</v>
      </c>
      <c r="M64">
        <v>63.17</v>
      </c>
      <c r="N64">
        <v>131.94999999999999</v>
      </c>
      <c r="O64">
        <v>48.3</v>
      </c>
      <c r="P64">
        <v>197.04</v>
      </c>
      <c r="Q64">
        <v>24.13</v>
      </c>
    </row>
    <row r="65" spans="2:17" x14ac:dyDescent="0.3">
      <c r="B65" s="2">
        <v>45274</v>
      </c>
      <c r="C65">
        <v>41.31</v>
      </c>
      <c r="D65">
        <v>472.01</v>
      </c>
      <c r="E65">
        <v>188.73</v>
      </c>
      <c r="F65">
        <v>28.9</v>
      </c>
      <c r="G65">
        <v>403.39</v>
      </c>
      <c r="H65">
        <v>21.9</v>
      </c>
      <c r="I65">
        <v>67.16</v>
      </c>
      <c r="J65">
        <v>99.04</v>
      </c>
      <c r="K65">
        <v>64.19</v>
      </c>
      <c r="L65">
        <v>54.69</v>
      </c>
      <c r="M65">
        <v>63.72</v>
      </c>
      <c r="N65">
        <v>132.36000000000001</v>
      </c>
      <c r="O65">
        <v>48.35</v>
      </c>
      <c r="P65">
        <v>198.71</v>
      </c>
      <c r="Q65">
        <v>24.18</v>
      </c>
    </row>
    <row r="66" spans="2:17" x14ac:dyDescent="0.3">
      <c r="B66" s="2">
        <v>45273</v>
      </c>
      <c r="C66">
        <v>40.770000000000003</v>
      </c>
      <c r="D66">
        <v>470.5</v>
      </c>
      <c r="E66">
        <v>187.63</v>
      </c>
      <c r="F66">
        <v>29.17</v>
      </c>
      <c r="G66">
        <v>403.74</v>
      </c>
      <c r="H66">
        <v>21.72</v>
      </c>
      <c r="I66">
        <v>65.33</v>
      </c>
      <c r="J66">
        <v>96.84</v>
      </c>
      <c r="K66">
        <v>63.46</v>
      </c>
      <c r="L66">
        <v>53.93</v>
      </c>
      <c r="M66">
        <v>64.010000000000005</v>
      </c>
      <c r="N66">
        <v>131.66999999999999</v>
      </c>
      <c r="O66">
        <v>47.96</v>
      </c>
      <c r="P66">
        <v>193.33</v>
      </c>
      <c r="Q66">
        <v>23.87</v>
      </c>
    </row>
    <row r="67" spans="2:17" x14ac:dyDescent="0.3">
      <c r="B67" s="2">
        <v>45272</v>
      </c>
      <c r="C67">
        <v>40.39</v>
      </c>
      <c r="D67">
        <v>464.1</v>
      </c>
      <c r="E67">
        <v>183.49</v>
      </c>
      <c r="F67">
        <v>29.42</v>
      </c>
      <c r="G67">
        <v>398.67</v>
      </c>
      <c r="H67">
        <v>21.85</v>
      </c>
      <c r="I67">
        <v>64.25</v>
      </c>
      <c r="J67">
        <v>94.62</v>
      </c>
      <c r="K67">
        <v>62.58</v>
      </c>
      <c r="L67">
        <v>53.14</v>
      </c>
      <c r="M67">
        <v>63.05</v>
      </c>
      <c r="N67">
        <v>129.75</v>
      </c>
      <c r="O67">
        <v>47.38</v>
      </c>
      <c r="P67">
        <v>187</v>
      </c>
      <c r="Q67">
        <v>23.95</v>
      </c>
    </row>
    <row r="68" spans="2:17" x14ac:dyDescent="0.3">
      <c r="B68" s="2">
        <v>45271</v>
      </c>
      <c r="C68">
        <v>40.39</v>
      </c>
      <c r="D68">
        <v>461.99</v>
      </c>
      <c r="E68">
        <v>183.59</v>
      </c>
      <c r="F68">
        <v>29.5</v>
      </c>
      <c r="G68">
        <v>395.52</v>
      </c>
      <c r="H68">
        <v>21.71</v>
      </c>
      <c r="I68">
        <v>66.8</v>
      </c>
      <c r="J68">
        <v>94.34</v>
      </c>
      <c r="K68">
        <v>62.47</v>
      </c>
      <c r="L68">
        <v>53.21</v>
      </c>
      <c r="M68">
        <v>63.14</v>
      </c>
      <c r="N68">
        <v>129.41</v>
      </c>
      <c r="O68">
        <v>47.56</v>
      </c>
      <c r="P68">
        <v>187.19</v>
      </c>
      <c r="Q68">
        <v>23.79</v>
      </c>
    </row>
    <row r="69" spans="2:17" x14ac:dyDescent="0.3">
      <c r="B69" s="2">
        <v>45268</v>
      </c>
      <c r="C69">
        <v>40.21</v>
      </c>
      <c r="D69">
        <v>460.2</v>
      </c>
      <c r="E69">
        <v>185.64</v>
      </c>
      <c r="F69">
        <v>29.46</v>
      </c>
      <c r="G69">
        <v>392.17</v>
      </c>
      <c r="H69">
        <v>21.82</v>
      </c>
      <c r="I69">
        <v>66.53</v>
      </c>
      <c r="J69">
        <v>94.54</v>
      </c>
      <c r="K69">
        <v>62.38</v>
      </c>
      <c r="L69">
        <v>52.99</v>
      </c>
      <c r="M69">
        <v>62.78</v>
      </c>
      <c r="N69">
        <v>128.91999999999999</v>
      </c>
      <c r="O69">
        <v>47.31</v>
      </c>
      <c r="P69">
        <v>186.8</v>
      </c>
      <c r="Q69">
        <v>23.7</v>
      </c>
    </row>
    <row r="70" spans="2:17" x14ac:dyDescent="0.3">
      <c r="B70" s="2">
        <v>45267</v>
      </c>
      <c r="C70">
        <v>40.409999999999997</v>
      </c>
      <c r="D70">
        <v>458.23</v>
      </c>
      <c r="E70">
        <v>188.15</v>
      </c>
      <c r="F70">
        <v>29.35</v>
      </c>
      <c r="G70">
        <v>390.43</v>
      </c>
      <c r="H70">
        <v>21.68</v>
      </c>
      <c r="I70">
        <v>65.11</v>
      </c>
      <c r="J70">
        <v>95.32</v>
      </c>
      <c r="K70">
        <v>62.04</v>
      </c>
      <c r="L70">
        <v>53.01</v>
      </c>
      <c r="M70">
        <v>63.15</v>
      </c>
      <c r="N70">
        <v>128.46</v>
      </c>
      <c r="O70">
        <v>47.46</v>
      </c>
      <c r="P70">
        <v>185.39</v>
      </c>
      <c r="Q70">
        <v>24.03</v>
      </c>
    </row>
    <row r="71" spans="2:17" x14ac:dyDescent="0.3">
      <c r="B71" s="2">
        <v>45266</v>
      </c>
      <c r="C71">
        <v>40.25</v>
      </c>
      <c r="D71">
        <v>454.76</v>
      </c>
      <c r="E71">
        <v>187.84</v>
      </c>
      <c r="F71">
        <v>29.51</v>
      </c>
      <c r="G71">
        <v>385.05</v>
      </c>
      <c r="H71">
        <v>21.55</v>
      </c>
      <c r="I71">
        <v>64.760000000000005</v>
      </c>
      <c r="J71">
        <v>95.87</v>
      </c>
      <c r="K71">
        <v>61.82</v>
      </c>
      <c r="L71">
        <v>52.72</v>
      </c>
      <c r="M71">
        <v>62.67</v>
      </c>
      <c r="N71">
        <v>127.54</v>
      </c>
      <c r="O71">
        <v>47.34</v>
      </c>
      <c r="P71">
        <v>184.06</v>
      </c>
      <c r="Q71">
        <v>23.95</v>
      </c>
    </row>
    <row r="72" spans="2:17" x14ac:dyDescent="0.3">
      <c r="B72" s="2">
        <v>45265</v>
      </c>
      <c r="C72">
        <v>40.299999999999997</v>
      </c>
      <c r="D72">
        <v>456.6</v>
      </c>
      <c r="E72">
        <v>187.15</v>
      </c>
      <c r="F72">
        <v>29.44</v>
      </c>
      <c r="G72">
        <v>387.29</v>
      </c>
      <c r="H72">
        <v>22.01</v>
      </c>
      <c r="I72">
        <v>67.58</v>
      </c>
      <c r="J72">
        <v>94.61</v>
      </c>
      <c r="K72">
        <v>61.81</v>
      </c>
      <c r="L72">
        <v>52.78</v>
      </c>
      <c r="M72">
        <v>62.02</v>
      </c>
      <c r="N72">
        <v>127.84</v>
      </c>
      <c r="O72">
        <v>47.27</v>
      </c>
      <c r="P72">
        <v>184.39</v>
      </c>
      <c r="Q72">
        <v>23.94</v>
      </c>
    </row>
    <row r="73" spans="2:17" x14ac:dyDescent="0.3">
      <c r="B73" s="2">
        <v>45264</v>
      </c>
      <c r="C73">
        <v>40.44</v>
      </c>
      <c r="D73">
        <v>456.69</v>
      </c>
      <c r="E73">
        <v>187.86</v>
      </c>
      <c r="F73">
        <v>29.33</v>
      </c>
      <c r="G73">
        <v>386.32</v>
      </c>
      <c r="H73">
        <v>21.98</v>
      </c>
      <c r="I73">
        <v>68.47</v>
      </c>
      <c r="J73">
        <v>92.614999999999995</v>
      </c>
      <c r="K73">
        <v>61.87</v>
      </c>
      <c r="L73">
        <v>52.88</v>
      </c>
      <c r="M73">
        <v>62.25</v>
      </c>
      <c r="N73">
        <v>128.04</v>
      </c>
      <c r="O73">
        <v>46.84</v>
      </c>
      <c r="P73">
        <v>186.89</v>
      </c>
      <c r="Q73">
        <v>24.31</v>
      </c>
    </row>
    <row r="74" spans="2:17" x14ac:dyDescent="0.3">
      <c r="B74" s="2">
        <v>45261</v>
      </c>
      <c r="C74">
        <v>40.799999999999997</v>
      </c>
      <c r="D74">
        <v>459.1</v>
      </c>
      <c r="E74">
        <v>192.01</v>
      </c>
      <c r="F74">
        <v>29.2</v>
      </c>
      <c r="G74">
        <v>389.94</v>
      </c>
      <c r="H74">
        <v>22.02</v>
      </c>
      <c r="I74">
        <v>69.239999999999995</v>
      </c>
      <c r="J74">
        <v>92.99</v>
      </c>
      <c r="K74">
        <v>62.21</v>
      </c>
      <c r="L74">
        <v>53.35</v>
      </c>
      <c r="M74">
        <v>63.21</v>
      </c>
      <c r="N74">
        <v>128.76</v>
      </c>
      <c r="O74">
        <v>46.4</v>
      </c>
      <c r="P74">
        <v>184.91</v>
      </c>
      <c r="Q74">
        <v>24.89</v>
      </c>
    </row>
    <row r="75" spans="2:17" x14ac:dyDescent="0.3">
      <c r="B75" s="2">
        <v>45260</v>
      </c>
      <c r="C75">
        <v>40.630000000000003</v>
      </c>
      <c r="D75">
        <v>456.4</v>
      </c>
      <c r="E75">
        <v>188.75</v>
      </c>
      <c r="F75">
        <v>29.29</v>
      </c>
      <c r="G75">
        <v>388.83</v>
      </c>
      <c r="H75">
        <v>22.28</v>
      </c>
      <c r="I75">
        <v>70.14</v>
      </c>
      <c r="J75">
        <v>91.56</v>
      </c>
      <c r="K75">
        <v>61.62</v>
      </c>
      <c r="L75">
        <v>52.88</v>
      </c>
      <c r="M75">
        <v>62.61</v>
      </c>
      <c r="N75">
        <v>127.78</v>
      </c>
      <c r="O75">
        <v>46.02</v>
      </c>
      <c r="P75">
        <v>179.66</v>
      </c>
      <c r="Q75">
        <v>25.16</v>
      </c>
    </row>
    <row r="76" spans="2:17" x14ac:dyDescent="0.3">
      <c r="B76" s="2">
        <v>45259</v>
      </c>
      <c r="C76">
        <v>40.51</v>
      </c>
      <c r="D76">
        <v>454.61</v>
      </c>
      <c r="E76">
        <v>189.54</v>
      </c>
      <c r="F76">
        <v>29.08</v>
      </c>
      <c r="G76">
        <v>389.81</v>
      </c>
      <c r="H76">
        <v>22.08</v>
      </c>
      <c r="I76">
        <v>72.52</v>
      </c>
      <c r="J76">
        <v>92.63</v>
      </c>
      <c r="K76">
        <v>61.76</v>
      </c>
      <c r="L76">
        <v>52.84</v>
      </c>
      <c r="M76">
        <v>62.49</v>
      </c>
      <c r="N76">
        <v>127.43</v>
      </c>
      <c r="O76">
        <v>45.63</v>
      </c>
      <c r="P76">
        <v>178.98</v>
      </c>
      <c r="Q76">
        <v>25.06</v>
      </c>
    </row>
    <row r="77" spans="2:17" x14ac:dyDescent="0.3">
      <c r="B77" s="2">
        <v>45258</v>
      </c>
      <c r="C77">
        <v>40.74</v>
      </c>
      <c r="D77">
        <v>454.93</v>
      </c>
      <c r="E77">
        <v>189.26</v>
      </c>
      <c r="F77">
        <v>29.05</v>
      </c>
      <c r="G77">
        <v>390.19</v>
      </c>
      <c r="H77">
        <v>21.94</v>
      </c>
      <c r="I77">
        <v>71.260000000000005</v>
      </c>
      <c r="J77">
        <v>91.48</v>
      </c>
      <c r="K77">
        <v>61.48</v>
      </c>
      <c r="L77">
        <v>52.91</v>
      </c>
      <c r="M77">
        <v>62.55</v>
      </c>
      <c r="N77">
        <v>127.41</v>
      </c>
      <c r="O77">
        <v>45.49</v>
      </c>
      <c r="P77">
        <v>178.04</v>
      </c>
      <c r="Q77">
        <v>25.71</v>
      </c>
    </row>
    <row r="78" spans="2:17" x14ac:dyDescent="0.3">
      <c r="B78" s="2">
        <v>45257</v>
      </c>
      <c r="C78">
        <v>40.409999999999997</v>
      </c>
      <c r="D78">
        <v>454.48</v>
      </c>
      <c r="E78">
        <v>186.77</v>
      </c>
      <c r="F78">
        <v>29.15</v>
      </c>
      <c r="G78">
        <v>389.17</v>
      </c>
      <c r="H78">
        <v>21.59</v>
      </c>
      <c r="I78">
        <v>69.959999999999994</v>
      </c>
      <c r="J78">
        <v>91.3</v>
      </c>
      <c r="K78">
        <v>61.48</v>
      </c>
      <c r="L78">
        <v>52.33</v>
      </c>
      <c r="M78">
        <v>62.56</v>
      </c>
      <c r="N78">
        <v>127.31</v>
      </c>
      <c r="O78">
        <v>45.09</v>
      </c>
      <c r="P78">
        <v>178.73</v>
      </c>
      <c r="Q78">
        <v>26.02</v>
      </c>
    </row>
    <row r="79" spans="2:17" x14ac:dyDescent="0.3">
      <c r="B79" s="2">
        <v>45254</v>
      </c>
      <c r="C79">
        <v>40.6</v>
      </c>
      <c r="D79">
        <v>455.3</v>
      </c>
      <c r="E79">
        <v>185.52</v>
      </c>
      <c r="F79">
        <v>29.21</v>
      </c>
      <c r="G79">
        <v>389.51</v>
      </c>
      <c r="H79">
        <v>21.74</v>
      </c>
      <c r="I79">
        <v>70.819999999999993</v>
      </c>
      <c r="J79">
        <v>89.8</v>
      </c>
      <c r="K79">
        <v>61.67</v>
      </c>
      <c r="L79">
        <v>52.38</v>
      </c>
      <c r="M79">
        <v>62.61</v>
      </c>
      <c r="N79">
        <v>127.52</v>
      </c>
      <c r="O79">
        <v>45.19</v>
      </c>
      <c r="P79">
        <v>179.33</v>
      </c>
      <c r="Q79">
        <v>26.36</v>
      </c>
    </row>
    <row r="80" spans="2:17" x14ac:dyDescent="0.3">
      <c r="B80" s="2">
        <v>45252</v>
      </c>
      <c r="C80">
        <v>40.47</v>
      </c>
      <c r="D80">
        <v>455.02</v>
      </c>
      <c r="E80">
        <v>184.56</v>
      </c>
      <c r="F80">
        <v>29.34</v>
      </c>
      <c r="G80">
        <v>390.06</v>
      </c>
      <c r="H80">
        <v>22.07</v>
      </c>
      <c r="I80">
        <v>71.61</v>
      </c>
      <c r="J80">
        <v>90.87</v>
      </c>
      <c r="K80">
        <v>61.02</v>
      </c>
      <c r="L80">
        <v>52.45</v>
      </c>
      <c r="M80">
        <v>62.49</v>
      </c>
      <c r="N80">
        <v>127.23</v>
      </c>
      <c r="O80">
        <v>45.21</v>
      </c>
      <c r="P80">
        <v>178.13</v>
      </c>
      <c r="Q80">
        <v>26.29</v>
      </c>
    </row>
    <row r="81" spans="2:17" x14ac:dyDescent="0.3">
      <c r="B81" s="2">
        <v>45251</v>
      </c>
      <c r="C81">
        <v>40.58</v>
      </c>
      <c r="D81">
        <v>453.27</v>
      </c>
      <c r="E81">
        <v>185.35</v>
      </c>
      <c r="F81">
        <v>29.24</v>
      </c>
      <c r="G81">
        <v>388.47</v>
      </c>
      <c r="H81">
        <v>22.18</v>
      </c>
      <c r="I81">
        <v>72.53</v>
      </c>
      <c r="J81">
        <v>90.55</v>
      </c>
      <c r="K81">
        <v>60.92</v>
      </c>
      <c r="L81">
        <v>52.57</v>
      </c>
      <c r="M81">
        <v>62.1</v>
      </c>
      <c r="N81">
        <v>126.8</v>
      </c>
      <c r="O81">
        <v>45.06</v>
      </c>
      <c r="P81">
        <v>177.02</v>
      </c>
      <c r="Q81">
        <v>26.16</v>
      </c>
    </row>
    <row r="82" spans="2:17" x14ac:dyDescent="0.3">
      <c r="B82" s="2">
        <v>45250</v>
      </c>
      <c r="C82">
        <v>40.82</v>
      </c>
      <c r="D82">
        <v>454.26</v>
      </c>
      <c r="E82">
        <v>183.37</v>
      </c>
      <c r="F82">
        <v>29.21</v>
      </c>
      <c r="G82">
        <v>390.74</v>
      </c>
      <c r="H82">
        <v>22.14</v>
      </c>
      <c r="I82">
        <v>72.3</v>
      </c>
      <c r="J82">
        <v>90.59</v>
      </c>
      <c r="K82">
        <v>61.18</v>
      </c>
      <c r="L82">
        <v>52.76</v>
      </c>
      <c r="M82">
        <v>62.36</v>
      </c>
      <c r="N82">
        <v>127.07</v>
      </c>
      <c r="O82">
        <v>45.05</v>
      </c>
      <c r="P82">
        <v>179.33</v>
      </c>
      <c r="Q82">
        <v>26.69</v>
      </c>
    </row>
    <row r="83" spans="2:17" x14ac:dyDescent="0.3">
      <c r="B83" s="2">
        <v>45247</v>
      </c>
      <c r="C83">
        <v>40.39</v>
      </c>
      <c r="D83">
        <v>450.79</v>
      </c>
      <c r="E83">
        <v>183.67</v>
      </c>
      <c r="F83">
        <v>29.3</v>
      </c>
      <c r="G83">
        <v>386.04</v>
      </c>
      <c r="H83">
        <v>22.08</v>
      </c>
      <c r="I83">
        <v>70.75</v>
      </c>
      <c r="J83">
        <v>90.04</v>
      </c>
      <c r="K83">
        <v>60.9</v>
      </c>
      <c r="L83">
        <v>52.31</v>
      </c>
      <c r="M83">
        <v>62.35</v>
      </c>
      <c r="N83">
        <v>126.3</v>
      </c>
      <c r="O83">
        <v>45.045000000000002</v>
      </c>
      <c r="P83">
        <v>178.29</v>
      </c>
      <c r="Q83">
        <v>26.12</v>
      </c>
    </row>
    <row r="84" spans="2:17" x14ac:dyDescent="0.3">
      <c r="B84" s="2">
        <v>45246</v>
      </c>
      <c r="C84">
        <v>40.229999999999997</v>
      </c>
      <c r="D84">
        <v>450.23</v>
      </c>
      <c r="E84">
        <v>183.69</v>
      </c>
      <c r="F84">
        <v>29.46</v>
      </c>
      <c r="G84">
        <v>385.95</v>
      </c>
      <c r="H84">
        <v>22.12</v>
      </c>
      <c r="I84">
        <v>68.05</v>
      </c>
      <c r="J84">
        <v>89.62</v>
      </c>
      <c r="K84">
        <v>60.07</v>
      </c>
      <c r="L84">
        <v>52.24</v>
      </c>
      <c r="M84">
        <v>61.39</v>
      </c>
      <c r="N84">
        <v>125.66</v>
      </c>
      <c r="O84">
        <v>44.98</v>
      </c>
      <c r="P84">
        <v>175.88</v>
      </c>
      <c r="Q84">
        <v>26.1</v>
      </c>
    </row>
    <row r="85" spans="2:17" x14ac:dyDescent="0.3">
      <c r="B85" s="2">
        <v>45245</v>
      </c>
      <c r="C85">
        <v>40.65</v>
      </c>
      <c r="D85">
        <v>449.68</v>
      </c>
      <c r="E85">
        <v>181.64</v>
      </c>
      <c r="F85">
        <v>29.44</v>
      </c>
      <c r="G85">
        <v>385.62</v>
      </c>
      <c r="H85">
        <v>22.29</v>
      </c>
      <c r="I85">
        <v>71.34</v>
      </c>
      <c r="J85">
        <v>88.52</v>
      </c>
      <c r="K85">
        <v>60.2</v>
      </c>
      <c r="L85">
        <v>52.18</v>
      </c>
      <c r="M85">
        <v>61.18</v>
      </c>
      <c r="N85">
        <v>125.66</v>
      </c>
      <c r="O85">
        <v>44.94</v>
      </c>
      <c r="P85">
        <v>178.77</v>
      </c>
      <c r="Q85">
        <v>27.21</v>
      </c>
    </row>
    <row r="86" spans="2:17" x14ac:dyDescent="0.3">
      <c r="B86" s="2">
        <v>45244</v>
      </c>
      <c r="C86">
        <v>40.369999999999997</v>
      </c>
      <c r="D86">
        <v>448.73</v>
      </c>
      <c r="E86">
        <v>182.12</v>
      </c>
      <c r="F86">
        <v>29.33</v>
      </c>
      <c r="G86">
        <v>385.33</v>
      </c>
      <c r="H86">
        <v>22.25</v>
      </c>
      <c r="I86">
        <v>72.69</v>
      </c>
      <c r="J86">
        <v>89.78</v>
      </c>
      <c r="K86">
        <v>60.21</v>
      </c>
      <c r="L86">
        <v>51.98</v>
      </c>
      <c r="M86">
        <v>61.64</v>
      </c>
      <c r="N86">
        <v>125.46</v>
      </c>
      <c r="O86">
        <v>45.08</v>
      </c>
      <c r="P86">
        <v>178.46</v>
      </c>
      <c r="Q86">
        <v>26.58</v>
      </c>
    </row>
    <row r="87" spans="2:17" x14ac:dyDescent="0.3">
      <c r="B87" s="2">
        <v>45243</v>
      </c>
      <c r="C87">
        <v>39.450000000000003</v>
      </c>
      <c r="D87">
        <v>440.19</v>
      </c>
      <c r="E87">
        <v>180.51</v>
      </c>
      <c r="F87">
        <v>29.8</v>
      </c>
      <c r="G87">
        <v>377.21</v>
      </c>
      <c r="H87">
        <v>22.36</v>
      </c>
      <c r="I87">
        <v>72.92</v>
      </c>
      <c r="J87">
        <v>87.79</v>
      </c>
      <c r="K87">
        <v>58.48</v>
      </c>
      <c r="L87">
        <v>50.64</v>
      </c>
      <c r="M87">
        <v>60.44</v>
      </c>
      <c r="N87">
        <v>122.88</v>
      </c>
      <c r="O87">
        <v>44.42</v>
      </c>
      <c r="P87">
        <v>169.17</v>
      </c>
      <c r="Q87">
        <v>26.02</v>
      </c>
    </row>
    <row r="88" spans="2:17" x14ac:dyDescent="0.3">
      <c r="B88" s="2">
        <v>45240</v>
      </c>
      <c r="C88">
        <v>39.380000000000003</v>
      </c>
      <c r="D88">
        <v>440.61</v>
      </c>
      <c r="E88">
        <v>179.51</v>
      </c>
      <c r="F88">
        <v>29.84</v>
      </c>
      <c r="G88">
        <v>378.39</v>
      </c>
      <c r="H88">
        <v>22.04</v>
      </c>
      <c r="I88">
        <v>71.790000000000006</v>
      </c>
      <c r="J88">
        <v>87.99</v>
      </c>
      <c r="K88">
        <v>58.33</v>
      </c>
      <c r="L88">
        <v>50.84</v>
      </c>
      <c r="M88">
        <v>60.47</v>
      </c>
      <c r="N88">
        <v>122.84</v>
      </c>
      <c r="O88">
        <v>44.49</v>
      </c>
      <c r="P88">
        <v>169.11</v>
      </c>
      <c r="Q88">
        <v>25.68</v>
      </c>
    </row>
    <row r="89" spans="2:17" x14ac:dyDescent="0.3">
      <c r="B89" s="2">
        <v>45239</v>
      </c>
      <c r="C89">
        <v>39.11</v>
      </c>
      <c r="D89">
        <v>433.84</v>
      </c>
      <c r="E89">
        <v>181.49</v>
      </c>
      <c r="F89">
        <v>29.86</v>
      </c>
      <c r="G89">
        <v>370.07</v>
      </c>
      <c r="H89">
        <v>22.13</v>
      </c>
      <c r="I89">
        <v>70.25</v>
      </c>
      <c r="J89">
        <v>87.5</v>
      </c>
      <c r="K89">
        <v>58.06</v>
      </c>
      <c r="L89">
        <v>50.32</v>
      </c>
      <c r="M89">
        <v>59.89</v>
      </c>
      <c r="N89">
        <v>121.31</v>
      </c>
      <c r="O89">
        <v>44.04</v>
      </c>
      <c r="P89">
        <v>167.24</v>
      </c>
      <c r="Q89">
        <v>25.76</v>
      </c>
    </row>
    <row r="90" spans="2:17" x14ac:dyDescent="0.3">
      <c r="B90" s="2">
        <v>45238</v>
      </c>
      <c r="C90">
        <v>39.46</v>
      </c>
      <c r="D90">
        <v>437.25</v>
      </c>
      <c r="E90">
        <v>180.77</v>
      </c>
      <c r="F90">
        <v>29.73</v>
      </c>
      <c r="G90">
        <v>372.94</v>
      </c>
      <c r="H90">
        <v>22.26</v>
      </c>
      <c r="I90">
        <v>70.19</v>
      </c>
      <c r="J90">
        <v>89.56</v>
      </c>
      <c r="K90">
        <v>58.07</v>
      </c>
      <c r="L90">
        <v>50.69</v>
      </c>
      <c r="M90">
        <v>59.64</v>
      </c>
      <c r="N90">
        <v>122.02</v>
      </c>
      <c r="O90">
        <v>44.33</v>
      </c>
      <c r="P90">
        <v>169.87</v>
      </c>
      <c r="Q90">
        <v>26.12</v>
      </c>
    </row>
    <row r="91" spans="2:17" x14ac:dyDescent="0.3">
      <c r="B91" s="2">
        <v>45237</v>
      </c>
      <c r="C91">
        <v>39.64</v>
      </c>
      <c r="D91">
        <v>436.93</v>
      </c>
      <c r="E91">
        <v>182.59</v>
      </c>
      <c r="F91">
        <v>29.74</v>
      </c>
      <c r="G91">
        <v>372.7</v>
      </c>
      <c r="H91">
        <v>22.16</v>
      </c>
      <c r="I91">
        <v>71.8</v>
      </c>
      <c r="J91">
        <v>88.06</v>
      </c>
      <c r="K91">
        <v>57.79</v>
      </c>
      <c r="L91">
        <v>51.02</v>
      </c>
      <c r="M91">
        <v>60.64</v>
      </c>
      <c r="N91">
        <v>121.99</v>
      </c>
      <c r="O91">
        <v>44.21</v>
      </c>
      <c r="P91">
        <v>171.7</v>
      </c>
      <c r="Q91">
        <v>26.31</v>
      </c>
    </row>
    <row r="92" spans="2:17" x14ac:dyDescent="0.3">
      <c r="B92" s="2">
        <v>45236</v>
      </c>
      <c r="C92">
        <v>39.630000000000003</v>
      </c>
      <c r="D92">
        <v>435.69</v>
      </c>
      <c r="E92">
        <v>183.35</v>
      </c>
      <c r="F92">
        <v>29.64</v>
      </c>
      <c r="G92">
        <v>369.21</v>
      </c>
      <c r="H92">
        <v>22.46</v>
      </c>
      <c r="I92">
        <v>74.91</v>
      </c>
      <c r="J92">
        <v>86.78</v>
      </c>
      <c r="K92">
        <v>58.05</v>
      </c>
      <c r="L92">
        <v>51.16</v>
      </c>
      <c r="M92">
        <v>61.2</v>
      </c>
      <c r="N92">
        <v>121.89</v>
      </c>
      <c r="O92">
        <v>44.19</v>
      </c>
      <c r="P92">
        <v>172.31</v>
      </c>
      <c r="Q92">
        <v>26.43</v>
      </c>
    </row>
    <row r="93" spans="2:17" x14ac:dyDescent="0.3">
      <c r="B93" s="2">
        <v>45233</v>
      </c>
      <c r="C93">
        <v>39.51</v>
      </c>
      <c r="D93">
        <v>434.69</v>
      </c>
      <c r="E93">
        <v>184.79</v>
      </c>
      <c r="F93">
        <v>29.61</v>
      </c>
      <c r="G93">
        <v>367.71</v>
      </c>
      <c r="H93">
        <v>22.4</v>
      </c>
      <c r="I93">
        <v>74.849999999999994</v>
      </c>
      <c r="J93">
        <v>87.63</v>
      </c>
      <c r="K93">
        <v>58.24</v>
      </c>
      <c r="L93">
        <v>50.68</v>
      </c>
      <c r="M93">
        <v>62</v>
      </c>
      <c r="N93">
        <v>121.93</v>
      </c>
      <c r="O93">
        <v>44.15</v>
      </c>
      <c r="P93">
        <v>174.49</v>
      </c>
      <c r="Q93">
        <v>26.35</v>
      </c>
    </row>
    <row r="94" spans="2:17" x14ac:dyDescent="0.3">
      <c r="B94" s="2">
        <v>45232</v>
      </c>
      <c r="C94">
        <v>38.799999999999997</v>
      </c>
      <c r="D94">
        <v>430.76</v>
      </c>
      <c r="E94">
        <v>184.12</v>
      </c>
      <c r="F94">
        <v>29.89</v>
      </c>
      <c r="G94">
        <v>363.44</v>
      </c>
      <c r="H94">
        <v>22.24</v>
      </c>
      <c r="I94">
        <v>76.180000000000007</v>
      </c>
      <c r="J94">
        <v>87.04</v>
      </c>
      <c r="K94">
        <v>57.76</v>
      </c>
      <c r="L94">
        <v>49.89</v>
      </c>
      <c r="M94">
        <v>60.95</v>
      </c>
      <c r="N94">
        <v>120.72</v>
      </c>
      <c r="O94">
        <v>43.83</v>
      </c>
      <c r="P94">
        <v>169.87</v>
      </c>
      <c r="Q94">
        <v>25.75</v>
      </c>
    </row>
    <row r="95" spans="2:17" x14ac:dyDescent="0.3">
      <c r="B95" s="2">
        <v>45231</v>
      </c>
      <c r="C95">
        <v>38.21</v>
      </c>
      <c r="D95">
        <v>422.66</v>
      </c>
      <c r="E95">
        <v>183.51</v>
      </c>
      <c r="F95">
        <v>30.04</v>
      </c>
      <c r="G95">
        <v>356.96</v>
      </c>
      <c r="H95">
        <v>21.98</v>
      </c>
      <c r="I95">
        <v>74.75</v>
      </c>
      <c r="J95">
        <v>85.1</v>
      </c>
      <c r="K95">
        <v>56.52</v>
      </c>
      <c r="L95">
        <v>48.87</v>
      </c>
      <c r="M95">
        <v>59.97</v>
      </c>
      <c r="N95">
        <v>118.32</v>
      </c>
      <c r="O95">
        <v>43.4</v>
      </c>
      <c r="P95">
        <v>165.46</v>
      </c>
      <c r="Q95">
        <v>25.48</v>
      </c>
    </row>
    <row r="96" spans="2:17" x14ac:dyDescent="0.3">
      <c r="B96" s="2">
        <v>45230</v>
      </c>
      <c r="C96">
        <v>37.94</v>
      </c>
      <c r="D96">
        <v>418.2</v>
      </c>
      <c r="E96">
        <v>184.09</v>
      </c>
      <c r="F96">
        <v>30.03</v>
      </c>
      <c r="G96">
        <v>350.87</v>
      </c>
      <c r="H96">
        <v>22.01</v>
      </c>
      <c r="I96">
        <v>75.02</v>
      </c>
      <c r="J96">
        <v>83.58</v>
      </c>
      <c r="K96">
        <v>56.14</v>
      </c>
      <c r="L96">
        <v>48.21</v>
      </c>
      <c r="M96">
        <v>58.96</v>
      </c>
      <c r="N96">
        <v>117.11</v>
      </c>
      <c r="O96">
        <v>43.24</v>
      </c>
      <c r="P96">
        <v>164.52</v>
      </c>
      <c r="Q96">
        <v>25.52</v>
      </c>
    </row>
    <row r="97" spans="2:17" x14ac:dyDescent="0.3">
      <c r="B97" s="2">
        <v>45229</v>
      </c>
      <c r="C97">
        <v>38.119999999999997</v>
      </c>
      <c r="D97">
        <v>415.59</v>
      </c>
      <c r="E97">
        <v>185.1</v>
      </c>
      <c r="F97">
        <v>29.85</v>
      </c>
      <c r="G97">
        <v>349.2</v>
      </c>
      <c r="H97">
        <v>21.9</v>
      </c>
      <c r="I97">
        <v>76.05</v>
      </c>
      <c r="J97">
        <v>83.99</v>
      </c>
      <c r="K97">
        <v>56.04</v>
      </c>
      <c r="L97">
        <v>48.37</v>
      </c>
      <c r="M97">
        <v>58.25</v>
      </c>
      <c r="N97">
        <v>116.43</v>
      </c>
      <c r="O97">
        <v>43.33</v>
      </c>
      <c r="P97">
        <v>163.11000000000001</v>
      </c>
      <c r="Q97">
        <v>25.94</v>
      </c>
    </row>
    <row r="98" spans="2:17" x14ac:dyDescent="0.3">
      <c r="B98" s="2">
        <v>45226</v>
      </c>
      <c r="C98">
        <v>37.78</v>
      </c>
      <c r="D98">
        <v>410.68</v>
      </c>
      <c r="E98">
        <v>186.15</v>
      </c>
      <c r="F98">
        <v>29.97</v>
      </c>
      <c r="G98">
        <v>345.31</v>
      </c>
      <c r="H98">
        <v>22.05</v>
      </c>
      <c r="I98">
        <v>78.36</v>
      </c>
      <c r="J98">
        <v>84.37</v>
      </c>
      <c r="K98">
        <v>55.18</v>
      </c>
      <c r="L98">
        <v>47.86</v>
      </c>
      <c r="M98">
        <v>57.82</v>
      </c>
      <c r="N98">
        <v>115.01</v>
      </c>
      <c r="O98">
        <v>42.96</v>
      </c>
      <c r="P98">
        <v>162.21</v>
      </c>
      <c r="Q98">
        <v>25.67</v>
      </c>
    </row>
    <row r="99" spans="2:17" x14ac:dyDescent="0.3">
      <c r="B99" s="2">
        <v>45225</v>
      </c>
      <c r="C99">
        <v>37.74</v>
      </c>
      <c r="D99">
        <v>412.55</v>
      </c>
      <c r="E99">
        <v>184.01</v>
      </c>
      <c r="F99">
        <v>30.01</v>
      </c>
      <c r="G99">
        <v>343.66</v>
      </c>
      <c r="H99">
        <v>21.85</v>
      </c>
      <c r="I99">
        <v>76.89</v>
      </c>
      <c r="J99">
        <v>84.73</v>
      </c>
      <c r="K99">
        <v>55.57</v>
      </c>
      <c r="L99">
        <v>48.02</v>
      </c>
      <c r="M99">
        <v>57.34</v>
      </c>
      <c r="N99">
        <v>115.58</v>
      </c>
      <c r="O99">
        <v>42.73</v>
      </c>
      <c r="P99">
        <v>164.14</v>
      </c>
      <c r="Q99">
        <v>25.58</v>
      </c>
    </row>
    <row r="100" spans="2:17" x14ac:dyDescent="0.3">
      <c r="B100" s="2">
        <v>45224</v>
      </c>
      <c r="C100">
        <v>37.880000000000003</v>
      </c>
      <c r="D100">
        <v>417.55</v>
      </c>
      <c r="E100">
        <v>183.72</v>
      </c>
      <c r="F100">
        <v>29.94</v>
      </c>
      <c r="G100">
        <v>350.34</v>
      </c>
      <c r="H100">
        <v>21.81</v>
      </c>
      <c r="I100">
        <v>78.459999999999994</v>
      </c>
      <c r="J100">
        <v>83.45</v>
      </c>
      <c r="K100">
        <v>55.81</v>
      </c>
      <c r="L100">
        <v>48.41</v>
      </c>
      <c r="M100">
        <v>58.13</v>
      </c>
      <c r="N100">
        <v>116.77</v>
      </c>
      <c r="O100">
        <v>43.25</v>
      </c>
      <c r="P100">
        <v>163.72</v>
      </c>
      <c r="Q100">
        <v>25.53</v>
      </c>
    </row>
    <row r="101" spans="2:17" x14ac:dyDescent="0.3">
      <c r="B101" s="2">
        <v>45223</v>
      </c>
      <c r="C101">
        <v>38.29</v>
      </c>
      <c r="D101">
        <v>423.63</v>
      </c>
      <c r="E101">
        <v>182.95</v>
      </c>
      <c r="F101">
        <v>29.86</v>
      </c>
      <c r="G101">
        <v>359.13</v>
      </c>
      <c r="H101">
        <v>21.91</v>
      </c>
      <c r="I101">
        <v>76.930000000000007</v>
      </c>
      <c r="J101">
        <v>85.35</v>
      </c>
      <c r="K101">
        <v>56.31</v>
      </c>
      <c r="L101">
        <v>49</v>
      </c>
      <c r="M101">
        <v>58.36</v>
      </c>
      <c r="N101">
        <v>118.3</v>
      </c>
      <c r="O101">
        <v>43.75</v>
      </c>
      <c r="P101">
        <v>166.47</v>
      </c>
      <c r="Q101">
        <v>26.06</v>
      </c>
    </row>
    <row r="102" spans="2:17" x14ac:dyDescent="0.3">
      <c r="B102" s="2">
        <v>45222</v>
      </c>
      <c r="C102">
        <v>37.82</v>
      </c>
      <c r="D102">
        <v>420.46</v>
      </c>
      <c r="E102">
        <v>182.97</v>
      </c>
      <c r="F102">
        <v>29.69</v>
      </c>
      <c r="G102">
        <v>355.67</v>
      </c>
      <c r="H102">
        <v>21.93</v>
      </c>
      <c r="I102">
        <v>78.89</v>
      </c>
      <c r="J102">
        <v>84.24</v>
      </c>
      <c r="K102">
        <v>56.1</v>
      </c>
      <c r="L102">
        <v>48.66</v>
      </c>
      <c r="M102">
        <v>57.99</v>
      </c>
      <c r="N102">
        <v>117.5</v>
      </c>
      <c r="O102">
        <v>43.62</v>
      </c>
      <c r="P102">
        <v>165.03</v>
      </c>
      <c r="Q102">
        <v>25.25</v>
      </c>
    </row>
    <row r="103" spans="2:17" x14ac:dyDescent="0.3">
      <c r="B103" s="2">
        <v>45219</v>
      </c>
      <c r="C103">
        <v>37.9</v>
      </c>
      <c r="D103">
        <v>421.19</v>
      </c>
      <c r="E103">
        <v>183.59</v>
      </c>
      <c r="F103">
        <v>29.84</v>
      </c>
      <c r="G103">
        <v>354.6</v>
      </c>
      <c r="H103">
        <v>21.92</v>
      </c>
      <c r="I103">
        <v>80.7</v>
      </c>
      <c r="J103">
        <v>83.24</v>
      </c>
      <c r="K103">
        <v>55.98</v>
      </c>
      <c r="L103">
        <v>48.81</v>
      </c>
      <c r="M103">
        <v>58.13</v>
      </c>
      <c r="N103">
        <v>117.65</v>
      </c>
      <c r="O103">
        <v>43.98</v>
      </c>
      <c r="P103">
        <v>166.44</v>
      </c>
      <c r="Q103">
        <v>25.03</v>
      </c>
    </row>
    <row r="104" spans="2:17" x14ac:dyDescent="0.3">
      <c r="B104" s="2">
        <v>45218</v>
      </c>
      <c r="C104">
        <v>38.36</v>
      </c>
      <c r="D104">
        <v>426.43</v>
      </c>
      <c r="E104">
        <v>183.09</v>
      </c>
      <c r="F104">
        <v>29.83</v>
      </c>
      <c r="G104">
        <v>359.97</v>
      </c>
      <c r="H104">
        <v>21.97</v>
      </c>
      <c r="I104">
        <v>81.680000000000007</v>
      </c>
      <c r="J104">
        <v>82.77</v>
      </c>
      <c r="K104">
        <v>56.52</v>
      </c>
      <c r="L104">
        <v>49.32</v>
      </c>
      <c r="M104">
        <v>58.52</v>
      </c>
      <c r="N104">
        <v>118.98</v>
      </c>
      <c r="O104">
        <v>44.33</v>
      </c>
      <c r="P104">
        <v>168.62</v>
      </c>
      <c r="Q104">
        <v>25.56</v>
      </c>
    </row>
    <row r="105" spans="2:17" x14ac:dyDescent="0.3">
      <c r="B105" s="2">
        <v>45217</v>
      </c>
      <c r="C105">
        <v>38.5</v>
      </c>
      <c r="D105">
        <v>430.21</v>
      </c>
      <c r="E105">
        <v>180.87</v>
      </c>
      <c r="F105">
        <v>29.92</v>
      </c>
      <c r="G105">
        <v>363.37</v>
      </c>
      <c r="H105">
        <v>21.92</v>
      </c>
      <c r="I105">
        <v>79.84</v>
      </c>
      <c r="J105">
        <v>84.5</v>
      </c>
      <c r="K105">
        <v>56.99</v>
      </c>
      <c r="L105">
        <v>49.42</v>
      </c>
      <c r="M105">
        <v>58.95</v>
      </c>
      <c r="N105">
        <v>120.06</v>
      </c>
      <c r="O105">
        <v>44.22</v>
      </c>
      <c r="P105">
        <v>171.35</v>
      </c>
      <c r="Q105">
        <v>26.01</v>
      </c>
    </row>
    <row r="106" spans="2:17" x14ac:dyDescent="0.3">
      <c r="B106" s="2">
        <v>45216</v>
      </c>
      <c r="C106">
        <v>39.14</v>
      </c>
      <c r="D106">
        <v>436.02</v>
      </c>
      <c r="E106">
        <v>178.29</v>
      </c>
      <c r="F106">
        <v>29.81</v>
      </c>
      <c r="G106">
        <v>368.2</v>
      </c>
      <c r="H106">
        <v>21.86</v>
      </c>
      <c r="I106">
        <v>78.8</v>
      </c>
      <c r="J106">
        <v>85.25</v>
      </c>
      <c r="K106">
        <v>58.06</v>
      </c>
      <c r="L106">
        <v>50.13</v>
      </c>
      <c r="M106">
        <v>59.89</v>
      </c>
      <c r="N106">
        <v>121.84</v>
      </c>
      <c r="O106">
        <v>44.77</v>
      </c>
      <c r="P106">
        <v>174.95</v>
      </c>
      <c r="Q106">
        <v>26.45</v>
      </c>
    </row>
    <row r="107" spans="2:17" x14ac:dyDescent="0.3">
      <c r="B107" s="2">
        <v>45215</v>
      </c>
      <c r="C107">
        <v>39.31</v>
      </c>
      <c r="D107">
        <v>436.04</v>
      </c>
      <c r="E107">
        <v>177.96</v>
      </c>
      <c r="F107">
        <v>29.8</v>
      </c>
      <c r="G107">
        <v>369.41</v>
      </c>
      <c r="H107">
        <v>21.73</v>
      </c>
      <c r="I107">
        <v>78.39</v>
      </c>
      <c r="J107">
        <v>86.2</v>
      </c>
      <c r="K107">
        <v>58.12</v>
      </c>
      <c r="L107">
        <v>50.17</v>
      </c>
      <c r="M107">
        <v>59.77</v>
      </c>
      <c r="N107">
        <v>121.85</v>
      </c>
      <c r="O107">
        <v>44.76</v>
      </c>
      <c r="P107">
        <v>173.02</v>
      </c>
      <c r="Q107">
        <v>26.65</v>
      </c>
    </row>
    <row r="108" spans="2:17" x14ac:dyDescent="0.3">
      <c r="B108" s="2">
        <v>45212</v>
      </c>
      <c r="C108">
        <v>39.03</v>
      </c>
      <c r="D108">
        <v>431.5</v>
      </c>
      <c r="E108">
        <v>178.83</v>
      </c>
      <c r="F108">
        <v>29.93</v>
      </c>
      <c r="G108">
        <v>365.28</v>
      </c>
      <c r="H108">
        <v>21.71</v>
      </c>
      <c r="I108">
        <v>78.989999999999995</v>
      </c>
      <c r="J108">
        <v>87.61</v>
      </c>
      <c r="K108">
        <v>57.59</v>
      </c>
      <c r="L108">
        <v>49.67</v>
      </c>
      <c r="M108">
        <v>59.58</v>
      </c>
      <c r="N108">
        <v>120.68</v>
      </c>
      <c r="O108">
        <v>44.46</v>
      </c>
      <c r="P108">
        <v>170.27</v>
      </c>
      <c r="Q108">
        <v>26.48</v>
      </c>
    </row>
    <row r="109" spans="2:17" x14ac:dyDescent="0.3">
      <c r="B109" s="2">
        <v>45211</v>
      </c>
      <c r="C109">
        <v>39.18</v>
      </c>
      <c r="D109">
        <v>433.66</v>
      </c>
      <c r="E109">
        <v>173.26</v>
      </c>
      <c r="F109">
        <v>29.91</v>
      </c>
      <c r="G109">
        <v>369.93</v>
      </c>
      <c r="H109">
        <v>21.61</v>
      </c>
      <c r="I109">
        <v>75.42</v>
      </c>
      <c r="J109">
        <v>86.07</v>
      </c>
      <c r="K109">
        <v>58.12</v>
      </c>
      <c r="L109">
        <v>49.86</v>
      </c>
      <c r="M109">
        <v>60.33</v>
      </c>
      <c r="N109">
        <v>121.38</v>
      </c>
      <c r="O109">
        <v>44.32</v>
      </c>
      <c r="P109">
        <v>171.7</v>
      </c>
      <c r="Q109">
        <v>26.68</v>
      </c>
    </row>
    <row r="110" spans="2:17" x14ac:dyDescent="0.3">
      <c r="B110" s="2">
        <v>45210</v>
      </c>
      <c r="C110">
        <v>39.6</v>
      </c>
      <c r="D110">
        <v>436.32</v>
      </c>
      <c r="E110">
        <v>173.79</v>
      </c>
      <c r="F110">
        <v>29.66</v>
      </c>
      <c r="G110">
        <v>371.22</v>
      </c>
      <c r="H110">
        <v>21.41</v>
      </c>
      <c r="I110">
        <v>75.67</v>
      </c>
      <c r="J110">
        <v>88.47</v>
      </c>
      <c r="K110">
        <v>58.79</v>
      </c>
      <c r="L110">
        <v>50.27</v>
      </c>
      <c r="M110">
        <v>60.18</v>
      </c>
      <c r="N110">
        <v>122.32</v>
      </c>
      <c r="O110">
        <v>44.68</v>
      </c>
      <c r="P110">
        <v>175.67</v>
      </c>
      <c r="Q110">
        <v>27.15</v>
      </c>
    </row>
    <row r="111" spans="2:17" x14ac:dyDescent="0.3">
      <c r="B111" s="2">
        <v>45209</v>
      </c>
      <c r="C111">
        <v>39.479999999999997</v>
      </c>
      <c r="D111">
        <v>434.54</v>
      </c>
      <c r="E111">
        <v>172.53</v>
      </c>
      <c r="F111">
        <v>29.66</v>
      </c>
      <c r="G111">
        <v>368.59</v>
      </c>
      <c r="H111">
        <v>21.55</v>
      </c>
      <c r="I111">
        <v>76.709999999999994</v>
      </c>
      <c r="J111">
        <v>86.66</v>
      </c>
      <c r="K111">
        <v>58.4</v>
      </c>
      <c r="L111">
        <v>49.98</v>
      </c>
      <c r="M111">
        <v>60.33</v>
      </c>
      <c r="N111">
        <v>121.78</v>
      </c>
      <c r="O111">
        <v>44.59</v>
      </c>
      <c r="P111">
        <v>175.97</v>
      </c>
      <c r="Q111">
        <v>26.89</v>
      </c>
    </row>
    <row r="112" spans="2:17" x14ac:dyDescent="0.3">
      <c r="B112" s="2">
        <v>45208</v>
      </c>
      <c r="C112">
        <v>38.86</v>
      </c>
      <c r="D112">
        <v>432.29</v>
      </c>
      <c r="E112">
        <v>172.82</v>
      </c>
      <c r="F112">
        <v>29.73</v>
      </c>
      <c r="G112">
        <v>366.56</v>
      </c>
      <c r="H112">
        <v>21.57</v>
      </c>
      <c r="I112">
        <v>77.13</v>
      </c>
      <c r="J112">
        <v>86.78</v>
      </c>
      <c r="K112">
        <v>57.5</v>
      </c>
      <c r="L112">
        <v>49.37</v>
      </c>
      <c r="M112">
        <v>59.55</v>
      </c>
      <c r="N112">
        <v>120.79</v>
      </c>
      <c r="O112">
        <v>44.09</v>
      </c>
      <c r="P112">
        <v>174</v>
      </c>
      <c r="Q112">
        <v>26.22</v>
      </c>
    </row>
    <row r="113" spans="2:17" x14ac:dyDescent="0.3">
      <c r="B113" s="2">
        <v>45205</v>
      </c>
      <c r="C113">
        <v>39.1</v>
      </c>
      <c r="D113">
        <v>429.54</v>
      </c>
      <c r="E113">
        <v>169.7</v>
      </c>
      <c r="F113">
        <v>29.74</v>
      </c>
      <c r="G113">
        <v>364.7</v>
      </c>
      <c r="H113">
        <v>21.58</v>
      </c>
      <c r="I113">
        <v>74.16</v>
      </c>
      <c r="J113">
        <v>84.79</v>
      </c>
      <c r="K113">
        <v>57.68</v>
      </c>
      <c r="L113">
        <v>49.68</v>
      </c>
      <c r="M113">
        <v>59.38</v>
      </c>
      <c r="N113">
        <v>120.25</v>
      </c>
      <c r="O113">
        <v>44.58</v>
      </c>
      <c r="P113">
        <v>173</v>
      </c>
      <c r="Q113">
        <v>26.23</v>
      </c>
    </row>
    <row r="114" spans="2:17" x14ac:dyDescent="0.3">
      <c r="B114" s="2">
        <v>45204</v>
      </c>
      <c r="C114">
        <v>38.57</v>
      </c>
      <c r="D114">
        <v>424.5</v>
      </c>
      <c r="E114">
        <v>168.83</v>
      </c>
      <c r="F114">
        <v>29.8</v>
      </c>
      <c r="G114">
        <v>358.69</v>
      </c>
      <c r="H114">
        <v>21.44</v>
      </c>
      <c r="I114">
        <v>73.989999999999995</v>
      </c>
      <c r="J114">
        <v>85.83</v>
      </c>
      <c r="K114">
        <v>56.94</v>
      </c>
      <c r="L114">
        <v>49.15</v>
      </c>
      <c r="M114">
        <v>59.23</v>
      </c>
      <c r="N114">
        <v>118.88</v>
      </c>
      <c r="O114">
        <v>44.16</v>
      </c>
      <c r="P114">
        <v>171.35</v>
      </c>
      <c r="Q114">
        <v>25.69</v>
      </c>
    </row>
    <row r="115" spans="2:17" x14ac:dyDescent="0.3">
      <c r="B115" s="2">
        <v>45203</v>
      </c>
      <c r="C115">
        <v>38.409999999999997</v>
      </c>
      <c r="D115">
        <v>424.66</v>
      </c>
      <c r="E115">
        <v>169.14</v>
      </c>
      <c r="F115">
        <v>29.9</v>
      </c>
      <c r="G115">
        <v>359.75</v>
      </c>
      <c r="H115">
        <v>21.32</v>
      </c>
      <c r="I115">
        <v>75.59</v>
      </c>
      <c r="J115">
        <v>86.26</v>
      </c>
      <c r="K115">
        <v>56.61</v>
      </c>
      <c r="L115">
        <v>48.99</v>
      </c>
      <c r="M115">
        <v>58.09</v>
      </c>
      <c r="N115">
        <v>118.63</v>
      </c>
      <c r="O115">
        <v>43.87</v>
      </c>
      <c r="P115">
        <v>171.22</v>
      </c>
      <c r="Q115">
        <v>25.53</v>
      </c>
    </row>
    <row r="116" spans="2:17" x14ac:dyDescent="0.3">
      <c r="B116" s="2">
        <v>45202</v>
      </c>
      <c r="C116">
        <v>38.57</v>
      </c>
      <c r="D116">
        <v>421.59</v>
      </c>
      <c r="E116">
        <v>169.16</v>
      </c>
      <c r="F116">
        <v>29.99</v>
      </c>
      <c r="G116">
        <v>354.92</v>
      </c>
      <c r="H116">
        <v>21.37</v>
      </c>
      <c r="I116">
        <v>79.930000000000007</v>
      </c>
      <c r="J116">
        <v>85.06</v>
      </c>
      <c r="K116">
        <v>56.33</v>
      </c>
      <c r="L116">
        <v>49.06</v>
      </c>
      <c r="M116">
        <v>58.73</v>
      </c>
      <c r="N116">
        <v>117.94</v>
      </c>
      <c r="O116">
        <v>43.95</v>
      </c>
      <c r="P116">
        <v>171.14</v>
      </c>
      <c r="Q116">
        <v>25.75</v>
      </c>
    </row>
    <row r="117" spans="2:17" x14ac:dyDescent="0.3">
      <c r="B117" s="2">
        <v>45201</v>
      </c>
      <c r="C117">
        <v>39.07</v>
      </c>
      <c r="D117">
        <v>427.31</v>
      </c>
      <c r="E117">
        <v>169.65</v>
      </c>
      <c r="F117">
        <v>29.96</v>
      </c>
      <c r="G117">
        <v>361.26</v>
      </c>
      <c r="H117">
        <v>21.58</v>
      </c>
      <c r="I117">
        <v>79.39</v>
      </c>
      <c r="J117">
        <v>86.93</v>
      </c>
      <c r="K117">
        <v>56.94</v>
      </c>
      <c r="L117">
        <v>49.59</v>
      </c>
      <c r="M117">
        <v>59.77</v>
      </c>
      <c r="N117">
        <v>119.51</v>
      </c>
      <c r="O117">
        <v>44.21</v>
      </c>
      <c r="P117">
        <v>174.07</v>
      </c>
      <c r="Q117">
        <v>26.37</v>
      </c>
    </row>
    <row r="118" spans="2:17" x14ac:dyDescent="0.3">
      <c r="B118" s="2">
        <v>45198</v>
      </c>
      <c r="C118">
        <v>39.21</v>
      </c>
      <c r="D118">
        <v>427.48</v>
      </c>
      <c r="E118">
        <v>171.45</v>
      </c>
      <c r="F118">
        <v>29.73</v>
      </c>
      <c r="G118">
        <v>358.27</v>
      </c>
      <c r="H118">
        <v>21.41</v>
      </c>
      <c r="I118">
        <v>80.86</v>
      </c>
      <c r="J118">
        <v>88.69</v>
      </c>
      <c r="K118">
        <v>57.93</v>
      </c>
      <c r="L118">
        <v>49.83</v>
      </c>
      <c r="M118">
        <v>60.29</v>
      </c>
      <c r="N118">
        <v>120.17</v>
      </c>
      <c r="O118">
        <v>44.22</v>
      </c>
      <c r="P118">
        <v>176.74</v>
      </c>
      <c r="Q118">
        <v>26.53</v>
      </c>
    </row>
    <row r="119" spans="2:17" x14ac:dyDescent="0.3">
      <c r="B119" s="2">
        <v>45197</v>
      </c>
      <c r="C119">
        <v>39.17</v>
      </c>
      <c r="D119">
        <v>428.52</v>
      </c>
      <c r="E119">
        <v>173.23</v>
      </c>
      <c r="F119">
        <v>29.71</v>
      </c>
      <c r="G119">
        <v>358.01</v>
      </c>
      <c r="H119">
        <v>21.8</v>
      </c>
      <c r="I119">
        <v>81.569999999999993</v>
      </c>
      <c r="J119">
        <v>88.68</v>
      </c>
      <c r="K119">
        <v>57.85</v>
      </c>
      <c r="L119">
        <v>49.93</v>
      </c>
      <c r="M119">
        <v>61.15</v>
      </c>
      <c r="N119">
        <v>120.52</v>
      </c>
      <c r="O119">
        <v>44.25</v>
      </c>
      <c r="P119">
        <v>177.58</v>
      </c>
      <c r="Q119">
        <v>26.26</v>
      </c>
    </row>
    <row r="120" spans="2:17" x14ac:dyDescent="0.3">
      <c r="B120" s="2">
        <v>45196</v>
      </c>
      <c r="C120">
        <v>39.090000000000003</v>
      </c>
      <c r="D120">
        <v>426.05</v>
      </c>
      <c r="E120">
        <v>174.1</v>
      </c>
      <c r="F120">
        <v>29.87</v>
      </c>
      <c r="G120">
        <v>355.04</v>
      </c>
      <c r="H120">
        <v>21.61</v>
      </c>
      <c r="I120">
        <v>82.9</v>
      </c>
      <c r="J120">
        <v>88.41</v>
      </c>
      <c r="K120">
        <v>57.29</v>
      </c>
      <c r="L120">
        <v>49.7</v>
      </c>
      <c r="M120">
        <v>61.03</v>
      </c>
      <c r="N120">
        <v>119.58</v>
      </c>
      <c r="O120">
        <v>44.59</v>
      </c>
      <c r="P120">
        <v>175.99</v>
      </c>
      <c r="Q120">
        <v>26.41</v>
      </c>
    </row>
    <row r="121" spans="2:17" x14ac:dyDescent="0.3">
      <c r="B121" s="2">
        <v>45195</v>
      </c>
      <c r="C121">
        <v>39.04</v>
      </c>
      <c r="D121">
        <v>425.88</v>
      </c>
      <c r="E121">
        <v>176.28</v>
      </c>
      <c r="F121">
        <v>29.73</v>
      </c>
      <c r="G121">
        <v>354.21</v>
      </c>
      <c r="H121">
        <v>21.67</v>
      </c>
      <c r="I121">
        <v>80.88</v>
      </c>
      <c r="J121">
        <v>88.87</v>
      </c>
      <c r="K121">
        <v>57.54</v>
      </c>
      <c r="L121">
        <v>49.68</v>
      </c>
      <c r="M121">
        <v>60.77</v>
      </c>
      <c r="N121">
        <v>119.67</v>
      </c>
      <c r="O121">
        <v>44.32</v>
      </c>
      <c r="P121">
        <v>174.36</v>
      </c>
      <c r="Q121">
        <v>26.35</v>
      </c>
    </row>
    <row r="122" spans="2:17" x14ac:dyDescent="0.3">
      <c r="B122" s="2">
        <v>45194</v>
      </c>
      <c r="C122">
        <v>39.5</v>
      </c>
      <c r="D122">
        <v>432.23</v>
      </c>
      <c r="E122">
        <v>177.7</v>
      </c>
      <c r="F122">
        <v>29.64</v>
      </c>
      <c r="G122">
        <v>359.61</v>
      </c>
      <c r="H122">
        <v>21.75</v>
      </c>
      <c r="I122">
        <v>80.39</v>
      </c>
      <c r="J122">
        <v>89.18</v>
      </c>
      <c r="K122">
        <v>58.27</v>
      </c>
      <c r="L122">
        <v>50.41</v>
      </c>
      <c r="M122">
        <v>61.72</v>
      </c>
      <c r="N122">
        <v>121.39</v>
      </c>
      <c r="O122">
        <v>44.63</v>
      </c>
      <c r="P122">
        <v>177.46</v>
      </c>
      <c r="Q122">
        <v>26.72</v>
      </c>
    </row>
    <row r="123" spans="2:17" x14ac:dyDescent="0.3">
      <c r="B123" s="2">
        <v>45191</v>
      </c>
      <c r="C123">
        <v>39.65</v>
      </c>
      <c r="D123">
        <v>430.42</v>
      </c>
      <c r="E123">
        <v>178.62</v>
      </c>
      <c r="F123">
        <v>29.53</v>
      </c>
      <c r="G123">
        <v>357.91</v>
      </c>
      <c r="H123">
        <v>21.86</v>
      </c>
      <c r="I123">
        <v>80.63</v>
      </c>
      <c r="J123">
        <v>91.43</v>
      </c>
      <c r="K123">
        <v>58.67</v>
      </c>
      <c r="L123">
        <v>50.41</v>
      </c>
      <c r="M123">
        <v>61.8</v>
      </c>
      <c r="N123">
        <v>121.17</v>
      </c>
      <c r="O123">
        <v>44.48</v>
      </c>
      <c r="P123">
        <v>176.67</v>
      </c>
      <c r="Q123">
        <v>27.14</v>
      </c>
    </row>
    <row r="124" spans="2:17" x14ac:dyDescent="0.3">
      <c r="B124" s="2">
        <v>45190</v>
      </c>
      <c r="C124">
        <v>39.19</v>
      </c>
      <c r="D124">
        <v>431.39</v>
      </c>
      <c r="E124">
        <v>178.05</v>
      </c>
      <c r="F124">
        <v>29.46</v>
      </c>
      <c r="G124">
        <v>357.86</v>
      </c>
      <c r="H124">
        <v>21.9</v>
      </c>
      <c r="I124">
        <v>80.41</v>
      </c>
      <c r="J124">
        <v>90.7</v>
      </c>
      <c r="K124">
        <v>58.8</v>
      </c>
      <c r="L124">
        <v>50.25</v>
      </c>
      <c r="M124">
        <v>61.63</v>
      </c>
      <c r="N124">
        <v>121.36</v>
      </c>
      <c r="O124">
        <v>44.45</v>
      </c>
      <c r="P124">
        <v>177.07</v>
      </c>
      <c r="Q124">
        <v>26.21</v>
      </c>
    </row>
    <row r="125" spans="2:17" x14ac:dyDescent="0.3">
      <c r="B125" s="2">
        <v>45189</v>
      </c>
      <c r="C125">
        <v>39.83</v>
      </c>
      <c r="D125">
        <v>438.64</v>
      </c>
      <c r="E125">
        <v>179.35</v>
      </c>
      <c r="F125">
        <v>29.44</v>
      </c>
      <c r="G125">
        <v>364.54</v>
      </c>
      <c r="H125">
        <v>22.21</v>
      </c>
      <c r="I125">
        <v>80.14</v>
      </c>
      <c r="J125">
        <v>93.09</v>
      </c>
      <c r="K125">
        <v>59.66</v>
      </c>
      <c r="L125">
        <v>51.07</v>
      </c>
      <c r="M125">
        <v>62.6</v>
      </c>
      <c r="N125">
        <v>123.43</v>
      </c>
      <c r="O125">
        <v>44.88</v>
      </c>
      <c r="P125">
        <v>179.86</v>
      </c>
      <c r="Q125">
        <v>26.79</v>
      </c>
    </row>
    <row r="126" spans="2:17" x14ac:dyDescent="0.3">
      <c r="B126" s="2">
        <v>45188</v>
      </c>
      <c r="C126">
        <v>39.950000000000003</v>
      </c>
      <c r="D126">
        <v>442.71</v>
      </c>
      <c r="E126">
        <v>179.22</v>
      </c>
      <c r="F126">
        <v>29.39</v>
      </c>
      <c r="G126">
        <v>369.87</v>
      </c>
      <c r="H126">
        <v>22.27</v>
      </c>
      <c r="I126">
        <v>81.5</v>
      </c>
      <c r="J126">
        <v>92.8</v>
      </c>
      <c r="K126">
        <v>59.55</v>
      </c>
      <c r="L126">
        <v>51.19</v>
      </c>
      <c r="M126">
        <v>63.45</v>
      </c>
      <c r="N126">
        <v>124.34</v>
      </c>
      <c r="O126">
        <v>45</v>
      </c>
      <c r="P126">
        <v>181.68</v>
      </c>
      <c r="Q126">
        <v>26.98</v>
      </c>
    </row>
    <row r="127" spans="2:17" x14ac:dyDescent="0.3">
      <c r="B127" s="2">
        <v>45187</v>
      </c>
      <c r="C127">
        <v>40.15</v>
      </c>
      <c r="D127">
        <v>443.63</v>
      </c>
      <c r="E127">
        <v>179.39</v>
      </c>
      <c r="F127">
        <v>29.37</v>
      </c>
      <c r="G127">
        <v>370.66</v>
      </c>
      <c r="H127">
        <v>22.18</v>
      </c>
      <c r="I127">
        <v>81.45</v>
      </c>
      <c r="J127">
        <v>93.49</v>
      </c>
      <c r="K127">
        <v>59.51</v>
      </c>
      <c r="L127">
        <v>51.47</v>
      </c>
      <c r="M127">
        <v>63.14</v>
      </c>
      <c r="N127">
        <v>124.52</v>
      </c>
      <c r="O127">
        <v>45.17</v>
      </c>
      <c r="P127">
        <v>182.39</v>
      </c>
      <c r="Q127">
        <v>27.05</v>
      </c>
    </row>
    <row r="128" spans="2:17" x14ac:dyDescent="0.3">
      <c r="B128" s="2">
        <v>45184</v>
      </c>
      <c r="C128">
        <v>40.54</v>
      </c>
      <c r="D128">
        <v>443.37</v>
      </c>
      <c r="E128">
        <v>178.34</v>
      </c>
      <c r="F128">
        <v>29.42</v>
      </c>
      <c r="G128">
        <v>370.81</v>
      </c>
      <c r="H128">
        <v>22.34</v>
      </c>
      <c r="I128">
        <v>81.290000000000006</v>
      </c>
      <c r="J128">
        <v>92.96</v>
      </c>
      <c r="K128">
        <v>60.19</v>
      </c>
      <c r="L128">
        <v>51.5</v>
      </c>
      <c r="M128">
        <v>62.99</v>
      </c>
      <c r="N128">
        <v>124.62</v>
      </c>
      <c r="O128">
        <v>45.12</v>
      </c>
      <c r="P128">
        <v>183.61</v>
      </c>
      <c r="Q128">
        <v>27.18</v>
      </c>
    </row>
    <row r="129" spans="2:17" x14ac:dyDescent="0.3">
      <c r="B129" s="2">
        <v>45183</v>
      </c>
      <c r="C129">
        <v>40.75</v>
      </c>
      <c r="D129">
        <v>450.36</v>
      </c>
      <c r="E129">
        <v>177.17</v>
      </c>
      <c r="F129">
        <v>29.44</v>
      </c>
      <c r="G129">
        <v>377.27</v>
      </c>
      <c r="H129">
        <v>22.21</v>
      </c>
      <c r="I129">
        <v>81.12</v>
      </c>
      <c r="J129">
        <v>93.53</v>
      </c>
      <c r="K129">
        <v>60.28</v>
      </c>
      <c r="L129">
        <v>51.72</v>
      </c>
      <c r="M129">
        <v>63.34</v>
      </c>
      <c r="N129">
        <v>125.72</v>
      </c>
      <c r="O129">
        <v>45.244999999999997</v>
      </c>
      <c r="P129">
        <v>185.55</v>
      </c>
      <c r="Q129">
        <v>27.3</v>
      </c>
    </row>
    <row r="130" spans="2:17" x14ac:dyDescent="0.3">
      <c r="B130" s="2">
        <v>45182</v>
      </c>
      <c r="C130">
        <v>40.51</v>
      </c>
      <c r="D130">
        <v>446.51</v>
      </c>
      <c r="E130">
        <v>177.08</v>
      </c>
      <c r="F130">
        <v>29.26</v>
      </c>
      <c r="G130">
        <v>374.21</v>
      </c>
      <c r="H130">
        <v>22.11</v>
      </c>
      <c r="I130">
        <v>79.680000000000007</v>
      </c>
      <c r="J130">
        <v>94.21</v>
      </c>
      <c r="K130">
        <v>59.57</v>
      </c>
      <c r="L130">
        <v>51.32</v>
      </c>
      <c r="M130">
        <v>62.28</v>
      </c>
      <c r="N130">
        <v>124.52</v>
      </c>
      <c r="O130">
        <v>45.11</v>
      </c>
      <c r="P130">
        <v>182.97</v>
      </c>
      <c r="Q130">
        <v>27.07</v>
      </c>
    </row>
    <row r="131" spans="2:17" x14ac:dyDescent="0.3">
      <c r="B131" s="2">
        <v>45181</v>
      </c>
      <c r="C131">
        <v>40.549999999999997</v>
      </c>
      <c r="D131">
        <v>445.99</v>
      </c>
      <c r="E131">
        <v>177.49</v>
      </c>
      <c r="F131">
        <v>29.24</v>
      </c>
      <c r="G131">
        <v>372.79</v>
      </c>
      <c r="H131">
        <v>22.04</v>
      </c>
      <c r="I131">
        <v>79.7</v>
      </c>
      <c r="J131">
        <v>94.23</v>
      </c>
      <c r="K131">
        <v>59.82</v>
      </c>
      <c r="L131">
        <v>51.24</v>
      </c>
      <c r="M131">
        <v>62.31</v>
      </c>
      <c r="N131">
        <v>124.48</v>
      </c>
      <c r="O131">
        <v>45.06</v>
      </c>
      <c r="P131">
        <v>184.18</v>
      </c>
      <c r="Q131">
        <v>27.3</v>
      </c>
    </row>
    <row r="132" spans="2:17" x14ac:dyDescent="0.3">
      <c r="B132" s="2">
        <v>45180</v>
      </c>
      <c r="C132">
        <v>40.659999999999997</v>
      </c>
      <c r="D132">
        <v>448.45</v>
      </c>
      <c r="E132">
        <v>178.41</v>
      </c>
      <c r="F132">
        <v>29.19</v>
      </c>
      <c r="G132">
        <v>376.97</v>
      </c>
      <c r="H132">
        <v>22.01</v>
      </c>
      <c r="I132">
        <v>78.37</v>
      </c>
      <c r="J132">
        <v>93.69</v>
      </c>
      <c r="K132">
        <v>60.21</v>
      </c>
      <c r="L132">
        <v>51.49</v>
      </c>
      <c r="M132">
        <v>62.32</v>
      </c>
      <c r="N132">
        <v>125.09</v>
      </c>
      <c r="O132">
        <v>45.46</v>
      </c>
      <c r="P132">
        <v>184.36</v>
      </c>
      <c r="Q132">
        <v>27.24</v>
      </c>
    </row>
    <row r="133" spans="2:17" x14ac:dyDescent="0.3">
      <c r="B133" s="2">
        <v>45177</v>
      </c>
      <c r="C133">
        <v>40.200000000000003</v>
      </c>
      <c r="D133">
        <v>445.52</v>
      </c>
      <c r="E133">
        <v>178.08</v>
      </c>
      <c r="F133">
        <v>29.33</v>
      </c>
      <c r="G133">
        <v>372.58</v>
      </c>
      <c r="H133">
        <v>21.85</v>
      </c>
      <c r="I133">
        <v>78.3</v>
      </c>
      <c r="J133">
        <v>94.37</v>
      </c>
      <c r="K133">
        <v>59.59</v>
      </c>
      <c r="L133">
        <v>50.95</v>
      </c>
      <c r="M133">
        <v>61.61</v>
      </c>
      <c r="N133">
        <v>124.12</v>
      </c>
      <c r="O133">
        <v>45.02</v>
      </c>
      <c r="P133">
        <v>183.92</v>
      </c>
      <c r="Q133">
        <v>26.88</v>
      </c>
    </row>
    <row r="134" spans="2:17" x14ac:dyDescent="0.3">
      <c r="B134" s="2">
        <v>45176</v>
      </c>
      <c r="C134">
        <v>40.119999999999997</v>
      </c>
      <c r="D134">
        <v>444.85</v>
      </c>
      <c r="E134">
        <v>178.02</v>
      </c>
      <c r="F134">
        <v>29.3</v>
      </c>
      <c r="G134">
        <v>372.06</v>
      </c>
      <c r="H134">
        <v>21.9</v>
      </c>
      <c r="I134">
        <v>77.95</v>
      </c>
      <c r="J134">
        <v>94.01</v>
      </c>
      <c r="K134">
        <v>59.5</v>
      </c>
      <c r="L134">
        <v>50.74</v>
      </c>
      <c r="M134">
        <v>62.23</v>
      </c>
      <c r="N134">
        <v>124.09</v>
      </c>
      <c r="O134">
        <v>44.55</v>
      </c>
      <c r="P134">
        <v>184.33</v>
      </c>
      <c r="Q134">
        <v>26.92</v>
      </c>
    </row>
    <row r="135" spans="2:17" x14ac:dyDescent="0.3">
      <c r="B135" s="2">
        <v>45175</v>
      </c>
      <c r="C135">
        <v>40.54</v>
      </c>
      <c r="D135">
        <v>446.22</v>
      </c>
      <c r="E135">
        <v>177.83</v>
      </c>
      <c r="F135">
        <v>29.23</v>
      </c>
      <c r="G135">
        <v>374.74</v>
      </c>
      <c r="H135">
        <v>21.94</v>
      </c>
      <c r="I135">
        <v>78.52</v>
      </c>
      <c r="J135">
        <v>93.75</v>
      </c>
      <c r="K135">
        <v>59.76</v>
      </c>
      <c r="L135">
        <v>50.98</v>
      </c>
      <c r="M135">
        <v>62.23</v>
      </c>
      <c r="N135">
        <v>124.45</v>
      </c>
      <c r="O135">
        <v>44.17</v>
      </c>
      <c r="P135">
        <v>186.13</v>
      </c>
      <c r="Q135">
        <v>27.71</v>
      </c>
    </row>
    <row r="136" spans="2:17" x14ac:dyDescent="0.3">
      <c r="B136" s="2">
        <v>45174</v>
      </c>
      <c r="C136">
        <v>40.729999999999997</v>
      </c>
      <c r="D136">
        <v>449.24</v>
      </c>
      <c r="E136">
        <v>178.64</v>
      </c>
      <c r="F136">
        <v>29.22</v>
      </c>
      <c r="G136">
        <v>378.07</v>
      </c>
      <c r="H136">
        <v>21.92</v>
      </c>
      <c r="I136">
        <v>77.760000000000005</v>
      </c>
      <c r="J136">
        <v>93.52</v>
      </c>
      <c r="K136">
        <v>59.98</v>
      </c>
      <c r="L136">
        <v>51.36</v>
      </c>
      <c r="M136">
        <v>62.07</v>
      </c>
      <c r="N136">
        <v>125.21</v>
      </c>
      <c r="O136">
        <v>44.35</v>
      </c>
      <c r="P136">
        <v>186.83</v>
      </c>
      <c r="Q136">
        <v>27.63</v>
      </c>
    </row>
    <row r="137" spans="2:17" x14ac:dyDescent="0.3">
      <c r="B137" s="2">
        <v>45170</v>
      </c>
      <c r="C137">
        <v>40.97</v>
      </c>
      <c r="D137">
        <v>451.19</v>
      </c>
      <c r="E137">
        <v>180.11</v>
      </c>
      <c r="F137">
        <v>29.07</v>
      </c>
      <c r="G137">
        <v>377.59</v>
      </c>
      <c r="H137">
        <v>21.78</v>
      </c>
      <c r="I137">
        <v>76.92</v>
      </c>
      <c r="J137">
        <v>94.85</v>
      </c>
      <c r="K137">
        <v>60.71</v>
      </c>
      <c r="L137">
        <v>51.64</v>
      </c>
      <c r="M137">
        <v>62.04</v>
      </c>
      <c r="N137">
        <v>125.91</v>
      </c>
      <c r="O137">
        <v>44.24</v>
      </c>
      <c r="P137">
        <v>190.85</v>
      </c>
      <c r="Q137">
        <v>28.04</v>
      </c>
    </row>
    <row r="138" spans="2:17" x14ac:dyDescent="0.3">
      <c r="B138" s="2">
        <v>45169</v>
      </c>
      <c r="C138">
        <v>40.53</v>
      </c>
      <c r="D138">
        <v>450.35</v>
      </c>
      <c r="E138">
        <v>180.02</v>
      </c>
      <c r="F138">
        <v>28.89</v>
      </c>
      <c r="G138">
        <v>377.99</v>
      </c>
      <c r="H138">
        <v>21.74</v>
      </c>
      <c r="I138">
        <v>75.06</v>
      </c>
      <c r="J138">
        <v>96.64</v>
      </c>
      <c r="K138">
        <v>60.92</v>
      </c>
      <c r="L138">
        <v>51.27</v>
      </c>
      <c r="M138">
        <v>61.64</v>
      </c>
      <c r="N138">
        <v>125.7</v>
      </c>
      <c r="O138">
        <v>43.97</v>
      </c>
      <c r="P138">
        <v>188.61</v>
      </c>
      <c r="Q138">
        <v>27.4</v>
      </c>
    </row>
    <row r="139" spans="2:17" x14ac:dyDescent="0.3">
      <c r="B139" s="2">
        <v>45168</v>
      </c>
      <c r="C139">
        <v>41.02</v>
      </c>
      <c r="D139">
        <v>451.01</v>
      </c>
      <c r="E139">
        <v>180.32</v>
      </c>
      <c r="F139">
        <v>28.75</v>
      </c>
      <c r="G139">
        <v>376.86</v>
      </c>
      <c r="H139">
        <v>21.85</v>
      </c>
      <c r="I139">
        <v>73.66</v>
      </c>
      <c r="J139">
        <v>96.21</v>
      </c>
      <c r="K139">
        <v>61.47</v>
      </c>
      <c r="L139">
        <v>51.93</v>
      </c>
      <c r="M139">
        <v>60.99</v>
      </c>
      <c r="N139">
        <v>125.89</v>
      </c>
      <c r="O139">
        <v>44.13</v>
      </c>
      <c r="P139">
        <v>188.94</v>
      </c>
      <c r="Q139">
        <v>27.76</v>
      </c>
    </row>
    <row r="140" spans="2:17" x14ac:dyDescent="0.3">
      <c r="B140" s="2">
        <v>45167</v>
      </c>
      <c r="C140">
        <v>41.17</v>
      </c>
      <c r="D140">
        <v>449.16</v>
      </c>
      <c r="E140">
        <v>179.87</v>
      </c>
      <c r="F140">
        <v>28.8</v>
      </c>
      <c r="G140">
        <v>374.77</v>
      </c>
      <c r="H140">
        <v>21.8</v>
      </c>
      <c r="I140">
        <v>73.319999999999993</v>
      </c>
      <c r="J140">
        <v>96.31</v>
      </c>
      <c r="K140">
        <v>61.5</v>
      </c>
      <c r="L140">
        <v>52.11</v>
      </c>
      <c r="M140">
        <v>61.1</v>
      </c>
      <c r="N140">
        <v>125.4</v>
      </c>
      <c r="O140">
        <v>44.19</v>
      </c>
      <c r="P140">
        <v>188.23</v>
      </c>
      <c r="Q140">
        <v>27.95</v>
      </c>
    </row>
    <row r="141" spans="2:17" x14ac:dyDescent="0.3">
      <c r="B141" s="2">
        <v>45166</v>
      </c>
      <c r="C141">
        <v>40.630000000000003</v>
      </c>
      <c r="D141">
        <v>442.76</v>
      </c>
      <c r="E141">
        <v>178.13</v>
      </c>
      <c r="F141">
        <v>28.96</v>
      </c>
      <c r="G141">
        <v>366.76</v>
      </c>
      <c r="H141">
        <v>21.83</v>
      </c>
      <c r="I141">
        <v>72.41</v>
      </c>
      <c r="J141">
        <v>95.32</v>
      </c>
      <c r="K141">
        <v>60.64</v>
      </c>
      <c r="L141">
        <v>51.67</v>
      </c>
      <c r="M141">
        <v>60.68</v>
      </c>
      <c r="N141">
        <v>123.64</v>
      </c>
      <c r="O141">
        <v>43.88</v>
      </c>
      <c r="P141">
        <v>185.64</v>
      </c>
      <c r="Q141">
        <v>27.41</v>
      </c>
    </row>
    <row r="142" spans="2:17" x14ac:dyDescent="0.3">
      <c r="B142" s="2">
        <v>45163</v>
      </c>
      <c r="C142">
        <v>40.229999999999997</v>
      </c>
      <c r="D142">
        <v>439.97</v>
      </c>
      <c r="E142">
        <v>177.62</v>
      </c>
      <c r="F142">
        <v>29.01</v>
      </c>
      <c r="G142">
        <v>364.02</v>
      </c>
      <c r="H142">
        <v>21.62</v>
      </c>
      <c r="I142">
        <v>72.45</v>
      </c>
      <c r="J142">
        <v>95.22</v>
      </c>
      <c r="K142">
        <v>60.01</v>
      </c>
      <c r="L142">
        <v>51.37</v>
      </c>
      <c r="M142">
        <v>59.97</v>
      </c>
      <c r="N142">
        <v>122.7</v>
      </c>
      <c r="O142">
        <v>43.76</v>
      </c>
      <c r="P142">
        <v>184</v>
      </c>
      <c r="Q142">
        <v>26.77</v>
      </c>
    </row>
    <row r="143" spans="2:17" x14ac:dyDescent="0.3">
      <c r="B143" s="2">
        <v>45162</v>
      </c>
      <c r="C143">
        <v>40.26</v>
      </c>
      <c r="D143">
        <v>436.89</v>
      </c>
      <c r="E143">
        <v>177.85</v>
      </c>
      <c r="F143">
        <v>28.97</v>
      </c>
      <c r="G143">
        <v>361.22</v>
      </c>
      <c r="H143">
        <v>21.56</v>
      </c>
      <c r="I143">
        <v>71.41</v>
      </c>
      <c r="J143">
        <v>94.91</v>
      </c>
      <c r="K143">
        <v>59.58</v>
      </c>
      <c r="L143">
        <v>51.3</v>
      </c>
      <c r="M143">
        <v>59.66</v>
      </c>
      <c r="N143">
        <v>121.87</v>
      </c>
      <c r="O143">
        <v>43.77</v>
      </c>
      <c r="P143">
        <v>183.22</v>
      </c>
      <c r="Q143">
        <v>26.82</v>
      </c>
    </row>
    <row r="144" spans="2:17" x14ac:dyDescent="0.3">
      <c r="B144" s="2">
        <v>45161</v>
      </c>
      <c r="C144">
        <v>40.43</v>
      </c>
      <c r="D144">
        <v>443.03</v>
      </c>
      <c r="E144">
        <v>177.89</v>
      </c>
      <c r="F144">
        <v>28.74</v>
      </c>
      <c r="G144">
        <v>369.11</v>
      </c>
      <c r="H144">
        <v>21.38</v>
      </c>
      <c r="I144">
        <v>71.36</v>
      </c>
      <c r="J144">
        <v>95.54</v>
      </c>
      <c r="K144">
        <v>60.42</v>
      </c>
      <c r="L144">
        <v>51.6</v>
      </c>
      <c r="M144">
        <v>60.45</v>
      </c>
      <c r="N144">
        <v>123.51</v>
      </c>
      <c r="O144">
        <v>44.19</v>
      </c>
      <c r="P144">
        <v>185.79</v>
      </c>
      <c r="Q144">
        <v>26.7</v>
      </c>
    </row>
    <row r="145" spans="2:17" x14ac:dyDescent="0.3">
      <c r="B145" s="2">
        <v>45160</v>
      </c>
      <c r="C145">
        <v>39.840000000000003</v>
      </c>
      <c r="D145">
        <v>438.15</v>
      </c>
      <c r="E145">
        <v>176.1</v>
      </c>
      <c r="F145">
        <v>28.84</v>
      </c>
      <c r="G145">
        <v>363.38</v>
      </c>
      <c r="H145">
        <v>21.16</v>
      </c>
      <c r="I145">
        <v>72.28</v>
      </c>
      <c r="J145">
        <v>93.23</v>
      </c>
      <c r="K145">
        <v>59.92</v>
      </c>
      <c r="L145">
        <v>50.77</v>
      </c>
      <c r="M145">
        <v>59.66</v>
      </c>
      <c r="N145">
        <v>122.21</v>
      </c>
      <c r="O145">
        <v>43.51</v>
      </c>
      <c r="P145">
        <v>183.83</v>
      </c>
      <c r="Q145">
        <v>26.14</v>
      </c>
    </row>
    <row r="146" spans="2:17" x14ac:dyDescent="0.3">
      <c r="B146" s="2">
        <v>45159</v>
      </c>
      <c r="C146">
        <v>39.909999999999997</v>
      </c>
      <c r="D146">
        <v>439.34</v>
      </c>
      <c r="E146">
        <v>175.81</v>
      </c>
      <c r="F146">
        <v>28.74</v>
      </c>
      <c r="G146">
        <v>363.9</v>
      </c>
      <c r="H146">
        <v>21.29</v>
      </c>
      <c r="I146">
        <v>72.58</v>
      </c>
      <c r="J146">
        <v>92.52</v>
      </c>
      <c r="K146">
        <v>60.14</v>
      </c>
      <c r="L146">
        <v>50.86</v>
      </c>
      <c r="M146">
        <v>59.37</v>
      </c>
      <c r="N146">
        <v>122.57</v>
      </c>
      <c r="O146">
        <v>43.6</v>
      </c>
      <c r="P146">
        <v>184.38</v>
      </c>
      <c r="Q146">
        <v>26.15</v>
      </c>
    </row>
    <row r="147" spans="2:17" x14ac:dyDescent="0.3">
      <c r="B147" s="2">
        <v>45156</v>
      </c>
      <c r="C147">
        <v>39.82</v>
      </c>
      <c r="D147">
        <v>436.5</v>
      </c>
      <c r="E147">
        <v>175.33</v>
      </c>
      <c r="F147">
        <v>28.77</v>
      </c>
      <c r="G147">
        <v>358.13</v>
      </c>
      <c r="H147">
        <v>21.35</v>
      </c>
      <c r="I147">
        <v>72.790000000000006</v>
      </c>
      <c r="J147">
        <v>93.77</v>
      </c>
      <c r="K147">
        <v>59.8</v>
      </c>
      <c r="L147">
        <v>50.66</v>
      </c>
      <c r="M147">
        <v>59.32</v>
      </c>
      <c r="N147">
        <v>121.82</v>
      </c>
      <c r="O147">
        <v>43.33</v>
      </c>
      <c r="P147">
        <v>184.65</v>
      </c>
      <c r="Q147">
        <v>26.19</v>
      </c>
    </row>
    <row r="148" spans="2:17" x14ac:dyDescent="0.3">
      <c r="B148" s="2">
        <v>45155</v>
      </c>
      <c r="C148">
        <v>40.07</v>
      </c>
      <c r="D148">
        <v>436.29</v>
      </c>
      <c r="E148">
        <v>175.3</v>
      </c>
      <c r="F148">
        <v>28.75</v>
      </c>
      <c r="G148">
        <v>358.58</v>
      </c>
      <c r="H148">
        <v>21.18</v>
      </c>
      <c r="I148">
        <v>71.98</v>
      </c>
      <c r="J148">
        <v>93.44</v>
      </c>
      <c r="K148">
        <v>59.9</v>
      </c>
      <c r="L148">
        <v>50.64</v>
      </c>
      <c r="M148">
        <v>59.17</v>
      </c>
      <c r="N148">
        <v>121.85</v>
      </c>
      <c r="O148">
        <v>43.2</v>
      </c>
      <c r="P148">
        <v>183.65</v>
      </c>
      <c r="Q148">
        <v>26.85</v>
      </c>
    </row>
    <row r="149" spans="2:17" x14ac:dyDescent="0.3">
      <c r="B149" s="2">
        <v>45154</v>
      </c>
      <c r="C149">
        <v>39.94</v>
      </c>
      <c r="D149">
        <v>439.64</v>
      </c>
      <c r="E149">
        <v>175.57</v>
      </c>
      <c r="F149">
        <v>28.76</v>
      </c>
      <c r="G149">
        <v>362.54</v>
      </c>
      <c r="H149">
        <v>21.19</v>
      </c>
      <c r="I149">
        <v>71.37</v>
      </c>
      <c r="J149">
        <v>93.84</v>
      </c>
      <c r="K149">
        <v>60.42</v>
      </c>
      <c r="L149">
        <v>50.65</v>
      </c>
      <c r="M149">
        <v>59.42</v>
      </c>
      <c r="N149">
        <v>122.7</v>
      </c>
      <c r="O149">
        <v>43.36</v>
      </c>
      <c r="P149">
        <v>185.84</v>
      </c>
      <c r="Q149">
        <v>26.65</v>
      </c>
    </row>
    <row r="150" spans="2:17" x14ac:dyDescent="0.3">
      <c r="B150" s="2">
        <v>45153</v>
      </c>
      <c r="C150">
        <v>40.21</v>
      </c>
      <c r="D150">
        <v>442.89</v>
      </c>
      <c r="E150">
        <v>176.59</v>
      </c>
      <c r="F150">
        <v>28.68</v>
      </c>
      <c r="G150">
        <v>366.42</v>
      </c>
      <c r="H150">
        <v>21.08</v>
      </c>
      <c r="I150">
        <v>72.62</v>
      </c>
      <c r="J150">
        <v>94.58</v>
      </c>
      <c r="K150">
        <v>60.79</v>
      </c>
      <c r="L150">
        <v>50.93</v>
      </c>
      <c r="M150">
        <v>60.17</v>
      </c>
      <c r="N150">
        <v>123.68</v>
      </c>
      <c r="O150">
        <v>43.23</v>
      </c>
      <c r="P150">
        <v>188.14</v>
      </c>
      <c r="Q150">
        <v>27.21</v>
      </c>
    </row>
    <row r="151" spans="2:17" x14ac:dyDescent="0.3">
      <c r="B151" s="2">
        <v>45152</v>
      </c>
      <c r="C151">
        <v>40.64</v>
      </c>
      <c r="D151">
        <v>448.11</v>
      </c>
      <c r="E151">
        <v>177.06</v>
      </c>
      <c r="F151">
        <v>28.67</v>
      </c>
      <c r="G151">
        <v>370.35</v>
      </c>
      <c r="H151">
        <v>21.25</v>
      </c>
      <c r="I151">
        <v>73.81</v>
      </c>
      <c r="J151">
        <v>95.16</v>
      </c>
      <c r="K151">
        <v>61.58</v>
      </c>
      <c r="L151">
        <v>51.4</v>
      </c>
      <c r="M151">
        <v>60.82</v>
      </c>
      <c r="N151">
        <v>125.17</v>
      </c>
      <c r="O151">
        <v>43.47</v>
      </c>
      <c r="P151">
        <v>190.66</v>
      </c>
      <c r="Q151">
        <v>27.66</v>
      </c>
    </row>
    <row r="152" spans="2:17" x14ac:dyDescent="0.3">
      <c r="B152" s="2">
        <v>45149</v>
      </c>
      <c r="C152">
        <v>40.83</v>
      </c>
      <c r="D152">
        <v>445.65</v>
      </c>
      <c r="E152">
        <v>177.6</v>
      </c>
      <c r="F152">
        <v>28.57</v>
      </c>
      <c r="G152">
        <v>366.24</v>
      </c>
      <c r="H152">
        <v>21.41</v>
      </c>
      <c r="I152">
        <v>74.25</v>
      </c>
      <c r="J152">
        <v>95.37</v>
      </c>
      <c r="K152">
        <v>61.7</v>
      </c>
      <c r="L152">
        <v>51.58</v>
      </c>
      <c r="M152">
        <v>61.37</v>
      </c>
      <c r="N152">
        <v>124.87</v>
      </c>
      <c r="O152">
        <v>43.62</v>
      </c>
      <c r="P152">
        <v>190.99</v>
      </c>
      <c r="Q152">
        <v>27.92</v>
      </c>
    </row>
    <row r="153" spans="2:17" x14ac:dyDescent="0.3">
      <c r="B153" s="2">
        <v>45148</v>
      </c>
      <c r="C153">
        <v>41.43</v>
      </c>
      <c r="D153">
        <v>445.91</v>
      </c>
      <c r="E153">
        <v>177.6</v>
      </c>
      <c r="F153">
        <v>28.51</v>
      </c>
      <c r="G153">
        <v>368.59</v>
      </c>
      <c r="H153">
        <v>21.41</v>
      </c>
      <c r="I153">
        <v>74.2</v>
      </c>
      <c r="J153">
        <v>95.59</v>
      </c>
      <c r="K153">
        <v>62.23</v>
      </c>
      <c r="L153">
        <v>52.05</v>
      </c>
      <c r="M153">
        <v>61.47</v>
      </c>
      <c r="N153">
        <v>125.17</v>
      </c>
      <c r="O153">
        <v>43.87</v>
      </c>
      <c r="P153">
        <v>190.72</v>
      </c>
      <c r="Q153">
        <v>28.83</v>
      </c>
    </row>
    <row r="154" spans="2:17" x14ac:dyDescent="0.3">
      <c r="B154" s="2">
        <v>45147</v>
      </c>
      <c r="C154">
        <v>41.35</v>
      </c>
      <c r="D154">
        <v>445.75</v>
      </c>
      <c r="E154">
        <v>177.79</v>
      </c>
      <c r="F154">
        <v>28.46</v>
      </c>
      <c r="G154">
        <v>367.91</v>
      </c>
      <c r="H154">
        <v>21.39</v>
      </c>
      <c r="I154">
        <v>75.099999999999994</v>
      </c>
      <c r="J154">
        <v>97.19</v>
      </c>
      <c r="K154">
        <v>61.99</v>
      </c>
      <c r="L154">
        <v>52.12</v>
      </c>
      <c r="M154">
        <v>61.21</v>
      </c>
      <c r="N154">
        <v>125.01</v>
      </c>
      <c r="O154">
        <v>43.94</v>
      </c>
      <c r="P154">
        <v>191.57</v>
      </c>
      <c r="Q154">
        <v>28.6</v>
      </c>
    </row>
    <row r="155" spans="2:17" x14ac:dyDescent="0.3">
      <c r="B155" s="2">
        <v>45146</v>
      </c>
      <c r="C155">
        <v>41.28</v>
      </c>
      <c r="D155">
        <v>448.75</v>
      </c>
      <c r="E155">
        <v>178.64</v>
      </c>
      <c r="F155">
        <v>28.44</v>
      </c>
      <c r="G155">
        <v>372</v>
      </c>
      <c r="H155">
        <v>21.43</v>
      </c>
      <c r="I155">
        <v>74.06</v>
      </c>
      <c r="J155">
        <v>96.69</v>
      </c>
      <c r="K155">
        <v>61.85</v>
      </c>
      <c r="L155">
        <v>51.94</v>
      </c>
      <c r="M155">
        <v>61.75</v>
      </c>
      <c r="N155">
        <v>125.65</v>
      </c>
      <c r="O155">
        <v>43.93</v>
      </c>
      <c r="P155">
        <v>193.08</v>
      </c>
      <c r="Q155">
        <v>28.48</v>
      </c>
    </row>
    <row r="156" spans="2:17" x14ac:dyDescent="0.3">
      <c r="B156" s="2">
        <v>45145</v>
      </c>
      <c r="C156">
        <v>41.71</v>
      </c>
      <c r="D156">
        <v>450.71</v>
      </c>
      <c r="E156">
        <v>179.78</v>
      </c>
      <c r="F156">
        <v>28.31</v>
      </c>
      <c r="G156">
        <v>375.19</v>
      </c>
      <c r="H156">
        <v>21.59</v>
      </c>
      <c r="I156">
        <v>73.819999999999993</v>
      </c>
      <c r="J156">
        <v>95.58</v>
      </c>
      <c r="K156">
        <v>62.18</v>
      </c>
      <c r="L156">
        <v>52.53</v>
      </c>
      <c r="M156">
        <v>62.3</v>
      </c>
      <c r="N156">
        <v>126.29</v>
      </c>
      <c r="O156">
        <v>44.19</v>
      </c>
      <c r="P156">
        <v>194.3</v>
      </c>
      <c r="Q156">
        <v>29.02</v>
      </c>
    </row>
    <row r="157" spans="2:17" x14ac:dyDescent="0.3">
      <c r="B157" s="2">
        <v>45142</v>
      </c>
      <c r="C157">
        <v>41.78</v>
      </c>
      <c r="D157">
        <v>446.81</v>
      </c>
      <c r="E157">
        <v>180.19</v>
      </c>
      <c r="F157">
        <v>28.29</v>
      </c>
      <c r="G157">
        <v>372.04</v>
      </c>
      <c r="H157">
        <v>21.64</v>
      </c>
      <c r="I157">
        <v>73.790000000000006</v>
      </c>
      <c r="J157">
        <v>96.53</v>
      </c>
      <c r="K157">
        <v>61.59</v>
      </c>
      <c r="L157">
        <v>52.41</v>
      </c>
      <c r="M157">
        <v>61.78</v>
      </c>
      <c r="N157">
        <v>125.22</v>
      </c>
      <c r="O157">
        <v>44.03</v>
      </c>
      <c r="P157">
        <v>194.17</v>
      </c>
      <c r="Q157">
        <v>29.13</v>
      </c>
    </row>
    <row r="158" spans="2:17" x14ac:dyDescent="0.3">
      <c r="B158" s="2">
        <v>45141</v>
      </c>
      <c r="C158">
        <v>41.73</v>
      </c>
      <c r="D158">
        <v>448.84</v>
      </c>
      <c r="E158">
        <v>179.54</v>
      </c>
      <c r="F158">
        <v>28.43</v>
      </c>
      <c r="G158">
        <v>373.79</v>
      </c>
      <c r="H158">
        <v>21.62</v>
      </c>
      <c r="I158">
        <v>73.14</v>
      </c>
      <c r="J158">
        <v>94.85</v>
      </c>
      <c r="K158">
        <v>61.48</v>
      </c>
      <c r="L158">
        <v>52.25</v>
      </c>
      <c r="M158">
        <v>61.19</v>
      </c>
      <c r="N158">
        <v>125.52</v>
      </c>
      <c r="O158">
        <v>43.6</v>
      </c>
      <c r="P158">
        <v>194.56</v>
      </c>
      <c r="Q158">
        <v>29.55</v>
      </c>
    </row>
    <row r="159" spans="2:17" x14ac:dyDescent="0.3">
      <c r="B159" s="2">
        <v>45140</v>
      </c>
      <c r="C159">
        <v>41.55</v>
      </c>
      <c r="D159">
        <v>450.13</v>
      </c>
      <c r="E159">
        <v>179.6</v>
      </c>
      <c r="F159">
        <v>28.45</v>
      </c>
      <c r="G159">
        <v>374.39</v>
      </c>
      <c r="H159">
        <v>21.79</v>
      </c>
      <c r="I159">
        <v>71.48</v>
      </c>
      <c r="J159">
        <v>97.09</v>
      </c>
      <c r="K159">
        <v>61.65</v>
      </c>
      <c r="L159">
        <v>52.5</v>
      </c>
      <c r="M159">
        <v>61.49</v>
      </c>
      <c r="N159">
        <v>125.9</v>
      </c>
      <c r="O159">
        <v>43.71</v>
      </c>
      <c r="P159">
        <v>195.11</v>
      </c>
      <c r="Q159">
        <v>28.77</v>
      </c>
    </row>
    <row r="160" spans="2:17" x14ac:dyDescent="0.3">
      <c r="B160" s="2">
        <v>45139</v>
      </c>
      <c r="C160">
        <v>42.47</v>
      </c>
      <c r="D160">
        <v>456.48</v>
      </c>
      <c r="E160">
        <v>180.46</v>
      </c>
      <c r="F160">
        <v>28.35</v>
      </c>
      <c r="G160">
        <v>382.79</v>
      </c>
      <c r="H160">
        <v>21.96</v>
      </c>
      <c r="I160">
        <v>72.959999999999994</v>
      </c>
      <c r="J160">
        <v>98.14</v>
      </c>
      <c r="K160">
        <v>62.79</v>
      </c>
      <c r="L160">
        <v>53.65</v>
      </c>
      <c r="M160">
        <v>62.67</v>
      </c>
      <c r="N160">
        <v>127.91</v>
      </c>
      <c r="O160">
        <v>44.48</v>
      </c>
      <c r="P160">
        <v>197.8</v>
      </c>
      <c r="Q160">
        <v>29.68</v>
      </c>
    </row>
    <row r="161" spans="2:17" x14ac:dyDescent="0.3">
      <c r="B161" s="2">
        <v>45138</v>
      </c>
      <c r="C161">
        <v>43.07</v>
      </c>
      <c r="D161">
        <v>457.79</v>
      </c>
      <c r="E161">
        <v>182.35</v>
      </c>
      <c r="F161">
        <v>28.22</v>
      </c>
      <c r="G161">
        <v>383.68</v>
      </c>
      <c r="H161">
        <v>21.93</v>
      </c>
      <c r="I161">
        <v>73.17</v>
      </c>
      <c r="J161">
        <v>100.05</v>
      </c>
      <c r="K161">
        <v>63.49</v>
      </c>
      <c r="L161">
        <v>54.06</v>
      </c>
      <c r="M161">
        <v>63.42</v>
      </c>
      <c r="N161">
        <v>128.54</v>
      </c>
      <c r="O161">
        <v>44.76</v>
      </c>
      <c r="P161">
        <v>198.71</v>
      </c>
      <c r="Q161">
        <v>30.42</v>
      </c>
    </row>
    <row r="162" spans="2:17" x14ac:dyDescent="0.3">
      <c r="B162" s="2">
        <v>45135</v>
      </c>
      <c r="C162">
        <v>43.02</v>
      </c>
      <c r="D162">
        <v>456.92</v>
      </c>
      <c r="E162">
        <v>181.86</v>
      </c>
      <c r="F162">
        <v>28.17</v>
      </c>
      <c r="G162">
        <v>383.48</v>
      </c>
      <c r="H162">
        <v>21.99</v>
      </c>
      <c r="I162">
        <v>72.09</v>
      </c>
      <c r="J162">
        <v>99.81</v>
      </c>
      <c r="K162">
        <v>63.51</v>
      </c>
      <c r="L162">
        <v>54.19</v>
      </c>
      <c r="M162">
        <v>63.7</v>
      </c>
      <c r="N162">
        <v>128.44</v>
      </c>
      <c r="O162">
        <v>44.5</v>
      </c>
      <c r="P162">
        <v>196.43</v>
      </c>
      <c r="Q162">
        <v>30.08</v>
      </c>
    </row>
    <row r="163" spans="2:17" x14ac:dyDescent="0.3">
      <c r="B163" s="2">
        <v>45134</v>
      </c>
      <c r="C163">
        <v>42</v>
      </c>
      <c r="D163">
        <v>452.49</v>
      </c>
      <c r="E163">
        <v>180.42</v>
      </c>
      <c r="F163">
        <v>28.21</v>
      </c>
      <c r="G163">
        <v>376.62</v>
      </c>
      <c r="H163">
        <v>22.11</v>
      </c>
      <c r="I163">
        <v>71.430000000000007</v>
      </c>
      <c r="J163">
        <v>99.3</v>
      </c>
      <c r="K163">
        <v>62.97</v>
      </c>
      <c r="L163">
        <v>53.58</v>
      </c>
      <c r="M163">
        <v>63.34</v>
      </c>
      <c r="N163">
        <v>127.22</v>
      </c>
      <c r="O163">
        <v>44.23</v>
      </c>
      <c r="P163">
        <v>193.92</v>
      </c>
      <c r="Q163">
        <v>28.5</v>
      </c>
    </row>
    <row r="164" spans="2:17" x14ac:dyDescent="0.3">
      <c r="B164" s="2">
        <v>45133</v>
      </c>
      <c r="C164">
        <v>42.47</v>
      </c>
      <c r="D164">
        <v>455.51</v>
      </c>
      <c r="E164">
        <v>183.3</v>
      </c>
      <c r="F164">
        <v>27.95</v>
      </c>
      <c r="G164">
        <v>377.52</v>
      </c>
      <c r="H164">
        <v>22.31</v>
      </c>
      <c r="I164">
        <v>70.66</v>
      </c>
      <c r="J164">
        <v>101.27</v>
      </c>
      <c r="K164">
        <v>63.34</v>
      </c>
      <c r="L164">
        <v>54.23</v>
      </c>
      <c r="M164">
        <v>62.83</v>
      </c>
      <c r="N164">
        <v>128.01</v>
      </c>
      <c r="O164">
        <v>44.68</v>
      </c>
      <c r="P164">
        <v>196.46</v>
      </c>
      <c r="Q164">
        <v>28.97</v>
      </c>
    </row>
    <row r="165" spans="2:17" x14ac:dyDescent="0.3">
      <c r="B165" s="2">
        <v>45132</v>
      </c>
      <c r="C165">
        <v>42.21</v>
      </c>
      <c r="D165">
        <v>455.44</v>
      </c>
      <c r="E165">
        <v>182.41</v>
      </c>
      <c r="F165">
        <v>28.03</v>
      </c>
      <c r="G165">
        <v>378.78</v>
      </c>
      <c r="H165">
        <v>22.36</v>
      </c>
      <c r="I165">
        <v>71.16</v>
      </c>
      <c r="J165">
        <v>101.17</v>
      </c>
      <c r="K165">
        <v>63.22</v>
      </c>
      <c r="L165">
        <v>54.07</v>
      </c>
      <c r="M165">
        <v>62.58</v>
      </c>
      <c r="N165">
        <v>127.92</v>
      </c>
      <c r="O165">
        <v>44.51</v>
      </c>
      <c r="P165">
        <v>194.92</v>
      </c>
      <c r="Q165">
        <v>28.56</v>
      </c>
    </row>
    <row r="166" spans="2:17" x14ac:dyDescent="0.3">
      <c r="B166" s="2">
        <v>45131</v>
      </c>
      <c r="C166">
        <v>41.89</v>
      </c>
      <c r="D166">
        <v>454.2</v>
      </c>
      <c r="E166">
        <v>181.4</v>
      </c>
      <c r="F166">
        <v>28.06</v>
      </c>
      <c r="G166">
        <v>376.23</v>
      </c>
      <c r="H166">
        <v>22.35</v>
      </c>
      <c r="I166">
        <v>70.69</v>
      </c>
      <c r="J166">
        <v>101.36</v>
      </c>
      <c r="K166">
        <v>63.1</v>
      </c>
      <c r="L166">
        <v>53.75</v>
      </c>
      <c r="M166">
        <v>62.5</v>
      </c>
      <c r="N166">
        <v>127.59</v>
      </c>
      <c r="O166">
        <v>44.53</v>
      </c>
      <c r="P166">
        <v>194.94</v>
      </c>
      <c r="Q166">
        <v>28.21</v>
      </c>
    </row>
    <row r="167" spans="2:17" x14ac:dyDescent="0.3">
      <c r="B167" s="2">
        <v>45128</v>
      </c>
      <c r="C167">
        <v>41.34</v>
      </c>
      <c r="D167">
        <v>452.18</v>
      </c>
      <c r="E167">
        <v>182.18</v>
      </c>
      <c r="F167">
        <v>27.96</v>
      </c>
      <c r="G167">
        <v>375.63</v>
      </c>
      <c r="H167">
        <v>22.01</v>
      </c>
      <c r="I167">
        <v>68.989999999999995</v>
      </c>
      <c r="J167">
        <v>101.73</v>
      </c>
      <c r="K167">
        <v>63.42</v>
      </c>
      <c r="L167">
        <v>53.21</v>
      </c>
      <c r="M167">
        <v>62.41</v>
      </c>
      <c r="N167">
        <v>127.4</v>
      </c>
      <c r="O167">
        <v>44.36</v>
      </c>
      <c r="P167">
        <v>194.46</v>
      </c>
      <c r="Q167">
        <v>27.62</v>
      </c>
    </row>
    <row r="168" spans="2:17" x14ac:dyDescent="0.3">
      <c r="B168" s="2">
        <v>45127</v>
      </c>
      <c r="C168">
        <v>41.36</v>
      </c>
      <c r="D168">
        <v>452.18</v>
      </c>
      <c r="E168">
        <v>182.74</v>
      </c>
      <c r="F168">
        <v>27.88</v>
      </c>
      <c r="G168">
        <v>376.76</v>
      </c>
      <c r="H168">
        <v>22.05</v>
      </c>
      <c r="I168">
        <v>68.05</v>
      </c>
      <c r="J168">
        <v>101.7</v>
      </c>
      <c r="K168">
        <v>63.2</v>
      </c>
      <c r="L168">
        <v>53.28</v>
      </c>
      <c r="M168">
        <v>62.48</v>
      </c>
      <c r="N168">
        <v>127.33</v>
      </c>
      <c r="O168">
        <v>44.55</v>
      </c>
      <c r="P168">
        <v>195.08</v>
      </c>
      <c r="Q168">
        <v>27.6</v>
      </c>
    </row>
    <row r="169" spans="2:17" x14ac:dyDescent="0.3">
      <c r="B169" s="2">
        <v>45126</v>
      </c>
      <c r="C169">
        <v>41.62</v>
      </c>
      <c r="D169">
        <v>455.2</v>
      </c>
      <c r="E169">
        <v>183.67</v>
      </c>
      <c r="F169">
        <v>27.72</v>
      </c>
      <c r="G169">
        <v>385.65</v>
      </c>
      <c r="H169">
        <v>22</v>
      </c>
      <c r="I169">
        <v>67.69</v>
      </c>
      <c r="J169">
        <v>102.95</v>
      </c>
      <c r="K169">
        <v>63.44</v>
      </c>
      <c r="L169">
        <v>53.67</v>
      </c>
      <c r="M169">
        <v>63.32</v>
      </c>
      <c r="N169">
        <v>128.1</v>
      </c>
      <c r="O169">
        <v>44.65</v>
      </c>
      <c r="P169">
        <v>196.8</v>
      </c>
      <c r="Q169">
        <v>27.7</v>
      </c>
    </row>
    <row r="170" spans="2:17" x14ac:dyDescent="0.3">
      <c r="B170" s="2">
        <v>45125</v>
      </c>
      <c r="C170">
        <v>41.68</v>
      </c>
      <c r="D170">
        <v>454.19</v>
      </c>
      <c r="E170">
        <v>183.64</v>
      </c>
      <c r="F170">
        <v>27.61</v>
      </c>
      <c r="G170">
        <v>385.74</v>
      </c>
      <c r="H170">
        <v>21.74</v>
      </c>
      <c r="I170">
        <v>67.959999999999994</v>
      </c>
      <c r="J170">
        <v>101.8</v>
      </c>
      <c r="K170">
        <v>63.45</v>
      </c>
      <c r="L170">
        <v>53.88</v>
      </c>
      <c r="M170">
        <v>63.31</v>
      </c>
      <c r="N170">
        <v>127.93</v>
      </c>
      <c r="O170">
        <v>44.53</v>
      </c>
      <c r="P170">
        <v>195.97</v>
      </c>
      <c r="Q170">
        <v>27.52</v>
      </c>
    </row>
    <row r="171" spans="2:17" x14ac:dyDescent="0.3">
      <c r="B171" s="2">
        <v>45124</v>
      </c>
      <c r="C171">
        <v>41.98</v>
      </c>
      <c r="D171">
        <v>450.84</v>
      </c>
      <c r="E171">
        <v>181.56</v>
      </c>
      <c r="F171">
        <v>27.59</v>
      </c>
      <c r="G171">
        <v>382.61</v>
      </c>
      <c r="H171">
        <v>21.44</v>
      </c>
      <c r="I171">
        <v>66.58</v>
      </c>
      <c r="J171">
        <v>101.34</v>
      </c>
      <c r="K171">
        <v>63.08</v>
      </c>
      <c r="L171">
        <v>53.95</v>
      </c>
      <c r="M171">
        <v>62.45</v>
      </c>
      <c r="N171">
        <v>126.92</v>
      </c>
      <c r="O171">
        <v>44.56</v>
      </c>
      <c r="P171">
        <v>193.58</v>
      </c>
      <c r="Q171">
        <v>28.15</v>
      </c>
    </row>
    <row r="172" spans="2:17" x14ac:dyDescent="0.3">
      <c r="B172" s="2">
        <v>45121</v>
      </c>
      <c r="C172">
        <v>41.93</v>
      </c>
      <c r="D172">
        <v>449.28</v>
      </c>
      <c r="E172">
        <v>181.43</v>
      </c>
      <c r="F172">
        <v>27.62</v>
      </c>
      <c r="G172">
        <v>379.07</v>
      </c>
      <c r="H172">
        <v>21.59</v>
      </c>
      <c r="I172">
        <v>67.47</v>
      </c>
      <c r="J172">
        <v>101.29</v>
      </c>
      <c r="K172">
        <v>63.17</v>
      </c>
      <c r="L172">
        <v>53.69</v>
      </c>
      <c r="M172">
        <v>62.42</v>
      </c>
      <c r="N172">
        <v>126.64</v>
      </c>
      <c r="O172">
        <v>44.26</v>
      </c>
      <c r="P172">
        <v>191.53</v>
      </c>
      <c r="Q172">
        <v>28.29</v>
      </c>
    </row>
    <row r="173" spans="2:17" x14ac:dyDescent="0.3">
      <c r="B173" s="2">
        <v>45120</v>
      </c>
      <c r="C173">
        <v>42.19</v>
      </c>
      <c r="D173">
        <v>449.56</v>
      </c>
      <c r="E173">
        <v>182.01</v>
      </c>
      <c r="F173">
        <v>27.57</v>
      </c>
      <c r="G173">
        <v>379.15</v>
      </c>
      <c r="H173">
        <v>21.35</v>
      </c>
      <c r="I173">
        <v>69.09</v>
      </c>
      <c r="J173">
        <v>101.89</v>
      </c>
      <c r="K173">
        <v>63.47</v>
      </c>
      <c r="L173">
        <v>53.77</v>
      </c>
      <c r="M173">
        <v>63.18</v>
      </c>
      <c r="N173">
        <v>126.98</v>
      </c>
      <c r="O173">
        <v>44.17</v>
      </c>
      <c r="P173">
        <v>193.42</v>
      </c>
      <c r="Q173">
        <v>28.8</v>
      </c>
    </row>
    <row r="174" spans="2:17" x14ac:dyDescent="0.3">
      <c r="B174" s="2">
        <v>45119</v>
      </c>
      <c r="C174">
        <v>41.73</v>
      </c>
      <c r="D174">
        <v>446.02</v>
      </c>
      <c r="E174">
        <v>181.88</v>
      </c>
      <c r="F174">
        <v>27.76</v>
      </c>
      <c r="G174">
        <v>372.82</v>
      </c>
      <c r="H174">
        <v>21.21</v>
      </c>
      <c r="I174">
        <v>67.87</v>
      </c>
      <c r="J174">
        <v>100.83</v>
      </c>
      <c r="K174">
        <v>62.49</v>
      </c>
      <c r="L174">
        <v>53.26</v>
      </c>
      <c r="M174">
        <v>62.25</v>
      </c>
      <c r="N174">
        <v>125.53</v>
      </c>
      <c r="O174">
        <v>44.26</v>
      </c>
      <c r="P174">
        <v>191.87</v>
      </c>
      <c r="Q174">
        <v>28.16</v>
      </c>
    </row>
    <row r="175" spans="2:17" x14ac:dyDescent="0.3">
      <c r="B175" s="2">
        <v>45118</v>
      </c>
      <c r="C175">
        <v>40.950000000000003</v>
      </c>
      <c r="D175">
        <v>442.46</v>
      </c>
      <c r="E175">
        <v>179.45</v>
      </c>
      <c r="F175">
        <v>28.09</v>
      </c>
      <c r="G175">
        <v>368.17</v>
      </c>
      <c r="H175">
        <v>21.39</v>
      </c>
      <c r="I175">
        <v>67.03</v>
      </c>
      <c r="J175">
        <v>99.72</v>
      </c>
      <c r="K175">
        <v>61.04</v>
      </c>
      <c r="L175">
        <v>52.31</v>
      </c>
      <c r="M175">
        <v>61.82</v>
      </c>
      <c r="N175">
        <v>124.18</v>
      </c>
      <c r="O175">
        <v>43.97</v>
      </c>
      <c r="P175">
        <v>189.8</v>
      </c>
      <c r="Q175">
        <v>27.34</v>
      </c>
    </row>
    <row r="176" spans="2:17" x14ac:dyDescent="0.3">
      <c r="B176" s="2">
        <v>45117</v>
      </c>
      <c r="C176">
        <v>40.590000000000003</v>
      </c>
      <c r="D176">
        <v>439.66</v>
      </c>
      <c r="E176">
        <v>178.78</v>
      </c>
      <c r="F176">
        <v>28.16</v>
      </c>
      <c r="G176">
        <v>366.36</v>
      </c>
      <c r="H176">
        <v>21.18</v>
      </c>
      <c r="I176">
        <v>65.540000000000006</v>
      </c>
      <c r="J176">
        <v>99.21</v>
      </c>
      <c r="K176">
        <v>60.39</v>
      </c>
      <c r="L176">
        <v>51.69</v>
      </c>
      <c r="M176">
        <v>61.55</v>
      </c>
      <c r="N176">
        <v>123.25</v>
      </c>
      <c r="O176">
        <v>43.66</v>
      </c>
      <c r="P176">
        <v>187.87</v>
      </c>
      <c r="Q176">
        <v>27.16</v>
      </c>
    </row>
    <row r="177" spans="2:17" x14ac:dyDescent="0.3">
      <c r="B177" s="2">
        <v>45114</v>
      </c>
      <c r="C177">
        <v>40.58</v>
      </c>
      <c r="D177">
        <v>438.55</v>
      </c>
      <c r="E177">
        <v>178.64</v>
      </c>
      <c r="F177">
        <v>28.23</v>
      </c>
      <c r="G177">
        <v>366.24</v>
      </c>
      <c r="H177">
        <v>21.16</v>
      </c>
      <c r="I177">
        <v>65.849999999999994</v>
      </c>
      <c r="J177">
        <v>99.08</v>
      </c>
      <c r="K177">
        <v>60.03</v>
      </c>
      <c r="L177">
        <v>51.72</v>
      </c>
      <c r="M177">
        <v>61.64</v>
      </c>
      <c r="N177">
        <v>122.87</v>
      </c>
      <c r="O177">
        <v>43.6</v>
      </c>
      <c r="P177">
        <v>184.71</v>
      </c>
      <c r="Q177">
        <v>27.18</v>
      </c>
    </row>
    <row r="178" spans="2:17" x14ac:dyDescent="0.3">
      <c r="B178" s="2">
        <v>45113</v>
      </c>
      <c r="C178">
        <v>40.1</v>
      </c>
      <c r="D178">
        <v>439.66</v>
      </c>
      <c r="E178">
        <v>177.31</v>
      </c>
      <c r="F178">
        <v>28.47</v>
      </c>
      <c r="G178">
        <v>367.46</v>
      </c>
      <c r="H178">
        <v>21.22</v>
      </c>
      <c r="I178">
        <v>64.44</v>
      </c>
      <c r="J178">
        <v>99.68</v>
      </c>
      <c r="K178">
        <v>59.64</v>
      </c>
      <c r="L178">
        <v>51.33</v>
      </c>
      <c r="M178">
        <v>60.77</v>
      </c>
      <c r="N178">
        <v>122.77</v>
      </c>
      <c r="O178">
        <v>43.58</v>
      </c>
      <c r="P178">
        <v>182.78</v>
      </c>
      <c r="Q178">
        <v>26.6</v>
      </c>
    </row>
    <row r="179" spans="2:17" x14ac:dyDescent="0.3">
      <c r="B179" s="2">
        <v>45112</v>
      </c>
      <c r="C179">
        <v>40.880000000000003</v>
      </c>
      <c r="D179">
        <v>443.13</v>
      </c>
      <c r="E179">
        <v>177.84</v>
      </c>
      <c r="F179">
        <v>28.54</v>
      </c>
      <c r="G179">
        <v>370.28</v>
      </c>
      <c r="H179">
        <v>21.24</v>
      </c>
      <c r="I179">
        <v>64.63</v>
      </c>
      <c r="J179">
        <v>101.11</v>
      </c>
      <c r="K179">
        <v>60.72</v>
      </c>
      <c r="L179">
        <v>52.27</v>
      </c>
      <c r="M179">
        <v>61.58</v>
      </c>
      <c r="N179">
        <v>124.16</v>
      </c>
      <c r="O179">
        <v>43.77</v>
      </c>
      <c r="P179">
        <v>185.78</v>
      </c>
      <c r="Q179">
        <v>27.39</v>
      </c>
    </row>
    <row r="180" spans="2:17" x14ac:dyDescent="0.3">
      <c r="B180" s="2">
        <v>45110</v>
      </c>
      <c r="C180">
        <v>41.08</v>
      </c>
      <c r="D180">
        <v>443.79</v>
      </c>
      <c r="E180">
        <v>178.47</v>
      </c>
      <c r="F180">
        <v>28.41</v>
      </c>
      <c r="G180">
        <v>370.29</v>
      </c>
      <c r="H180">
        <v>21.31</v>
      </c>
      <c r="I180">
        <v>63.39</v>
      </c>
      <c r="J180">
        <v>102.08</v>
      </c>
      <c r="K180">
        <v>61.52</v>
      </c>
      <c r="L180">
        <v>52.53</v>
      </c>
      <c r="M180">
        <v>62.09</v>
      </c>
      <c r="N180">
        <v>124.8</v>
      </c>
      <c r="O180">
        <v>43.79</v>
      </c>
      <c r="P180">
        <v>187.65</v>
      </c>
      <c r="Q180">
        <v>27.71</v>
      </c>
    </row>
    <row r="181" spans="2:17" x14ac:dyDescent="0.3">
      <c r="B181" s="2">
        <v>45107</v>
      </c>
      <c r="C181">
        <v>40.68</v>
      </c>
      <c r="D181">
        <v>443.28</v>
      </c>
      <c r="E181">
        <v>178.27</v>
      </c>
      <c r="F181">
        <v>28.38</v>
      </c>
      <c r="G181">
        <v>369.42</v>
      </c>
      <c r="H181">
        <v>21.07</v>
      </c>
      <c r="I181">
        <v>63.55</v>
      </c>
      <c r="J181">
        <v>102.94</v>
      </c>
      <c r="K181">
        <v>61.7</v>
      </c>
      <c r="L181">
        <v>51.98</v>
      </c>
      <c r="M181">
        <v>61.9</v>
      </c>
      <c r="N181">
        <v>124.52</v>
      </c>
      <c r="O181">
        <v>43.7</v>
      </c>
      <c r="P181">
        <v>187.27</v>
      </c>
      <c r="Q181">
        <v>27.19</v>
      </c>
    </row>
    <row r="182" spans="2:17" x14ac:dyDescent="0.3">
      <c r="B182" s="2">
        <v>45106</v>
      </c>
      <c r="C182">
        <v>40.33</v>
      </c>
      <c r="D182">
        <v>438.11</v>
      </c>
      <c r="E182">
        <v>177.09</v>
      </c>
      <c r="F182">
        <v>28.5</v>
      </c>
      <c r="G182">
        <v>363.81</v>
      </c>
      <c r="H182">
        <v>20.93</v>
      </c>
      <c r="I182">
        <v>62.96</v>
      </c>
      <c r="J182">
        <v>101.74</v>
      </c>
      <c r="K182">
        <v>60.75</v>
      </c>
      <c r="L182">
        <v>51.68</v>
      </c>
      <c r="M182">
        <v>61.51</v>
      </c>
      <c r="N182">
        <v>123.18</v>
      </c>
      <c r="O182">
        <v>43.34</v>
      </c>
      <c r="P182">
        <v>186.38</v>
      </c>
      <c r="Q182">
        <v>26.94</v>
      </c>
    </row>
    <row r="183" spans="2:17" x14ac:dyDescent="0.3">
      <c r="B183" s="2">
        <v>45105</v>
      </c>
      <c r="C183">
        <v>40.5</v>
      </c>
      <c r="D183">
        <v>436.39</v>
      </c>
      <c r="E183">
        <v>177.28</v>
      </c>
      <c r="F183">
        <v>28.38</v>
      </c>
      <c r="G183">
        <v>364.54</v>
      </c>
      <c r="H183">
        <v>21.05</v>
      </c>
      <c r="I183">
        <v>62.52</v>
      </c>
      <c r="J183">
        <v>103.61</v>
      </c>
      <c r="K183">
        <v>60.84</v>
      </c>
      <c r="L183">
        <v>51.77</v>
      </c>
      <c r="M183">
        <v>61.82</v>
      </c>
      <c r="N183">
        <v>122.82</v>
      </c>
      <c r="O183">
        <v>43.35</v>
      </c>
      <c r="P183">
        <v>184.26</v>
      </c>
      <c r="Q183">
        <v>27.37</v>
      </c>
    </row>
    <row r="184" spans="2:17" x14ac:dyDescent="0.3">
      <c r="B184" s="2">
        <v>45104</v>
      </c>
      <c r="C184">
        <v>40.659999999999997</v>
      </c>
      <c r="D184">
        <v>436.17</v>
      </c>
      <c r="E184">
        <v>177.69</v>
      </c>
      <c r="F184">
        <v>28.25</v>
      </c>
      <c r="G184">
        <v>363.83</v>
      </c>
      <c r="H184">
        <v>21.29</v>
      </c>
      <c r="I184">
        <v>61.3</v>
      </c>
      <c r="J184">
        <v>103.17</v>
      </c>
      <c r="K184">
        <v>60.89</v>
      </c>
      <c r="L184">
        <v>52.05</v>
      </c>
      <c r="M184">
        <v>61.14</v>
      </c>
      <c r="N184">
        <v>122.8</v>
      </c>
      <c r="O184">
        <v>43.02</v>
      </c>
      <c r="P184">
        <v>183.36</v>
      </c>
      <c r="Q184">
        <v>27.6</v>
      </c>
    </row>
    <row r="185" spans="2:17" x14ac:dyDescent="0.3">
      <c r="B185" s="2">
        <v>45103</v>
      </c>
      <c r="C185">
        <v>40.28</v>
      </c>
      <c r="D185">
        <v>431.44</v>
      </c>
      <c r="E185">
        <v>178.51</v>
      </c>
      <c r="F185">
        <v>28.32</v>
      </c>
      <c r="G185">
        <v>357.68</v>
      </c>
      <c r="H185">
        <v>21.51</v>
      </c>
      <c r="I185">
        <v>62.73</v>
      </c>
      <c r="J185">
        <v>103.44</v>
      </c>
      <c r="K185">
        <v>60.28</v>
      </c>
      <c r="L185">
        <v>51.77</v>
      </c>
      <c r="M185">
        <v>60.91</v>
      </c>
      <c r="N185">
        <v>121.54</v>
      </c>
      <c r="O185">
        <v>42.77</v>
      </c>
      <c r="P185">
        <v>180.75</v>
      </c>
      <c r="Q185">
        <v>27.01</v>
      </c>
    </row>
    <row r="186" spans="2:17" x14ac:dyDescent="0.3">
      <c r="B186" s="2">
        <v>45100</v>
      </c>
      <c r="C186">
        <v>40.15</v>
      </c>
      <c r="D186">
        <v>433.21</v>
      </c>
      <c r="E186">
        <v>178.2</v>
      </c>
      <c r="F186">
        <v>28.35</v>
      </c>
      <c r="G186">
        <v>362.54</v>
      </c>
      <c r="H186">
        <v>21.53</v>
      </c>
      <c r="I186">
        <v>62.42</v>
      </c>
      <c r="J186">
        <v>103.33</v>
      </c>
      <c r="K186">
        <v>60.2</v>
      </c>
      <c r="L186">
        <v>51.57</v>
      </c>
      <c r="M186">
        <v>60.91</v>
      </c>
      <c r="N186">
        <v>121.79</v>
      </c>
      <c r="O186">
        <v>42.58</v>
      </c>
      <c r="P186">
        <v>180.57</v>
      </c>
      <c r="Q186">
        <v>26.87</v>
      </c>
    </row>
    <row r="187" spans="2:17" x14ac:dyDescent="0.3">
      <c r="B187" s="2">
        <v>45099</v>
      </c>
      <c r="C187">
        <v>40.72</v>
      </c>
      <c r="D187">
        <v>436.51</v>
      </c>
      <c r="E187">
        <v>177.71</v>
      </c>
      <c r="F187">
        <v>28.2</v>
      </c>
      <c r="G187">
        <v>366.17</v>
      </c>
      <c r="H187">
        <v>21.95</v>
      </c>
      <c r="I187">
        <v>62.52</v>
      </c>
      <c r="J187">
        <v>102.31</v>
      </c>
      <c r="K187">
        <v>60.94</v>
      </c>
      <c r="L187">
        <v>52.19</v>
      </c>
      <c r="M187">
        <v>62.45</v>
      </c>
      <c r="N187">
        <v>122.89</v>
      </c>
      <c r="O187">
        <v>42.96</v>
      </c>
      <c r="P187">
        <v>183.33</v>
      </c>
      <c r="Q187">
        <v>27.44</v>
      </c>
    </row>
    <row r="188" spans="2:17" x14ac:dyDescent="0.3">
      <c r="B188" s="2">
        <v>45098</v>
      </c>
      <c r="C188">
        <v>40.9</v>
      </c>
      <c r="D188">
        <v>434.94</v>
      </c>
      <c r="E188">
        <v>179.49</v>
      </c>
      <c r="F188">
        <v>28.1</v>
      </c>
      <c r="G188">
        <v>361.9</v>
      </c>
      <c r="H188">
        <v>22.13</v>
      </c>
      <c r="I188">
        <v>65.040000000000006</v>
      </c>
      <c r="J188">
        <v>103.56</v>
      </c>
      <c r="K188">
        <v>61.18</v>
      </c>
      <c r="L188">
        <v>52.37</v>
      </c>
      <c r="M188">
        <v>62.97</v>
      </c>
      <c r="N188">
        <v>122.91</v>
      </c>
      <c r="O188">
        <v>43.075000000000003</v>
      </c>
      <c r="P188">
        <v>184.7</v>
      </c>
      <c r="Q188">
        <v>27.5</v>
      </c>
    </row>
    <row r="189" spans="2:17" x14ac:dyDescent="0.3">
      <c r="B189" s="2">
        <v>45097</v>
      </c>
      <c r="C189">
        <v>40.97</v>
      </c>
      <c r="D189">
        <v>437.18</v>
      </c>
      <c r="E189">
        <v>179.75</v>
      </c>
      <c r="F189">
        <v>28.23</v>
      </c>
      <c r="G189">
        <v>366.9</v>
      </c>
      <c r="H189">
        <v>21.9</v>
      </c>
      <c r="I189">
        <v>63.92</v>
      </c>
      <c r="J189">
        <v>103.31</v>
      </c>
      <c r="K189">
        <v>61.3</v>
      </c>
      <c r="L189">
        <v>52.44</v>
      </c>
      <c r="M189">
        <v>62.23</v>
      </c>
      <c r="N189">
        <v>123.24</v>
      </c>
      <c r="O189">
        <v>43.01</v>
      </c>
      <c r="P189">
        <v>185.13</v>
      </c>
      <c r="Q189">
        <v>27.67</v>
      </c>
    </row>
    <row r="190" spans="2:17" x14ac:dyDescent="0.3">
      <c r="B190" s="2">
        <v>45093</v>
      </c>
      <c r="C190">
        <v>41.94</v>
      </c>
      <c r="D190">
        <v>439.46</v>
      </c>
      <c r="E190">
        <v>181.63</v>
      </c>
      <c r="F190">
        <v>28.15</v>
      </c>
      <c r="G190">
        <v>367.93</v>
      </c>
      <c r="H190">
        <v>21.99</v>
      </c>
      <c r="I190">
        <v>64.349999999999994</v>
      </c>
      <c r="J190">
        <v>102.6</v>
      </c>
      <c r="K190">
        <v>63.28</v>
      </c>
      <c r="L190">
        <v>53.01</v>
      </c>
      <c r="M190">
        <v>63.1</v>
      </c>
      <c r="N190">
        <v>124.29</v>
      </c>
      <c r="O190">
        <v>43.13</v>
      </c>
      <c r="P190">
        <v>185.94</v>
      </c>
      <c r="Q190">
        <v>28.91</v>
      </c>
    </row>
    <row r="191" spans="2:17" x14ac:dyDescent="0.3">
      <c r="B191" s="2">
        <v>45092</v>
      </c>
      <c r="C191">
        <v>42.09</v>
      </c>
      <c r="D191">
        <v>442.6</v>
      </c>
      <c r="E191">
        <v>181.91</v>
      </c>
      <c r="F191">
        <v>28.1</v>
      </c>
      <c r="G191">
        <v>370.26</v>
      </c>
      <c r="H191">
        <v>21.7</v>
      </c>
      <c r="I191">
        <v>63.41</v>
      </c>
      <c r="J191">
        <v>103</v>
      </c>
      <c r="K191">
        <v>63.33</v>
      </c>
      <c r="L191">
        <v>53.24</v>
      </c>
      <c r="M191">
        <v>63.71</v>
      </c>
      <c r="N191">
        <v>124.7</v>
      </c>
      <c r="O191">
        <v>43.01</v>
      </c>
      <c r="P191">
        <v>187.44</v>
      </c>
      <c r="Q191">
        <v>29.08</v>
      </c>
    </row>
    <row r="192" spans="2:17" x14ac:dyDescent="0.3">
      <c r="B192" s="2">
        <v>45091</v>
      </c>
      <c r="C192">
        <v>41.69</v>
      </c>
      <c r="D192">
        <v>437.18</v>
      </c>
      <c r="E192">
        <v>180.64</v>
      </c>
      <c r="F192">
        <v>28.26</v>
      </c>
      <c r="G192">
        <v>365.9</v>
      </c>
      <c r="H192">
        <v>21.33</v>
      </c>
      <c r="I192">
        <v>61.83</v>
      </c>
      <c r="J192">
        <v>102.02</v>
      </c>
      <c r="K192">
        <v>62.48</v>
      </c>
      <c r="L192">
        <v>53</v>
      </c>
      <c r="M192">
        <v>63.8</v>
      </c>
      <c r="N192">
        <v>123.18</v>
      </c>
      <c r="O192">
        <v>42.78</v>
      </c>
      <c r="P192">
        <v>185.91</v>
      </c>
      <c r="Q192">
        <v>28.45</v>
      </c>
    </row>
    <row r="193" spans="2:17" x14ac:dyDescent="0.3">
      <c r="B193" s="2">
        <v>45090</v>
      </c>
      <c r="C193">
        <v>41.3</v>
      </c>
      <c r="D193">
        <v>436.66</v>
      </c>
      <c r="E193">
        <v>180.54</v>
      </c>
      <c r="F193">
        <v>28.4</v>
      </c>
      <c r="G193">
        <v>363.26</v>
      </c>
      <c r="H193">
        <v>21.3</v>
      </c>
      <c r="I193">
        <v>62.14</v>
      </c>
      <c r="J193">
        <v>101.21</v>
      </c>
      <c r="K193">
        <v>62.26</v>
      </c>
      <c r="L193">
        <v>52.78</v>
      </c>
      <c r="M193">
        <v>63.51</v>
      </c>
      <c r="N193">
        <v>122.95</v>
      </c>
      <c r="O193">
        <v>42.64</v>
      </c>
      <c r="P193">
        <v>187.93</v>
      </c>
      <c r="Q193">
        <v>28.07</v>
      </c>
    </row>
    <row r="194" spans="2:17" x14ac:dyDescent="0.3">
      <c r="B194" s="2">
        <v>45089</v>
      </c>
      <c r="C194">
        <v>40.96</v>
      </c>
      <c r="D194">
        <v>433.8</v>
      </c>
      <c r="E194">
        <v>181.88</v>
      </c>
      <c r="F194">
        <v>28.49</v>
      </c>
      <c r="G194">
        <v>360.49</v>
      </c>
      <c r="H194">
        <v>21.24</v>
      </c>
      <c r="I194">
        <v>60.24</v>
      </c>
      <c r="J194">
        <v>102.22</v>
      </c>
      <c r="K194">
        <v>61.78</v>
      </c>
      <c r="L194">
        <v>52.35</v>
      </c>
      <c r="M194">
        <v>62.61</v>
      </c>
      <c r="N194">
        <v>122.03</v>
      </c>
      <c r="O194">
        <v>42.28</v>
      </c>
      <c r="P194">
        <v>185.8</v>
      </c>
      <c r="Q194">
        <v>27.75</v>
      </c>
    </row>
    <row r="195" spans="2:17" x14ac:dyDescent="0.3">
      <c r="B195" s="2">
        <v>45086</v>
      </c>
      <c r="C195">
        <v>40.86</v>
      </c>
      <c r="D195">
        <v>429.9</v>
      </c>
      <c r="E195">
        <v>182.04</v>
      </c>
      <c r="F195">
        <v>28.48</v>
      </c>
      <c r="G195">
        <v>354.5</v>
      </c>
      <c r="H195">
        <v>21.19</v>
      </c>
      <c r="I195">
        <v>62.93</v>
      </c>
      <c r="J195">
        <v>101.92</v>
      </c>
      <c r="K195">
        <v>61.51</v>
      </c>
      <c r="L195">
        <v>52.19</v>
      </c>
      <c r="M195">
        <v>62.22</v>
      </c>
      <c r="N195">
        <v>121.09</v>
      </c>
      <c r="O195">
        <v>42.11</v>
      </c>
      <c r="P195">
        <v>185.03</v>
      </c>
      <c r="Q195">
        <v>27.82</v>
      </c>
    </row>
    <row r="196" spans="2:17" x14ac:dyDescent="0.3">
      <c r="B196" s="2">
        <v>45085</v>
      </c>
      <c r="C196">
        <v>40.75</v>
      </c>
      <c r="D196">
        <v>429.13</v>
      </c>
      <c r="E196">
        <v>182.53</v>
      </c>
      <c r="F196">
        <v>28.39</v>
      </c>
      <c r="G196">
        <v>353.15</v>
      </c>
      <c r="H196">
        <v>21.24</v>
      </c>
      <c r="I196">
        <v>63.46</v>
      </c>
      <c r="J196">
        <v>102.06</v>
      </c>
      <c r="K196">
        <v>61.88</v>
      </c>
      <c r="L196">
        <v>51.85</v>
      </c>
      <c r="M196">
        <v>61.52</v>
      </c>
      <c r="N196">
        <v>120.95</v>
      </c>
      <c r="O196">
        <v>42.23</v>
      </c>
      <c r="P196">
        <v>186.54</v>
      </c>
      <c r="Q196">
        <v>27.79</v>
      </c>
    </row>
    <row r="197" spans="2:17" x14ac:dyDescent="0.3">
      <c r="B197" s="2">
        <v>45084</v>
      </c>
      <c r="C197">
        <v>40.53</v>
      </c>
      <c r="D197">
        <v>426.55</v>
      </c>
      <c r="E197">
        <v>180.15</v>
      </c>
      <c r="F197">
        <v>28.62</v>
      </c>
      <c r="G197">
        <v>348.82</v>
      </c>
      <c r="H197">
        <v>20.89</v>
      </c>
      <c r="I197">
        <v>64.709999999999994</v>
      </c>
      <c r="J197">
        <v>100.88</v>
      </c>
      <c r="K197">
        <v>61.17</v>
      </c>
      <c r="L197">
        <v>51.53</v>
      </c>
      <c r="M197">
        <v>61</v>
      </c>
      <c r="N197">
        <v>120.16</v>
      </c>
      <c r="O197">
        <v>42.33</v>
      </c>
      <c r="P197">
        <v>187.24</v>
      </c>
      <c r="Q197">
        <v>27.5</v>
      </c>
    </row>
    <row r="198" spans="2:17" x14ac:dyDescent="0.3">
      <c r="B198" s="2">
        <v>45083</v>
      </c>
      <c r="C198">
        <v>40.619999999999997</v>
      </c>
      <c r="D198">
        <v>428.03</v>
      </c>
      <c r="E198">
        <v>182.34</v>
      </c>
      <c r="F198">
        <v>28.61</v>
      </c>
      <c r="G198">
        <v>354.84</v>
      </c>
      <c r="H198">
        <v>21.02</v>
      </c>
      <c r="I198">
        <v>63.79</v>
      </c>
      <c r="J198">
        <v>102.4</v>
      </c>
      <c r="K198">
        <v>61.44</v>
      </c>
      <c r="L198">
        <v>51.98</v>
      </c>
      <c r="M198">
        <v>63.04</v>
      </c>
      <c r="N198">
        <v>121.98</v>
      </c>
      <c r="O198">
        <v>42.26</v>
      </c>
      <c r="P198">
        <v>184.31</v>
      </c>
      <c r="Q198">
        <v>27.99</v>
      </c>
    </row>
    <row r="199" spans="2:17" x14ac:dyDescent="0.3">
      <c r="B199" s="2">
        <v>45082</v>
      </c>
      <c r="C199">
        <v>40.31</v>
      </c>
      <c r="D199">
        <v>427.1</v>
      </c>
      <c r="E199">
        <v>182.14</v>
      </c>
      <c r="F199">
        <v>28.52</v>
      </c>
      <c r="G199">
        <v>354.9</v>
      </c>
      <c r="H199">
        <v>20.85</v>
      </c>
      <c r="I199">
        <v>64.03</v>
      </c>
      <c r="J199">
        <v>101.8</v>
      </c>
      <c r="K199">
        <v>61.21</v>
      </c>
      <c r="L199">
        <v>51.64</v>
      </c>
      <c r="M199">
        <v>61.78</v>
      </c>
      <c r="N199">
        <v>121.46</v>
      </c>
      <c r="O199">
        <v>42.16</v>
      </c>
      <c r="P199">
        <v>179.58</v>
      </c>
      <c r="Q199">
        <v>27.39</v>
      </c>
    </row>
    <row r="200" spans="2:17" x14ac:dyDescent="0.3">
      <c r="B200" s="2">
        <v>45079</v>
      </c>
      <c r="C200">
        <v>40.35</v>
      </c>
      <c r="D200">
        <v>427.92</v>
      </c>
      <c r="E200">
        <v>181.05</v>
      </c>
      <c r="F200">
        <v>28.57</v>
      </c>
      <c r="G200">
        <v>354.65</v>
      </c>
      <c r="H200">
        <v>20.88</v>
      </c>
      <c r="I200">
        <v>64.150000000000006</v>
      </c>
      <c r="J200">
        <v>101.99</v>
      </c>
      <c r="K200">
        <v>61.65</v>
      </c>
      <c r="L200">
        <v>51.63</v>
      </c>
      <c r="M200">
        <v>62</v>
      </c>
      <c r="N200">
        <v>121.83</v>
      </c>
      <c r="O200">
        <v>42.28</v>
      </c>
      <c r="P200">
        <v>182.02</v>
      </c>
      <c r="Q200">
        <v>27.43</v>
      </c>
    </row>
    <row r="201" spans="2:17" x14ac:dyDescent="0.3">
      <c r="B201" s="2">
        <v>45078</v>
      </c>
      <c r="C201">
        <v>39.72</v>
      </c>
      <c r="D201">
        <v>421.82</v>
      </c>
      <c r="E201">
        <v>183.76</v>
      </c>
      <c r="F201">
        <v>28.27</v>
      </c>
      <c r="G201">
        <v>352.01</v>
      </c>
      <c r="H201">
        <v>20.76</v>
      </c>
      <c r="I201">
        <v>62.55</v>
      </c>
      <c r="J201">
        <v>103.12</v>
      </c>
      <c r="K201">
        <v>60.93</v>
      </c>
      <c r="L201">
        <v>50.96</v>
      </c>
      <c r="M201">
        <v>60.83</v>
      </c>
      <c r="N201">
        <v>120.03</v>
      </c>
      <c r="O201">
        <v>42.125</v>
      </c>
      <c r="P201">
        <v>175.65</v>
      </c>
      <c r="Q201">
        <v>26.63</v>
      </c>
    </row>
    <row r="202" spans="2:17" x14ac:dyDescent="0.3">
      <c r="B202" s="2">
        <v>45077</v>
      </c>
      <c r="C202">
        <v>39.049999999999997</v>
      </c>
      <c r="D202">
        <v>417.85</v>
      </c>
      <c r="E202">
        <v>182.32</v>
      </c>
      <c r="F202">
        <v>28.61</v>
      </c>
      <c r="G202">
        <v>347.99</v>
      </c>
      <c r="H202">
        <v>20.46</v>
      </c>
      <c r="I202">
        <v>60.63</v>
      </c>
      <c r="J202">
        <v>102.99</v>
      </c>
      <c r="K202">
        <v>60.22</v>
      </c>
      <c r="L202">
        <v>50.33</v>
      </c>
      <c r="M202">
        <v>59.34</v>
      </c>
      <c r="N202">
        <v>118.6</v>
      </c>
      <c r="O202">
        <v>41.7</v>
      </c>
      <c r="P202">
        <v>173.77</v>
      </c>
      <c r="Q202">
        <v>25.97</v>
      </c>
    </row>
    <row r="203" spans="2:17" x14ac:dyDescent="0.3">
      <c r="B203" s="2">
        <v>45076</v>
      </c>
      <c r="C203">
        <v>39.33</v>
      </c>
      <c r="D203">
        <v>420.18</v>
      </c>
      <c r="E203">
        <v>182.04</v>
      </c>
      <c r="F203">
        <v>28.56</v>
      </c>
      <c r="G203">
        <v>349.98</v>
      </c>
      <c r="H203">
        <v>20.440000000000001</v>
      </c>
      <c r="I203">
        <v>62.3</v>
      </c>
      <c r="J203">
        <v>102.1</v>
      </c>
      <c r="K203">
        <v>60.87</v>
      </c>
      <c r="L203">
        <v>50.89</v>
      </c>
      <c r="M203">
        <v>59.86</v>
      </c>
      <c r="N203">
        <v>119.52</v>
      </c>
      <c r="O203">
        <v>41.81</v>
      </c>
      <c r="P203">
        <v>175.5</v>
      </c>
      <c r="Q203">
        <v>26.04</v>
      </c>
    </row>
    <row r="204" spans="2:17" x14ac:dyDescent="0.3">
      <c r="B204" s="2">
        <v>45072</v>
      </c>
      <c r="C204">
        <v>39.85</v>
      </c>
      <c r="D204">
        <v>420.02</v>
      </c>
      <c r="E204">
        <v>180.92</v>
      </c>
      <c r="F204">
        <v>28.59</v>
      </c>
      <c r="G204">
        <v>348.4</v>
      </c>
      <c r="H204">
        <v>20.57</v>
      </c>
      <c r="I204">
        <v>64.8</v>
      </c>
      <c r="J204">
        <v>101.09</v>
      </c>
      <c r="K204">
        <v>61.51</v>
      </c>
      <c r="L204">
        <v>51.19</v>
      </c>
      <c r="M204">
        <v>60.25</v>
      </c>
      <c r="N204">
        <v>119.91</v>
      </c>
      <c r="O204">
        <v>42.02</v>
      </c>
      <c r="P204">
        <v>176.15</v>
      </c>
      <c r="Q204">
        <v>26.83</v>
      </c>
    </row>
    <row r="205" spans="2:17" x14ac:dyDescent="0.3">
      <c r="B205" s="2">
        <v>45071</v>
      </c>
      <c r="C205">
        <v>39.200000000000003</v>
      </c>
      <c r="D205">
        <v>414.65</v>
      </c>
      <c r="E205">
        <v>180.2</v>
      </c>
      <c r="F205">
        <v>28.6</v>
      </c>
      <c r="G205">
        <v>339.72</v>
      </c>
      <c r="H205">
        <v>20.399999999999999</v>
      </c>
      <c r="I205">
        <v>64.09</v>
      </c>
      <c r="J205">
        <v>100.28</v>
      </c>
      <c r="K205">
        <v>60.84</v>
      </c>
      <c r="L205">
        <v>50.32</v>
      </c>
      <c r="M205">
        <v>60.05</v>
      </c>
      <c r="N205">
        <v>118.41</v>
      </c>
      <c r="O205">
        <v>41.41</v>
      </c>
      <c r="P205">
        <v>174.17</v>
      </c>
      <c r="Q205">
        <v>26.39</v>
      </c>
    </row>
    <row r="206" spans="2:17" x14ac:dyDescent="0.3">
      <c r="B206" s="2">
        <v>45070</v>
      </c>
      <c r="C206">
        <v>39.270000000000003</v>
      </c>
      <c r="D206">
        <v>411.09</v>
      </c>
      <c r="E206">
        <v>181.95</v>
      </c>
      <c r="F206">
        <v>28.47</v>
      </c>
      <c r="G206">
        <v>331.65</v>
      </c>
      <c r="H206">
        <v>20.63</v>
      </c>
      <c r="I206">
        <v>65.66</v>
      </c>
      <c r="J206">
        <v>100.53</v>
      </c>
      <c r="K206">
        <v>61</v>
      </c>
      <c r="L206">
        <v>50.05</v>
      </c>
      <c r="M206">
        <v>59.71</v>
      </c>
      <c r="N206">
        <v>117.91</v>
      </c>
      <c r="O206">
        <v>41.19</v>
      </c>
      <c r="P206">
        <v>175.54</v>
      </c>
      <c r="Q206">
        <v>26.94</v>
      </c>
    </row>
    <row r="208" spans="2:17" x14ac:dyDescent="0.3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DBA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</row>
    <row r="209" spans="2:17" x14ac:dyDescent="0.3">
      <c r="B209" t="s">
        <v>80</v>
      </c>
      <c r="C209" s="17">
        <f>C6</f>
        <v>42.23</v>
      </c>
      <c r="D209" s="17">
        <f t="shared" si="0"/>
        <v>516.78</v>
      </c>
      <c r="E209" s="17">
        <f t="shared" si="0"/>
        <v>199.79</v>
      </c>
      <c r="F209" s="17">
        <f t="shared" si="0"/>
        <v>27.83</v>
      </c>
      <c r="G209" s="17">
        <f t="shared" si="0"/>
        <v>443.66</v>
      </c>
      <c r="H209" s="17">
        <f t="shared" si="0"/>
        <v>23</v>
      </c>
      <c r="I209" s="17">
        <f t="shared" si="0"/>
        <v>73.349999999999994</v>
      </c>
      <c r="J209" s="17">
        <f t="shared" si="0"/>
        <v>94.88</v>
      </c>
      <c r="K209" s="17">
        <f t="shared" si="0"/>
        <v>67.5</v>
      </c>
      <c r="L209" s="17">
        <f t="shared" si="0"/>
        <v>57.65</v>
      </c>
      <c r="M209" s="17">
        <f t="shared" si="0"/>
        <v>69.98</v>
      </c>
      <c r="N209" s="17">
        <f t="shared" si="0"/>
        <v>143.16</v>
      </c>
      <c r="O209" s="17">
        <f t="shared" si="0"/>
        <v>51.69</v>
      </c>
      <c r="P209" s="17">
        <f t="shared" si="0"/>
        <v>204.91</v>
      </c>
      <c r="Q209" s="17">
        <f t="shared" si="0"/>
        <v>24.56</v>
      </c>
    </row>
    <row r="210" spans="2:17" x14ac:dyDescent="0.3">
      <c r="B210" t="s">
        <v>81</v>
      </c>
      <c r="C210" s="17">
        <f>AVERAGE(C6:C35)</f>
        <v>40.952666666666673</v>
      </c>
      <c r="D210" s="17">
        <f t="shared" ref="D210:Q210" si="1">AVERAGE(D6:D35)</f>
        <v>502.32899999999995</v>
      </c>
      <c r="E210" s="17">
        <f t="shared" si="1"/>
        <v>190.59699999999995</v>
      </c>
      <c r="F210" s="17">
        <f t="shared" si="1"/>
        <v>27.978666666666673</v>
      </c>
      <c r="G210" s="17">
        <f t="shared" si="1"/>
        <v>433.98033333333325</v>
      </c>
      <c r="H210" s="17">
        <f t="shared" si="1"/>
        <v>22.100666666666665</v>
      </c>
      <c r="I210" s="17">
        <f t="shared" si="1"/>
        <v>72.285000000000011</v>
      </c>
      <c r="J210" s="17">
        <f t="shared" si="1"/>
        <v>94.381666666666675</v>
      </c>
      <c r="K210" s="17">
        <f t="shared" si="1"/>
        <v>64.859333333333339</v>
      </c>
      <c r="L210" s="17">
        <f t="shared" si="1"/>
        <v>55.971666666666671</v>
      </c>
      <c r="M210" s="17">
        <f t="shared" si="1"/>
        <v>68.237333333333339</v>
      </c>
      <c r="N210" s="17">
        <f t="shared" si="1"/>
        <v>138.82599999999999</v>
      </c>
      <c r="O210" s="17">
        <f t="shared" si="1"/>
        <v>51.128333333333337</v>
      </c>
      <c r="P210" s="17">
        <f t="shared" si="1"/>
        <v>200.31233333333333</v>
      </c>
      <c r="Q210" s="17">
        <f t="shared" si="1"/>
        <v>23.047666666666665</v>
      </c>
    </row>
    <row r="211" spans="2:17" x14ac:dyDescent="0.3">
      <c r="B211" t="s">
        <v>82</v>
      </c>
      <c r="C211" s="17">
        <f>AVERAGE(C6:C65)</f>
        <v>40.592500000000001</v>
      </c>
      <c r="D211" s="17">
        <f t="shared" ref="D211:Q211" si="2">AVERAGE(D6:D65)</f>
        <v>489.3008333333334</v>
      </c>
      <c r="E211" s="17">
        <f t="shared" si="2"/>
        <v>189.63116666666662</v>
      </c>
      <c r="F211" s="17">
        <f t="shared" si="2"/>
        <v>27.762166666666676</v>
      </c>
      <c r="G211" s="17">
        <f t="shared" si="2"/>
        <v>422.31866666666673</v>
      </c>
      <c r="H211" s="17">
        <f t="shared" si="2"/>
        <v>21.538166666666669</v>
      </c>
      <c r="I211" s="17">
        <f t="shared" si="2"/>
        <v>70.445000000000007</v>
      </c>
      <c r="J211" s="17">
        <f t="shared" si="2"/>
        <v>95.624250000000046</v>
      </c>
      <c r="K211" s="17">
        <f t="shared" si="2"/>
        <v>64.181499999999986</v>
      </c>
      <c r="L211" s="17">
        <f t="shared" si="2"/>
        <v>55.150499999999987</v>
      </c>
      <c r="M211" s="17">
        <f t="shared" si="2"/>
        <v>66.373500000000007</v>
      </c>
      <c r="N211" s="17">
        <f t="shared" si="2"/>
        <v>135.80299999999997</v>
      </c>
      <c r="O211" s="17">
        <f t="shared" si="2"/>
        <v>50.020416666666684</v>
      </c>
      <c r="P211" s="17">
        <f t="shared" si="2"/>
        <v>198.50233333333335</v>
      </c>
      <c r="Q211" s="17">
        <f t="shared" si="2"/>
        <v>22.986333333333341</v>
      </c>
    </row>
    <row r="212" spans="2:17" x14ac:dyDescent="0.3">
      <c r="B212" t="s">
        <v>83</v>
      </c>
      <c r="C212" s="17">
        <f>AVERAGE(C6:C206)</f>
        <v>40.361243781094522</v>
      </c>
      <c r="D212" s="17">
        <f t="shared" ref="D212:Q212" si="3">AVERAGE(D6:D206)</f>
        <v>454.86064676616922</v>
      </c>
      <c r="E212" s="17">
        <f t="shared" si="3"/>
        <v>183.05074626865664</v>
      </c>
      <c r="F212" s="17">
        <f t="shared" si="3"/>
        <v>28.619651741293541</v>
      </c>
      <c r="G212" s="17">
        <f t="shared" si="3"/>
        <v>385.19925373134288</v>
      </c>
      <c r="H212" s="17">
        <f t="shared" si="3"/>
        <v>21.636268656716414</v>
      </c>
      <c r="I212" s="17">
        <f t="shared" si="3"/>
        <v>71.290646766169161</v>
      </c>
      <c r="J212" s="17">
        <f t="shared" si="3"/>
        <v>94.799452736318472</v>
      </c>
      <c r="K212" s="17">
        <f t="shared" si="3"/>
        <v>61.44487562189056</v>
      </c>
      <c r="L212" s="17">
        <f t="shared" si="3"/>
        <v>52.583333333333321</v>
      </c>
      <c r="M212" s="17">
        <f t="shared" si="3"/>
        <v>62.835621890547266</v>
      </c>
      <c r="N212" s="17">
        <f t="shared" si="3"/>
        <v>127.16029850746261</v>
      </c>
      <c r="O212" s="17">
        <f t="shared" si="3"/>
        <v>45.900024875621902</v>
      </c>
      <c r="P212" s="17">
        <f t="shared" si="3"/>
        <v>186.88194029850746</v>
      </c>
      <c r="Q212" s="17">
        <f t="shared" si="3"/>
        <v>25.706915422885572</v>
      </c>
    </row>
    <row r="213" spans="2:17" x14ac:dyDescent="0.3">
      <c r="B213" t="s">
        <v>84</v>
      </c>
      <c r="C213" s="17">
        <f>C209/C210</f>
        <v>1.031190480066418</v>
      </c>
      <c r="D213" s="17">
        <f t="shared" ref="D213:Q213" si="4">D209/D210</f>
        <v>1.0287679986622313</v>
      </c>
      <c r="E213" s="17">
        <f t="shared" si="4"/>
        <v>1.048232658436387</v>
      </c>
      <c r="F213" s="17">
        <f t="shared" si="4"/>
        <v>0.99468642775447935</v>
      </c>
      <c r="G213" s="17">
        <f t="shared" si="4"/>
        <v>1.0223043901374949</v>
      </c>
      <c r="H213" s="17">
        <f t="shared" si="4"/>
        <v>1.04069258845887</v>
      </c>
      <c r="I213" s="17">
        <f t="shared" si="4"/>
        <v>1.014733347167462</v>
      </c>
      <c r="J213" s="17">
        <f t="shared" si="4"/>
        <v>1.0052799802221475</v>
      </c>
      <c r="K213" s="17">
        <f t="shared" si="4"/>
        <v>1.0407137497558818</v>
      </c>
      <c r="L213" s="17">
        <f t="shared" si="4"/>
        <v>1.0299854092844594</v>
      </c>
      <c r="M213" s="17">
        <f t="shared" si="4"/>
        <v>1.0255383172456916</v>
      </c>
      <c r="N213" s="17">
        <f t="shared" si="4"/>
        <v>1.031218935934191</v>
      </c>
      <c r="O213" s="17">
        <f t="shared" si="4"/>
        <v>1.0109854288228965</v>
      </c>
      <c r="P213" s="17">
        <f t="shared" si="4"/>
        <v>1.0229524891960389</v>
      </c>
      <c r="Q213" s="17">
        <f t="shared" si="4"/>
        <v>1.0656176330214193</v>
      </c>
    </row>
    <row r="214" spans="2:17" x14ac:dyDescent="0.3">
      <c r="B214" t="s">
        <v>85</v>
      </c>
      <c r="C214" s="17">
        <f t="shared" ref="C214:Q215" si="5">C210/C211</f>
        <v>1.0088727392170147</v>
      </c>
      <c r="D214" s="17">
        <f t="shared" si="5"/>
        <v>1.0266260872230952</v>
      </c>
      <c r="E214" s="17">
        <f t="shared" si="5"/>
        <v>1.005093220435811</v>
      </c>
      <c r="F214" s="17">
        <f t="shared" si="5"/>
        <v>1.0077983826910724</v>
      </c>
      <c r="G214" s="17">
        <f t="shared" si="5"/>
        <v>1.0276134293535053</v>
      </c>
      <c r="H214" s="17">
        <f t="shared" si="5"/>
        <v>1.0261164289749203</v>
      </c>
      <c r="I214" s="17">
        <f t="shared" si="5"/>
        <v>1.0261196678259636</v>
      </c>
      <c r="J214" s="17">
        <f t="shared" si="5"/>
        <v>0.9870055625708607</v>
      </c>
      <c r="K214" s="17">
        <f t="shared" si="5"/>
        <v>1.0105611949445457</v>
      </c>
      <c r="L214" s="17">
        <f t="shared" si="5"/>
        <v>1.0148895597803589</v>
      </c>
      <c r="M214" s="17">
        <f t="shared" si="5"/>
        <v>1.0280809861365354</v>
      </c>
      <c r="N214" s="17">
        <f t="shared" si="5"/>
        <v>1.0222601857101834</v>
      </c>
      <c r="O214" s="17">
        <f t="shared" si="5"/>
        <v>1.0221492890403083</v>
      </c>
      <c r="P214" s="17">
        <f t="shared" si="5"/>
        <v>1.0091182807254993</v>
      </c>
      <c r="Q214" s="17">
        <f t="shared" si="5"/>
        <v>1.0026682521498278</v>
      </c>
    </row>
    <row r="215" spans="2:17" x14ac:dyDescent="0.3">
      <c r="B215" t="s">
        <v>86</v>
      </c>
      <c r="C215" s="17">
        <f t="shared" si="5"/>
        <v>1.0057296603682417</v>
      </c>
      <c r="D215" s="17">
        <f t="shared" si="5"/>
        <v>1.0757159073048341</v>
      </c>
      <c r="E215" s="17">
        <f t="shared" si="5"/>
        <v>1.0359486127871456</v>
      </c>
      <c r="F215" s="17">
        <f t="shared" si="5"/>
        <v>0.97003859158112493</v>
      </c>
      <c r="G215" s="17">
        <f t="shared" si="5"/>
        <v>1.0963641870428253</v>
      </c>
      <c r="H215" s="17">
        <f t="shared" si="5"/>
        <v>0.99546585450540281</v>
      </c>
      <c r="I215" s="17">
        <f t="shared" si="5"/>
        <v>0.9881380404789587</v>
      </c>
      <c r="J215" s="17">
        <f t="shared" si="5"/>
        <v>1.0087004433029347</v>
      </c>
      <c r="K215" s="17">
        <f t="shared" si="5"/>
        <v>1.0445378780640653</v>
      </c>
      <c r="L215" s="17">
        <f t="shared" si="5"/>
        <v>1.0488209191759112</v>
      </c>
      <c r="M215" s="17">
        <f t="shared" si="5"/>
        <v>1.0563037016744314</v>
      </c>
      <c r="N215" s="17">
        <f t="shared" si="5"/>
        <v>1.0679669802130116</v>
      </c>
      <c r="O215" s="17">
        <f t="shared" si="5"/>
        <v>1.0897688356860384</v>
      </c>
      <c r="P215" s="17">
        <f t="shared" si="5"/>
        <v>1.0621803959026999</v>
      </c>
      <c r="Q215" s="17">
        <f t="shared" si="5"/>
        <v>0.89416925193871244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494-47D5-4E4C-90C9-19CE885D0D4D}">
  <dimension ref="A1:H26"/>
  <sheetViews>
    <sheetView workbookViewId="0">
      <selection activeCell="D33" sqref="D33"/>
    </sheetView>
  </sheetViews>
  <sheetFormatPr defaultRowHeight="14.4" x14ac:dyDescent="0.3"/>
  <cols>
    <col min="1" max="1" width="10.6640625" customWidth="1"/>
    <col min="7" max="7" width="11.77734375" bestFit="1" customWidth="1"/>
  </cols>
  <sheetData>
    <row r="1" spans="1:8" x14ac:dyDescent="0.3">
      <c r="B1" t="s">
        <v>1</v>
      </c>
      <c r="C1" t="s">
        <v>15</v>
      </c>
      <c r="D1" t="s">
        <v>12</v>
      </c>
      <c r="E1" t="s">
        <v>94</v>
      </c>
      <c r="F1" t="s">
        <v>49</v>
      </c>
      <c r="G1" t="s">
        <v>9</v>
      </c>
      <c r="H1" t="s">
        <v>65</v>
      </c>
    </row>
    <row r="2" spans="1:8" x14ac:dyDescent="0.3">
      <c r="B2" t="s">
        <v>1</v>
      </c>
      <c r="C2" t="s">
        <v>15</v>
      </c>
      <c r="D2" t="s">
        <v>116</v>
      </c>
      <c r="E2" t="s">
        <v>94</v>
      </c>
      <c r="F2" t="s">
        <v>49</v>
      </c>
      <c r="G2" t="s">
        <v>114</v>
      </c>
      <c r="H2" t="s">
        <v>115</v>
      </c>
    </row>
    <row r="3" spans="1:8" x14ac:dyDescent="0.3">
      <c r="A3" s="2" cm="1">
        <f t="array" ref="A3:A22">_xll.FDSB(B2,"JULIAN(FMA_EPS(NTMA,-20AY,0,CY,,""PORTAGG"",""MEANR"").dates)")</f>
        <v>38352</v>
      </c>
      <c r="B3" cm="1">
        <f t="array" ref="B3:B22">_xll.FDSB(B2,"FMA_EPS(NTMA,-20AY,0,CY,,""PORTAGG"",""MEANR"")")</f>
        <v>7.6074243913976698</v>
      </c>
      <c r="C3" cm="1">
        <f t="array" ref="C3:C22">_xll.FDSB(C2,"FMA_EPS(NTMA,-20AY,0,CY,,""PORTAGG"",""MEANR"")")</f>
        <v>1.4194312135232301</v>
      </c>
      <c r="D3" cm="1">
        <f t="array" ref="D3:D22">_xll.FDSB(D2,"FMA_EPS(NTMA,-20AY,0,CY,,""PORTAGG"",""MEANR"")")</f>
        <v>6.3219540592912002</v>
      </c>
      <c r="E3" t="str" cm="1">
        <f t="array" ref="E3:E22">_xll.FDSB(E2,"FMA_EPS(NTMA,-20AY,0,CY,,""PORTAGG"",""MEANR"")")</f>
        <v/>
      </c>
      <c r="F3" t="str" cm="1">
        <f t="array" ref="F3:F22">_xll.FDSB(F2,"FMA_EPS(NTMA,-20AY,0,CY,,""PORTAGG"",""MEANR"")")</f>
        <v/>
      </c>
      <c r="G3" cm="1">
        <f t="array" ref="G3:G22">_xll.FDSB(G2,"FMA_EPS(NTMA,-20AY,0,CY,,""PORTAGG"",""MEANR"")")</f>
        <v>17.002762686970801</v>
      </c>
      <c r="H3" t="str" cm="1">
        <f t="array" ref="H3:H22">_xll.FDSB(H2,"FMA_EPS(NTMA,-20AY,0,CY,,""PORTAGG"",""MEANR"")")</f>
        <v/>
      </c>
    </row>
    <row r="4" spans="1:8" x14ac:dyDescent="0.3">
      <c r="A4" s="2">
        <v>38716</v>
      </c>
      <c r="B4">
        <v>8.8394289215288495</v>
      </c>
      <c r="C4">
        <v>1.68578719870209</v>
      </c>
      <c r="D4">
        <v>6.3671193883627497</v>
      </c>
      <c r="E4">
        <v>2.4709674881942898</v>
      </c>
      <c r="F4" t="str">
        <v/>
      </c>
      <c r="G4">
        <v>19.822720636055699</v>
      </c>
      <c r="H4">
        <v>5.0849569667120598</v>
      </c>
    </row>
    <row r="5" spans="1:8" x14ac:dyDescent="0.3">
      <c r="A5" s="2">
        <v>39080</v>
      </c>
      <c r="B5">
        <v>9.8457810486035093</v>
      </c>
      <c r="C5">
        <v>1.9402737172403599</v>
      </c>
      <c r="D5">
        <v>7.1016678244620497</v>
      </c>
      <c r="E5">
        <v>3.0737777442541199</v>
      </c>
      <c r="F5" t="str">
        <v/>
      </c>
      <c r="G5">
        <v>24.865697095124499</v>
      </c>
      <c r="H5">
        <v>6.0338155171964196</v>
      </c>
    </row>
    <row r="6" spans="1:8" x14ac:dyDescent="0.3">
      <c r="A6" s="2">
        <v>39447</v>
      </c>
      <c r="B6">
        <v>10.5833561911057</v>
      </c>
      <c r="C6">
        <v>2.3766956310061902</v>
      </c>
      <c r="D6">
        <v>8.0143667136810901</v>
      </c>
      <c r="E6">
        <v>3.8694452617221202</v>
      </c>
      <c r="F6" t="str">
        <v/>
      </c>
      <c r="G6">
        <v>36.988283944428701</v>
      </c>
      <c r="H6">
        <v>10.2264803534379</v>
      </c>
    </row>
    <row r="7" spans="1:8" x14ac:dyDescent="0.3">
      <c r="A7" s="2">
        <v>39813</v>
      </c>
      <c r="B7">
        <v>8.05373941846298</v>
      </c>
      <c r="C7">
        <v>2.1704263725021899</v>
      </c>
      <c r="D7">
        <v>6.0567879509784204</v>
      </c>
      <c r="E7">
        <v>2.6086754516886801</v>
      </c>
      <c r="F7" t="str">
        <v/>
      </c>
      <c r="G7">
        <v>27.436164618174999</v>
      </c>
      <c r="H7">
        <v>9.2256018344914992</v>
      </c>
    </row>
    <row r="8" spans="1:8" x14ac:dyDescent="0.3">
      <c r="A8" s="2">
        <v>40178</v>
      </c>
      <c r="B8">
        <v>8.0229753288056198</v>
      </c>
      <c r="C8">
        <v>2.6068713006048601</v>
      </c>
      <c r="D8">
        <v>4.6101133165354904</v>
      </c>
      <c r="E8">
        <v>3.1882129135368702</v>
      </c>
      <c r="F8" t="str">
        <v/>
      </c>
      <c r="G8">
        <v>31.175992210796799</v>
      </c>
      <c r="H8">
        <v>11.172170635010501</v>
      </c>
    </row>
    <row r="9" spans="1:8" x14ac:dyDescent="0.3">
      <c r="A9" s="2">
        <v>40543</v>
      </c>
      <c r="B9">
        <v>9.85143912569227</v>
      </c>
      <c r="C9">
        <v>3.6076350541358502</v>
      </c>
      <c r="D9">
        <v>7.5335048068202397</v>
      </c>
      <c r="E9">
        <v>4.1574721248110604</v>
      </c>
      <c r="F9" t="str">
        <v/>
      </c>
      <c r="G9">
        <v>39.399448287295499</v>
      </c>
      <c r="H9">
        <v>14.2299143361003</v>
      </c>
    </row>
    <row r="10" spans="1:8" x14ac:dyDescent="0.3">
      <c r="A10" s="2">
        <v>40907</v>
      </c>
      <c r="B10">
        <v>10.933615493869301</v>
      </c>
      <c r="C10">
        <v>4.63179037237028</v>
      </c>
      <c r="D10">
        <v>7.8562693556726204</v>
      </c>
      <c r="E10">
        <v>4.1285756463007903</v>
      </c>
      <c r="F10" t="str">
        <v/>
      </c>
      <c r="G10">
        <v>33.207570085117901</v>
      </c>
      <c r="H10">
        <v>15.4690015453803</v>
      </c>
    </row>
    <row r="11" spans="1:8" x14ac:dyDescent="0.3">
      <c r="A11" s="2">
        <v>41274</v>
      </c>
      <c r="B11">
        <v>11.5093609233453</v>
      </c>
      <c r="C11">
        <v>4.9723936001799096</v>
      </c>
      <c r="D11">
        <v>7.2452846854733197</v>
      </c>
      <c r="E11">
        <v>4.1802968231526902</v>
      </c>
      <c r="F11">
        <v>4.5591363241237399</v>
      </c>
      <c r="G11">
        <v>33.401599807044498</v>
      </c>
      <c r="H11">
        <v>14.1959016123051</v>
      </c>
    </row>
    <row r="12" spans="1:8" x14ac:dyDescent="0.3">
      <c r="A12" s="2">
        <v>41639</v>
      </c>
      <c r="B12">
        <v>12.296272619920099</v>
      </c>
      <c r="C12">
        <v>5.0145346891852203</v>
      </c>
      <c r="D12">
        <v>8.0376311318924802</v>
      </c>
      <c r="E12">
        <v>3.8079810978217798</v>
      </c>
      <c r="F12">
        <v>4.8298105677888996</v>
      </c>
      <c r="G12">
        <v>29.9102522143572</v>
      </c>
      <c r="H12">
        <v>16.0802582554231</v>
      </c>
    </row>
    <row r="13" spans="1:8" x14ac:dyDescent="0.3">
      <c r="A13" s="2">
        <v>42004</v>
      </c>
      <c r="B13">
        <v>12.8692035676989</v>
      </c>
      <c r="C13">
        <v>5.9189477139169897</v>
      </c>
      <c r="D13">
        <v>7.8073640896788099</v>
      </c>
      <c r="E13">
        <v>3.5071226328298599</v>
      </c>
      <c r="F13">
        <v>4.6812204171660898</v>
      </c>
      <c r="G13">
        <v>32.635673377426201</v>
      </c>
      <c r="H13">
        <v>16.6306210914505</v>
      </c>
    </row>
    <row r="14" spans="1:8" x14ac:dyDescent="0.3">
      <c r="A14" s="2">
        <v>42369</v>
      </c>
      <c r="B14">
        <v>12.748703211791501</v>
      </c>
      <c r="C14">
        <v>6.0599751605653802</v>
      </c>
      <c r="D14">
        <v>8.6398854914427599</v>
      </c>
      <c r="E14">
        <v>2.8749295654510298</v>
      </c>
      <c r="F14">
        <v>4.4629084696193697</v>
      </c>
      <c r="G14">
        <v>32.803372477551903</v>
      </c>
      <c r="H14">
        <v>16.640425298627001</v>
      </c>
    </row>
    <row r="15" spans="1:8" x14ac:dyDescent="0.3">
      <c r="A15" s="2">
        <v>42734</v>
      </c>
      <c r="B15">
        <v>13.3024280719142</v>
      </c>
      <c r="C15">
        <v>6.56529580140728</v>
      </c>
      <c r="D15">
        <v>8.5678565514526799</v>
      </c>
      <c r="E15">
        <v>2.9879032754051398</v>
      </c>
      <c r="F15">
        <v>4.5468408308106003</v>
      </c>
      <c r="G15">
        <v>33.358186869155702</v>
      </c>
      <c r="H15">
        <v>16.5240809032362</v>
      </c>
    </row>
    <row r="16" spans="1:8" x14ac:dyDescent="0.3">
      <c r="A16" s="2">
        <v>43098</v>
      </c>
      <c r="B16">
        <v>14.724037692001801</v>
      </c>
      <c r="C16">
        <v>7.4909851965595502</v>
      </c>
      <c r="D16">
        <v>10.4136052900246</v>
      </c>
      <c r="E16">
        <v>3.4840026454345701</v>
      </c>
      <c r="F16">
        <v>5.2437516596034204</v>
      </c>
      <c r="G16">
        <v>38.022971364529099</v>
      </c>
      <c r="H16">
        <v>19.021710790433701</v>
      </c>
    </row>
    <row r="17" spans="1:8" x14ac:dyDescent="0.3">
      <c r="A17" s="2">
        <v>43465</v>
      </c>
      <c r="B17">
        <v>17.355846469554798</v>
      </c>
      <c r="C17">
        <v>8.9443858601639104</v>
      </c>
      <c r="D17">
        <v>11.6762416161251</v>
      </c>
      <c r="E17">
        <v>3.4142810852706398</v>
      </c>
      <c r="F17">
        <v>5.9241700759141498</v>
      </c>
      <c r="G17">
        <v>36.620398667265697</v>
      </c>
      <c r="H17">
        <v>18.005603285854001</v>
      </c>
    </row>
    <row r="18" spans="1:8" x14ac:dyDescent="0.3">
      <c r="A18" s="2">
        <v>43830</v>
      </c>
      <c r="B18">
        <v>17.729435429113501</v>
      </c>
      <c r="C18">
        <v>9.3523184569568798</v>
      </c>
      <c r="D18">
        <v>10.613676839395501</v>
      </c>
      <c r="E18">
        <v>3.40448222428624</v>
      </c>
      <c r="F18">
        <v>5.85445884427984</v>
      </c>
      <c r="G18">
        <v>36.314788296504602</v>
      </c>
      <c r="H18">
        <v>17.637359718697301</v>
      </c>
    </row>
    <row r="19" spans="1:8" x14ac:dyDescent="0.3">
      <c r="A19" s="2">
        <v>44196</v>
      </c>
      <c r="B19">
        <v>16.661770335547502</v>
      </c>
      <c r="C19">
        <v>10.4260783076313</v>
      </c>
      <c r="D19">
        <v>9.4969732001193403</v>
      </c>
      <c r="E19">
        <v>3.3058956974126699</v>
      </c>
      <c r="F19">
        <v>5.4370372339575201</v>
      </c>
      <c r="G19">
        <v>33.705878493761901</v>
      </c>
      <c r="H19">
        <v>17.4947707057507</v>
      </c>
    </row>
    <row r="20" spans="1:8" x14ac:dyDescent="0.3">
      <c r="A20" s="2">
        <v>44561</v>
      </c>
      <c r="B20">
        <v>22.276707389467202</v>
      </c>
      <c r="C20">
        <v>13.6402697494705</v>
      </c>
      <c r="D20">
        <v>12.0143395043707</v>
      </c>
      <c r="E20">
        <v>3.92107940890061</v>
      </c>
      <c r="F20">
        <v>7.0207573941256998</v>
      </c>
      <c r="G20">
        <v>47.020016327694101</v>
      </c>
      <c r="H20">
        <v>21.276244856740401</v>
      </c>
    </row>
    <row r="21" spans="1:8" x14ac:dyDescent="0.3">
      <c r="A21" s="2">
        <v>44925</v>
      </c>
      <c r="B21">
        <v>22.969002360333501</v>
      </c>
      <c r="C21">
        <v>12.7503134568906</v>
      </c>
      <c r="D21">
        <v>11.6136482445672</v>
      </c>
      <c r="E21">
        <v>3.36619090960391</v>
      </c>
      <c r="F21">
        <v>7.30509155907452</v>
      </c>
      <c r="G21">
        <v>46.046977005916403</v>
      </c>
      <c r="H21">
        <v>20.372399316016701</v>
      </c>
    </row>
    <row r="22" spans="1:8" x14ac:dyDescent="0.3">
      <c r="A22" s="2">
        <v>45289</v>
      </c>
      <c r="B22">
        <v>24.347704440349901</v>
      </c>
      <c r="C22">
        <v>16.322784938364499</v>
      </c>
      <c r="D22">
        <v>11.9989210371289</v>
      </c>
      <c r="E22">
        <v>3.3865196071443799</v>
      </c>
      <c r="F22">
        <v>7.6960086337996998</v>
      </c>
      <c r="G22">
        <v>54.683464641586902</v>
      </c>
      <c r="H22">
        <v>19.1116968247571</v>
      </c>
    </row>
    <row r="24" spans="1:8" x14ac:dyDescent="0.3">
      <c r="B24" s="55">
        <f t="shared" ref="B24:H24" si="0">COUNT(B1:B22)</f>
        <v>20</v>
      </c>
      <c r="C24" s="55">
        <f t="shared" si="0"/>
        <v>20</v>
      </c>
      <c r="D24" s="55">
        <f t="shared" si="0"/>
        <v>20</v>
      </c>
      <c r="E24" s="55">
        <f t="shared" si="0"/>
        <v>19</v>
      </c>
      <c r="F24" s="55">
        <f t="shared" si="0"/>
        <v>12</v>
      </c>
      <c r="G24" s="55">
        <f t="shared" si="0"/>
        <v>20</v>
      </c>
      <c r="H24" s="55">
        <f t="shared" si="0"/>
        <v>19</v>
      </c>
    </row>
    <row r="26" spans="1:8" x14ac:dyDescent="0.3">
      <c r="A26" t="s">
        <v>113</v>
      </c>
      <c r="B26" s="61" cm="1">
        <f t="array" ref="B26">(B22/INDEX(B3:B22,MATCH(TRUE,INDEX(ISNUMBER(B3:B22),0),0)))^(1/B24)-1</f>
        <v>5.9890547139527461E-2</v>
      </c>
      <c r="C26" s="61" cm="1">
        <f t="array" ref="C26">(C22/INDEX(C3:C22,MATCH(TRUE,INDEX(ISNUMBER(C3:C22),0),0)))^(1/C24)-1</f>
        <v>0.12988435543021737</v>
      </c>
      <c r="D26" s="61" cm="1">
        <f t="array" ref="D26">(D22/INDEX(D3:D22,MATCH(TRUE,INDEX(ISNUMBER(D3:D22),0),0)))^(1/D24)-1</f>
        <v>3.255820718362723E-2</v>
      </c>
      <c r="E26" s="61" cm="1">
        <f t="array" ref="E26">(E22/INDEX(E3:E22,MATCH(TRUE,INDEX(ISNUMBER(E3:E22),0),0)))^(1/E24)-1</f>
        <v>1.6727466371622812E-2</v>
      </c>
      <c r="F26" s="61" cm="1">
        <f t="array" ref="F26">(F22/INDEX(F3:F22,MATCH(TRUE,INDEX(ISNUMBER(F3:F22),0),0)))^(1/F24)-1</f>
        <v>4.4596534370678675E-2</v>
      </c>
      <c r="G26" s="61" cm="1">
        <f t="array" ref="G26">(G22/INDEX(G3:G22,MATCH(TRUE,INDEX(ISNUMBER(G3:G22),0),0)))^(1/G24)-1</f>
        <v>6.0148800928877089E-2</v>
      </c>
      <c r="H26" s="61" cm="1">
        <f t="array" ref="H26">(H22/INDEX(H3:H22,MATCH(TRUE,INDEX(ISNUMBER(H3:H22),0),0)))^(1/H24)-1</f>
        <v>7.2170336830633008E-2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0306887"><![CDATA[{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186973,17.4947707057507,21.2762448567404,20.3723993160167,19.1116968247571],"USO^P_PRICE(0,-200D)":[73.35,73.62,73.36,74.23,74.34,73.45,74.01,74.96,73.36,73.62,73.85,72.79,71.92,73.6,73.2,72.42,73.41,72.84,71.55,72.65,72.11,71.67,71.52,69.42,68.81,68.18,67.51,69.07,70.92,72.81,72.05,73.1,72.23,70.54,69.66,69.69,68.82,69.06,67.94,67.25,68.02,67.65,66.56,67.39,66.4,69.03,67.57,68.19,65.77,66.65,67.18,68.92,70.21,68.69,69.03,68.79,69.36,68.09,67.15,67.16,65.33,64.25,66.8,66.53,65.11,64.76,67.58,68.47,69.24,70.14,72.52,71.26,69.96,70.82,71.61,72.53,72.3,70.75,68.05,71.34,72.69,72.92,71.79,70.25,70.19,71.8,74.91,74.85,76.18,74.75,75.02,76.05,78.36,76.89,78.46,76.93,78.89,80.7,81.68,79.84,78.8,78.39,78.99,75.42,75.67,76.71,77.13,74.16,73.99,75.59,79.93,79.39,80.86,81.57,82.9,80.88,80.39,80.63,80.41,80.14,81.5,81.45,81.29,81.12,79.68,79.7,78.37,78.3,77.95,78.52,77.76,76.92,75.06,73.66,73.32,72.41,72.45,71.41,71.36,72.28,72.58,72.79,71.98,71.37,72.62,73.81,74.25,74.2,75.1,74.06,73.82,73.79,73.14,71.48,72.96,73.17,72.09,71.43,70.66,71.16,70.69,68.99,68.05,67.69,67.96,66.58,67.47,69.09,67.87,67.03,65.54,65.85,64.44,64.63,63.39,63.55,62.96,62.52,61.3,62.73,62.42,62.52,65.04,63.92,64.35,63.41,61.83,62.14,60.24,62.93,63.46,64.71,63.79,64.03,64.15,62.55,60.63,62.3,64.8,64.09,65.66],"QQQ^P_PRICE(0)/P_PRICE_LOW_PR(0,,,USD,,,\"PRICE\",\"INTRA\",\"52W\")-1":0.55566466,"EWJ^P_PRICE(0)/P_PRICE_LOW_PR(0,,,USD,,,\"PRICE\",\"INTRA\",\"52W\")-1":0.28274226,"EWI^P_PRICE(0)/P_PRICE_LOW_PR(0,,,USD,,,\"PRICE\",\"INTRA\",\"52W\")-1":0.33165658,"SPY^P_PRICE(0)/P_PRICE_LOW_PR(0,,,USD,,,\"PRICE\",\"INTRA\",\"52W\")-1":0.35762525,"VGK^PERCENT_CHANGE(FMA_EPS(+1,0,,,,\"PORTAGG\",\"MEAN\"),FMA_EPS(+1,-1AM,,,,\"PORTAGG\",\"MEAN\"))":-4.74124779625277,"EWQ^SIZE(FG_CONSTITUENTS)":63,"EWJ^FMA_COS_UP(\"EPS\",\"1M\",+1,0,,,\"PORTAGG\",\"MEANR\")":117.0,"EWJ^FG_TOTAL_RETURNC(0,-3AM)":12.555706,"EWI^PERCENT_CHANGE(FMA_EPS(+1,0,,,,\"PORTAGG\",\"MEAN\"),FMA_EPS(+1,-1AM,,,,\"PORTAGG\",\"MEAN\"))":2.67757176281965,"EMXC^FMA_COS_DOWN(\"EPS\",\"1M\",+1,0,,,\"PORTAGG\",\"MEANR\")":276.0,"VWO^FMA_COS_UP(\"EPS\",\"1M\",+1,0,,,\"PORTAGG\",\"MEANR\")":775.0,"SPY^SIZE(FG_CONSTITUENTS)":504,"QQQ^FG_COMPANY_NAME":"Invesco QQQ Trust Series I","EMXC^P_PRICE(0)/P_PRICE_HIGH_PR(0,,,USD,,,\"PRICE\",\"INTRA\",\"52W\")":0.99520093,"DBA^P_PRICE(0)/P_PRICE_HIGH_PR(0,,,USD,,,\"PRICE\",\"INTRA\",\"52W\")":0.99913114,"GLD^P_PRICE(0,-200D)":[199.79,202.0,201.63,199.94,198.81,197.19,196.01,192.89,189.31,188.34,188.0,188.2,188.62,187.56,187.48,187.47,186.34,185.66,184.42,184.53,187.11,187.6,188.33,188.5,188.55,187.57,188.61,190.41,188.45,188.59,188.33,187.01,187.14,186.4,187.95,187.22,187.93,187.37,185.84,187.91,189.71,187.87,187.5,187.93,187.87,189.35,189.32,189.13,190.72,191.17,191.47,192.59,191.72,190.27,189.43,188.1,189.13,187.85,187.0,188.73,187.63,183.49,183.59,185.64,188.15,187.84,187.15,187.86,192.01,188.75,189.54,189.26,186.77,185.52,184.56,185.35,183.37,183.67,183.69,181.64,182.12,180.51,179.51,181.49,180.77,182.59,183.35,184.79,184.12,183.51,184.09,185.1,186.15,184.01,183.72,182.95,182.97,183.59,183.09,180.87,178.29,177.96,178.83,173.26,173.79,172.53,172.82,169.7,168.83,169.14,169.16,169.65,171.45,173.23,174.1,176.28,177.7,178.62,178.05,179.35,179.22,179.39,178.34,177.17,177.08,177.49,178.41,178.08,178.02,177.83,178.64,180.11,180.02,180.32,179.87,178.13,177.62,177.85,177.89,176.1,175.81,175.33,175.3,175.57,176.59,177.06,177.6,177.6,177.79,178.64,179.78,180.19,179.54,179.6,180.46,182.35,181.86,180.42,183.3,182.41,181.4,182.18,182.74,183.67,183.64,181.56,181.43,182.01,181.88,179.45,178.78,178.64,177.31,177.84,178.47,178.27,177.09,177.28,177.69,178.51,178.2,177.71,179.49,179.75,181.63,181.91,180.64,180.54,181.88,182.04,182.53,180.15,182.34,182.14,181.05,183.76,182.32,182.04,180.92,180.2,181.95],"EWI^FMA_PCT_ABOVE_MAVG(200,0,,,,\"PORTAGG\")":68.0,"EWU^PERCENT_CHANGE(FMA_EPS(+1,0,,,,\"PORTAGG\",\"MEAN\"),FMA_EPS(+1,-3AM,,,,\"PORTAGG\",\"MEAN\"))":-5.01351718376836,"EWA^PERCENT_CHANGE(FMA_EPS(+1,0,,,,\"PORTAGG\",\"MEAN\"),FMA_EPS(+1,-1AM,,,,\"PORTAGG\",\"MEAN\"))":2.15435784004097,"VGK^SIZE(FG_CONSTITUENTS)":1291,"EWG^FMA_COS_UP(\"EPS\",\"1M\",+1,0,,,\"PORTAGG\",\"MEANR\")":24.0,"EMXC^FG_TOTAL_RETURNC(0,-6AM)":13.851666,"DBA^FG_TOTAL_RETURNC(0,-6AM)":9.123957,"SPY^FG_TOTAL_RETURNC(0,-6AM)":16.758585,"FXI^PERCENT_CHANGE(FMA_EPS(+1,0,,,,\"PORTAGG\",\"MEAN\"),FMA_EPS(+1,-1AM,,,,\"PORTAGG\",\"MEAN\"))":-1.96350437580871,"INDA^SIZE(FG_CONSTITUENTS)":138,"EWL^FG_COMPANY_NAME":"iShares MSCI Switzerland ETF","EMXC^FG_TOTAL_RETURNC(0,-3AM)":9.780943,"SPY^FG_TOTAL_RETURNC(0,-3AM)":11.803234,"EWG^FG_TOTAL_RETURNC(0,-6AM)":15.478301,"ENZL^P_PRICE(0)/P_PRICE_LOW_PR(0,,,USD,,,\"PRICE\",\"INTRA\",\"52W\")-1":0.11795962,"INDA^PERCENT_CHANGE(FMA_EPS(+1,0,,,,\"PORTAGG\",\"MEAN\"),FMA_EPS(+1,-3AM,,,,\"PORTAGG\",\"MEAN\"))":0.238712837065871,"SPY^FMA_PCT_ABOVE_MAVG(200,0,,,,\"PORTAGG\")":79.9204771371769,"EWC^PERCENT_CHANGE(FMA_EPS(+1,0,,,,\"PORTAGG\",\"MEAN\"),FMA_EPS(+1,-3AM,,,,\"PORTAGG\",\"MEAN\"))":-4.61392807296888,"QQQ^FMA_COS_DOWN(\"EPS\",\"1M\",+1,0,,,\"PORTAGG\",\"MEANR\")":43.0,"URTH^FMA_COS_UP(\"EPS\",\"1M\",+1,0,,,\"PORTAGG\",\"MEANR\")":604.0,"EWJ^FMA_COS_DOWN(\"EPS\",\"1M\",+1,0,,,\"PORTAGG\",\"MEANR\")":90.0,"EWN^FG_COMPANY_NAME":"iShares MSCI Netherlands ETF","EWJ^FG_TOTAL_RETURNC(0,-6AM)":13.892424,"USO^FG_TOTAL_RETURNC(0,-6AM)":-7.9673767,"GLD^FG_TOTAL_RETURNC(0,-6AM)":12.564075,"EWJ^P_PRICE(0)/P_PRICE_HIGH_PR(0,,,USD,,,\"PRICE\",\"INTRA\",\"52W\")":0.9752631,"EWI^P_PRICE(0)/P_PRICE_HIGH_PR(0,,,USD,,,\"PRICE\",\"INTRA\",\"52W\")":1.0,"SPY^P_PRICE(0)/P_PRICE_HIGH_PR(0,,,USD,,,\"PRICE\",\"INTRA\",\"52W\")":0.9972211,"ENZL^P_PRICE(0)/P_PRICE_HIGH_PR(0,,,USD,,,\"PRICE\",\"INTRA\",\"52W\")":0.89415205,"INDA^PERCENT_CHANGE(FMA_EPS(+1,0,,,,\"PORTAGG\",\"MEAN\"),FMA_EPS(+1,-1AM,,,,\"PORTAGG\",\"MEAN\"))":0.506355996514447,"VGK^FMA_PCT_ABOVE_MAVG(200,0,,,,\"PORTAGG\")":61.2421383647799,"EWC^PERCENT_CHANGE(FMA_EPS(+1,0,,,,\"PORTAGG\",\"MEAN\"),FMA_EPS(+1,-1AM,,,,\"PORTAGG\",\"MEAN\"))":-1.49980064924339,"QQQ^FMA_COS_UP(\"EPS\",\"1M\",+1,0,,,\"PORTAGG\",\"MEANR\")":35.0,"USO^FG_TOTAL_RETURNC(0,-3AM)":14.163423,"QQQ^FG_TOTAL_RETURNC(0,-3AM)":11.564457,"EWI^FG_TOTAL_RETURNC(0,-3AM)":12.122965,"ENZL^FG_TOTAL_RETURNC(0,-3AM)":1.1329532,"QQQ^FMA_PCT_ABOVE_MAVG(200,0,,,,\"PORTAGG\")":77.4509803921569,"EWG^FMA_COS_DOWN(\"EPS\",\"1M\",+1,0,,,\"PORTAGG\",\"MEANR\")":28.0,"EWG^P_PRICE(0)/P_PRICE_LOW_PR(0,,,USD,,,\"PRICE\",\"INTRA\",\"52W\")-1":0.2718073,"SPY^PERCENT_CHANGE(FMA_EPS(+1,0,,,,\"PORTAGG\",\"MEAN\"),FMA_EPS(+1,-1AM,,,,\"PORTAGG\",\"MEAN\"))":0.520359659637533,"SPY^FMA_COS_DOWN(\"EPS\",\"1M\",+1,0,,,\"PORTAGG\",\"MEANR\")":192.0,"EWU^FG_COMPANY_NAME":"iShares MSCI United Kingdom ETF","QQQ^P_PRICE(0)/P_PRICE_HIGH_PR(0,,,USD,,,\"PRICE\",\"INTRA\",\"52W\")":0.98889977,"VWO^P_PRICE(0,-200D)":[42.23,41.87,41.76,41.83,41.63,41.12,41.4,41.57,41.02,40.93,41.57,41.44,41.58,41.57,41.21,41.17,41.09,40.89,40.64,40.06,40.81,40.63,40.47,40.68,40.71,39.73,39.63,39.91,39.64,39.79,40.17,40.16,40.15,40.05,39.54,39.32,39.63,39.27,39.04,39.57,40.41,40.22,40.05,40.09,40.56,40.49,40.43,40.5,40.62,41.1,40.99,40.74,40.52,40.26,40.4,39.63,40.48,40.2,41.07,41.31,40.77,40.39,40.39,40.21,40.41,40.25,40.3,40.44,40.8,40.63,40.51,40.74,40.41,40.6,40.47,40.58,40.82,40.39,40.23,40.65,40.37,39.45,39.38,39.11,39.46,39.64,39.63,39.51,38.8,38.21,37.94,38.12,37.78,37.74,37.88,38.29,37.82,37.9,38.36,38.5,39.14,39.31,39.03,39.18,39.6,39.48,38.86,39.1,38.57,38.41,38.57,39.07,39.21,39.17,39.09,39.04,39.5,39.65,39.19,39.83,39.95,40.15,40.54,40.75,40.51,40.55,40.66,40.2,40.12,40.54,40.73,40.97,40.53,41.02,41.17,40.63,40.23,40.26,40.43,39.84,39.91,39.82,40.07,39.94,40.21,40.64,40.83,41.43,41.35,41.28,41.71,41.78,41.73,41.55,42.47,43.07,43.02,42.0,42.47,42.21,41.89,41.34,41.36,41.62,41.68,41.98,41.93,42.19,41.73,40.95,40.59,40.58,40.1,40.88,41.08,40.68,40.33,40.5,40.66,40.28,40.15,40.72,40.9,40.97,41.94,42.09,41.69,41.3,40.96,40.86,40.75,40.53,40.62,40.31,40.35,39.72,39.05,39.33,39.85,39.2,39.27],"QQQ^SIZE(FG_CONSTITUENTS)":102,"EWC^FMA_COS_DOWN(\"EPS\",\"1M\",+1,0,,,\"PORTAGG\",\"MEANR\")":45.0,"EMXC^FG_TOTAL_RETURNC(0,-1AM)":2.9832125,"VWO^JULIAN(P_PRICE(0,-200D).DATES)":[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,45153,45152,45149,45148,45147,45146,45145,45142,45141,45140,45139,45138,45135,45134,45133,45132,45131,45128,45127,45126,45125,45124,45121,45120,45119,45118,45117,45114,45113,45112,45110,45107,45106,45105,45104,45103,45100,45099,45098,45097,45093,45092,45091,45090,45089,45086,45085,45084,45083,45082,45079,45078,45077,45076,45072,45071,45070],"EWC^FMA_COS_UP(\"EPS\",\"1M\",+1,0,,,\"PORTAGG\",\"MEANR\")":31.0,"QQQ^PERCENT_CHANGE(FMA_EPS(+1,0,,,,\"PORTAGG\",\"MEAN\"),FMA_EPS(+1,-3AM,,,,\"PORTAGG\",\"MEAN\"))":0.568529662397072,"VWO^SIZE(FG_CONSTITUENTS)":4677,"EWQ^FMA_COS_DOWN(\"EPS\",\"1M\",+1,0,,,\"PORTAGG\",\"MEANR\")":32.0,"EWQ^FG_COMPANY_NAME":"iShares MSCI France ETF","GLD^FG_TOTAL_RETURNC(0,-3AM)":8.883309,"SPY^PERCENT_CHANGE(FMA_EPS(+1,0,,,,\"PORTAGG\",\"MEAN\"),FMA_EPS(+1,-3AM,,,,\"PORTAGG\",\"MEAN\"))":-0.73723738140772,"EWA^PERCENT_CHANGE(FMA_EPS(+1,0,,,,\"PORTAGG\",\"MEAN\"),FMA_EPS(+1,-3AM,,,,\"PORTAGG\",\"MEAN\"))":-0.505984849764718,"FC0000JP^FMA_EPS(NTMA,-20AY,0,CY,,\"PORTAGG\",\"MEANR\")":[6.3219540592912,6.36711938836275,7.10166782446205,8.01436671368109,6.05678795097842,4.61011331653549,7.53350480682024,7.85626935567262,7.24528468547332,8.03763113189248,7.80736408967881,8.63988549144276,8.56785655145268,10.4136052900246,11.6762416161251,10.6136768393955,9.49697320011934,12.0143395043707,11.6136482445672,11.9989210371289],"FXI^PERCENT_CHANGE(FMA_EPS(+1,0,,,,\"PORTAGG\",\"MEAN\"),FMA_EPS(+1,-3AM,,,,\"PORTAGG\",\"MEAN\"))":-6.05093459434881,"EWD^P_PRICE(0)/P_PRICE_HIGH_PR(0,,,USD,,,\"PRICE\",\"INTRA\",\"52W\")":0.9990336,"EWG^P_PRICE(0)/P_PRICE_HIGH_PR(0,,,USD,,,\"PRICE\",\"INTRA\",\"52W\")":0.99968183,"EWU^PERCENT_CHANGE(FMA_EPS(+1,0,,,,\"PORTAGG\",\"MEAN\"),FMA_EPS(+1,-1AM,,,,\"PORTAGG\",\"MEAN\"))":0.62113315254408,"VGK^FMA_COS_DOWN(\"EPS\",\"1M\",+1,0,,,\"PORTAGG\",\"MEANR\")":545.0,"URTH^FG_TOTAL_RETURNC(0,-6AM)":15.965498,"EWD^PERCENT_CHANGE(FMA_EPS(+1,0,,,,\"PORTAGG\",\"MEAN\"),FMA_EPS(+1,-1AM,,,,\"PORTAGG\",\"MEAN\"))":2.01318942511114,"INDA^FMA_COS_DOWN(\"EPS\",\"1M\",+1,0,,,\"PORTAGG\",\"MEANR\")":50.0,"EWJ^FG_COMPANY_NAME":"iShares MSCI Japan ETF","URTH^FG_TOTAL_RETURNC(0,-3AM)":11.255371,"EWG^FG_TOTAL_RETURNC(0,-3AM)":7.978153,"IWM^PERCENT_CHANGE(FMA_EPS(+1,0,,,,\"PORTAGG\",\"MEAN\"),FMA_EPS(+1,-3AM,,,,\"PORTAGG\",\"MEAN\"))":-7.6457394810456,"EWJ^PERCENT_CHANGE(FMA_EPS(+1,0,,,,\"PORTAGG\",\"MEAN\"),FMA_EPS(+1,-1AM,,,,\"PORTAGG\",\"MEAN\"))":1.0505327254835,"EWL^PERCENT_CHANGE(FMA_EPS(+1,0,,,,\"PORTAGG\",\"MEAN\"),FMA_EPS(+1,-3AM,,,,\"PORTAGG\",\"MEAN\"))":-4.90193319369726,"VGK^P_PRICE(0)/P_PRICE_HIGH_PR(0,,,USD,,,\"PRICE\",\"INTRA\",\"52W\")":1.0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7882965046,33.7058784937619,47.0200163276941,46.0469770059164,54.6834646415869],"DBA^P_PRICE(0,-200D)":[23.0,22.74,22.43,22.45,22.35,22.19,22.45,22.2,22.18,22.17,22.44,22.38,22.16,22.09,22.15,22.0,21.69,21.8,21.89,21.99,22.05,22.14,22.06,21.85,21.77,21.71,21.7,21.69,21.63,21.67,21.35,21.45,21.4,21.5,21.34,21.1,21.01,20.85,20.61,20.76,20.61,20.72,20.61,20.65,20.51,20.58,20.72,20.59,20.69,20.74,21.05,21.0,20.98,20.89,20.79,20.82,21.07,21.02,21.96,21.9,21.72,21.85,21.71,21.82,21.68,21.55,22.01,21.98,22.02,22.28,22.08,21.94,21.59,21.74,22.07,22.18,22.14,22.08,22.12,22.29,22.25,22.36,22.04,22.13,22.26,22.16,22.46,22.4,22.24,21.98,22.01,21.9,22.05,21.85,21.81,21.91,21.93,21.92,21.97,21.92,21.86,21.73,21.71,21.61,21.41,21.55,21.57,21.58,21.44,21.32,21.37,21.58,21.41,21.8,21.61,21.67,21.75,21.86,21.9,22.21,22.27,22.18,22.34,22.21,22.11,22.04,22.01,21.85,21.9,21.94,21.92,21.78,21.74,21.85,21.8,21.83,21.62,21.56,21.38,21.16,21.29,21.35,21.18,21.19,21.08,21.25,21.41,21.41,21.39,21.43,21.59,21.64,21.62,21.79,21.96,21.93,21.99,22.11,22.31,22.36,22.35,22.01,22.05,22.0,21.74,21.44,21.59,21.35,21.21,21.39,21.18,21.16,21.22,21.24,21.31,21.07,20.93,21.05,21.29,21.51,21.53,21.95,22.13,21.9,21.99,21.7,21.33,21.3,21.24,21.19,21.24,20.89,21.02,20.85,20.88,20.76,20.46,20.44,20.57,20.4,20.63],"URTH^P_PRICE(0)/P_PRICE_HIGH_PR(0,,,USD,,,\"PRICE\",\"INTRA\",\"52W\")":0.9968665,"EWD^PERCENT_CHANGE(FMA_EPS(+1,0,,,,\"PORTAGG\",\"MEAN\"),FMA_EPS(+1,-3AM,,,,\"PORTAGG\",\"MEAN\"))":-3.23566563437483,"EWA^FMA_PCT_ABOVE_MAVG(200,0,,,,\"PORTAGG\")":74.5762711864407,"EWC^SIZE(FG_CONSTITUENTS)":88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291135,16.6617703355475,22.2767073894672,22.9690023603335,24.3477044403499],"EWD^FG_TOTAL_RETURNC(0,-6AM)":29.29846,"EWU^FMA_PCT_ABOVE_MAVG(200,0,,,,\"PORTAGG\")":55.952380952381,"VGK^FMA_COS_UP(\"EPS\",\"1M\",+1,0,,,\"PORTAGG\",\"MEANR\")":431.0,"SPY^FG_TOTAL_RETURNC(0,-1AM)":3.1538248,"SPY^JULIAN(FMA_EPS(NTMA,-20AY,0,CY,,\"PORTAGG\",\"MEANR\").DATES)":[38352,38716,39080,39447,39813,40178,40543,40907,41274,41639,42004,42369,42734,43098,43465,43830,44196,44561,44925,45289],"EWI^SIZE(FG_CONSTITUENTS)":26,"QQQ^P_PRICE(0,-200D)":[443.66,437.39,439.02,445.45,438.79,436.05,444.02,445.61,439.0,435.27,437.6,436.55,436.78,438.07,425.61,427.32,430.57,434.51,433.22,428.55,435.34,437.05,432.79,431.99,427.59,428.45,429.01,421.88,416.97,425.3,428.15,423.81,426.35,425.83,423.48,421.73,421.18,412.99,407.21,409.52,409.56,409.35,408.5,405.75,404.95,396.75,396.28,398.33,402.59,409.52,411.3,411.5,410.88,408.38,407.77,403.08,409.16,407.08,405.34,403.39,403.74,398.67,395.52,392.17,390.43,385.05,387.29,386.32,389.94,388.83,389.81,390.19,389.17,389.51,390.06,388.47,390.74,386.04,385.95,385.62,385.33,377.21,378.39,370.07,372.94,372.7,369.21,367.71,363.44,356.96,350.87,349.2,345.31,343.66,350.34,359.13,355.67,354.6,359.97,363.37,368.2,369.41,365.28,369.93,371.22,368.59,366.56,364.7,358.69,359.75,354.92,361.26,358.27,358.01,355.04,354.21,359.61,357.91,357.86,364.54,369.87,370.66,370.81,377.27,374.21,372.79,376.97,372.58,372.06,374.74,378.07,377.59,377.99,376.86,374.77,366.76,364.02,361.22,369.11,363.38,363.9,358.13,358.58,362.54,366.42,370.35,366.24,368.59,367.91,372.0,375.19,372.04,373.79,374.39,382.79,383.68,383.48,376.62,377.52,378.78,376.23,375.63,376.76,385.65,385.74,382.61,379.07,379.15,372.82,368.17,366.36,366.24,367.46,370.28,370.29,369.42,363.81,364.54,363.83,357.68,362.54,366.17,361.9,366.9,367.93,370.26,365.9,363.26,360.49,354.5,353.15,348.82,354.84,354.9,354.65,352.01,347.99,349.98,348.4,339.72,331.65],"QQQ^FG_TOTAL_RETURNC(0,-6AM)":19.481922,"EWI^FG_TOTAL_RETURNC(0,-6AM)":19.135094,"ENZL^FG_TOTAL_RETURNC(0,-6AM)":6.3952804,"INDA^FMA_PCT_ABOVE_MAVG(200,0,,,,\"PORTAGG\")":78.6764705882353,"EWI^PERCENT_CHANGE(FMA_EPS(+1,0,,,,\"PORTAGG\",\"MEAN\"),FMA_EPS(+1,-3AM,,,,\"PORTAGG\",\"MEAN\"))":1.33211370926352,"QQQ^PERCENT_CHANGE(FMA_EPS(+1,0,,,,\"PORTAGG\",\"MEAN\"),FMA_EPS(+1,-1AM,,,,\"PORTAGG\",\"MEAN\"))":0.412789313003724,"EWC^FMA_PCT_ABOVE_MAVG(200,0,,,,\"PORTAGG\")":69.3181818181818,"EMXC^SIZE(FG_CONSTITUENTS)":698,"VWO^FMA_COS_DOWN(\"EPS\",\"1M\",+1,0,,,\"PORTAGG\",\"MEANR\")":1197.0,"EWQ^FMA_COS_UP(\"EPS\",\"1M\",+1,0,,,\"PORTAGG\",\"MEANR\")":25.0,"EWG^SIZE(FG_CONSTITUENTS)":57,"SPY^FG_COMPANY_NAME":"SPDR S&P 500 ETF Trust","EWJ^FG_TOTAL_RETURNC(0,-1AM)":4.494548,"USO^FG_TOTAL_RETURNC(0,-1AM)":1.719594,"GLD^FG_TOTAL_RETURNC(0,-1AM)":6.776762,"VWO^FMA_EPS(NTMA,-20AY,0,CY,,\"PORTAGG\",\"MEANR\")":[null,2.47096748819429,3.07377774425412,3.86944526172212,2.60867545168868,3.18821291353687,4.15747212481106,4.12857564630079,4.18029682315269,3.80798109782178,3.50712263282986,2.87492956545103,2.98790327540514,3.48400264543457,3.41428108527064,3.40448222428624,3.30589569741267,3.92107940890061,3.36619090960391,3.38651960714438],"UUP^P_PRICE(0,-200D)":[27.83,27.81,27.78,27.77,27.91,28.01,28.04,28.04,28.09,28.03,28.01,27.99,28.04,28.02,28.02,28.05,28.09,28.08,28.19,28.24,28.02,27.99,28.01,27.98,28.01,28.09,27.94,27.69,27.83,27.76,27.78,27.78,27.78,27.7,27.78,27.71,27.7,27.74,27.71,27.69,27.45,27.42,27.4,27.45,27.36,27.41,27.41,27.41,27.32,27.09,27.04,26.95,27.09,27.15,27.16,27.34,27.22,27.34,29.09,28.9,29.17,29.42,29.5,29.46,29.35,29.51,29.44,29.33,29.2,29.29,29.08,29.05,29.15,29.21,29.34,29.24,29.21,29.3,29.46,29.44,29.33,29.8,29.84,29.86,29.73,29.74,29.64,29.61,29.89,30.04,30.03,29.85,29.97,30.01,29.94,29.86,29.69,29.84,29.83,29.92,29.81,29.8,29.93,29.91,29.66,29.66,29.73,29.74,29.8,29.9,29.99,29.96,29.73,29.71,29.87,29.73,29.64,29.53,29.46,29.44,29.39,29.37,29.42,29.44,29.26,29.24,29.19,29.33,29.3,29.23,29.22,29.07,28.89,28.75,28.8,28.96,29.01,28.97,28.74,28.84,28.74,28.77,28.75,28.76,28.68,28.67,28.57,28.51,28.46,28.44,28.31,28.29,28.43,28.45,28.35,28.22,28.17,28.21,27.95,28.03,28.06,27.96,27.88,27.72,27.61,27.59,27.62,27.57,27.76,28.09,28.16,28.23,28.47,28.54,28.41,28.38,28.5,28.38,28.25,28.32,28.35,28.2,28.1,28.23,28.15,28.1,28.26,28.4,28.49,28.48,28.39,28.62,28.61,28.52,28.57,28.27,28.61,28.56,28.59,28.6,28.47],"URTH^P_PRICE(0)/P_PRICE_LOW_PR(0,,,USD,,,\"PRICE\",\"INTRA\",\"52W\")-1":0.30763614,"EMXC^FMA_COS_UP(\"EPS\",\"1M\",+1,0,,,\"PORTAGG\",\"MEANR\")":234.0,"URTH^FMA_EPS(NTMA,-20AY,0,CY,,\"PORTAGG\",\"MEANR\")":[null,null,null,null,null,null,null,null,4.55913632412374,4.8298105677889,4.68122041716609,4.46290846961937,4.5468408308106,5.24375165960342,5.92417007591415,5.85445884427984,5.43703723395752,7.0207573941257,7.30509155907452,7.6960086337997],"EMXC^P_PRICE(0)/P_PRICE_LOW_PR(0,,,USD,,,\"PRICE\",\"INTRA\",\"52W\")-1":0.24058532999999999,"SPY^P_PRICE(0,-200D)":[516.78,511.28,511.72,514.81,509.75,507.18,512.3,512.85,508.08,506.26,506.93,505.99,507.85,507.5,497.21,496.76,499.51,502.01,498.57,494.08,500.98,501.2,498.32,498.1,493.98,492.55,494.35,489.2,482.88,490.89,491.27,487.41,488.03,485.39,484.86,483.45,482.43,476.49,472.29,474.93,476.68,476.35,476.56,473.88,474.6,467.92,467.28,468.79,472.65,475.31,476.69,476.51,475.65,473.65,472.7,468.26,474.84,471.97,469.33,472.01,470.5,464.1,461.99,460.2,458.23,454.76,456.6,456.69,459.1,456.4,454.61,454.93,454.48,455.3,455.02,453.27,454.26,450.79,450.23,449.68,448.73,440.19,440.61,433.84,437.25,436.93,435.69,434.69,430.76,422.66,418.2,415.59,410.68,412.55,417.55,423.63,420.46,421.19,426.43,430.21,436.02,436.04,431.5,433.66,436.32,434.54,432.29,429.54,424.5,424.66,421.59,427.31,427.48,428.52,426.05,425.88,432.23,430.42,431.39,438.64,442.71,443.63,443.37,450.36,446.51,445.99,448.45,445.52,444.85,446.22,449.24,451.19,450.35,451.01,449.16,442.76,439.97,436.89,443.03,438.15,439.34,436.5,436.29,439.64,442.89,448.11,445.65,445.91,445.75,448.75,450.71,446.81,448.84,450.13,456.48,457.79,456.92,452.49,455.51,455.44,454.2,452.18,452.18,455.2,454.19,450.84,449.28,449.56,446.02,442.46,439.66,438.55,439.66,443.13,443.79,443.28,438.11,436.39,436.17,431.44,433.21,436.51,434.94,437.18,439.46,442.6,437.18,436.66,433.8,429.9,429.13,426.55,428.03,427.1,427.92,421.82,417.85,420.18,420.02,414.65,411.09],"SPY^FMA_COS_UP(\"EPS\",\"1M\",+1,0,,,\"PORTAGG\",\"MEANR\")":186.0,"DBA^FG_TOTAL_RETURNC(0,-3AM)":10.072863,"FXI^FMA_PCT_ABOVE_MAVG(200,0,,,,\"PORTAGG\")":41.1764705882353,"ENZL^PERCENT_CHANGE(FMA_EPS(+1,0,,,,\"PORTAGG\",\"MEAN\"),FMA_EPS(+1,-3AM,,,,\"PORTAGG\",\"MEAN\"))":-14.9782078795676,"DBA^FG_TOTAL_RETURNC(0,-1AM)":4.3083906,"EWD^FG_TOTAL_RETURNC(0,-3AM)":11.974382,"EWD^P_PRICE(0)/P_PRICE_LOW_PR(0,,,USD,,,\"PRICE\",\"INTRA\",\"52W\")-1":0.34756398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5695688,10.4260783076313,13.6402697494705,12.7503134568906,16.3227849383645],"INDA^FMA_COS_UP(\"EPS\",\"1M\",+1,0,,,\"PORTAGG\",\"MEANR\")":55.0,"VWO^P_PRICE(0)/P_PRICE_HIGH_PR(0,,,USD,,,\"PRICE\",\"INTRA\",\"52W\")":0.9798144,"EWG^FG_COMPANY_NAME":"iShares MSCI Germany ETF","ENZL^PERCENT_CHANGE(FMA_EPS(+1,0,,,,\"PORTAGG\",\"MEAN\"),FMA_EPS(+1,-1AM,,,,\"PORTAGG\",\"MEAN\"))":-11.883239772104,"EWD^FMA_PCT_ABOVE_MAVG(200,0,,,,\"PORTAGG\")":76.7441860465116,"EWJ^PERCENT_CHANGE(FMA_EPS(+1,0,,,,\"PORTAGG\",\"MEAN\"),FMA_EPS(+1,-3AM,,,,\"PORTAGG\",\"MEAN\"))":-0.897500039975657,"INDA^P_PRICE(0,-200D)":[51.69,51.9,52.28,52.29,52.11,51.72,51.91,51.92,51.16,51.06,51.625,51.56,51.8,51.73,51.18,51.56,51.2,51.08,50.81,49.97,50.28,50.72,50.5,50.89,50.78,50.11,50.375,50.23,49.89,49.52,49.98,49.19,49.11,49.2,48.68,49.77,49.59,49.08,48.83,49.4,49.96,49.19,49.15,48.85,49.09,49.09,49.01,48.59,48.67,48.81,49.02,48.84,48.53,48.36,48.16,47.4,48.72,48.455,48.3,48.35,47.96,47.38,47.56,47.31,47.46,47.34,47.27,46.84,46.4,46.02,45.63,45.49,45.09,45.19,45.21,45.06,45.05,45.045,44.98,44.94,45.08,44.42,44.49,44.04,44.33,44.21,44.19,44.15,43.83,43.4,43.24,43.33,42.96,42.73,43.25,43.75,43.62,43.98,44.33,44.22,44.77,44.76,44.46,44.32,44.68,44.59,44.09,44.58,44.16,43.87,43.95,44.21,44.22,44.25,44.59,44.32,44.63,44.48,44.45,44.88,45.0,45.17,45.12,45.245,45.11,45.06,45.46,45.02,44.55,44.17,44.35,44.24,43.97,44.13,44.19,43.88,43.76,43.77,44.19,43.51,43.6,43.33,43.2,43.36,43.23,43.47,43.62,43.87,43.94,43.93,44.19,44.03,43.6,43.71,44.48,44.76,44.5,44.23,44.68,44.51,44.53,44.36,44.55,44.65,44.53,44.56,44.26,44.17,44.26,43.97,43.66,43.6,43.58,43.77,43.79,43.7,43.34,43.35,43.02,42.77,42.58,42.96,43.075,43.01,43.13,43.01,42.78,42.64,42.28,42.11,42.23,42.33,42.26,42.16,42.28,42.125,41.7,41.81,42.02,41.41,41.19],"FXI^FG_TOTAL_RETURNC(0,-6AM)":-7.6513233,"INDA^FG_TOTAL_RETURNC(0,-6AM)":14.713705,"VWO^FG_TOTAL_RETURNC(0,-6AM)":7.2514176,"EWN^FG_TOTAL_RETURNC(0,-6AM)":25.089443,"EWU^FG_TOTAL_RETURNC(0,-6AM)":7.511544,"EWC^FG_TOTAL_RETURNC(0,-6AM)":11.181271,"URTH^PERCENT_CHANGE(FMA_EPS(+1,0,,,,\"PORTAGG\",\"MEAN\"),FMA_EPS(+1,-1AM,,,,\"PORTAGG\",\"MEAN\"))":0.546402321435673,"EWN^FMA_PCT_ABOVE_MAVG(200,0,,,,\"PORTAGG\")":57.4074074074074,"FXI^FMA_COS_DOWN(\"EPS\",\"1M\",+1,0,,,\"PORTAGG\",\"MEANR\")":22.0,"EWD^SIZE(FG_CONSTITUENTS)":44,"EWU^FMA_COS_DOWN(\"EPS\",\"1M\",+1,0,,,\"PORTAGG\",\"MEANR\")":46.0,"EWA^FMA_COS_UP(\"EPS\",\"1M\",+1,0,,,\"PORTAGG\",\"MEANR\")":31.0,"ENZL^FG_COMPANY_NAME":"iShares MSCI New Zealand ETF","VGK^FG_TOTAL_RETURNC(0,-1AM)":5.6337953,"QQQ^FG_TOTAL_RETURNC(0,-1AM)":1.9111514,"VWO^FG_TOTAL_RETURNC(0,-1AM)":3.4795403,"URTH^P_PRICE(0,-200D)":[143.16,141.67,142.08,142.84,141.32,140.27,141.37,141.54,140.28,139.71,140.15,139.79,140.33,140.18,137.7,137.61,138.04,138.55,137.38,135.93,138.0,137.9,137.23,137.15,136.37,135.84,136.45,135.75,134.2,135.99,136.11,135.07,134.95,134.42,134.11,133.94,133.63,132.25,131.15,132.01,132.93,132.82,132.83,132.06,132.59,130.86,130.7,130.85,131.91,133.02,133.28,133.36,132.98,132.43,132.16,130.63,133.48,132.56,131.95,132.36,131.67,129.75,129.41,128.92,128.46,127.54,127.84,128.04,128.76,127.78,127.43,127.41,127.31,127.52,127.23,126.8,127.07,126.3,125.66,125.66,125.46,122.88,122.84,121.31,122.02,121.99,121.89,121.93,120.72,118.32,117.11,116.43,115.01,115.58,116.77,118.3,117.5,117.65,118.98,120.06,121.84,121.85,120.68,121.38,122.32,121.78,120.79,120.25,118.88,118.63,117.94,119.51,120.17,120.52,119.58,119.67,121.39,121.17,121.36,123.43,124.34,124.52,124.62,125.72,124.52,124.48,125.09,124.12,124.09,124.45,125.21,125.91,125.7,125.89,125.4,123.64,122.7,121.87,123.51,122.21,122.57,121.82,121.85,122.7,123.68,125.17,124.87,125.17,125.01,125.65,126.29,125.22,125.52,125.9,127.91,128.54,128.44,127.22,128.01,127.92,127.59,127.4,127.33,128.1,127.93,126.92,126.64,126.98,125.53,124.18,123.25,122.87,122.77,124.16,124.8,124.52,123.18,122.82,122.8,121.54,121.79,122.89,122.91,123.24,124.29,124.7,123.18,122.95,122.03,121.09,120.95,120.16,121.98,121.46,121.83,120.03,118.6,119.52,119.91,118.41,117.91],"FXI^FG_TOTAL_RETURNC(0,-3AM)":5.2659154,"INDA^FG_TOTAL_RETURNC(0,-3AM)":9.096659,"VWO^FG_TOTAL_RETURNC(0,-3AM)":6.805098,"EWN^FG_TOTAL_RETURNC(0,-3AM)":13.702,"EWU^FG_TOTAL_RETURNC(0,-3AM)":5.5657864,"EWC^FG_TOTAL_RETURNC(0,-3AM)":9.780371,"URTH^FMA_PCT_ABOVE_MAVG(200,0,,,,\"PORTAGG\")":69.8770491803279,"EWQ^PERCENT_CHANGE(FMA_EPS(+1,0,,,,\"PORTAGG\",\"MEAN\"),FMA_EPS(+1,-3AM,,,,\"PORTAGG\",\"MEAN\"))":-3.54143688098541,"FXI^FMA_COS_UP(\"EPS\",\"1M\",+1,0,,,\"PORTAGG\",\"MEANR\")":15.0,"EWJ^SIZE(FG_CONSTITUENTS)":219,"EWD^FMA_COS_DOWN(\"EPS\",\"1M\",+1,0,,,\"PORTAGG\",\"MEANR\")":14.0,"EWU^FMA_COS_UP(\"EPS\",\"1M\",+1,0,,,\"PORTAGG\",\"MEANR\")":29.0,"ENZL^SIZE(FG_CONSTITUENTS)":14,"FXI^P_PRICE(0)/P_PRICE_HIGH_PR(0,,,USD,,,\"PRICE\",\"INTRA\",\"52W\")":0.8041912,"TLT^P_PRICE(0)/P_PRICE_HIGH_PR(0,,,USD,,,\"PRICE\",\"INTRA\",\"52W\")":0.86966085,"UUP^P_PRICE(0)/P_PRICE_HIGH_PR(0,,,USD,,,\"PRICE\",\"INTRA\",\"52W\")":0.9225924,"VGK^P_PRICE(0,-200D)":[67.5,66.85,66.84,67.14,66.11,65.41,65.68,65.77,65.22,65.19,65.52,65.41,65.48,65.4,64.75,64.67,64.34,64.24,63.54,62.66,63.9,63.85,63.63,63.63,63.84,63.33,63.7,64.32,63.69,64.17,64.14,63.93,63.36,63.07,62.45,62.6,62.49,62.47,61.92,62.41,63.62,63.44,63.72,63.45,64.09,63.37,63.49,63.13,63.67,64.48,64.42,64.86,64.5,64.1,64.06,63.12,63.87,63.21,63.48,64.19,63.46,62.58,62.47,62.38,62.04,61.82,61.81,61.87,62.21,61.62,61.76,61.48,61.48,61.67,61.02,60.92,61.18,60.9,60.07,60.2,60.21,58.48,58.33,58.06,58.07,57.79,58.05,58.24,57.76,56.52,56.14,56.04,55.18,55.57,55.81,56.31,56.1,55.98,56.52,56.99,58.06,58.12,57.59,58.12,58.79,58.4,57.5,57.68,56.94,56.61,56.33,56.94,57.93,57.85,57.29,57.54,58.27,58.67,58.8,59.66,59.55,59.51,60.19,60.28,59.57,59.82,60.21,59.59,59.5,59.76,59.98,60.71,60.92,61.47,61.5,60.64,60.01,59.58,60.42,59.92,60.14,59.8,59.9,60.42,60.79,61.58,61.7,62.23,61.99,61.85,62.18,61.59,61.48,61.65,62.79,63.49,63.51,62.97,63.34,63.22,63.1,63.42,63.2,63.44,63.45,63.08,63.17,63.47,62.49,61.04,60.39,60.03,59.64,60.72,61.52,61.7,60.75,60.84,60.89,60.28,60.2,60.94,61.18,61.3,63.28,63.33,62.48,62.26,61.78,61.51,61.88,61.17,61.44,61.21,61.65,60.93,60.22,60.87,61.51,60.84,61.0],"IWM^FG_TOTAL_RETURNC(0,-6AM)":12.202144,"FXI^P_PRICE(0,-200D)":[24.56,24.04,23.47,23.33,23.53,23.03,23.39,23.92,23.42,23.46,24.32,23.91,24.12,23.95,23.59,22.92,23.07,22.76,22.67,22.2,22.72,22.36,22.1,22.62,23.13,21.88,21.41,21.86,21.76,21.93,22.29,22.6,22.75,22.77,22.11,21.14,21.68,21.53,21.45,22.02,22.73,22.83,22.49,22.48,22.94,23.23,23.36,23.67,23.24,24.03,23.88,23.25,23.22,23.05,23.71,22.91,24.2,23.88,24.13,24.18,23.87,23.95,23.79,23.7,24.03,23.95,23.94,24.31,24.89,25.16,25.06,25.71,26.02,26.36,26.29,26.16,26.69,26.12,26.1,27.21,26.58,26.02,25.68,25.76,26.12,26.31,26.43,26.35,25.75,25.48,25.52,25.94,25.67,25.58,25.53,26.06,25.25,25.03,25.56,26.01,26.45,26.65,26.48,26.68,27.15,26.89,26.22,26.23,25.69,25.53,25.75,26.37,26.53,26.26,26.41,26.35,26.72,27.14,26.21,26.79,26.98,27.05,27.18,27.3,27.07,27.3,27.24,26.88,26.92,27.71,27.63,28.04,27.4,27.76,27.95,27.41,26.77,26.82,26.7,26.14,26.15,26.19,26.85,26.65,27.21,27.66,27.92,28.83,28.6,28.48,29.02,29.13,29.55,28.77,29.68,30.42,30.08,28.5,28.97,28.56,28.21,27.62,27.6,27.7,27.52,28.15,28.29,28.8,28.16,27.34,27.16,27.18,26.6,27.39,27.71,27.19,26.94,27.37,27.6,27.01,26.87,27.44,27.5,27.67,28.91,29.08,28.45,28.07,27.75,27.82,27.79,27.5,27.99,27.39,27.43,26.63,25.97,26.04,26.83,26.39,26.94],"EWC^P_PRICE(0)/P_PRICE_LOW_PR(0,,,USD,,,\"PRICE\",\"INTRA\",\"52W\")-1":0.2040751,"TLT^FG_TOTAL_RETURNC(0,-1AM)":1.2947083,"EWN^PERCENT_CHANGE(FMA_EPS(+1,0,,,,\"PORTAGG\",\"MEAN\"),FMA_EPS(+1,-3AM,,,,\"PORTAGG\",\"MEAN\"))":0.331695273356279,"IWM^P_PRICE(0,-200D)":[204.91,205.19,206.83,206.96,205.25,203.73,205.7,205.89,203.73,202.32,204.0,201.15,199.89,199.44,197.94,198.88,201.66,204.44,199.13,194.61,202.96,199.34,196.15,193.22,193.67,191.94,194.41,195.44,192.88,197.71,199.41,195.98,195.97,194.36,195.97,196.54,192.43,190.6,189.48,190.84,193.23,193.55,195.08,194.97,196.73,193.25,193.82,194.2,199.52,200.71,204.04,204.82,204.1,201.48,199.62,196.28,200.93,197.11,197.04,198.71,193.33,187.0,187.19,186.8,185.39,184.06,184.39,186.89,184.91,179.66,178.98,178.04,178.73,179.33,178.13,177.02,179.33,178.29,175.88,178.77,178.46,169.17,169.11,167.24,169.87,171.7,172.31,174.49,169.87,165.46,164.52,163.11,162.21,164.14,163.72,166.47,165.03,166.44,168.62,171.35,174.95,173.02,170.27,171.7,175.67,175.97,174.0,173.0,171.35,171.22,171.14,174.07,176.74,177.58,175.99,174.36,177.46,176.67,177.07,179.86,181.68,182.39,183.61,185.55,182.97,184.18,184.36,183.92,184.33,186.13,186.83,190.85,188.61,188.94,188.23,185.64,184.0,183.22,185.79,183.83,184.38,184.65,183.65,185.84,188.14,190.66,190.99,190.72,191.57,193.08,194.3,194.17,194.56,195.11,197.8,198.71,196.43,193.92,196.46,194.92,194.94,194.46,195.08,196.8,195.97,193.58,191.53,193.42,191.87,189.8,187.87,184.71,182.78,185.78,187.65,187.27,186.38,184.26,183.36,180.75,180.57,183.33,184.7,185.13,185.94,187.44,185.91,187.93,185.8,185.03,186.54,187.24,184.31,179.58,182.02,175.65,173.77,175.5,176.15,174.17,175.54],"VGK^P_PRICE(0)/P_PRICE_LOW_PR(0,,,USD,,,\"PRICE\",\"INTRA\",\"52W\")-1":0.22593534,"EWC^P_PRICE(0)/P_PRICE_HIGH_PR(0,,,USD,,,\"PRICE\",\"INTRA\",\"52W\")":0.99447805,"USO^P_PRICE(0)/P_PRICE_HIGH_PR(0,,,USD,,,\"PRICE\",\"INTRA\",\"52W\")":0.8806579,"EWQ^P_PRICE(0)/P_PRICE_HIGH_PR(0,,,USD,,,\"PRICE\",\"INTRA\",\"52W\")":0.999879,"EMXC^PERCENT_CHANGE(FMA_EPS(+1,0,,,,\"PORTAGG\",\"MEAN\"),FMA_EPS(+1,-3AM,,,,\"PORTAGG\",\"MEAN\"))":-2.24693757566868,"EWA^FG_COMPANY_NAME":"iShares MSCI Australia ETF","TLT^FG_TOTAL_RETURNC(0,-3AM)":1.2220621,"EWJ^P_PRICE(0,-200D)":[69.98,69.6,71.18,71.34,71.37,70.3,69.92,70.33,69.12,68.67,69.18,69.0,69.01,68.9,67.79,67.93,67.63,67.64,67.0,66.74,66.97,66.63,66.39,66.56,66.18,66.19,66.51,66.92,66.21,65.93,66.17,65.39,65.92,66.17,66.09,66.68,65.9,65.73,65.12,65.94,66.43,65.8,65.22,64.07,64.46,63.53,63.06,63.21,63.56,64.14,64.04,63.66,63.31,63.33,63.13,62.05,63.24,63.05,63.17,63.72,64.01,63.05,63.14,62.78,63.15,62.67,62.02,62.25,63.21,62.61,62.49,62.55,62.56,62.61,62.49,62.1,62.36,62.35,61.39,61.18,61.64,60.44,60.47,59.89,59.64,60.64,61.2,62.0,60.95,59.97,58.96,58.25,57.82,57.34,58.13,58.36,57.99,58.13,58.52,58.95,59.89,59.77,59.58,60.33,60.18,60.33,59.55,59.38,59.23,58.09,58.73,59.77,60.29,61.15,61.03,60.77,61.72,61.8,61.63,62.6,63.45,63.14,62.99,63.34,62.28,62.31,62.32,61.61,62.23,62.23,62.07,62.04,61.64,60.99,61.1,60.68,59.97,59.66,60.45,59.66,59.37,59.32,59.17,59.42,60.17,60.82,61.37,61.47,61.21,61.75,62.3,61.78,61.19,61.49,62.67,63.42,63.7,63.34,62.83,62.58,62.5,62.41,62.48,63.32,63.31,62.45,62.42,63.18,62.25,61.82,61.55,61.64,60.77,61.58,62.09,61.9,61.51,61.82,61.14,60.91,60.91,62.45,62.97,62.23,63.1,63.71,63.8,63.51,62.61,62.22,61.52,61.0,63.04,61.78,62.0,60.83,59.34,59.86,60.25,60.05,59.71],"EWA^P_PRICE(0)/P_PRICE_LOW_PR(0,,,USD,,,\"PRICE\",\"INTRA\",\"52W\")-1":0.19305968,"EWN^PERCENT_CHANGE(FMA_EPS(+1,0,,,,\"PORTAGG\",\"MEAN\"),FMA_EPS(+1,-1AM,,,,\"PORTAGG\",\"MEAN\"))":3.34465971262849,"EWA^SIZE(FG_CONSTITUENTS)":59,"VGK^FG_TOTAL_RETURNC(0,-3AM)":8.641934,"ENZL^FMA_COS_UP(\"EPS\",\"1M\",+1,0,,,\"PORTAGG\",\"MEANR\")":4.0,"EWA^FG_TOTAL_RETURNC(0,-3AM)":8.932781,"UUP^FG_TOTAL_RETURNC(0,-3AM)":0.6349802,"FXI^P_PRICE(0)/P_PRICE_LOW_PR(0,,,USD,,,\"PRICE\",\"INTRA\",\"52W\")-1":0.17737293,"EWD^FG_COMPANY_NAME":"iShares MSCI Sweden ETF","EWC^FG_COMPANY_NAME":"iShares MSCI Canada ETF","EWJ^FMA_PCT_ABOVE_MAVG(200,0,,,,\"PORTAGG\")":72.1461187214612,"EWQ^FG_TOTAL_RETURNC(0,-6AM)":12.891209,"EWG^PERCENT_CHANGE(FMA_EPS(+1,0,,,,\"PORTAGG\",\"MEAN\"),FMA_EPS(+1,-3AM,,,,\"PORTAGG\",\"MEAN\"))":-2.73810548708486,"IWM^FG_TOTAL_RETURNC(0,-3AM)":9.987247,"EWQ^FG_TOTAL_RETURNC(0,-3AM)":8.107924,"EWG^FMA_PCT_ABOVE_MAVG(200,0,,,,\"PORTAGG\")":75.4385964912281,"INDA^P_PRICE(0)/P_PRICE_HIGH_PR(0,,,USD,,,\"PRICE\",\"INTRA\",\"52W\")":0.98551,"FXI^SIZE(FG_CONSTITUENTS)":51,"EWL^P_PRICE(0)/P_PRICE_HIGH_PR(0,,,USD,,,\"PRICE\",\"INTRA\",\"52W\")":0.99581075,"TLT^FG_TOTAL_RETURNC(0,-6AM)":2.6293159,"EWQ^PERCENT_CHANGE(FMA_EPS(+1,0,,,,\"PORTAGG\",\"MEAN\"),FMA_EPS(+1,-1AM,,,,\"PORTAGG\",\"MEAN\"))":0.764169285721584,"EWA^FMA_COS_DOWN(\"EPS\",\"1M\",+1,0,,,\"PORTAGG\",\"MEANR\")":26.0,"EWA^FG_TOTAL_RETURNC(0,-6AM)":13.240587,"UUP^FG_TOTAL_RETURNC(0,-6AM)":1.254487,"URTH^FMA_COS_DOWN(\"EPS\",\"1M\",+1,0,,,\"PORTAGG\",\"MEANR\")":664.0,"EWL^PERCENT_CHANGE(FMA_EPS(+1,0,,,,\"PORTAGG\",\"MEAN\"),FMA_EPS(+1,-1AM,,,,\"PORTAGG\",\"MEAN\"))":-0.0788503293658484,"EWQ^P_PRICE(0)/P_PRICE_LOW_PR(0,,,USD,,,\"PRICE\",\"INTRA\",\"52W\")-1":0.22756982,"GLD^P_PRICE(0)/P_PRICE_HIGH_PR(0,,,USD,,,\"PRICE\",\"INTRA\",\"52W\")":0.9827348,"EMXC^PERCENT_CHANGE(FMA_EPS(+1,0,,,,\"PORTAGG\",\"MEAN\"),FMA_EPS(+1,-1AM,,,,\"PORTAGG\",\"MEAN\"))":-0.737250463144799,"EWG^PERCENT_CHANGE(FMA_EPS(+1,0,,,,\"PORTAGG\",\"MEAN\"),FMA_EPS(+1,-1AM,,,,\"PORTAGG\",\"MEAN\"))":1.0331189042045,"EWN^FMA_COS_UP(\"EPS\",\"1M\",+1,0,,,\"PORTAGG\",\"MEANR\")":19.0,"EWU^P_PRICE(0)/P_PRICE_HIGH_PR(0,,,USD,,,\"PRICE\",\"INTRA\",\"52W\")":0.988104,"ENZL^FMA_PCT_ABOVE_MAVG(200,0,,,,\"PORTAGG\")":42.8571428571429,"EWL^P_PRICE(0)/P_PRICE_LOW_PR(0,,,USD,,,\"PRICE\",\"INTRA\",\"52W\")-1":0.17280388,"VWO^P_PRICE(0)/P_PRICE_LOW_PR(0,,,USD,,,\"PRICE\",\"INTRA\",\"52W\")-1":0.12748623,"EMXC^P_PRICE(0,-200D)":[57.65,57.2,57.39,57.57,56.98,56.17,56.64,56.48,55.84,55.76,56.17,56.23,56.43,56.56,56.09,56.31,56.01,56.01,55.79,54.93,55.98,55.79,55.52,55.68,55.36,54.69,54.8,54.68,54.06,54.38,54.68,54.27,54.06,54.04,53.74,53.74,53.95,53.29,52.7,53.34,54.55,54.24,54.12,54.23,54.99,54.54,54.34,54.3,54.92,55.41,55.5,55.35,54.93,54.45,54.31,53.42,54.89,54.52,54.37,54.69,53.93,53.14,53.21,52.99,53.01,52.72,52.78,52.88,53.35,52.88,52.84,52.91,52.33,52.38,52.45,52.57,52.76,52.31,52.24,52.18,51.98,50.64,50.84,50.32,50.69,51.02,51.16,50.68,49.89,48.87,48.21,48.37,47.86,48.02,48.41,49.0,48.66,48.81,49.32,49.42,50.13,50.17,49.67,49.86,50.27,49.98,49.37,49.68,49.15,48.99,49.06,49.59,49.83,49.93,49.7,49.68,50.41,50.41,50.25,51.07,51.19,51.47,51.5,51.72,51.32,51.24,51.49,50.95,50.74,50.98,51.36,51.64,51.27,51.93,52.11,51.67,51.37,51.3,51.6,50.77,50.86,50.66,50.64,50.65,50.93,51.4,51.58,52.05,52.12,51.94,52.53,52.41,52.25,52.5,53.65,54.06,54.19,53.58,54.23,54.07,53.75,53.21,53.28,53.67,53.88,53.95,53.69,53.77,53.26,52.31,51.69,51.72,51.33,52.27,52.53,51.98,51.68,51.77,52.05,51.77,51.57,52.19,52.37,52.44,53.01,53.24,53.0,52.78,52.35,52.19,51.85,51.53,51.98,51.64,51.63,50.96,50.33,50.89,51.19,50.32,50.05],"EWA^P_PRICE(0)/P_PRICE_HIGH_PR(0,,,USD,,,\"PRICE\",\"INTRA\",\"52W\")":0.9748402,"TLT^P_PRICE(0,-200D)":[94.88,95.68,95.73,95.9,95.99,95.43,94.09,94.47,94.18,93.52,92.93,93.59,93.87,92.63,92.18,92.84,92.76,93.3,92.82,92.35,93.96,93.85,94.04,94.59,95.05,94.13,96.07,98.24,96.66,95.72,94.86,93.78,93.96,93.35,93.9,94.65,94.09,93.79,94.67,94.82,96.52,96.71,96.17,96.62,97.24,96.29,97.22,98.72,98.31,98.88,99.78,100.51,98.76,98.475,98.93,99.56,98.89,98.36,99.15,99.04,96.84,94.62,94.34,94.54,95.32,95.87,94.61,92.615,92.99,91.56,92.63,91.48,91.3,89.8,90.87,90.55,90.59,90.04,89.62,88.52,89.78,87.79,87.99,87.5,89.56,88.06,86.78,87.63,87.04,85.1,83.58,83.99,84.37,84.73,83.45,85.35,84.24,83.24,82.77,84.5,85.25,86.2,87.61,86.07,88.47,86.66,86.78,84.79,85.83,86.26,85.06,86.93,88.69,88.68,88.41,88.87,89.18,91.43,90.7,93.09,92.8,93.49,92.96,93.53,94.21,94.23,93.69,94.37,94.01,93.75,93.52,94.85,96.64,96.21,96.31,95.32,95.22,94.91,95.54,93.23,92.52,93.77,93.44,93.84,94.58,95.16,95.37,95.59,97.19,96.69,95.58,96.53,94.85,97.09,98.14,100.05,99.81,99.3,101.27,101.17,101.36,101.73,101.7,102.95,101.8,101.34,101.29,101.89,100.83,99.72,99.21,99.08,99.68,101.11,102.08,102.94,101.74,103.61,103.17,103.44,103.33,102.31,103.56,103.31,102.6,103.0,102.02,101.21,102.22,101.92,102.06,100.88,102.4,101.8,101.99,103.12,102.99,102.1,101.09,100.28,100.53],"EWI^FG_COMPANY_NAME":"iShares MSCI Italy ETF","UUP^FG_TOTAL_RETURNC(0,-1AM)":-0.6780863,"IWM^P_PRICE(0)/P_PRICE_LOW_PR(0,,,USD,,,\"PRICE\",\"INTRA\",\"52W\")-1":0.26745844,"EWL^FMA_PCT_ABOVE_MAVG(200,0,,,,\"PORTAGG\")":64.4444444444444,"EWI^FMA_COS_UP(\"EPS\",\"1M\",+1,0,,,\"PORTAGG\",\"MEANR\")":12.0,"EWD^FMA_COS_UP(\"EPS\",\"1M\",+1,0,,,\"PORTAGG\",\"MEANR\")":14.0,"EWU^P_PRICE(0)/P_PRICE_LOW_PR(0,,,USD,,,\"PRICE\",\"INTRA\",\"52W\")-1":0.12133336,"FXI^FG_TOTAL_RETURNC(0,-1AM)":8.098591,"URTH^PERCENT_CHANGE(FMA_EPS(+1,0,,,,\"PORTAGG\",\"MEAN\"),FMA_EPS(+1,-3AM,,,,\"PORTAGG\",\"MEAN\"))":-1.33895923369213,"IWM^SIZE(FG_CONSTITUENTS)":1940,"VWO^PERCENT_CHANGE(FMA_EPS(+1,0,,,,\"PORTAGG\",\"MEAN\"),FMA_EPS(+1,-1AM,,,,\"PORTAGG\",\"MEAN\"))":-12.89387011746,"EWL^FG_TOTAL_RETURNC(0,-6AM)":7.857454,"EWL^FG_TOTAL_RETURNC(0,-3AM)":4.9310923,"IWM^FMA_COS_UP(\"EPS\",\"1M\",+1,0,,,\"PORTAGG\",\"MEANR\")":487.0,"EWL^FMA_COS_UP(\"EPS\",\"1M\",+1,0,,,\"PORTAGG\",\"MEANR\")":12.0,"VGK^FG_TOTAL_RETURNC(0,-6AM)":14.152217,"EWQ^FMA_PCT_ABOVE_MAVG(200,0,,,,\"PORTAGG\")":68.2539682539683,"ENZL^FMA_COS_DOWN(\"EPS\",\"1M\",+1,0,,,\"PORTAGG\",\"MEANR\")":7.0,"URTH^SIZE(FG_CONSTITUENTS)":1467,"EWN^P_PRICE(0)/P_PRICE_LOW_PR(0,,,USD,,,\"PRICE\",\"INTRA\",\"52W\")-1":0.35271418,"IWM^PERCENT_CHANGE(FMA_EPS(+1,0,,,,\"PORTAGG\",\"MEAN\"),FMA_EPS(+1,-1AM,,,,\"PORTAGG\",\"MEAN\"))":-3.29514751092248,"EWN^P_PRICE(0)/P_PRICE_HIGH_PR(0,,,USD,,,\"PRICE\",\"INTRA\",\"52W\")":0.9821929,"IWM^FMA_PCT_ABOVE_MAVG(200,0,,,,\"PORTAGG\")":55.6363636363636,"EWI^FMA_COS_DOWN(\"EPS\",\"1M\",+1,0,,,\"PORTAGG\",\"MEANR\")":10.0,"IWM^P_PRICE(0)/P_PRICE_HIGH_PR(0,,,USD,,,\"PRICE\",\"INTRA\",\"52W\")":0.97386056,"EWN^SIZE(FG_CONSTITUENTS)":54,"INDA^P_PRICE(0)/P_PRICE_LOW_PR(0,,,USD,,,\"PRICE\",\"INTRA\",\"52W\")-1":0.36872768,"EMXC^FMA_PCT_ABOVE_MAVG(200,0,,,,\"PORTAGG\")":65.6716417910448,"EWN^FMA_COS_DOWN(\"EPS\",\"1M\",+1,0,,,\"PORTAGG\",\"MEANR\")":27.0,"VWO^PERCENT_CHANGE(FMA_EPS(+1,0,,,,\"PORTAGG\",\"MEAN\"),FMA_EPS(+1,-3AM,,,,\"PORTAGG\",\"MEAN\"))":-16.6699831244645,"EWU^SIZE(FG_CONSTITUENTS)":85,"EWL^SIZE(FG_CONSTITUENTS)":47,"IWM^FMA_COS_DOWN(\"EPS\",\"1M\",+1,0,,,\"PORTAGG\",\"MEANR\")":732.0,"VWO^FMA_PCT_ABOVE_MAVG(200,0,,,,\"PORTAGG\")":32.6952695269527,"EWL^FMA_COS_DOWN(\"EPS\",\"1M\",+1,0,,,\"PORTAGG\",\"MEANR\")":28.0,"VGK^PERCENT_CHANGE(FMA_EPS(+1,0,,,,\"PORTAGG\",\"MEAN\"),FMA_EPS(+1,-3AM,,,,\"PORTAGG\",\"MEAN\"))":-8.2793631998059,"TRYCN10Y-FDS^FG_YIELD(0,,,,\"YTM\")":2.3581,"TRYIN10Y-FDS^FG_YIELD(0,,,,\"YTM\")":7.0195,"TRYUS10Y-FDS^FG_YIELD(0,,,,\"YTM\")":4.1561,"TRYJP10Y-FDS^FG_YIELD(0,,,,\"YTM\")":0.7684,"FXI^FG_FCF_YIELD_NTM(0)":8.11653963078701,"FXI^FMA_DIV_YLD(NTMA,NOW,NOW,M,\"PORTAGG\",\"MEANR\")":3.66809484230428,"FXI^FG_PE_NTM(0,,,90,0)":6.99148494612729,"FXI^FG_PE(0)":8.6475458800632,"INDA^FG_FCF_YIELD_NTM(0)":2.86630695004814,"INDA^FMA_DIV_YLD(NTMA,NOW,NOW,M,\"PORTAGG\",\"MEANR\")":1.35315338894655,"INDA^FG_PE_NTM(0,,,90,0)":22.7061424762647,"INDA^FG_PE(0)":24.6788971180708,"URTH^FG_FCF_YIELD_NTM(0)":4.41340691202063,"URTH^FMA_DIV_YLD(NTMA,NOW,NOW,M,\"PORTAGG\",\"MEANR\")":1.97053825795866,"URTH^FG_PE_NTM(0,,,90,0)":18.400830591181,"URTH^FG_PE(0)":20.6227846546007,"VWO^FG_FCF_YIELD_NTM(0)":5.06426824903005,"VWO^FMA_DIV_YLD(NTMA,NOW,NOW,M,\"PORTAGG\",\"MEANR\")":3.15416449071437,"VWO^FG_PE_NTM(0,,,90,0)":13.5883510633841,"VWO^FG_PE(0)":12.863237584072,"EWJ^FG_FCF_YIELD_NTM(0)":4.0213892987348,"EWJ^FMA_DIV_YLD(NTMA,NOW,NOW,M,\"PORTAGG\",\"MEANR\")":2.19308426995126,"EWJ^FG_PE_NTM(0,,,90,0)":15.7443319136161,"EWJ^FG_PE(0)":16.1186471590266,"QQQ^FG_FCF_YIELD_NTM(0)":3.69663072931181,"QQQ^FMA_DIV_YLD(NTMA,NOW,NOW,M,\"PORTAGG\",\"MEANR\")":0.873555223793735,"QQQ^FG_PE_NTM(0,,,90,0)":25.935443032029,"QQQ^FG_PE(0)":31.5990764807902,"SPY^FG_FCF_YIELD_NTM(0)":4.24132045419067,"SPY^FMA_DIV_YLD(NTMA,NOW,NOW,M,\"PORTAGG\",\"MEANR\")":1.46700603872666,"SPY^FG_PE_NTM(0,,,90,0)":20.4729536136068,"SPY^FG_PE(0)":24.6247148117154,"FXI^FG_COMPANY_NAME":"iShares China Large-Cap ETF","INDA^FG_COMPANY_NAME":"iShares MSCI India ETF","URTH^FG_COMPANY_NAME":"iShares MSCI World ETF","VWO^FG_COMPANY_NAME":"Vanguard FTSE Emerging Markets ETF"}]]></FdsFormulaCache>
</file>

<file path=customXml/itemProps1.xml><?xml version="1.0" encoding="utf-8"?>
<ds:datastoreItem xmlns:ds="http://schemas.openxmlformats.org/officeDocument/2006/customXml" ds:itemID="{A0019E4F-1C59-4C5B-8C49-ED9EBB65F5E9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</vt:vector>
  </HeadingPairs>
  <TitlesOfParts>
    <vt:vector size="7" baseType="lpstr">
      <vt:lpstr>Aset class Rankings</vt:lpstr>
      <vt:lpstr>Global Value</vt:lpstr>
      <vt:lpstr>Asset class</vt:lpstr>
      <vt:lpstr>Momnetum ranking</vt:lpstr>
      <vt:lpstr>Factset Price Data</vt:lpstr>
      <vt:lpstr>Index earnings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Rizael Castro</cp:lastModifiedBy>
  <cp:lastPrinted>2023-12-28T02:21:32Z</cp:lastPrinted>
  <dcterms:created xsi:type="dcterms:W3CDTF">2023-02-28T05:25:38Z</dcterms:created>
  <dcterms:modified xsi:type="dcterms:W3CDTF">2024-03-13T10:28:13Z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