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7FBAA83-4A87-4A0C-B0BB-B6D109269B5A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57" l="1" a="1"/>
  <c r="D11" i="57" a="1"/>
  <c r="D9" i="57" a="1"/>
  <c r="G7" i="57" a="1"/>
  <c r="G17" i="57" a="1"/>
  <c r="G8" i="57" a="1"/>
  <c r="D17" i="57" a="1"/>
  <c r="D13" i="57" a="1"/>
  <c r="D10" i="57" a="1"/>
  <c r="G9" i="57" a="1"/>
  <c r="G3" i="57" a="1"/>
  <c r="E17" i="57" a="1"/>
  <c r="G14" i="57" a="1"/>
  <c r="G10" i="57" a="1"/>
  <c r="D3" i="57" a="1"/>
  <c r="D12" i="57" a="1"/>
  <c r="G11" i="57" a="1"/>
  <c r="D8" i="57" a="1"/>
  <c r="D5" i="57" a="1"/>
  <c r="G4" i="57" a="1"/>
  <c r="G2" i="57" a="1"/>
  <c r="G13" i="57" a="1"/>
  <c r="D7" i="57" a="1"/>
  <c r="D4" i="57" a="1"/>
  <c r="G6" i="57" a="1"/>
  <c r="G12" i="57" a="1"/>
  <c r="D6" i="57" a="1"/>
  <c r="B17" i="57" a="1"/>
  <c r="G5" i="57" a="1"/>
  <c r="D2" i="57" a="1"/>
  <c r="D2" i="57" l="1"/>
  <c r="G5" i="57"/>
  <c r="B17" i="57"/>
  <c r="D6" i="57"/>
  <c r="G12" i="57"/>
  <c r="G6" i="57"/>
  <c r="D4" i="57"/>
  <c r="D7" i="57"/>
  <c r="G13" i="57"/>
  <c r="G2" i="57"/>
  <c r="G4" i="57"/>
  <c r="D5" i="57"/>
  <c r="D8" i="57"/>
  <c r="G11" i="57"/>
  <c r="D12" i="57"/>
  <c r="D3" i="57"/>
  <c r="G10" i="57"/>
  <c r="G14" i="57"/>
  <c r="E17" i="57"/>
  <c r="G3" i="57"/>
  <c r="G9" i="57"/>
  <c r="D10" i="57"/>
  <c r="D13" i="57"/>
  <c r="D17" i="57"/>
  <c r="G8" i="57"/>
  <c r="G17" i="57"/>
  <c r="G7" i="57"/>
  <c r="D9" i="57"/>
  <c r="D11" i="57"/>
  <c r="D14" i="57"/>
  <c r="M16" i="48" a="1"/>
  <c r="M16" i="48" l="1"/>
  <c r="M14" i="48" a="1"/>
  <c r="M14" i="48" l="1"/>
  <c r="M13" i="48" a="1"/>
  <c r="M10" i="48" a="1"/>
  <c r="M12" i="48" a="1"/>
  <c r="M11" i="48" a="1"/>
  <c r="M9" i="48" a="1"/>
  <c r="M9" i="48" l="1"/>
  <c r="M11" i="48"/>
  <c r="M12" i="48"/>
  <c r="M10" i="48"/>
  <c r="M13" i="48"/>
  <c r="M7" i="48" a="1"/>
  <c r="M8" i="48" a="1"/>
  <c r="M6" i="48" a="1"/>
  <c r="M6" i="48" l="1"/>
  <c r="M8" i="48"/>
  <c r="M7" i="48"/>
  <c r="M5" i="48" a="1"/>
  <c r="M5" i="48" l="1"/>
  <c r="J20" i="48" a="1"/>
  <c r="J20" i="48" l="1"/>
  <c r="J19" i="48" a="1"/>
  <c r="J19" i="48" l="1"/>
  <c r="M4" i="48" a="1"/>
  <c r="M15" i="48" a="1"/>
  <c r="L2" i="38" a="1"/>
  <c r="AJ4" i="9" a="1"/>
  <c r="T4" i="9" a="1"/>
  <c r="D4" i="9" a="1"/>
  <c r="U7" i="56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J16" i="48" a="1"/>
  <c r="K2" i="38" a="1"/>
  <c r="AI4" i="9" a="1"/>
  <c r="S4" i="9" a="1"/>
  <c r="C4" i="9" a="1"/>
  <c r="H3" i="52" a="1"/>
  <c r="T7" i="56" a="1"/>
  <c r="H8" i="56" a="1"/>
  <c r="C15" i="13" a="1"/>
  <c r="O23" i="12" a="1"/>
  <c r="S19" i="12" a="1"/>
  <c r="L18" i="12" a="1"/>
  <c r="N14" i="12" a="1"/>
  <c r="P12" i="12" a="1"/>
  <c r="R10" i="12" a="1"/>
  <c r="K9" i="12" a="1"/>
  <c r="M7" i="12" a="1"/>
  <c r="O5" i="12" a="1"/>
  <c r="E8" i="12" a="1"/>
  <c r="L5" i="28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T15" i="56" a="1"/>
  <c r="T11" i="56" a="1"/>
  <c r="H16" i="56" a="1"/>
  <c r="H12" i="56" a="1"/>
  <c r="C24" i="56" a="1"/>
  <c r="Q21" i="12" a="1"/>
  <c r="Q3" i="12" a="1"/>
  <c r="G20" i="12" a="1"/>
  <c r="F13" i="12" a="1"/>
  <c r="B15" i="12" a="1"/>
  <c r="J11" i="39" a="1"/>
  <c r="H8" i="39" a="1"/>
  <c r="F5" i="39" a="1"/>
  <c r="C2" i="39" a="1"/>
  <c r="M10" i="28" a="1"/>
  <c r="H11" i="28" a="1"/>
  <c r="H3" i="28" a="1"/>
  <c r="E9" i="28" a="1"/>
  <c r="O13" i="1" a="1"/>
  <c r="J15" i="48" a="1"/>
  <c r="J2" i="38" a="1"/>
  <c r="AH4" i="9" a="1"/>
  <c r="R4" i="9" a="1"/>
  <c r="B4" i="9" a="1"/>
  <c r="C5" i="42" a="1"/>
  <c r="C3" i="42" a="1"/>
  <c r="M2" i="15" a="1"/>
  <c r="K2" i="5" a="1"/>
  <c r="I2" i="7" a="1"/>
  <c r="G2" i="47" a="1"/>
  <c r="E2" i="46" a="1"/>
  <c r="G11" i="52" a="1"/>
  <c r="G9" i="52" a="1"/>
  <c r="G7" i="52" a="1"/>
  <c r="G5" i="52" a="1"/>
  <c r="G3" i="52" a="1"/>
  <c r="S15" i="56" a="1"/>
  <c r="S11" i="56" a="1"/>
  <c r="S7" i="56" a="1"/>
  <c r="G16" i="56" a="1"/>
  <c r="G12" i="56" a="1"/>
  <c r="G8" i="56" a="1"/>
  <c r="C23" i="56" a="1"/>
  <c r="C14" i="13" a="1"/>
  <c r="N23" i="12" a="1"/>
  <c r="P21" i="12" a="1"/>
  <c r="H10" i="43" a="1"/>
  <c r="C11" i="43" a="1"/>
  <c r="C15" i="42" a="1"/>
  <c r="C13" i="42" a="1"/>
  <c r="C11" i="42" a="1"/>
  <c r="C9" i="42" a="1"/>
  <c r="C7" i="42" a="1"/>
  <c r="J14" i="48" a="1"/>
  <c r="I2" i="38" a="1"/>
  <c r="AG4" i="9" a="1"/>
  <c r="Q4" i="9" a="1"/>
  <c r="M23" i="12" a="1"/>
  <c r="O21" i="12" a="1"/>
  <c r="Q19" i="12" a="1"/>
  <c r="R8" i="12" a="1"/>
  <c r="O3" i="12" a="1"/>
  <c r="E20" i="12" a="1"/>
  <c r="G12" i="12" a="1"/>
  <c r="J9" i="39" a="1"/>
  <c r="H6" i="39" a="1"/>
  <c r="F3" i="39" a="1"/>
  <c r="L15" i="28" a="1"/>
  <c r="M4" i="28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9" i="52" a="1"/>
  <c r="F7" i="52" a="1"/>
  <c r="F5" i="52" a="1"/>
  <c r="F3" i="52" a="1"/>
  <c r="V14" i="56" a="1"/>
  <c r="V10" i="56" a="1"/>
  <c r="V6" i="56" a="1"/>
  <c r="J15" i="56" a="1"/>
  <c r="J11" i="56" a="1"/>
  <c r="J7" i="56" a="1"/>
  <c r="B17" i="56" a="1"/>
  <c r="C13" i="13" a="1"/>
  <c r="S15" i="12" a="1"/>
  <c r="L14" i="12" a="1"/>
  <c r="N12" i="12" a="1"/>
  <c r="P10" i="12" a="1"/>
  <c r="K7" i="12" a="1"/>
  <c r="M5" i="12" a="1"/>
  <c r="F7" i="12" a="1"/>
  <c r="B13" i="12" a="1"/>
  <c r="K10" i="28" a="1"/>
  <c r="J13" i="48" a="1"/>
  <c r="H2" i="38" a="1"/>
  <c r="AF4" i="9" a="1"/>
  <c r="P4" i="9" a="1"/>
  <c r="C2" i="46" a="1"/>
  <c r="E11" i="52" a="1"/>
  <c r="E9" i="52" a="1"/>
  <c r="E7" i="52" a="1"/>
  <c r="E5" i="52" a="1"/>
  <c r="E3" i="52" a="1"/>
  <c r="U10" i="56" a="1"/>
  <c r="U6" i="56" a="1"/>
  <c r="I15" i="56" a="1"/>
  <c r="I11" i="56" a="1"/>
  <c r="B16" i="56" a="1"/>
  <c r="C12" i="13" a="1"/>
  <c r="N21" i="12" a="1"/>
  <c r="O10" i="12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U14" i="56" a="1"/>
  <c r="I7" i="56" a="1"/>
  <c r="L23" i="12" a="1"/>
  <c r="P19" i="12" a="1"/>
  <c r="R15" i="12" a="1"/>
  <c r="K14" i="12" a="1"/>
  <c r="M12" i="12" a="1"/>
  <c r="Q8" i="12" a="1"/>
  <c r="S6" i="12" a="1"/>
  <c r="L5" i="12" a="1"/>
  <c r="N3" i="12" a="1"/>
  <c r="G19" i="12" a="1"/>
  <c r="F12" i="12" a="1"/>
  <c r="E7" i="12" a="1"/>
  <c r="B12" i="12" a="1"/>
  <c r="J12" i="48" a="1"/>
  <c r="G2" i="38" a="1"/>
  <c r="AE4" i="9" a="1"/>
  <c r="O4" i="9" a="1"/>
  <c r="F2" i="7" a="1"/>
  <c r="D11" i="52" a="1"/>
  <c r="D9" i="52" a="1"/>
  <c r="D7" i="52" a="1"/>
  <c r="D5" i="52" a="1"/>
  <c r="T14" i="56" a="1"/>
  <c r="T10" i="56" a="1"/>
  <c r="T6" i="56" a="1"/>
  <c r="H11" i="56" a="1"/>
  <c r="H7" i="56" a="1"/>
  <c r="C11" i="13" a="1"/>
  <c r="M21" i="12" a="1"/>
  <c r="Q15" i="12" a="1"/>
  <c r="R6" i="12" a="1"/>
  <c r="M3" i="12" a="1"/>
  <c r="F19" i="12" a="1"/>
  <c r="E12" i="12" a="1"/>
  <c r="G6" i="12" a="1"/>
  <c r="B11" i="12" a="1"/>
  <c r="H4" i="3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D2" i="47" a="1"/>
  <c r="B2" i="46" a="1"/>
  <c r="D3" i="52" a="1"/>
  <c r="H15" i="56" a="1"/>
  <c r="B15" i="56" a="1"/>
  <c r="K23" i="12" a="1"/>
  <c r="O19" i="12" a="1"/>
  <c r="S13" i="12" a="1"/>
  <c r="L12" i="12" a="1"/>
  <c r="N10" i="12" a="1"/>
  <c r="P8" i="12" a="1"/>
  <c r="K5" i="12" a="1"/>
  <c r="J7" i="39" a="1"/>
  <c r="J11" i="48" a="1"/>
  <c r="F2" i="38" a="1"/>
  <c r="AD4" i="9" a="1"/>
  <c r="N4" i="9" a="1"/>
  <c r="S10" i="56" a="1"/>
  <c r="G11" i="56" a="1"/>
  <c r="B14" i="56" a="1"/>
  <c r="L21" i="12" a="1"/>
  <c r="N19" i="12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C2" i="47" a="1"/>
  <c r="A2" i="46" a="1"/>
  <c r="C11" i="52" a="1"/>
  <c r="C9" i="52" a="1"/>
  <c r="C7" i="52" a="1"/>
  <c r="C5" i="52" a="1"/>
  <c r="C3" i="52" a="1"/>
  <c r="S14" i="56" a="1"/>
  <c r="S6" i="56" a="1"/>
  <c r="G15" i="56" a="1"/>
  <c r="G7" i="56" a="1"/>
  <c r="C10" i="13" a="1"/>
  <c r="S22" i="12" a="1"/>
  <c r="P15" i="12" a="1"/>
  <c r="R13" i="12" a="1"/>
  <c r="K12" i="12" a="1"/>
  <c r="M10" i="12" a="1"/>
  <c r="O8" i="12" a="1"/>
  <c r="Q6" i="12" a="1"/>
  <c r="S4" i="12" a="1"/>
  <c r="L3" i="12" a="1"/>
  <c r="E19" i="12" a="1"/>
  <c r="G11" i="12" a="1"/>
  <c r="F6" i="12" a="1"/>
  <c r="B10" i="12" a="1"/>
  <c r="J6" i="39" a="1"/>
  <c r="H3" i="39" a="1"/>
  <c r="C13" i="39" a="1"/>
  <c r="L14" i="28" a="1"/>
  <c r="K9" i="28" a="1"/>
  <c r="M3" i="28" a="1"/>
  <c r="G9" i="28" a="1"/>
  <c r="D15" i="28" a="1"/>
  <c r="D7" i="28" a="1"/>
  <c r="O8" i="1" a="1"/>
  <c r="I19" i="1" a="1"/>
  <c r="G14" i="1" a="1"/>
  <c r="L11" i="1" a="1"/>
  <c r="J9" i="1" a="1"/>
  <c r="H7" i="1" a="1"/>
  <c r="F5" i="1" a="1"/>
  <c r="C15" i="1" a="1"/>
  <c r="D13" i="49" a="1"/>
  <c r="C15" i="55" a="1"/>
  <c r="J10" i="48" a="1"/>
  <c r="E2" i="38" a="1"/>
  <c r="AC4" i="9" a="1"/>
  <c r="M4" i="9" a="1"/>
  <c r="R22" i="12" a="1"/>
  <c r="O15" i="12" a="1"/>
  <c r="Q13" i="12" a="1"/>
  <c r="S11" i="12" a="1"/>
  <c r="N8" i="12" a="1"/>
  <c r="K3" i="12" a="1"/>
  <c r="G18" i="12" a="1"/>
  <c r="E6" i="12" a="1"/>
  <c r="B9" i="12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B2" i="47" a="1"/>
  <c r="J12" i="52" a="1"/>
  <c r="J10" i="52" a="1"/>
  <c r="J8" i="52" a="1"/>
  <c r="J6" i="52" a="1"/>
  <c r="J4" i="52" a="1"/>
  <c r="V17" i="56" a="1"/>
  <c r="V13" i="56" a="1"/>
  <c r="V9" i="56" a="1"/>
  <c r="V5" i="56" a="1"/>
  <c r="J14" i="56" a="1"/>
  <c r="J10" i="56" a="1"/>
  <c r="J6" i="56" a="1"/>
  <c r="B13" i="56" a="1"/>
  <c r="C9" i="13" a="1"/>
  <c r="K21" i="12" a="1"/>
  <c r="M19" i="12" a="1"/>
  <c r="L10" i="12" a="1"/>
  <c r="P6" i="12" a="1"/>
  <c r="R4" i="12" a="1"/>
  <c r="F11" i="12" a="1"/>
  <c r="J5" i="39" a="1"/>
  <c r="H2" i="39" a="1"/>
  <c r="C12" i="39" a="1"/>
  <c r="K14" i="28" a="1"/>
  <c r="M8" i="28" a="1"/>
  <c r="L3" i="28" a="1"/>
  <c r="H8" i="28" a="1"/>
  <c r="E14" i="28" a="1"/>
  <c r="E6" i="28" a="1"/>
  <c r="O7" i="1" a="1"/>
  <c r="H19" i="1" a="1"/>
  <c r="F14" i="1" a="1"/>
  <c r="K11" i="1" a="1"/>
  <c r="I9" i="1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B8" i="12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T13" i="56" a="1"/>
  <c r="T9" i="56" a="1"/>
  <c r="T5" i="56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J6" i="48" a="1"/>
  <c r="A2" i="38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2" i="52" a="1"/>
  <c r="F10" i="52" a="1"/>
  <c r="F8" i="52" a="1"/>
  <c r="F6" i="52" a="1"/>
  <c r="F4" i="52" a="1"/>
  <c r="V16" i="56" a="1"/>
  <c r="V12" i="56" a="1"/>
  <c r="V8" i="56" a="1"/>
  <c r="J17" i="56" a="1"/>
  <c r="J13" i="56" a="1"/>
  <c r="J9" i="56" a="1"/>
  <c r="J5" i="56" a="1"/>
  <c r="B9" i="56" a="1"/>
  <c r="C5" i="13" a="1"/>
  <c r="N22" i="12" a="1"/>
  <c r="P20" i="12" a="1"/>
  <c r="R18" i="12" a="1"/>
  <c r="K15" i="12" a="1"/>
  <c r="M13" i="12" a="1"/>
  <c r="O11" i="12" a="1"/>
  <c r="Q9" i="12" a="1"/>
  <c r="S7" i="12" a="1"/>
  <c r="L6" i="12" a="1"/>
  <c r="N4" i="12" a="1"/>
  <c r="G22" i="12" a="1"/>
  <c r="F15" i="12" a="1"/>
  <c r="E10" i="12" a="1"/>
  <c r="J5" i="48" a="1"/>
  <c r="AN4" i="9" a="1"/>
  <c r="X4" i="9" a="1"/>
  <c r="H4" i="9" a="1"/>
  <c r="U12" i="56" a="1"/>
  <c r="U8" i="56" a="1"/>
  <c r="I17" i="56" a="1"/>
  <c r="I13" i="56" a="1"/>
  <c r="I9" i="56" a="1"/>
  <c r="I5" i="56" a="1"/>
  <c r="B8" i="56" a="1"/>
  <c r="Q18" i="12" a="1"/>
  <c r="S14" i="12" a="1"/>
  <c r="L13" i="12" a="1"/>
  <c r="N11" i="12" a="1"/>
  <c r="P9" i="12" a="1"/>
  <c r="R7" i="12" a="1"/>
  <c r="K6" i="12" a="1"/>
  <c r="M4" i="12" a="1"/>
  <c r="F22" i="12" a="1"/>
  <c r="E15" i="12" a="1"/>
  <c r="G9" i="12" a="1"/>
  <c r="F4" i="12" a="1"/>
  <c r="B4" i="12" a="1"/>
  <c r="F10" i="39" a="1"/>
  <c r="L12" i="28" a="1"/>
  <c r="K7" i="28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E10" i="52" a="1"/>
  <c r="E8" i="52" a="1"/>
  <c r="E6" i="52" a="1"/>
  <c r="E4" i="52" a="1"/>
  <c r="U16" i="56" a="1"/>
  <c r="C4" i="13" a="1"/>
  <c r="M22" i="12" a="1"/>
  <c r="O20" i="12" a="1"/>
  <c r="H13" i="39" a="1"/>
  <c r="C7" i="39" a="1"/>
  <c r="G14" i="28" a="1"/>
  <c r="G6" i="28" a="1"/>
  <c r="D12" i="28" a="1"/>
  <c r="D4" i="28" a="1"/>
  <c r="L20" i="1" a="1"/>
  <c r="J15" i="1" a="1"/>
  <c r="H13" i="1" a="1"/>
  <c r="F11" i="1" a="1"/>
  <c r="K8" i="1" a="1"/>
  <c r="I6" i="1" a="1"/>
  <c r="G4" i="1" a="1"/>
  <c r="C9" i="1" a="1"/>
  <c r="D7" i="49" a="1"/>
  <c r="C9" i="55" a="1"/>
  <c r="F12" i="60" a="1"/>
  <c r="F8" i="60" a="1"/>
  <c r="J4" i="48" a="1"/>
  <c r="AM4" i="9" a="1"/>
  <c r="W4" i="9" a="1"/>
  <c r="G4" i="9" a="1"/>
  <c r="H13" i="42" a="1"/>
  <c r="H11" i="42" a="1"/>
  <c r="H9" i="42" a="1"/>
  <c r="H7" i="42" a="1"/>
  <c r="H5" i="42" a="1"/>
  <c r="H3" i="42" a="1"/>
  <c r="D2" i="18" a="1"/>
  <c r="J2" i="46" a="1"/>
  <c r="D12" i="52" a="1"/>
  <c r="D10" i="52" a="1"/>
  <c r="D8" i="52" a="1"/>
  <c r="D6" i="52" a="1"/>
  <c r="D4" i="52" a="1"/>
  <c r="T16" i="56" a="1"/>
  <c r="T12" i="56" a="1"/>
  <c r="T8" i="56" a="1"/>
  <c r="H17" i="56" a="1"/>
  <c r="H13" i="56" a="1"/>
  <c r="H9" i="56" a="1"/>
  <c r="H5" i="56" a="1"/>
  <c r="K13" i="12" a="1"/>
  <c r="O9" i="12" a="1"/>
  <c r="S5" i="12" a="1"/>
  <c r="G14" i="12" a="1"/>
  <c r="E4" i="12" a="1"/>
  <c r="B3" i="12" a="1"/>
  <c r="G13" i="43" a="1"/>
  <c r="G5" i="43" a="1"/>
  <c r="H15" i="42" a="1"/>
  <c r="B2" i="15" a="1"/>
  <c r="N2" i="7" a="1"/>
  <c r="L2" i="47" a="1"/>
  <c r="B7" i="56" a="1"/>
  <c r="S23" i="12" a="1"/>
  <c r="L22" i="12" a="1"/>
  <c r="N20" i="12" a="1"/>
  <c r="P18" i="12" a="1"/>
  <c r="R14" i="12" a="1"/>
  <c r="M11" i="12" a="1"/>
  <c r="Q7" i="12" a="1"/>
  <c r="L4" i="12" a="1"/>
  <c r="E22" i="12" a="1"/>
  <c r="F9" i="12" a="1"/>
  <c r="H12" i="39" a="1"/>
  <c r="F9" i="39" a="1"/>
  <c r="C6" i="39" a="1"/>
  <c r="K12" i="28" a="1"/>
  <c r="N2" i="38" a="1"/>
  <c r="AL4" i="9" a="1"/>
  <c r="V4" i="9" a="1"/>
  <c r="F4" i="9" a="1"/>
  <c r="S16" i="56" a="1"/>
  <c r="S8" i="56" a="1"/>
  <c r="G17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R5" i="12" a="1"/>
  <c r="K4" i="12" a="1"/>
  <c r="G21" i="12" a="1"/>
  <c r="F14" i="12" a="1"/>
  <c r="E9" i="12" a="1"/>
  <c r="G3" i="12" a="1"/>
  <c r="H11" i="39" a="1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2" i="56" a="1"/>
  <c r="G13" i="56" a="1"/>
  <c r="G9" i="56" a="1"/>
  <c r="P7" i="12" a="1"/>
  <c r="J14" i="39" a="1"/>
  <c r="F8" i="39" a="1"/>
  <c r="C5" i="39" a="1"/>
  <c r="M11" i="28" a="1"/>
  <c r="M2" i="38" a="1"/>
  <c r="AK4" i="9" a="1"/>
  <c r="U4" i="9" a="1"/>
  <c r="E4" i="9" a="1"/>
  <c r="J9" i="52" a="1"/>
  <c r="J7" i="52" a="1"/>
  <c r="V15" i="56" a="1"/>
  <c r="V7" i="56" a="1"/>
  <c r="J16" i="56" a="1"/>
  <c r="J12" i="56" a="1"/>
  <c r="C26" i="56" a="1"/>
  <c r="K11" i="12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5" i="52" a="1"/>
  <c r="J3" i="52" a="1"/>
  <c r="V11" i="56" a="1"/>
  <c r="J8" i="56" a="1"/>
  <c r="B5" i="56" a="1"/>
  <c r="Q23" i="12" a="1"/>
  <c r="S21" i="12" a="1"/>
  <c r="L20" i="12" a="1"/>
  <c r="N18" i="12" a="1"/>
  <c r="P14" i="12" a="1"/>
  <c r="R12" i="12" a="1"/>
  <c r="M9" i="12" a="1"/>
  <c r="F20" i="12" a="1"/>
  <c r="C14" i="39" a="1"/>
  <c r="M7" i="28" a="1"/>
  <c r="L15" i="1" a="1"/>
  <c r="I11" i="1" a="1"/>
  <c r="G3" i="1" a="1"/>
  <c r="D4" i="49" a="1"/>
  <c r="H12" i="60" a="1"/>
  <c r="G5" i="60" a="1"/>
  <c r="F7" i="1" a="1"/>
  <c r="F3" i="1" a="1"/>
  <c r="C21" i="55" a="1"/>
  <c r="G12" i="60" a="1"/>
  <c r="F5" i="60" a="1"/>
  <c r="C14" i="1" a="1"/>
  <c r="E12" i="60" a="1"/>
  <c r="E18" i="28" a="1"/>
  <c r="L14" i="1" a="1"/>
  <c r="Y4" i="9" a="1"/>
  <c r="C16" i="13" a="1"/>
  <c r="L15" i="12" a="1"/>
  <c r="K8" i="12" a="1"/>
  <c r="B6" i="12" a="1"/>
  <c r="H6" i="28" a="1"/>
  <c r="E4" i="28" a="1"/>
  <c r="C11" i="39" a="1"/>
  <c r="H5" i="28" a="1"/>
  <c r="E3" i="28" a="1"/>
  <c r="K15" i="1" a="1"/>
  <c r="H11" i="1" a="1"/>
  <c r="D23" i="1" a="1"/>
  <c r="C20" i="55" a="1"/>
  <c r="H10" i="60" a="1"/>
  <c r="G4" i="60" a="1"/>
  <c r="F3" i="60" a="1"/>
  <c r="F7" i="60" a="1"/>
  <c r="D6" i="49" a="1"/>
  <c r="I4" i="9" a="1"/>
  <c r="S17" i="56" a="1"/>
  <c r="L7" i="28" a="1"/>
  <c r="J6" i="1" a="1"/>
  <c r="O10" i="1" a="1"/>
  <c r="O5" i="1" a="1"/>
  <c r="L12" i="1" a="1"/>
  <c r="C7" i="13" a="1"/>
  <c r="O14" i="12" a="1"/>
  <c r="O7" i="12" a="1"/>
  <c r="E18" i="12" a="1"/>
  <c r="B5" i="12" a="1"/>
  <c r="M6" i="28" a="1"/>
  <c r="G5" i="28" a="1"/>
  <c r="D3" i="28" a="1"/>
  <c r="I15" i="1" a="1"/>
  <c r="L6" i="1" a="1"/>
  <c r="C19" i="55" a="1"/>
  <c r="C12" i="1" a="1"/>
  <c r="K14" i="1" a="1"/>
  <c r="H6" i="1" a="1"/>
  <c r="J5" i="1" a="1"/>
  <c r="I7" i="1" a="1"/>
  <c r="C6" i="13" a="1"/>
  <c r="M14" i="12" a="1"/>
  <c r="N7" i="12" a="1"/>
  <c r="J13" i="39" a="1"/>
  <c r="C10" i="39" a="1"/>
  <c r="L6" i="28" a="1"/>
  <c r="H4" i="28" a="1"/>
  <c r="O15" i="1" a="1"/>
  <c r="H15" i="1" a="1"/>
  <c r="G11" i="1" a="1"/>
  <c r="C18" i="55" a="1"/>
  <c r="H11" i="60" a="1"/>
  <c r="E5" i="60" a="1"/>
  <c r="S13" i="56" a="1"/>
  <c r="L7" i="12" a="1"/>
  <c r="G15" i="12" a="1"/>
  <c r="J12" i="39" a="1"/>
  <c r="K6" i="28" a="1"/>
  <c r="G4" i="28" a="1"/>
  <c r="O14" i="1" a="1"/>
  <c r="G15" i="1" a="1"/>
  <c r="L10" i="1" a="1"/>
  <c r="K6" i="1" a="1"/>
  <c r="C13" i="1" a="1"/>
  <c r="C17" i="55" a="1"/>
  <c r="G11" i="60" a="1"/>
  <c r="K5" i="28" a="1"/>
  <c r="O11" i="1" a="1"/>
  <c r="J10" i="1" a="1"/>
  <c r="P23" i="12" a="1"/>
  <c r="J10" i="39" a="1"/>
  <c r="C9" i="39" a="1"/>
  <c r="M5" i="28" a="1"/>
  <c r="G3" i="28" a="1"/>
  <c r="O12" i="1" a="1"/>
  <c r="F15" i="1" a="1"/>
  <c r="K10" i="1" a="1"/>
  <c r="C16" i="55" a="1"/>
  <c r="F11" i="60" a="1"/>
  <c r="H4" i="60" a="1"/>
  <c r="I10" i="1" a="1"/>
  <c r="O13" i="12" a="1"/>
  <c r="E14" i="12" a="1"/>
  <c r="J8" i="39" a="1"/>
  <c r="C14" i="55" a="1"/>
  <c r="E11" i="60" a="1"/>
  <c r="R3" i="12" a="1"/>
  <c r="J11" i="1" a="1"/>
  <c r="C6" i="40" a="1"/>
  <c r="S9" i="56" a="1"/>
  <c r="P22" i="12" a="1"/>
  <c r="N6" i="12" a="1"/>
  <c r="G13" i="12" a="1"/>
  <c r="C8" i="39" a="1"/>
  <c r="L4" i="28" a="1"/>
  <c r="D18" i="28" a="1"/>
  <c r="C7" i="1" a="1"/>
  <c r="C11" i="55" a="1"/>
  <c r="N13" i="12" a="1"/>
  <c r="E13" i="12" a="1"/>
  <c r="J4" i="39" a="1"/>
  <c r="C4" i="39" a="1"/>
  <c r="K4" i="28" a="1"/>
  <c r="E15" i="28" a="1"/>
  <c r="O9" i="1" a="1"/>
  <c r="J14" i="1" a="1"/>
  <c r="H10" i="1" a="1"/>
  <c r="G6" i="1" a="1"/>
  <c r="C11" i="1" a="1"/>
  <c r="C13" i="55" a="1"/>
  <c r="G10" i="60" a="1"/>
  <c r="F4" i="60" a="1"/>
  <c r="D14" i="28" a="1"/>
  <c r="H3" i="60" a="1"/>
  <c r="L11" i="28" a="1"/>
  <c r="O22" i="12" a="1"/>
  <c r="M6" i="12" a="1"/>
  <c r="C3" i="39" a="1"/>
  <c r="I14" i="1" a="1"/>
  <c r="G10" i="1" a="1"/>
  <c r="F6" i="1" a="1"/>
  <c r="F10" i="60" a="1"/>
  <c r="E4" i="60" a="1"/>
  <c r="Q12" i="12" a="1"/>
  <c r="J3" i="39" a="1"/>
  <c r="K3" i="28" a="1"/>
  <c r="H14" i="1" a="1"/>
  <c r="F10" i="1" a="1"/>
  <c r="L5" i="1" a="1"/>
  <c r="C10" i="1" a="1"/>
  <c r="E10" i="60" a="1"/>
  <c r="H9" i="60" a="1"/>
  <c r="G3" i="60" a="1"/>
  <c r="E13" i="28" a="1"/>
  <c r="K9" i="1" a="1"/>
  <c r="I3" i="1" a="1"/>
  <c r="S5" i="56" a="1"/>
  <c r="M15" i="28" a="1"/>
  <c r="O6" i="1" a="1"/>
  <c r="C12" i="55" a="1"/>
  <c r="G9" i="60" a="1"/>
  <c r="R21" i="12" a="1"/>
  <c r="O12" i="12" a="1"/>
  <c r="Q5" i="12" a="1"/>
  <c r="G10" i="12" a="1"/>
  <c r="K15" i="28" a="1"/>
  <c r="L9" i="1" a="1"/>
  <c r="K5" i="1" a="1"/>
  <c r="C8" i="1" a="1"/>
  <c r="L13" i="1" a="1"/>
  <c r="E8" i="60" a="1"/>
  <c r="I16" i="56" a="1"/>
  <c r="P5" i="12" a="1"/>
  <c r="J2" i="39" a="1"/>
  <c r="M14" i="28" a="1"/>
  <c r="H15" i="28" a="1"/>
  <c r="N5" i="12" a="1"/>
  <c r="F10" i="12" a="1"/>
  <c r="I5" i="1" a="1"/>
  <c r="C6" i="1" a="1"/>
  <c r="E3" i="60" a="1"/>
  <c r="C10" i="55" a="1"/>
  <c r="P4" i="12" a="1"/>
  <c r="F8" i="12" a="1"/>
  <c r="H9" i="39" a="1"/>
  <c r="H14" i="28" a="1"/>
  <c r="E12" i="28" a="1"/>
  <c r="O3" i="1" a="1"/>
  <c r="L4" i="1" a="1"/>
  <c r="C3" i="1" a="1"/>
  <c r="C17" i="40" a="1"/>
  <c r="E9" i="60" a="1"/>
  <c r="D10" i="28" a="1"/>
  <c r="H14" i="56" a="1"/>
  <c r="R20" i="12" a="1"/>
  <c r="Q11" i="12" a="1"/>
  <c r="H14" i="39" a="1"/>
  <c r="M13" i="28" a="1"/>
  <c r="G15" i="28" a="1"/>
  <c r="D13" i="28" a="1"/>
  <c r="O4" i="1" a="1"/>
  <c r="K13" i="1" a="1"/>
  <c r="H9" i="1" a="1"/>
  <c r="H5" i="1" a="1"/>
  <c r="C5" i="1" a="1"/>
  <c r="F9" i="60" a="1"/>
  <c r="J13" i="1" a="1"/>
  <c r="F13" i="1" a="1"/>
  <c r="D9" i="28" a="1"/>
  <c r="G14" i="56" a="1"/>
  <c r="G8" i="12" a="1"/>
  <c r="H10" i="39" a="1"/>
  <c r="G5" i="1" a="1"/>
  <c r="C4" i="1" a="1"/>
  <c r="C18" i="40" a="1"/>
  <c r="P11" i="12" a="1"/>
  <c r="L13" i="28" a="1"/>
  <c r="G9" i="1" a="1"/>
  <c r="H20" i="1" a="1"/>
  <c r="L8" i="1" a="1"/>
  <c r="D12" i="49" a="1"/>
  <c r="G11" i="28" a="1"/>
  <c r="J8" i="1" a="1"/>
  <c r="H5" i="60" a="1"/>
  <c r="Q20" i="12" a="1"/>
  <c r="G8" i="60" a="1"/>
  <c r="I12" i="56" a="1"/>
  <c r="G7" i="12" a="1"/>
  <c r="H7" i="39" a="1"/>
  <c r="H13" i="28" a="1"/>
  <c r="E11" i="28" a="1"/>
  <c r="K20" i="1" a="1"/>
  <c r="D16" i="49" a="1"/>
  <c r="C16" i="40" a="1"/>
  <c r="C12" i="40" a="1"/>
  <c r="E6" i="60" a="1"/>
  <c r="K20" i="12" a="1"/>
  <c r="S10" i="12" a="1"/>
  <c r="O4" i="12" a="1"/>
  <c r="H5" i="39" a="1"/>
  <c r="K13" i="28" a="1"/>
  <c r="G13" i="28" a="1"/>
  <c r="D11" i="28" a="1"/>
  <c r="J20" i="1" a="1"/>
  <c r="I13" i="1" a="1"/>
  <c r="F9" i="1" a="1"/>
  <c r="K4" i="1" a="1"/>
  <c r="D15" i="49" a="1"/>
  <c r="C15" i="40" a="1"/>
  <c r="H8" i="60" a="1"/>
  <c r="G12" i="28" a="1"/>
  <c r="C13" i="40" a="1"/>
  <c r="H10" i="56" a="1"/>
  <c r="R19" i="12" a="1"/>
  <c r="Q10" i="12" a="1"/>
  <c r="H12" i="28" a="1"/>
  <c r="E10" i="28" a="1"/>
  <c r="I20" i="1" a="1"/>
  <c r="G13" i="1" a="1"/>
  <c r="D14" i="49" a="1"/>
  <c r="C14" i="40" a="1"/>
  <c r="S3" i="12" a="1"/>
  <c r="F5" i="12" a="1"/>
  <c r="F14" i="39" a="1"/>
  <c r="M12" i="28" a="1"/>
  <c r="J4" i="1" a="1"/>
  <c r="G20" i="1" a="1"/>
  <c r="G10" i="56" a="1"/>
  <c r="G10" i="52" a="1"/>
  <c r="I8" i="56" a="1"/>
  <c r="K19" i="12" a="1"/>
  <c r="S9" i="12" a="1"/>
  <c r="P3" i="12" a="1"/>
  <c r="E5" i="12" a="1"/>
  <c r="F13" i="39" a="1"/>
  <c r="K11" i="28" a="1"/>
  <c r="H10" i="28" a="1"/>
  <c r="E8" i="28" a="1"/>
  <c r="F20" i="1" a="1"/>
  <c r="K12" i="1" a="1"/>
  <c r="I8" i="1" a="1"/>
  <c r="I4" i="1" a="1"/>
  <c r="D11" i="49" a="1"/>
  <c r="C11" i="40" a="1"/>
  <c r="H7" i="60" a="1"/>
  <c r="L10" i="28" a="1"/>
  <c r="G10" i="28" a="1"/>
  <c r="D8" i="28" a="1"/>
  <c r="L19" i="1" a="1"/>
  <c r="J12" i="1" a="1"/>
  <c r="H8" i="1" a="1"/>
  <c r="C10" i="40" a="1"/>
  <c r="G7" i="60" a="1"/>
  <c r="M9" i="28" a="1"/>
  <c r="K19" i="1" a="1"/>
  <c r="I12" i="1" a="1"/>
  <c r="G8" i="1" a="1"/>
  <c r="H4" i="1" a="1"/>
  <c r="C9" i="40" a="1"/>
  <c r="G8" i="52" a="1"/>
  <c r="H6" i="56" a="1"/>
  <c r="S18" i="12" a="1"/>
  <c r="R9" i="12" a="1"/>
  <c r="G4" i="12" a="1"/>
  <c r="F12" i="39" a="1"/>
  <c r="H9" i="28" a="1"/>
  <c r="E7" i="28" a="1"/>
  <c r="D10" i="49" a="1"/>
  <c r="G6" i="56" a="1"/>
  <c r="F23" i="12" a="1"/>
  <c r="F3" i="12" a="1"/>
  <c r="L9" i="28" a="1"/>
  <c r="J19" i="1" a="1"/>
  <c r="H12" i="1" a="1"/>
  <c r="F8" i="1" a="1"/>
  <c r="F4" i="1" a="1"/>
  <c r="C8" i="40" a="1"/>
  <c r="E7" i="60" a="1"/>
  <c r="M18" i="12" a="1"/>
  <c r="L9" i="12" a="1"/>
  <c r="E3" i="12" a="1"/>
  <c r="F11" i="39" a="1"/>
  <c r="G8" i="28" a="1"/>
  <c r="D6" i="28" a="1"/>
  <c r="G12" i="1" a="1"/>
  <c r="L7" i="1" a="1"/>
  <c r="L3" i="1" a="1"/>
  <c r="D9" i="49" a="1"/>
  <c r="H6" i="60" a="1"/>
  <c r="L8" i="28" a="1"/>
  <c r="G19" i="1" a="1"/>
  <c r="F12" i="1" a="1"/>
  <c r="K7" i="1" a="1"/>
  <c r="C7" i="40" a="1"/>
  <c r="J3" i="1" a="1"/>
  <c r="G6" i="52" a="1"/>
  <c r="C25" i="56" a="1"/>
  <c r="K18" i="12" a="1"/>
  <c r="S8" i="12" a="1"/>
  <c r="E23" i="12" a="1"/>
  <c r="B14" i="12" a="1"/>
  <c r="F7" i="39" a="1"/>
  <c r="K3" i="1" a="1"/>
  <c r="G6" i="60" a="1"/>
  <c r="J7" i="1" a="1"/>
  <c r="F6" i="60" a="1"/>
  <c r="F21" i="12" a="1"/>
  <c r="F6" i="39" a="1"/>
  <c r="H7" i="28" a="1"/>
  <c r="E5" i="28" a="1"/>
  <c r="D8" i="49" a="1"/>
  <c r="F4" i="39" a="1"/>
  <c r="K8" i="28" a="1"/>
  <c r="F19" i="1" a="1"/>
  <c r="B11" i="56" a="1"/>
  <c r="G4" i="52" a="1"/>
  <c r="B10" i="56" a="1"/>
  <c r="M15" i="12" a="1"/>
  <c r="L8" i="12" a="1"/>
  <c r="E21" i="12" a="1"/>
  <c r="B7" i="12" a="1"/>
  <c r="F2" i="39" a="1"/>
  <c r="G7" i="28" a="1"/>
  <c r="D5" i="28" a="1"/>
  <c r="G7" i="1" a="1"/>
  <c r="H3" i="1" a="1"/>
  <c r="D5" i="49" a="1"/>
  <c r="D5" i="49" l="1"/>
  <c r="H3" i="1"/>
  <c r="G7" i="1"/>
  <c r="D5" i="28"/>
  <c r="G7" i="28"/>
  <c r="F2" i="39"/>
  <c r="B7" i="12"/>
  <c r="E21" i="12"/>
  <c r="L8" i="12"/>
  <c r="M15" i="12"/>
  <c r="B10" i="56"/>
  <c r="G4" i="52"/>
  <c r="B11" i="56"/>
  <c r="F19" i="1"/>
  <c r="K8" i="28"/>
  <c r="F4" i="39"/>
  <c r="D8" i="49"/>
  <c r="E5" i="28"/>
  <c r="H7" i="28"/>
  <c r="F6" i="39"/>
  <c r="F21" i="12"/>
  <c r="F6" i="60"/>
  <c r="J7" i="1"/>
  <c r="G6" i="60"/>
  <c r="K3" i="1"/>
  <c r="F7" i="39"/>
  <c r="B14" i="12"/>
  <c r="E23" i="12"/>
  <c r="S8" i="12"/>
  <c r="K18" i="12"/>
  <c r="C25" i="56"/>
  <c r="G6" i="52"/>
  <c r="J3" i="1"/>
  <c r="C7" i="40"/>
  <c r="K7" i="1"/>
  <c r="F12" i="1"/>
  <c r="G19" i="1"/>
  <c r="L8" i="28"/>
  <c r="H6" i="60"/>
  <c r="D9" i="49"/>
  <c r="L3" i="1"/>
  <c r="L7" i="1"/>
  <c r="G12" i="1"/>
  <c r="D6" i="28"/>
  <c r="G8" i="28"/>
  <c r="F11" i="39"/>
  <c r="E3" i="12"/>
  <c r="L9" i="12"/>
  <c r="M18" i="12"/>
  <c r="E7" i="60"/>
  <c r="C8" i="40"/>
  <c r="F4" i="1"/>
  <c r="F8" i="1"/>
  <c r="H12" i="1"/>
  <c r="J19" i="1"/>
  <c r="L9" i="28"/>
  <c r="F3" i="12"/>
  <c r="F23" i="12"/>
  <c r="G6" i="56"/>
  <c r="D10" i="49"/>
  <c r="E7" i="28"/>
  <c r="H9" i="28"/>
  <c r="F12" i="39"/>
  <c r="G4" i="12"/>
  <c r="R9" i="12"/>
  <c r="S18" i="12"/>
  <c r="H6" i="56"/>
  <c r="G8" i="52"/>
  <c r="C9" i="40"/>
  <c r="H4" i="1"/>
  <c r="G8" i="1"/>
  <c r="I12" i="1"/>
  <c r="K19" i="1"/>
  <c r="M9" i="28"/>
  <c r="G7" i="60"/>
  <c r="C10" i="40"/>
  <c r="H8" i="1"/>
  <c r="J12" i="1"/>
  <c r="L19" i="1"/>
  <c r="D8" i="28"/>
  <c r="G10" i="28"/>
  <c r="L10" i="28"/>
  <c r="H7" i="60"/>
  <c r="C11" i="40"/>
  <c r="D11" i="49"/>
  <c r="I4" i="1"/>
  <c r="I8" i="1"/>
  <c r="K12" i="1"/>
  <c r="F20" i="1"/>
  <c r="E8" i="28"/>
  <c r="H10" i="28"/>
  <c r="K11" i="28"/>
  <c r="F13" i="39"/>
  <c r="E5" i="12"/>
  <c r="P3" i="12"/>
  <c r="S9" i="12"/>
  <c r="K19" i="12"/>
  <c r="I8" i="56"/>
  <c r="G10" i="52"/>
  <c r="G10" i="56"/>
  <c r="G20" i="1"/>
  <c r="J4" i="1"/>
  <c r="M12" i="28"/>
  <c r="F14" i="39"/>
  <c r="F5" i="12"/>
  <c r="S3" i="12"/>
  <c r="C14" i="40"/>
  <c r="D14" i="49"/>
  <c r="G13" i="1"/>
  <c r="I20" i="1"/>
  <c r="E10" i="28"/>
  <c r="H12" i="28"/>
  <c r="Q10" i="12"/>
  <c r="R19" i="12"/>
  <c r="H10" i="56"/>
  <c r="C13" i="40"/>
  <c r="G12" i="28"/>
  <c r="H8" i="60"/>
  <c r="C15" i="40"/>
  <c r="D15" i="49"/>
  <c r="K4" i="1"/>
  <c r="F9" i="1"/>
  <c r="I13" i="1"/>
  <c r="J20" i="1"/>
  <c r="D11" i="28"/>
  <c r="G13" i="28"/>
  <c r="K13" i="28"/>
  <c r="H5" i="39"/>
  <c r="O4" i="12"/>
  <c r="S10" i="12"/>
  <c r="K20" i="12"/>
  <c r="E6" i="60"/>
  <c r="C12" i="40"/>
  <c r="C16" i="40"/>
  <c r="D16" i="49"/>
  <c r="K20" i="1"/>
  <c r="E11" i="28"/>
  <c r="H13" i="28"/>
  <c r="H7" i="39"/>
  <c r="G7" i="12"/>
  <c r="I12" i="56"/>
  <c r="G8" i="60"/>
  <c r="Q20" i="12"/>
  <c r="H5" i="60"/>
  <c r="J8" i="1"/>
  <c r="G11" i="28"/>
  <c r="D12" i="49"/>
  <c r="L8" i="1"/>
  <c r="H20" i="1"/>
  <c r="G9" i="1"/>
  <c r="L13" i="28"/>
  <c r="P11" i="12"/>
  <c r="C18" i="40"/>
  <c r="C4" i="1"/>
  <c r="G5" i="1"/>
  <c r="H10" i="39"/>
  <c r="G8" i="12"/>
  <c r="G14" i="56"/>
  <c r="D9" i="28"/>
  <c r="F13" i="1"/>
  <c r="J13" i="1"/>
  <c r="F9" i="60"/>
  <c r="C5" i="1"/>
  <c r="H5" i="1"/>
  <c r="H9" i="1"/>
  <c r="K13" i="1"/>
  <c r="O4" i="1"/>
  <c r="D13" i="28"/>
  <c r="G15" i="28"/>
  <c r="M13" i="28"/>
  <c r="H14" i="39"/>
  <c r="Q11" i="12"/>
  <c r="R20" i="12"/>
  <c r="H14" i="56"/>
  <c r="D10" i="28"/>
  <c r="E9" i="60"/>
  <c r="C17" i="40"/>
  <c r="C3" i="1"/>
  <c r="L4" i="1"/>
  <c r="O3" i="1"/>
  <c r="E12" i="28"/>
  <c r="H14" i="28"/>
  <c r="H9" i="39"/>
  <c r="F8" i="12"/>
  <c r="P4" i="12"/>
  <c r="C10" i="55"/>
  <c r="E3" i="60"/>
  <c r="C6" i="1"/>
  <c r="I5" i="1"/>
  <c r="F10" i="12"/>
  <c r="N5" i="12"/>
  <c r="H15" i="28"/>
  <c r="M14" i="28"/>
  <c r="J2" i="39"/>
  <c r="P5" i="12"/>
  <c r="I16" i="56"/>
  <c r="E8" i="60"/>
  <c r="L13" i="1"/>
  <c r="C8" i="1"/>
  <c r="K5" i="1"/>
  <c r="L9" i="1"/>
  <c r="K15" i="28"/>
  <c r="G10" i="12"/>
  <c r="Q5" i="12"/>
  <c r="O12" i="12"/>
  <c r="R21" i="12"/>
  <c r="G9" i="60"/>
  <c r="C12" i="55"/>
  <c r="O6" i="1"/>
  <c r="M15" i="28"/>
  <c r="S5" i="56"/>
  <c r="I3" i="1"/>
  <c r="K9" i="1"/>
  <c r="E13" i="28"/>
  <c r="G3" i="60"/>
  <c r="H9" i="60"/>
  <c r="E10" i="60"/>
  <c r="C10" i="1"/>
  <c r="L5" i="1"/>
  <c r="F10" i="1"/>
  <c r="H14" i="1"/>
  <c r="K3" i="28"/>
  <c r="J3" i="39"/>
  <c r="Q12" i="12"/>
  <c r="E4" i="60"/>
  <c r="F10" i="60"/>
  <c r="F6" i="1"/>
  <c r="G10" i="1"/>
  <c r="I14" i="1"/>
  <c r="C3" i="39"/>
  <c r="M6" i="12"/>
  <c r="O22" i="12"/>
  <c r="L11" i="28"/>
  <c r="H3" i="60"/>
  <c r="D14" i="28"/>
  <c r="F4" i="60"/>
  <c r="G10" i="60"/>
  <c r="C13" i="55"/>
  <c r="C11" i="1"/>
  <c r="G6" i="1"/>
  <c r="H10" i="1"/>
  <c r="J14" i="1"/>
  <c r="O9" i="1"/>
  <c r="E15" i="28"/>
  <c r="K4" i="28"/>
  <c r="C4" i="39"/>
  <c r="J4" i="39"/>
  <c r="E13" i="12"/>
  <c r="N13" i="12"/>
  <c r="C11" i="55"/>
  <c r="C7" i="1"/>
  <c r="D18" i="28"/>
  <c r="L4" i="28"/>
  <c r="C8" i="39"/>
  <c r="G13" i="12"/>
  <c r="N6" i="12"/>
  <c r="P22" i="12"/>
  <c r="S9" i="56"/>
  <c r="C6" i="40"/>
  <c r="J11" i="1"/>
  <c r="R3" i="12"/>
  <c r="E11" i="60"/>
  <c r="C14" i="55"/>
  <c r="J8" i="39"/>
  <c r="E14" i="12"/>
  <c r="O13" i="12"/>
  <c r="I10" i="1"/>
  <c r="H4" i="60"/>
  <c r="F11" i="60"/>
  <c r="C16" i="55"/>
  <c r="K10" i="1"/>
  <c r="F15" i="1"/>
  <c r="O12" i="1"/>
  <c r="G3" i="28"/>
  <c r="M5" i="28"/>
  <c r="C9" i="39"/>
  <c r="J10" i="39"/>
  <c r="P23" i="12"/>
  <c r="J10" i="1"/>
  <c r="O11" i="1"/>
  <c r="K5" i="28"/>
  <c r="G11" i="60"/>
  <c r="C17" i="55"/>
  <c r="C13" i="1"/>
  <c r="K6" i="1"/>
  <c r="L10" i="1"/>
  <c r="G15" i="1"/>
  <c r="O14" i="1"/>
  <c r="G4" i="28"/>
  <c r="K6" i="28"/>
  <c r="J12" i="39"/>
  <c r="G15" i="12"/>
  <c r="L7" i="12"/>
  <c r="S13" i="56"/>
  <c r="E5" i="60"/>
  <c r="H11" i="60"/>
  <c r="C18" i="55"/>
  <c r="G11" i="1"/>
  <c r="H15" i="1"/>
  <c r="O15" i="1"/>
  <c r="H4" i="28"/>
  <c r="L6" i="28"/>
  <c r="C10" i="39"/>
  <c r="J13" i="39"/>
  <c r="N7" i="12"/>
  <c r="M14" i="12"/>
  <c r="C6" i="13"/>
  <c r="I7" i="1"/>
  <c r="J5" i="1"/>
  <c r="H6" i="1"/>
  <c r="K14" i="1"/>
  <c r="C12" i="1"/>
  <c r="C19" i="55"/>
  <c r="L6" i="1"/>
  <c r="I15" i="1"/>
  <c r="D3" i="28"/>
  <c r="G5" i="28"/>
  <c r="M6" i="28"/>
  <c r="B5" i="12"/>
  <c r="E18" i="12"/>
  <c r="O7" i="12"/>
  <c r="O14" i="12"/>
  <c r="C7" i="13"/>
  <c r="L12" i="1"/>
  <c r="O5" i="1"/>
  <c r="O10" i="1"/>
  <c r="J6" i="1"/>
  <c r="L7" i="28"/>
  <c r="S17" i="56"/>
  <c r="I4" i="9"/>
  <c r="D6" i="49"/>
  <c r="F7" i="60"/>
  <c r="F3" i="60"/>
  <c r="G4" i="60"/>
  <c r="H10" i="60"/>
  <c r="C20" i="55"/>
  <c r="D23" i="1"/>
  <c r="H11" i="1"/>
  <c r="K15" i="1"/>
  <c r="E3" i="28"/>
  <c r="H5" i="28"/>
  <c r="C11" i="39"/>
  <c r="E4" i="28"/>
  <c r="H6" i="28"/>
  <c r="B6" i="12"/>
  <c r="K8" i="12"/>
  <c r="L15" i="12"/>
  <c r="C16" i="13"/>
  <c r="Y4" i="9"/>
  <c r="L14" i="1"/>
  <c r="E18" i="28"/>
  <c r="E12" i="60"/>
  <c r="C14" i="1"/>
  <c r="F5" i="60"/>
  <c r="G12" i="60"/>
  <c r="C21" i="55"/>
  <c r="F3" i="1"/>
  <c r="F7" i="1"/>
  <c r="G5" i="60"/>
  <c r="H12" i="60"/>
  <c r="D4" i="49"/>
  <c r="G3" i="1"/>
  <c r="I11" i="1"/>
  <c r="L15" i="1"/>
  <c r="M7" i="28"/>
  <c r="C14" i="39"/>
  <c r="F20" i="12"/>
  <c r="M9" i="12"/>
  <c r="R12" i="12"/>
  <c r="P14" i="12"/>
  <c r="N18" i="12"/>
  <c r="L20" i="12"/>
  <c r="S21" i="12"/>
  <c r="Q23" i="12"/>
  <c r="B5" i="56"/>
  <c r="J8" i="56"/>
  <c r="V11" i="56"/>
  <c r="J3" i="52"/>
  <c r="J5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K11" i="12"/>
  <c r="C26" i="56"/>
  <c r="J12" i="56"/>
  <c r="J16" i="56"/>
  <c r="V7" i="56"/>
  <c r="V15" i="56"/>
  <c r="J7" i="52"/>
  <c r="J9" i="52"/>
  <c r="E4" i="9"/>
  <c r="U4" i="9"/>
  <c r="AK4" i="9"/>
  <c r="M2" i="38"/>
  <c r="M11" i="28"/>
  <c r="C5" i="39"/>
  <c r="F8" i="39"/>
  <c r="J14" i="39"/>
  <c r="P7" i="12"/>
  <c r="G9" i="56"/>
  <c r="G13" i="56"/>
  <c r="S12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H11" i="39"/>
  <c r="G3" i="12"/>
  <c r="E9" i="12"/>
  <c r="F14" i="12"/>
  <c r="G21" i="12"/>
  <c r="K4" i="12"/>
  <c r="R5" i="12"/>
  <c r="N9" i="12"/>
  <c r="L11" i="12"/>
  <c r="S12" i="12"/>
  <c r="Q14" i="12"/>
  <c r="O18" i="12"/>
  <c r="M20" i="12"/>
  <c r="K22" i="12"/>
  <c r="R23" i="12"/>
  <c r="B6" i="56"/>
  <c r="G5" i="56"/>
  <c r="G17" i="56"/>
  <c r="S8" i="56"/>
  <c r="S16" i="56"/>
  <c r="F4" i="9"/>
  <c r="V4" i="9"/>
  <c r="AL4" i="9"/>
  <c r="N2" i="38"/>
  <c r="K12" i="28"/>
  <c r="C6" i="39"/>
  <c r="F9" i="39"/>
  <c r="H12" i="39"/>
  <c r="F9" i="12"/>
  <c r="E22" i="12"/>
  <c r="L4" i="12"/>
  <c r="Q7" i="12"/>
  <c r="M11" i="12"/>
  <c r="R14" i="12"/>
  <c r="P18" i="12"/>
  <c r="N20" i="12"/>
  <c r="L22" i="12"/>
  <c r="S23" i="12"/>
  <c r="B7" i="56"/>
  <c r="L2" i="47"/>
  <c r="N2" i="7"/>
  <c r="B2" i="15"/>
  <c r="H15" i="42"/>
  <c r="G5" i="43"/>
  <c r="G13" i="43"/>
  <c r="B3" i="12"/>
  <c r="E4" i="12"/>
  <c r="G14" i="12"/>
  <c r="S5" i="12"/>
  <c r="O9" i="12"/>
  <c r="K13" i="12"/>
  <c r="H5" i="56"/>
  <c r="H9" i="56"/>
  <c r="H13" i="56"/>
  <c r="H17" i="56"/>
  <c r="T8" i="56"/>
  <c r="T12" i="56"/>
  <c r="T16" i="56"/>
  <c r="D4" i="52"/>
  <c r="D6" i="52"/>
  <c r="D8" i="52"/>
  <c r="D10" i="52"/>
  <c r="D12" i="52"/>
  <c r="J2" i="46"/>
  <c r="D2" i="18"/>
  <c r="H3" i="42"/>
  <c r="H5" i="42"/>
  <c r="H7" i="42"/>
  <c r="H9" i="42"/>
  <c r="H11" i="42"/>
  <c r="H13" i="42"/>
  <c r="G4" i="9"/>
  <c r="W4" i="9"/>
  <c r="AM4" i="9"/>
  <c r="J4" i="48"/>
  <c r="F8" i="60"/>
  <c r="F12" i="60"/>
  <c r="C9" i="55"/>
  <c r="D7" i="49"/>
  <c r="C9" i="1"/>
  <c r="G4" i="1"/>
  <c r="I6" i="1"/>
  <c r="K8" i="1"/>
  <c r="F11" i="1"/>
  <c r="H13" i="1"/>
  <c r="J15" i="1"/>
  <c r="L20" i="1"/>
  <c r="D4" i="28"/>
  <c r="D12" i="28"/>
  <c r="G6" i="28"/>
  <c r="G14" i="28"/>
  <c r="C7" i="39"/>
  <c r="H13" i="39"/>
  <c r="O20" i="12"/>
  <c r="M22" i="12"/>
  <c r="C4" i="13"/>
  <c r="U16" i="56"/>
  <c r="E4" i="52"/>
  <c r="E6" i="52"/>
  <c r="E8" i="52"/>
  <c r="E10" i="52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K7" i="28"/>
  <c r="L12" i="28"/>
  <c r="F10" i="39"/>
  <c r="B4" i="12"/>
  <c r="F4" i="12"/>
  <c r="G9" i="12"/>
  <c r="E15" i="12"/>
  <c r="F22" i="12"/>
  <c r="M4" i="12"/>
  <c r="K6" i="12"/>
  <c r="R7" i="12"/>
  <c r="P9" i="12"/>
  <c r="N11" i="12"/>
  <c r="L13" i="12"/>
  <c r="S14" i="12"/>
  <c r="Q18" i="12"/>
  <c r="B8" i="56"/>
  <c r="I5" i="56"/>
  <c r="I9" i="56"/>
  <c r="I13" i="56"/>
  <c r="I17" i="56"/>
  <c r="U8" i="56"/>
  <c r="U12" i="56"/>
  <c r="H4" i="9"/>
  <c r="X4" i="9"/>
  <c r="AN4" i="9"/>
  <c r="J5" i="48"/>
  <c r="E10" i="12"/>
  <c r="F15" i="12"/>
  <c r="G22" i="12"/>
  <c r="N4" i="12"/>
  <c r="L6" i="12"/>
  <c r="S7" i="12"/>
  <c r="Q9" i="12"/>
  <c r="O11" i="12"/>
  <c r="M13" i="12"/>
  <c r="K15" i="12"/>
  <c r="R18" i="12"/>
  <c r="P20" i="12"/>
  <c r="N22" i="12"/>
  <c r="C5" i="13"/>
  <c r="B9" i="56"/>
  <c r="J5" i="56"/>
  <c r="J9" i="56"/>
  <c r="J13" i="56"/>
  <c r="J17" i="56"/>
  <c r="V8" i="56"/>
  <c r="V12" i="56"/>
  <c r="V16" i="56"/>
  <c r="F4" i="52"/>
  <c r="F6" i="52"/>
  <c r="F8" i="52"/>
  <c r="F10" i="52"/>
  <c r="F12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A2" i="38"/>
  <c r="J6" i="48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T5" i="56"/>
  <c r="T9" i="56"/>
  <c r="T13" i="56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B8" i="12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I9" i="1"/>
  <c r="K11" i="1"/>
  <c r="F14" i="1"/>
  <c r="H19" i="1"/>
  <c r="O7" i="1"/>
  <c r="E6" i="28"/>
  <c r="E14" i="28"/>
  <c r="H8" i="28"/>
  <c r="L3" i="28"/>
  <c r="M8" i="28"/>
  <c r="K14" i="28"/>
  <c r="C12" i="39"/>
  <c r="H2" i="39"/>
  <c r="J5" i="39"/>
  <c r="F11" i="12"/>
  <c r="R4" i="12"/>
  <c r="P6" i="12"/>
  <c r="L10" i="12"/>
  <c r="M19" i="12"/>
  <c r="K21" i="12"/>
  <c r="C9" i="13"/>
  <c r="B13" i="56"/>
  <c r="J6" i="56"/>
  <c r="J10" i="56"/>
  <c r="J14" i="56"/>
  <c r="V5" i="56"/>
  <c r="V9" i="56"/>
  <c r="V13" i="56"/>
  <c r="V17" i="56"/>
  <c r="J4" i="52"/>
  <c r="J6" i="52"/>
  <c r="J8" i="52"/>
  <c r="J10" i="52"/>
  <c r="J12" i="52"/>
  <c r="B2" i="47"/>
  <c r="D2" i="7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B9" i="12"/>
  <c r="E6" i="12"/>
  <c r="G18" i="12"/>
  <c r="K3" i="12"/>
  <c r="N8" i="12"/>
  <c r="S11" i="12"/>
  <c r="Q13" i="12"/>
  <c r="O15" i="12"/>
  <c r="R22" i="12"/>
  <c r="M4" i="9"/>
  <c r="AC4" i="9"/>
  <c r="E2" i="38"/>
  <c r="J10" i="48"/>
  <c r="C15" i="55"/>
  <c r="D13" i="49"/>
  <c r="C15" i="1"/>
  <c r="F5" i="1"/>
  <c r="H7" i="1"/>
  <c r="J9" i="1"/>
  <c r="L11" i="1"/>
  <c r="G14" i="1"/>
  <c r="I19" i="1"/>
  <c r="O8" i="1"/>
  <c r="D7" i="28"/>
  <c r="D15" i="28"/>
  <c r="G9" i="28"/>
  <c r="M3" i="28"/>
  <c r="K9" i="28"/>
  <c r="L14" i="28"/>
  <c r="C13" i="39"/>
  <c r="H3" i="39"/>
  <c r="J6" i="39"/>
  <c r="B10" i="12"/>
  <c r="F6" i="12"/>
  <c r="G11" i="12"/>
  <c r="E19" i="12"/>
  <c r="L3" i="12"/>
  <c r="S4" i="12"/>
  <c r="Q6" i="12"/>
  <c r="O8" i="12"/>
  <c r="M10" i="12"/>
  <c r="K12" i="12"/>
  <c r="R13" i="12"/>
  <c r="P15" i="12"/>
  <c r="S22" i="12"/>
  <c r="C10" i="13"/>
  <c r="G7" i="56"/>
  <c r="G15" i="56"/>
  <c r="S6" i="56"/>
  <c r="S14" i="56"/>
  <c r="C3" i="52"/>
  <c r="C5" i="52"/>
  <c r="C7" i="52"/>
  <c r="C9" i="52"/>
  <c r="C11" i="52"/>
  <c r="A2" i="46"/>
  <c r="C2" i="47"/>
  <c r="E2" i="7"/>
  <c r="G2" i="5"/>
  <c r="I2" i="15"/>
  <c r="K2" i="18"/>
  <c r="G4" i="42"/>
  <c r="G6" i="42"/>
  <c r="G8" i="42"/>
  <c r="G10" i="42"/>
  <c r="G12" i="42"/>
  <c r="G14" i="42"/>
  <c r="C7" i="43"/>
  <c r="H8" i="43"/>
  <c r="N19" i="12"/>
  <c r="L21" i="12"/>
  <c r="B14" i="56"/>
  <c r="G11" i="56"/>
  <c r="S10" i="56"/>
  <c r="N4" i="9"/>
  <c r="AD4" i="9"/>
  <c r="F2" i="38"/>
  <c r="J11" i="48"/>
  <c r="J7" i="39"/>
  <c r="K5" i="12"/>
  <c r="P8" i="12"/>
  <c r="N10" i="12"/>
  <c r="L12" i="12"/>
  <c r="S13" i="12"/>
  <c r="O19" i="12"/>
  <c r="K23" i="12"/>
  <c r="B15" i="56"/>
  <c r="H15" i="56"/>
  <c r="D3" i="52"/>
  <c r="B2" i="46"/>
  <c r="D2" i="47"/>
  <c r="H2" i="5"/>
  <c r="J2" i="15"/>
  <c r="L2" i="18"/>
  <c r="H4" i="42"/>
  <c r="H6" i="42"/>
  <c r="H8" i="42"/>
  <c r="H10" i="42"/>
  <c r="H12" i="42"/>
  <c r="H14" i="42"/>
  <c r="C8" i="43"/>
  <c r="G9" i="43"/>
  <c r="H4" i="39"/>
  <c r="B11" i="12"/>
  <c r="G6" i="12"/>
  <c r="E12" i="12"/>
  <c r="F19" i="12"/>
  <c r="M3" i="12"/>
  <c r="R6" i="12"/>
  <c r="Q15" i="12"/>
  <c r="M21" i="12"/>
  <c r="C11" i="13"/>
  <c r="H7" i="56"/>
  <c r="H11" i="56"/>
  <c r="T6" i="56"/>
  <c r="T10" i="56"/>
  <c r="T14" i="56"/>
  <c r="D5" i="52"/>
  <c r="D7" i="52"/>
  <c r="D9" i="52"/>
  <c r="D11" i="52"/>
  <c r="F2" i="7"/>
  <c r="O4" i="9"/>
  <c r="AE4" i="9"/>
  <c r="G2" i="38"/>
  <c r="J12" i="48"/>
  <c r="B12" i="12"/>
  <c r="E7" i="12"/>
  <c r="F12" i="12"/>
  <c r="G19" i="12"/>
  <c r="N3" i="12"/>
  <c r="L5" i="12"/>
  <c r="S6" i="12"/>
  <c r="Q8" i="12"/>
  <c r="M12" i="12"/>
  <c r="K14" i="12"/>
  <c r="R15" i="12"/>
  <c r="P19" i="12"/>
  <c r="L23" i="12"/>
  <c r="I7" i="56"/>
  <c r="U14" i="5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O10" i="12"/>
  <c r="N21" i="12"/>
  <c r="C12" i="13"/>
  <c r="B16" i="56"/>
  <c r="I11" i="56"/>
  <c r="I15" i="56"/>
  <c r="U6" i="56"/>
  <c r="U10" i="56"/>
  <c r="E3" i="52"/>
  <c r="E5" i="52"/>
  <c r="E7" i="52"/>
  <c r="E9" i="52"/>
  <c r="E11" i="52"/>
  <c r="C2" i="46"/>
  <c r="P4" i="9"/>
  <c r="AF4" i="9"/>
  <c r="H2" i="38"/>
  <c r="J13" i="48"/>
  <c r="K10" i="28"/>
  <c r="B13" i="12"/>
  <c r="F7" i="12"/>
  <c r="M5" i="12"/>
  <c r="K7" i="12"/>
  <c r="P10" i="12"/>
  <c r="N12" i="12"/>
  <c r="L14" i="12"/>
  <c r="S15" i="12"/>
  <c r="C13" i="13"/>
  <c r="B17" i="56"/>
  <c r="J7" i="56"/>
  <c r="J11" i="56"/>
  <c r="J15" i="56"/>
  <c r="V6" i="56"/>
  <c r="V10" i="56"/>
  <c r="V14" i="56"/>
  <c r="F3" i="52"/>
  <c r="F5" i="52"/>
  <c r="F7" i="52"/>
  <c r="F9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M4" i="28"/>
  <c r="L15" i="28"/>
  <c r="F3" i="39"/>
  <c r="H6" i="39"/>
  <c r="J9" i="39"/>
  <c r="G12" i="12"/>
  <c r="E20" i="12"/>
  <c r="O3" i="12"/>
  <c r="R8" i="12"/>
  <c r="Q19" i="12"/>
  <c r="O21" i="12"/>
  <c r="M23" i="12"/>
  <c r="Q4" i="9"/>
  <c r="AG4" i="9"/>
  <c r="I2" i="38"/>
  <c r="J14" i="48"/>
  <c r="C7" i="42"/>
  <c r="C9" i="42"/>
  <c r="C11" i="42"/>
  <c r="C13" i="42"/>
  <c r="C15" i="42"/>
  <c r="C11" i="43"/>
  <c r="H10" i="43"/>
  <c r="P21" i="12"/>
  <c r="N23" i="12"/>
  <c r="C14" i="13"/>
  <c r="C23" i="56"/>
  <c r="G8" i="56"/>
  <c r="G12" i="56"/>
  <c r="G16" i="56"/>
  <c r="S7" i="56"/>
  <c r="S11" i="56"/>
  <c r="S15" i="56"/>
  <c r="G3" i="52"/>
  <c r="G5" i="52"/>
  <c r="G7" i="52"/>
  <c r="G9" i="52"/>
  <c r="G11" i="52"/>
  <c r="E2" i="46"/>
  <c r="G2" i="47"/>
  <c r="I2" i="7"/>
  <c r="K2" i="5"/>
  <c r="M2" i="15"/>
  <c r="C3" i="42"/>
  <c r="C5" i="42"/>
  <c r="B4" i="9"/>
  <c r="R4" i="9"/>
  <c r="AH4" i="9"/>
  <c r="J2" i="38"/>
  <c r="J15" i="48"/>
  <c r="O13" i="1"/>
  <c r="E9" i="28"/>
  <c r="H3" i="28"/>
  <c r="H11" i="28"/>
  <c r="M10" i="28"/>
  <c r="C2" i="39"/>
  <c r="F5" i="39"/>
  <c r="H8" i="39"/>
  <c r="J11" i="39"/>
  <c r="B15" i="12"/>
  <c r="F13" i="12"/>
  <c r="G20" i="12"/>
  <c r="Q3" i="12"/>
  <c r="Q21" i="12"/>
  <c r="C24" i="56"/>
  <c r="H12" i="56"/>
  <c r="H16" i="56"/>
  <c r="T11" i="56"/>
  <c r="T15" i="56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L5" i="28"/>
  <c r="E8" i="12"/>
  <c r="O5" i="12"/>
  <c r="M7" i="12"/>
  <c r="K9" i="12"/>
  <c r="R10" i="12"/>
  <c r="P12" i="12"/>
  <c r="N14" i="12"/>
  <c r="L18" i="12"/>
  <c r="S19" i="12"/>
  <c r="O23" i="12"/>
  <c r="C15" i="13"/>
  <c r="H8" i="56"/>
  <c r="T7" i="56"/>
  <c r="H3" i="52"/>
  <c r="C4" i="9"/>
  <c r="S4" i="9"/>
  <c r="AI4" i="9"/>
  <c r="K2" i="38"/>
  <c r="J16" i="48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U7" i="56"/>
  <c r="D4" i="9"/>
  <c r="T4" i="9"/>
  <c r="AJ4" i="9"/>
  <c r="L2" i="38"/>
  <c r="M15" i="48"/>
  <c r="M4" i="48"/>
  <c r="Y2" i="12"/>
  <c r="F24" i="8"/>
  <c r="E24" i="8"/>
  <c r="Y13" i="12" l="1" a="1"/>
  <c r="Y13" i="12" s="1"/>
  <c r="AG2" i="12"/>
  <c r="AF2" i="12"/>
  <c r="AE2" i="12"/>
  <c r="Y11" i="12" l="1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S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K19" i="55"/>
  <c r="R19" i="55" s="1"/>
  <c r="S19" i="55" s="1"/>
  <c r="S16" i="55"/>
  <c r="S20" i="55"/>
  <c r="S10" i="55"/>
  <c r="S14" i="55"/>
  <c r="S17" i="55" l="1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FAC6C98-8717-4899-A8E4-84FB6C985DD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Timestamp="1717759452"&gt;&lt;FQL&gt;&lt;Q&gt;EWI^FREF_MARKET_VALUE_COMPANY(0,,,USD,,0,,"LEGACY")&lt;/Q&gt;&lt;R&gt;1&lt;/R&gt;&lt;C&gt;1&lt;/C&gt;&lt;D xsi:type="xsd:double"&gt;462.15&lt;/D&gt;&lt;/FQL&gt;&lt;FQL&gt;&lt;Q&gt;EWQ^FREF_MARKET_VALUE_COMPANY(0,,,USD,,0,,"LEGACY")&lt;/Q&gt;&lt;R&gt;1&lt;/R&gt;&lt;C&gt;1&lt;/C&gt;&lt;D xsi:type="xsd:double"&gt;657.696&lt;/D&gt;&lt;/FQL&gt;&lt;FQL&gt;&lt;Q&gt;QQQ^FREF_MARKET_VALUE_COMPANY(0,,,USD,,0,,"LEGACY")&lt;/Q&gt;&lt;R&gt;1&lt;/R&gt;&lt;C&gt;1&lt;/C&gt;&lt;D xsi:type="xsd:double"&gt;275033.2635&lt;/D&gt;&lt;/FQL&gt;&lt;FQL&gt;&lt;Q&gt;FC0000CH^FMA_MCAP(0,,,USD,"PORTAGG")&lt;/Q&gt;&lt;R&gt;1&lt;/R&gt;&lt;C&gt;1&lt;/C&gt;&lt;D xsi:type="xsd:double"&gt;2234077&lt;/D&gt;&lt;/FQL&gt;&lt;FQL&gt;&lt;Q&gt;FC0000ZA^FG_MCAP_IDX(0,,,USD)&lt;/Q&gt;&lt;R&gt;1&lt;/R&gt;&lt;C&gt;1&lt;/C&gt;&lt;D xsi:type="xsd:double"&gt;296942.56&lt;/D&gt;&lt;/FQL&gt;&lt;FQL&gt;&lt;Q&gt;FC0000GB^FMA_MCAP(0,,,USD,"PORTAGG")&lt;/Q&gt;&lt;R&gt;1&lt;/R&gt;&lt;C&gt;1&lt;/C&gt;&lt;D xsi:type="xsd:double"&gt;3304992&lt;/D&gt;&lt;/FQL&gt;&lt;FQL&gt;&lt;Q&gt;NQG00809^FMA_MCAP(0,,,USD,"PORTAGG")&lt;/Q&gt;&lt;R&gt;0&lt;/R&gt;&lt;C&gt;0&lt;/C&gt;&lt;/FQL&gt;&lt;FQL&gt;&lt;Q&gt;EWD^FREF_MARKET_VALUE_COMPANY(0,,,USD,,0,,"LEGACY")&lt;/Q&gt;&lt;R&gt;1&lt;/R&gt;&lt;C&gt;1&lt;/C&gt;&lt;D xsi:type="xsd:double"&gt;393.07725&lt;/D&gt;&lt;/FQL&gt;&lt;FQL&gt;&lt;Q&gt;SPY^FREF_MARKET_VALUE_COMPANY(0,,,USD,,0,,"LEGACY")&lt;/Q&gt;&lt;R&gt;1&lt;/R&gt;&lt;C&gt;1&lt;/C&gt;&lt;D xsi:type="xsd:double"&gt;535051.424586&lt;/D&gt;&lt;/FQL&gt;&lt;FQL&gt;&lt;Q&gt;FC0000US^FMA_MCAP(0,,,USD,"PORTAGG")&lt;/Q&gt;&lt;R&gt;1&lt;/R&gt;&lt;C&gt;1&lt;/C&gt;&lt;D xsi:type="xsd:double"&gt;55472610&lt;/D&gt;&lt;/FQL&gt;&lt;FQL&gt;&lt;Q&gt;FC0000AU^FMA_MCAP(0,,,USD,"PORTAGG")&lt;/Q&gt;&lt;R&gt;1&lt;/R&gt;&lt;C&gt;1&lt;/C&gt;&lt;D xsi:type="xsd:double"&gt;1710122.4&lt;/D&gt;&lt;/FQL&gt;&lt;FQL&gt;&lt;Q&gt;CC_ZA^FG_COMPANY_NAME&lt;/Q&gt;&lt;R&gt;1&lt;/R&gt;&lt;C&gt;1&lt;/C&gt;&lt;D xsi:type="xsd:string"&gt;South Africa&lt;/D&gt;&lt;/FQL&gt;&lt;FQL&gt;&lt;Q&gt;FC0000IT^FMA_MCAP(0,,,USD,"PORTAGG")&lt;/Q&gt;&lt;R&gt;1&lt;/R&gt;&lt;C&gt;1&lt;/C&gt;&lt;D xsi:type="xsd:double"&gt;900075.06&lt;/D&gt;&lt;/FQL&gt;&lt;FQL&gt;&lt;Q&gt;EWA^FREF_MARKET_VALUE_COMPANY(0,,,USD,,0,,"LEGACY")&lt;/Q&gt;&lt;R&gt;1&lt;/R&gt;&lt;C&gt;1&lt;/C&gt;&lt;D xsi:type="xsd:double"&gt;1681.7&lt;/D&gt;&lt;/FQL&gt;&lt;FQL&gt;&lt;Q&gt;EWN^FREF_MARKET_VALUE_COMPANY(0,,,USD,,0,,"LEGACY")&lt;/Q&gt;&lt;R&gt;1&lt;/R&gt;&lt;C&gt;1&lt;/C&gt;&lt;D xsi:type="xsd:double"&gt;281.624&lt;/D&gt;&lt;/FQL&gt;&lt;FQL&gt;&lt;Q&gt;FC0000FR^FMA_MCAP(0,,,USD,"PORTAGG")&lt;/Q&gt;&lt;R&gt;1&lt;/R&gt;&lt;C&gt;1&lt;/C&gt;&lt;D xsi:type="xsd:double"&gt;3401736.8&lt;/D&gt;&lt;/FQL&gt;&lt;FQL&gt;&lt;Q&gt;EWU^FREF_MARKET_VALUE_COMPANY(0,,,USD,,0,,"LEGACY")&lt;/Q&gt;&lt;R&gt;1&lt;/R&gt;&lt;C&gt;1&lt;/C&gt;&lt;D xsi:type="xsd:double"&gt;2850.12&lt;/D&gt;&lt;/FQL&gt;&lt;FQL&gt;&lt;Q&gt;EWG^FREF_MARKET_VALUE_COMPANY(0,,,USD,,0,,"LEGACY")&lt;/Q&gt;&lt;R&gt;1&lt;/R&gt;&lt;C&gt;1&lt;/C&gt;&lt;D xsi:type="xsd:double"&gt;960.498&lt;/D&gt;&lt;/FQL&gt;&lt;FQL&gt;&lt;Q&gt;FC0000CA^FMA_MCAP(0,,,USD,"PORTAGG")&lt;/Q&gt;&lt;R&gt;1&lt;/R&gt;&lt;C&gt;1&lt;/C&gt;&lt;D xsi:type="xsd:double"&gt;2732933&lt;/D&gt;&lt;/FQL&gt;&lt;FQL&gt;&lt;Q&gt;FC0000NZ^FMA_MCAP(0,,,USD,"PORTAGG")&lt;/Q&gt;&lt;R&gt;1&lt;/R&gt;&lt;C&gt;1&lt;/C&gt;&lt;D xsi:type="xsd:double"&gt;93940.89&lt;/D&gt;&lt;/FQL&gt;&lt;FQL&gt;&lt;Q&gt;FC0000SE^FMA_MCAP(0,,,USD,"PORTAGG")&lt;/Q&gt;&lt;R&gt;1&lt;/R&gt;&lt;C&gt;1&lt;/C&gt;&lt;D xsi:type="xsd:double"&gt;1045240.6&lt;/D&gt;&lt;/FQL&gt;&lt;FQL&gt;&lt;Q&gt;EWL^FREF_MARKET_VALUE_COMPANY(0,,,USD,,0,,"LEGACY")&lt;/Q&gt;&lt;R&gt;1&lt;/R&gt;&lt;C&gt;1&lt;/C&gt;&lt;D xsi:type="xsd:double"&gt;1183.47625&lt;/D&gt;&lt;/FQL&gt;&lt;FQL&gt;&lt;Q&gt;EWC^FREF_MARKET_VALUE_COMPANY(0,,,USD,,0,,"LEGACY")&lt;/Q&gt;&lt;R&gt;1&lt;/R&gt;&lt;C&gt;1&lt;/C&gt;&lt;D xsi:type="xsd:double"&gt;2552.928&lt;/D&gt;&lt;/FQL&gt;&lt;FQL&gt;&lt;Q&gt;FC0000JP^FMA_MCAP(0,,,USD,"PORTAGG")&lt;/Q&gt;&lt;R&gt;1&lt;/R&gt;&lt;C&gt;1&lt;/C&gt;&lt;D xsi:type="xsd:double"&gt;6408625&lt;/D&gt;&lt;/FQL&gt;&lt;FQL&gt;&lt;Q&gt;FC0000NL^FMA_MCAP(0,,,USD,"PORTAGG")&lt;/Q&gt;&lt;R&gt;1&lt;/R&gt;&lt;C&gt;1&lt;/C&gt;&lt;D xsi:type="xsd:double"&gt;1202403.9&lt;/D&gt;&lt;/FQL&gt;&lt;FQL&gt;&lt;Q&gt;EWJ^FREF_MARKET_VALUE_COMPANY(0,,,USD,,0,,"LEGACY")&lt;/Q&gt;&lt;R&gt;1&lt;/R&gt;&lt;C&gt;1&lt;/C&gt;&lt;D xsi:type="xsd:double"&gt;16046.37&lt;/D&gt;&lt;/FQL&gt;&lt;FQL&gt;&lt;Q&gt;NQG00809^FG_COMPANY_NAME&lt;/Q&gt;&lt;R&gt;1&lt;/R&gt;&lt;C&gt;1&lt;/C&gt;&lt;D xsi:type="xsd:string"&gt;Nasdaq South Africa&lt;/D&gt;&lt;/FQL&gt;&lt;FQL&gt;&lt;Q&gt;FC0000DE^FMA_MCAP(0,,,USD,"PORTAGG")&lt;/Q&gt;&lt;R&gt;1&lt;/R&gt;&lt;C&gt;1&lt;/C&gt;&lt;D xsi:type="xsd:double"&gt;2316525.5&lt;/D&gt;&lt;/FQL&gt;&lt;FQL&gt;&lt;Q&gt;ENZL^FREF_MARKET_VALUE_COMPANY(0,,,USD,,0,,"LEGACY")&lt;/Q&gt;&lt;R&gt;1&lt;/R&gt;&lt;C&gt;1&lt;/C&gt;&lt;D xsi:type="xsd:double"&gt;87.505&lt;/D&gt;&lt;/FQL&gt;&lt;FQL&gt;&lt;Q&gt;DUMMY^ECON_EXPR_DATA('FDS_ECON[NTCPMIMFGSA@IT]',,,M)&lt;/Q&gt;&lt;R&gt;1&lt;/R&gt;&lt;C&gt;1&lt;/C&gt;&lt;D xsi:type="xsd:double"&gt;45.618244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xsi:type="xsd:double"&gt;52.487343&lt;/D&gt;&lt;/FQL&gt;&lt;FQL&gt;&lt;Q&gt;DUMMY^ECON_EXPR_DATA('FDS_ECON[NTCPMIMFGSA@FR]',,,M)&lt;/Q&gt;&lt;R&gt;1&lt;/R&gt;&lt;C&gt;1&lt;/C&gt;&lt;D xsi:type="xsd:double"&gt;46.41387&lt;/D&gt;&lt;/FQL&gt;&lt;FQL&gt;&lt;Q&gt;DUMMY^ECON_EXPR_DATA('FDS_ECON[NTCPMIMFGSA@GB]',,,M)&lt;/Q&gt;&lt;R&gt;1&lt;/R&gt;&lt;C&gt;1&lt;/C&gt;&lt;D xsi:type="xsd:double"&gt;51.21113&lt;/D&gt;&lt;/FQL&gt;&lt;FQL&gt;&lt;Q&gt;DUMMY^ECON_EXPR_DATA('FDS_ECON[NTCPMIMFGMESA@US]',,,M)&lt;/Q&gt;&lt;R&gt;1&lt;/R&gt;&lt;C&gt;1&lt;/C&gt;&lt;D xsi:type="xsd:double"&gt;51.294792&lt;/D&gt;&lt;/FQL&gt;&lt;FQL&gt;&lt;Q&gt;DUMMY^ECON_EXPR_DATA('FDS_ECON[NTCPMIMFGSA@CH]',,,M)&lt;/Q&gt;&lt;R&gt;1&lt;/R&gt;&lt;C&gt;1&lt;/C&gt;&lt;D xsi:type="xsd:double"&gt;46.441544&lt;/D&gt;&lt;/FQL&gt;&lt;FQL&gt;&lt;Q&gt;DUMMY^ECON_EXPR_DATA('FDS_ECON[NTCPMIMFGSA@DE]',,,M)&lt;/Q&gt;&lt;R&gt;1&lt;/R&gt;&lt;C&gt;1&lt;/C&gt;&lt;D xsi:type="xsd:double"&gt;45.385258&lt;/D&gt;&lt;/FQL&gt;&lt;FQL&gt;&lt;Q&gt;DUMMY^ECON_EXPR_DATA('FDS_ECON[NTCPMIMFGSA@JP]',,,M)&lt;/Q&gt;&lt;R&gt;1&lt;/R&gt;&lt;C&gt;1&lt;/C&gt;&lt;D xsi:type="xsd:double"&gt;50.359417&lt;/D&gt;&lt;/FQL&gt;&lt;FQL&gt;&lt;Q&gt;DUMMY^ECON_EXPR_DATA('FDS_ECON[NTCPMIMFGSA@CA]',,,M)&lt;/Q&gt;&lt;R&gt;1&lt;/R&gt;&lt;C&gt;1&lt;/C&gt;&lt;D xsi:type="xsd:double"&gt;49.27551&lt;/D&gt;&lt;/FQL&gt;&lt;FQL&gt;&lt;Q&gt;DUMMY^ECON_EXPR_DATA('FDS_ECON[NTCPMIMFGSA@AU]',,,M)&lt;/Q&gt;&lt;R&gt;1&lt;/R&gt;&lt;C&gt;1&lt;/C&gt;&lt;D xsi:type="xsd:double"&gt;49.677513&lt;/D&gt;&lt;/FQL&gt;&lt;FQL&gt;&lt;Q&gt;DUMMY^ECON_EXPR_DATA('FDS_ECON[NTCPMIMFGSA@NZ]',,,M)&lt;/Q&gt;&lt;R&gt;0&lt;/R&gt;&lt;C&gt;0&lt;/C&gt;&lt;/FQL&gt;&lt;FQL&gt;&lt;Q&gt;DUMMY^ECON_EXPR_DATA('FDS_ECON[NTCPMIMFGSA@EME]',,,M)&lt;/Q&gt;&lt;R&gt;1&lt;/R&gt;&lt;C&gt;1&lt;/C&gt;&lt;D xsi:type="xsd:double"&gt;51.96729&lt;/D&gt;&lt;/FQL&gt;&lt;FQL&gt;&lt;Q&gt;DUMMY^ECON_EXPR_DATA('FDS_ECON[PMIDMMANHE]',,,M)&lt;/Q&gt;&lt;R&gt;1&lt;/R&gt;&lt;C&gt;1&lt;/C&gt;&lt;D xsi:type="xsd:double"&gt;49.99967&lt;/D&gt;&lt;/FQL&gt;&lt;FQL&gt;&lt;Q&gt;EWN^FMA_ROE(NTMA,-20AY,NOW,FY,"PORTAGG","MEANR")&lt;/Q&gt;&lt;R&gt;20&lt;/R&gt;&lt;C&gt;1&lt;/C&gt;&lt;D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xsi:type="xsd:double"&gt;3.1928&lt;/D&gt;&lt;/FQL&gt;&lt;FQL&gt;&lt;Q&gt;FC0000CA^FG_PRICE(0)&lt;/Q&gt;&lt;R&gt;1&lt;/R&gt;&lt;C&gt;1&lt;/C&gt;&lt;D xsi:type="xsd:double"&gt;291.66013&lt;/D&gt;&lt;/FQL&gt;&lt;FQL&gt;&lt;Q&gt;CAGDPY@US^EE_ACTUAL_ANNUAL(MED,+1)&lt;/Q&gt;&lt;R&gt;1&lt;/R&gt;&lt;C&gt;1&lt;/C&gt;&lt;D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xsi:type="xsd:double"&gt;-6.1&lt;/D&gt;&lt;/FQL&gt;&lt;FQL&gt;&lt;Q&gt;USDITL^FG_PRICE_CHANGE(0,-1AY)&lt;/Q&gt;&lt;R&gt;1&lt;/R&gt;&lt;C&gt;1&lt;/C&gt;&lt;D xsi:type="xsd:double"&gt;-1.7281771&lt;/D&gt;&lt;/FQL&gt;&lt;FQL&gt;&lt;Q&gt;USDANG^FG_PRICE_CHANGE(0,-1AY)&lt;/Q&gt;&lt;R&gt;1&lt;/R&gt;&lt;C&gt;1&lt;/C&gt;&lt;D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xsi:type="xsd:double"&gt;-2.857697&lt;/D&gt;&lt;/FQL&gt;&lt;FQL&gt;&lt;Q&gt;USDJPY^FG_PRICE_CHANGE(0,-1AY)&lt;/Q&gt;&lt;R&gt;1&lt;/R&gt;&lt;C&gt;1&lt;/C&gt;&lt;D xsi:type="xsd:double"&gt;11.610687&lt;/D&gt;&lt;/FQL&gt;&lt;FQL&gt;&lt;Q&gt;USDCAD^FG_PRICE_CHANGE(0,-1AY)&lt;/Q&gt;&lt;R&gt;1&lt;/R&gt;&lt;C&gt;1&lt;/C&gt;&lt;D xsi:type="xsd:double"&gt;2.1994472&lt;/D&gt;&lt;/FQL&gt;&lt;FQL&gt;&lt;Q&gt;USDNZD^FG_PRICE_CHANGE(0,-1AY)&lt;/Q&gt;&lt;R&gt;1&lt;/R&gt;&lt;C&gt;1&lt;/C&gt;&lt;D xsi:type="xsd:double"&gt;-1.9804358&lt;/D&gt;&lt;/FQL&gt;&lt;FQL&gt;&lt;Q&gt;EWA^JULIAN(FMA_EPS(NTMA,-20AY,0,CY,,"PORTAGG","MEANR").DATES)&lt;/Q&gt;&lt;R&gt;20&lt;/R&gt;&lt;C&gt;1&lt;/C&gt;&lt;D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xsi:type="xsd:double"&gt;2.1101594&lt;/D&gt;&lt;D xsi:type="xsd:double"&gt;-2.2716284&lt;/D&gt;&lt;D xsi:type="xsd:double"&gt;-5.847454&lt;/D&gt;&lt;D xsi:type="xsd:double"&gt;0.87007284&lt;/D&gt;&lt;D xsi:type="xsd:double"&gt;-3.5395563&lt;/D&gt;&lt;D xsi:type="xsd:double"&gt;0.8325696&lt;/D&gt;&lt;D xsi:type="xsd:double"&gt;2.1100879&lt;/D&gt;&lt;D xsi:type="xsd:double"&gt;-8.376718&lt;/D&gt;&lt;D xsi:type="xsd:double"&gt;6.9476366&lt;/D&gt;&lt;D xsi:type="xsd:double"&gt;3.10961&lt;/D&gt;&lt;D xsi:type="xsd:double"&gt;2.4186254&lt;/D&gt;&lt;D xsi:type="xsd:double"&gt;-1.7201185&lt;/D&gt;&lt;D xsi:type="xsd:double"&gt;0.622952&lt;/D&gt;&lt;D xsi:type="xsd:double"&gt;-5.8507147&lt;/D&gt;&lt;D xsi:type="xsd:double"&gt;2.5283575&lt;/D&gt;&lt;D xsi:type="xsd:double"&gt;-6.481189&lt;/D&gt;&lt;D xsi:type="xsd:double"&gt;2.3326635&lt;/D&gt;&lt;D xsi:type="xsd:double"&gt;-0.1982212&lt;/D&gt;&lt;D xsi:type="xsd:double"&gt;0.99304914&lt;/D&gt;&lt;D xsi:type="xsd:double"&gt;-9.260738&lt;/D&gt;&lt;D xsi:type="xsd:double"&gt;-2.0968914&lt;/D&gt;&lt;D xsi:type="xsd:double"&gt;5.1698685&lt;/D&gt;&lt;D xsi:type="xsd:double"&gt;3.0898929&lt;/D&gt;&lt;D xsi:type="xsd:double"&gt;-1.1580408&lt;/D&gt;&lt;D xsi:type="xsd:double"&gt;3.3425212&lt;/D&gt;&lt;D xsi:type="xsd:double"&gt;-8.762825&lt;/D&gt;&lt;D xsi:type="xsd:double"&gt;5.889058&lt;/D&gt;&lt;D xsi:type="xsd:double"&gt;5.0592065&lt;/D&gt;&lt;D xsi:type="xsd:double"&gt;0.20492077&lt;/D&gt;&lt;D xsi:type="xsd:double"&gt;-8.316297&lt;/D&gt;&lt;D xsi:type="xsd:double"&gt;4.7211885&lt;/D&gt;&lt;D xsi:type="xsd:double"&gt;3.4610152&lt;/D&gt;&lt;D xsi:type="xsd:double"&gt;4.7700763&lt;/D&gt;&lt;D xsi:type="xsd:double"&gt;0.065505505&lt;/D&gt;&lt;D xsi:type="xsd:double"&gt;1.4402628&lt;/D&gt;&lt;D xsi:type="xsd:double"&gt;10.06776&lt;/D&gt;&lt;D xsi:type="xsd:double"&gt;0.087952614&lt;/D&gt;&lt;D xsi:type="xsd:double"&gt;1.9416451&lt;/D&gt;&lt;D xsi:type="xsd:double"&gt;1.2048244&lt;/D&gt;&lt;D xsi:type="xsd:double"&gt;0.5516887&lt;/D&gt;&lt;D xsi:type="xsd:double"&gt;4.302621&lt;/D&gt;&lt;D xsi:type="xsd:double"&gt;-1.3289034&lt;/D&gt;&lt;D xsi:type="xsd:double"&gt;-5.415267&lt;/D&gt;&lt;D xsi:type="xsd:double"&gt;5.105734&lt;/D&gt;&lt;D xsi:type="xsd:double"&gt;-1.5678525&lt;/D&gt;&lt;D xsi:type="xsd:double"&gt;-1.7955363&lt;/D&gt;&lt;D xsi:type="xsd:double"&gt;-3.7746966&lt;/D&gt;&lt;D xsi:type="xsd:double"&gt;0.7968068&lt;/D&gt;&lt;D xsi:type="xsd:double"&gt;0.63848495&lt;/D&gt;&lt;D xsi:type="xsd:double"&gt;-2.1700263&lt;/D&gt;&lt;D xsi:type="xsd:double"&gt;2.5210023&lt;/D&gt;&lt;D xsi:type="xsd:double"&gt;-0.47288537&lt;/D&gt;&lt;D xsi:type="xsd:double"&gt;0.2850771&lt;/D&gt;&lt;D xsi:type="xsd:double"&gt;-5.653816&lt;/D&gt;&lt;D xsi:type="xsd:double"&gt;-4.5530677&lt;/D&gt;&lt;D xsi:type="xsd:double"&gt;-0.010460615&lt;/D&gt;&lt;D xsi:type="xsd:double"&gt;5.0895095&lt;/D&gt;&lt;D xsi:type="xsd:double"&gt;0.30059814&lt;/D&gt;&lt;D xsi:type="xsd:double"&gt;5.5611014&lt;/D&gt;&lt;D xsi:type="xsd:double"&gt;-0.6624639&lt;/D&gt;&lt;D xsi:type="xsd:double"&gt;-4.826933&lt;/D&gt;&lt;D xsi:type="xsd:double"&gt;6.0596466&lt;/D&gt;&lt;D xsi:type="xsd:double"&gt;-8.344155&lt;/D&gt;&lt;D xsi:type="xsd:double"&gt;3.2235265&lt;/D&gt;&lt;D xsi:type="xsd:double"&gt;-1.7501712&lt;/D&gt;&lt;D xsi:type="xsd:double"&gt;12.015367&lt;/D&gt;&lt;D xsi:type="xsd:double"&gt;0.6860018&lt;/D&gt;&lt;D xsi:type="xsd:double"&gt;3.1663418&lt;/D&gt;&lt;D xsi:type="xsd:double"&gt;1.7325163&lt;/D&gt;&lt;D xsi:type="xsd:double"&gt;-9.8297&lt;/D&gt;&lt;D xsi:type="xsd:double"&gt;-16.434729&lt;/D&gt;&lt;D xsi:type="xsd:double"&gt;5.3528905&lt;/D&gt;&lt;D xsi:type="xsd:double"&gt;22.54423&lt;/D&gt;&lt;D xsi:type="xsd:double"&gt;0.25280714&lt;/D&gt;&lt;D xsi:type="xsd:double"&gt;7.7750444&lt;/D&gt;&lt;D xsi:type="xsd:double"&gt;1.3972163&lt;/D&gt;&lt;D xsi:type="xsd:double"&gt;-0.056242943&lt;/D&gt;&lt;D xsi:type="xsd:double"&gt;4.305005&lt;/D&gt;&lt;D xsi:type="xsd:double"&gt;7.5263023&lt;/D&gt;&lt;D xsi:type="xsd:double"&gt;5.474937&lt;/D&gt;&lt;D xsi:type="xsd:double"&gt;0.4313469&lt;/D&gt;&lt;D xsi:type="xsd:double"&gt;2.1235943&lt;/D&gt;&lt;D xsi:type="xsd:double"&gt;7.3130846&lt;/D&gt;&lt;D xsi:type="xsd:double"&gt;3.5053372&lt;/D&gt;&lt;D xsi:type="xsd:double"&gt;3.7442088&lt;/D&gt;&lt;D xsi:type="xsd:double"&gt;-3.0450046&lt;/D&gt;&lt;D xsi:type="xsd:double"&gt;3.316927&lt;/D&gt;&lt;D xsi:type="xsd:double"&gt;0.82850456&lt;/D&gt;&lt;D xsi:type="xsd:double"&gt;-8.648312&lt;/D&gt;&lt;D xsi:type="xsd:double"&gt;9.916794&lt;/D&gt;&lt;D xsi:type="xsd:double"&gt;-7.2217703&lt;/D&gt;&lt;D xsi:type="xsd:double"&gt;4.395056&lt;/D&gt;&lt;D xsi:type="xsd:double"&gt;-7.8431425&lt;/D&gt;&lt;D xsi:type="xsd:double"&gt;-18.723398&lt;/D&gt;&lt;D xsi:type="xsd:double"&gt;12.79813&lt;/D&gt;&lt;D xsi:type="xsd:double"&gt;-12.429089&lt;/D&gt;&lt;D xsi:type="xsd:double"&gt;8.833921&lt;/D&gt;&lt;D xsi:type="xsd:double"&gt;-15.563&lt;/D&gt;&lt;D xsi:type="xsd:double"&gt;9.297729&lt;/D&gt;&lt;D xsi:type="xsd:double"&gt;-11.342388&lt;/D&gt;&lt;D xsi:type="xsd:double"&gt;-4.593396&lt;/D&gt;&lt;D xsi:type="xsd:double"&gt;8.630526&lt;/D&gt;&lt;D xsi:type="xsd:double"&gt;10.37426&lt;/D&gt;&lt;D xsi:type="xsd:double"&gt;1.1999011&lt;/D&gt;&lt;D xsi:type="xsd:double"&gt;4.6704054&lt;/D&gt;&lt;D xsi:type="xsd:double"&gt;1.412034&lt;/D&gt;&lt;D xsi:type="xsd:double"&gt;-2.2834837&lt;/D&gt;&lt;D xsi:type="xsd:double"&gt;5.8991194&lt;/D&gt;&lt;D xsi:type="xsd:double"&gt;-5.7588816&lt;/D&gt;&lt;D xsi:type="xsd:double"&gt;-3.2267332&lt;/D&gt;&lt;D xsi:type="xsd:double"&gt;2.419591&lt;/D&gt;&lt;D xsi:type="xsd:double"&gt;-4.2350826&lt;/D&gt;&lt;D xsi:type="xsd:double"&gt;-0.39109588&lt;/D&gt;&lt;D xsi:type="xsd:double"&gt;-0.9060681&lt;/D&gt;&lt;D xsi:type="xsd:double"&gt;12.618101&lt;/D&gt;&lt;D xsi:type="xsd:double"&gt;4.4383883&lt;/D&gt;&lt;D xsi:type="xsd:double"&gt;-0.9824693&lt;/D&gt;&lt;D xsi:type="xsd:double"&gt;7.3478103&lt;/D&gt;&lt;D xsi:type="xsd:double"&gt;-0.099915266&lt;/D&gt;&lt;D xsi:type="xsd:double"&gt;-0.27506948&lt;/D&gt;&lt;D xsi:type="xsd:double"&gt;6.845534&lt;/D&gt;&lt;/FQL&gt;&lt;FQL&gt;&lt;Q&gt;EWQ^FMA_DIV_YLD(NTMA,-10AY,0,AM,"PORTAGG","MEANR")&lt;/Q&gt;&lt;R&gt;121&lt;/R&gt;&lt;C&gt;1&lt;/C&gt;&lt;D xsi:type="xsd:double"&gt;3.34162246722842&lt;/D&gt;&lt;D xsi:type="xsd:double"&gt;3.39466547962953&lt;/D&gt;&lt;D xsi:type="xsd:double"&gt;3.64770608768693&lt;/D&gt;&lt;D xsi:type="xsd:double"&gt;3.46749899724491&lt;/D&gt;&lt;D xsi:type="xsd:double"&gt;3.65823430430998&lt;/D&gt;&lt;D xsi:type="xsd:double"&gt;3.69986193342606&lt;/D&gt;&lt;D xsi:type="xsd:double"&gt;3.53290061991129&lt;/D&gt;&lt;D xsi:type="xsd:double"&gt;3.80392064646133&lt;/D&gt;&lt;D xsi:type="xsd:double"&gt;3.30404039513404&lt;/D&gt;&lt;D xsi:type="xsd:double"&gt;3.20161742069989&lt;/D&gt;&lt;D xsi:type="xsd:double"&gt;3.16365250527782&lt;/D&gt;&lt;D xsi:type="xsd:double"&gt;3.29142462394865&lt;/D&gt;&lt;D xsi:type="xsd:double"&gt;3.35655294382262&lt;/D&gt;&lt;D xsi:type="xsd:double"&gt;3.51478246424804&lt;/D&gt;&lt;D xsi:type="xsd:double"&gt;3.24064231978215&lt;/D&gt;&lt;D xsi:type="xsd:double"&gt;3.72022612204557&lt;/D&gt;&lt;D xsi:type="xsd:double"&gt;3.59582305445628&lt;/D&gt;&lt;D xsi:type="xsd:double"&gt;3.3893872254008&lt;/D&gt;&lt;D xsi:type="xsd:double"&gt;3.53260877580856&lt;/D&gt;&lt;D xsi:type="xsd:double"&gt;3.73341138106705&lt;/D&gt;&lt;D xsi:type="xsd:double"&gt;3.93953558182136&lt;/D&gt;&lt;D xsi:type="xsd:double"&gt;3.73328352804335&lt;/D&gt;&lt;D xsi:type="xsd:double"&gt;3.85814000094312&lt;/D&gt;&lt;D xsi:type="xsd:double"&gt;3.8246589992731&lt;/D&gt;&lt;D xsi:type="xsd:double"&gt;3.74144535894815&lt;/D&gt;&lt;D xsi:type="xsd:double"&gt;4.05081468535547&lt;/D&gt;&lt;D xsi:type="xsd:double"&gt;3.75618682580255&lt;/D&gt;&lt;D xsi:type="xsd:double"&gt;3.65757840124432&lt;/D&gt;&lt;D xsi:type="xsd:double"&gt;3.72806610715344&lt;/D&gt;&lt;D xsi:type="xsd:double"&gt;3.84206700365282&lt;/D&gt;&lt;D xsi:type="xsd:double"&gt;3.6170837807207&lt;/D&gt;&lt;D xsi:type="xsd:double"&gt;3.43831566040366&lt;/D&gt;&lt;D xsi:type="xsd:double"&gt;3.52334537555298&lt;/D&gt;&lt;D xsi:type="xsd:double"&gt;3.44763163888566&lt;/D&gt;&lt;D xsi:type="xsd:double"&gt;3.35361529526998&lt;/D&gt;&lt;D xsi:type="xsd:double"&gt;3.17032446638413&lt;/D&gt;&lt;D xsi:type="xsd:double"&gt;3.27280790114846&lt;/D&gt;&lt;D xsi:type="xsd:double"&gt;3.38067381824012&lt;/D&gt;&lt;D xsi:type="xsd:double"&gt;3.34982234157062&lt;/D&gt;&lt;D xsi:type="xsd:double"&gt;3.41681581391067&lt;/D&gt;&lt;D xsi:type="xsd:double"&gt;3.29009593732754&lt;/D&gt;&lt;D xsi:type="xsd:double"&gt;3.23719716087218&lt;/D&gt;&lt;D xsi:type="xsd:double"&gt;3.28074443317306&lt;/D&gt;&lt;D xsi:type="xsd:double"&gt;3.23442388689356&lt;/D&gt;&lt;D xsi:type="xsd:double"&gt;3.42399247351012&lt;/D&gt;&lt;D xsi:type="xsd:double"&gt;3.44938327813613&lt;/D&gt;&lt;D xsi:type="xsd:double"&gt;3.41576556182762&lt;/D&gt;&lt;D xsi:type="xsd:double"&gt;3.30371098310647&lt;/D&gt;&lt;D xsi:type="xsd:double"&gt;3.31026471818992&lt;/D&gt;&lt;D xsi:type="xsd:double"&gt;3.42476501822102&lt;/D&gt;&lt;D xsi:type="xsd:double"&gt;3.40082665869878&lt;/D&gt;&lt;D xsi:type="xsd:double"&gt;3.55802440746147&lt;/D&gt;&lt;D xsi:type="xsd:double"&gt;3.52274892922425&lt;/D&gt;&lt;D xsi:type="xsd:double"&gt;3.72034412433374&lt;/D&gt;&lt;D xsi:type="xsd:double"&gt;3.95973284956952&lt;/D&gt;&lt;D xsi:type="xsd:double"&gt;4.0029931113699&lt;/D&gt;&lt;D xsi:type="xsd:double"&gt;3.73789356344315&lt;/D&gt;&lt;D xsi:type="xsd:double"&gt;3.61519124975034&lt;/D&gt;&lt;D xsi:type="xsd:double"&gt;3.52473592660524&lt;/D&gt;&lt;D xsi:type="xsd:double"&gt;3.52638442654989&lt;/D&gt;&lt;D xsi:type="xsd:double"&gt;3.6802580431406&lt;/D&gt;&lt;D xsi:type="xsd:double"&gt;3.50449494052289&lt;/D&gt;&lt;D xsi:type="xsd:double"&gt;3.74933650006362&lt;/D&gt;&lt;D xsi:type="xsd:double"&gt;3.52685884446085&lt;/D&gt;&lt;D xsi:type="xsd:double"&gt;3.601927865917&lt;/D&gt;&lt;D xsi:type="xsd:double"&gt;3.3832420373611&lt;/D&gt;&lt;D xsi:type="xsd:double"&gt;3.399738606702&lt;/D&gt;&lt;D xsi:type="xsd:double"&gt;3.34014132041285&lt;/D&gt;&lt;D xsi:type="xsd:double"&gt;3.3200747581656&lt;/D&gt;&lt;D xsi:type="xsd:double"&gt;3.813946533595&lt;/D&gt;&lt;D xsi:type="xsd:double"&gt;4.2729318029738&lt;/D&gt;&lt;D xsi:type="xsd:double"&gt;3.61051553495016&lt;/D&gt;&lt;D xsi:type="xsd:double"&gt;2.99381741558035&lt;/D&gt;&lt;D xsi:type="xsd:double"&gt;3.06255818619564&lt;/D&gt;&lt;D xsi:type="xsd:double"&gt;3.16876627272151&lt;/D&gt;&lt;D xsi:type="xsd:double"&gt;3.15095585208018&lt;/D&gt;&lt;D xsi:type="xsd:double"&gt;3.22445904717674&lt;/D&gt;&lt;D xsi:type="xsd:double"&gt;3.19663901830141&lt;/D&gt;&lt;D xsi:type="xsd:double"&gt;2.85953983055325&lt;/D&gt;&lt;D xsi:type="xsd:double"&gt;2.9036508191425&lt;/D&gt;&lt;D xsi:type="xsd:double"&gt;2.92046197710793&lt;/D&gt;&lt;D xsi:type="xsd:double"&gt;2.85198374947521&lt;/D&gt;&lt;D xsi:type="xsd:double"&gt;2.72875228028735&lt;/D&gt;&lt;D xsi:type="xsd:double"&gt;2.68831596862267&lt;/D&gt;&lt;D xsi:type="xsd:double"&gt;2.6710612303236&lt;/D&gt;&lt;D xsi:type="xsd:double"&gt;2.71125087778005&lt;/D&gt;&lt;D xsi:type="xsd:double"&gt;2.68634461042384&lt;/D&gt;&lt;D xsi:type="xsd:double"&gt;2.75631012567026&lt;/D&gt;&lt;D xsi:type="xsd:double"&gt;2.8924174667737&lt;/D&gt;&lt;D xsi:type="xsd:double"&gt;2.72638444999471&lt;/D&gt;&lt;D xsi:type="xsd:double"&gt;2.83438908842075&lt;/D&gt;&lt;D xsi:type="xsd:double"&gt;2.71517638438035&lt;/D&gt;&lt;D xsi:type="xsd:double"&gt;2.891724229686&lt;/D&gt;&lt;D xsi:type="xsd:double"&gt;3.40070067105343&lt;/D&gt;&lt;D xsi:type="xsd:double"&gt;3.16589822193076&lt;/D&gt;&lt;D xsi:type="xsd:double"&gt;3.31412273493958&lt;/D&gt;&lt;D xsi:type="xsd:double"&gt;3.17974156376714&lt;/D&gt;&lt;D xsi:type="xsd:double"&gt;3.5609894928668&lt;/D&gt;&lt;D xsi:type="xsd:double"&gt;3.28844247533104&lt;/D&gt;&lt;D xsi:type="xsd:double"&gt;3.5365723063197&lt;/D&gt;&lt;D xsi:type="xsd:double"&gt;3.66538480636826&lt;/D&gt;&lt;D xsi:type="xsd:double"&gt;3.42318174817808&lt;/D&gt;&lt;D xsi:type="xsd:double"&gt;3.29316180441361&lt;/D&gt;&lt;D xsi:type="xsd:double"&gt;3.20400627570091&lt;/D&gt;&lt;D xsi:type="xsd:double"&gt;3.10364331673513&lt;/D&gt;&lt;D xsi:type="xsd:double"&gt;3.13434182882763&lt;/D&gt;&lt;D xsi:type="xsd:double"&gt;3.17223968092417&lt;/D&gt;&lt;D xsi:type="xsd:double"&gt;3.16064410046966&lt;/D&gt;&lt;D xsi:type="xsd:double"&gt;3.28920532951792&lt;/D&gt;&lt;D xsi:type="xsd:double"&gt;3.38464013224349&lt;/D&gt;&lt;D xsi:type="xsd:double"&gt;3.30763000281717&lt;/D&gt;&lt;D xsi:type="xsd:double"&gt;3.37832067904599&lt;/D&gt;&lt;D xsi:type="xsd:double"&gt;3.45365053194596&lt;/D&gt;&lt;D xsi:type="xsd:double"&gt;3.4729490756643&lt;/D&gt;&lt;D xsi:type="xsd:double"&gt;3.28611251369434&lt;/D&gt;&lt;D xsi:type="xsd:double"&gt;3.28218049652134&lt;/D&gt;&lt;D xsi:type="xsd:double"&gt;3.19416742483885&lt;/D&gt;&lt;D xsi:type="xsd:double"&gt;3.13014366176691&lt;/D&gt;&lt;D xsi:type="xsd:double"&gt;3.1082523456368&lt;/D&gt;&lt;D xsi:type="xsd:double"&gt;3.13369021160474&lt;/D&gt;&lt;D xsi:type="xsd:double"&gt;3.16050257009295&lt;/D&gt;&lt;/FQL&gt;&lt;FQL&gt;&lt;Q&gt;QQQ^FMA_PE(NTMA,-10AY,0,AM,"PORTAGG","MEANR")&lt;/Q&gt;&lt;R&gt;121&lt;/R&gt;&lt;C&gt;1&lt;/C&gt;&lt;D xsi:type="xsd:double"&gt;17.4028137553397&lt;/D&gt;&lt;D xsi:type="xsd:double"&gt;17.7656502883482&lt;/D&gt;&lt;D xsi:type="xsd:double"&gt;17.100728812943&lt;/D&gt;&lt;D xsi:type="xsd:double"&gt;17.8700790044185&lt;/D&gt;&lt;D xsi:type="xsd:double"&gt;17.243732269665&lt;/D&gt;&lt;D xsi:type="xsd:double"&gt;17.7267356835472&lt;/D&gt;&lt;D xsi:type="xsd:double"&gt;18.1220754903796&lt;/D&gt;&lt;D xsi:type="xsd:double"&gt;16.9014706285887&lt;/D&gt;&lt;D xsi:type="xsd:double"&gt;17.2612905088474&lt;/D&gt;&lt;D xsi:type="xsd:double"&gt;17.8808500001419&lt;/D&gt;&lt;D xsi:type="xsd:double"&gt;17.7134822094548&lt;/D&gt;&lt;D xsi:type="xsd:double"&gt;17.5912557436586&lt;/D&gt;&lt;D xsi:type="xsd:double"&gt;17.855331423085&lt;/D&gt;&lt;D xsi:type="xsd:double"&gt;17.5112121436472&lt;/D&gt;&lt;D xsi:type="xsd:double"&gt;18.3656819585239&lt;/D&gt;&lt;D xsi:type="xsd:double"&gt;16.8907951485815&lt;/D&gt;&lt;D xsi:type="xsd:double"&gt;17.3346657100631&lt;/D&gt;&lt;D xsi:type="xsd:double"&gt;18.8870771590035&lt;/D&gt;&lt;D xsi:type="xsd:double"&gt;18.8344373393543&lt;/D&gt;&lt;D xsi:type="xsd:double"&gt;17.8246525665614&lt;/D&gt;&lt;D xsi:type="xsd:double"&gt;16.2715783946949&lt;/D&gt;&lt;D xsi:type="xsd:double"&gt;17.3457942482943&lt;/D&gt;&lt;D xsi:type="xsd:double"&gt;18.0897288139693&lt;/D&gt;&lt;D xsi:type="xsd:double"&gt;17.4176921963423&lt;/D&gt;&lt;D xsi:type="xsd:double"&gt;17.9830888088778&lt;/D&gt;&lt;D xsi:type="xsd:double"&gt;17.7301626619594&lt;/D&gt;&lt;D xsi:type="xsd:double"&gt;18.8563992192482&lt;/D&gt;&lt;D xsi:type="xsd:double"&gt;18.6780275225582&lt;/D&gt;&lt;D xsi:type="xsd:double"&gt;18.6097720735336&lt;/D&gt;&lt;D xsi:type="xsd:double"&gt;17.6296222986152&lt;/D&gt;&lt;D xsi:type="xsd:double"&gt;17.9176017698095&lt;/D&gt;&lt;D xsi:type="xsd:double"&gt;18.5604214079561&lt;/D&gt;&lt;D xsi:type="xsd:double"&gt;19.3103320720447&lt;/D&gt;&lt;D xsi:type="xsd:double"&gt;20.0687340102911&lt;/D&gt;&lt;D xsi:type="xsd:double"&gt;20.0543903334952&lt;/D&gt;&lt;D xsi:type="xsd:double"&gt;20.6494621966511&lt;/D&gt;&lt;D xsi:type="xsd:double"&gt;21.0785969643298&lt;/D&gt;&lt;D xsi:type="xsd:double"&gt;19.8436146454986&lt;/D&gt;&lt;D xsi:type="xsd:double"&gt;20.6417750448389&lt;/D&gt;&lt;D xsi:type="xsd:double"&gt;20.5344327229939&lt;/D&gt;&lt;D xsi:type="xsd:double"&gt;20.5995972317531&lt;/D&gt;&lt;D xsi:type="xsd:double"&gt;20.933982226359&lt;/D&gt;&lt;D xsi:type="xsd:double"&gt;20.6174868448016&lt;/D&gt;&lt;D xsi:type="xsd:double"&gt;21.5427321411286&lt;/D&gt;&lt;D xsi:type="xsd:double"&gt;20.522176040606&lt;/D&gt;&lt;D xsi:type="xsd:double"&gt;20.922083092832&lt;/D&gt;&lt;D xsi:type="xsd:double"&gt;19.2870439885063&lt;/D&gt;&lt;D xsi:type="xsd:double"&gt;19.7470859391111&lt;/D&gt;&lt;D xsi:type="xsd:double"&gt;20.7220051645062&lt;/D&gt;&lt;D xsi:type="xsd:double"&gt;20.5328392171625&lt;/D&gt;&lt;D xsi:type="xsd:double"&gt;20.6649628526392&lt;/D&gt;&lt;D xsi:type="xsd:double"&gt;20.5223844499779&lt;/D&gt;&lt;D xsi:type="xsd:double"&gt;20.2285718990108&lt;/D&gt;&lt;D xsi:type="xsd:double"&gt;18.8701666199104&lt;/D&gt;&lt;D xsi:type="xsd:double"&gt;18.4915748390335&lt;/D&gt;&lt;D xsi:type="xsd:double"&gt;17.6695794783275&lt;/D&gt;&lt;D xsi:type="xsd:double"&gt;19.3290610581528&lt;/D&gt;&lt;D xsi:type="xsd:double"&gt;19.6919421921143&lt;/D&gt;&lt;D xsi:type="xsd:double"&gt;20.862815753356&lt;/D&gt;&lt;D xsi:type="xsd:double"&gt;21.2862666022726&lt;/D&gt;&lt;D xsi:type="xsd:double"&gt;19.7245582991088&lt;/D&gt;&lt;D xsi:type="xsd:double"&gt;21.2244620489772&lt;/D&gt;&lt;D xsi:type="xsd:double"&gt;20.1515421790445&lt;/D&gt;&lt;D xsi:type="xsd:double"&gt;20.8392824071894&lt;/D&gt;&lt;D xsi:type="xsd:double"&gt;20.411648772202&lt;/D&gt;&lt;D xsi:type="xsd:double"&gt;21.3847205289668&lt;/D&gt;&lt;D xsi:type="xsd:double"&gt;21.9288253111551&lt;/D&gt;&lt;D xsi:type="xsd:double"&gt;22.9849077560255&lt;/D&gt;&lt;D xsi:type="xsd:double"&gt;23.925469404644&lt;/D&gt;&lt;D xsi:type="xsd:double"&gt;21.5527114910813&lt;/D&gt;&lt;D xsi:type="xsd:double"&gt;21.6091134792129&lt;/D&gt;&lt;D xsi:type="xsd:double"&gt;25.5382072900275&lt;/D&gt;&lt;D xsi:type="xsd:double"&gt;27.979128207337&lt;/D&gt;&lt;D xsi:type="xsd:double"&gt;29.4730593955137&lt;/D&gt;&lt;D xsi:type="xsd:double"&gt;29.6694833477678&lt;/D&gt;&lt;D xsi:type="xsd:double"&gt;30.1632566756378&lt;/D&gt;&lt;D xsi:type="xsd:double"&gt;28.78577184147&lt;/D&gt;&lt;D xsi:type="xsd:double"&gt;29.7470552408474&lt;/D&gt;&lt;D xsi:type="xsd:double"&gt;30.139721885605&lt;/D&gt;&lt;D xsi:type="xsd:double"&gt;29.3768371111261&lt;/D&gt;&lt;D xsi:type="xsd:double"&gt;29.9671218696576&lt;/D&gt;&lt;D xsi:type="xsd:double"&gt;27.2359709914801&lt;/D&gt;&lt;D xsi:type="xsd:double"&gt;28.9015392638799&lt;/D&gt;&lt;D xsi:type="xsd:double"&gt;27.1742598780532&lt;/D&gt;&lt;D xsi:type="xsd:double"&gt;27.025989998426&lt;/D&gt;&lt;D xsi:type="xsd:double"&gt;28.690223456375&lt;/D&gt;&lt;D xsi:type="xsd:double"&gt;28.0392864372922&lt;/D&gt;&lt;D xsi:type="xsd:double"&gt;28.7401387137877&lt;/D&gt;&lt;D xsi:type="xsd:double"&gt;26.9814046440346&lt;/D&gt;&lt;D xsi:type="xsd:double"&gt;29.6505377796329&lt;/D&gt;&lt;D xsi:type="xsd:double"&gt;28.4155168027121&lt;/D&gt;&lt;D xsi:type="xsd:double"&gt;28.1178613590946&lt;/D&gt;&lt;D xsi:type="xsd:double"&gt;25.8669137255324&lt;/D&gt;&lt;D xsi:type="xsd:double"&gt;24.0416846836349&lt;/D&gt;&lt;D xsi:type="xsd:double"&gt;24.9603368621463&lt;/D&gt;&lt;D xsi:type="xsd:double"&gt;22.0750031162492&lt;/D&gt;&lt;D xsi:type="xsd:double"&gt;21.7116757270877&lt;/D&gt;&lt;D xsi:type="xsd:double"&gt;20.5303970320434&lt;/D&gt;&lt;D xsi:type="xsd:double"&gt;23.4492314385006&lt;/D&gt;&lt;D xsi:type="xsd:double"&gt;21.2963139705515&lt;/D&gt;&lt;D xsi:type="xsd:double"&gt;20.4126257144908&lt;/D&gt;&lt;D xsi:type="xsd:double"&gt;20.2643594163648&lt;/D&gt;&lt;D xsi:type="xsd:double"&gt;21.437076023064&lt;/D&gt;&lt;D xsi:type="xsd:double"&gt;21.0619732121136&lt;/D&gt;&lt;D xsi:type="xsd:double"&gt;24.0698110284901&lt;/D&gt;&lt;D xsi:type="xsd:double"&gt;23.54801865323&lt;/D&gt;&lt;D xsi:type="xsd:double"&gt;24.8026212678994&lt;/D&gt;&lt;D xsi:type="xsd:double"&gt;24.553189140732&lt;/D&gt;&lt;D xsi:type="xsd:double"&gt;26.0923747363732&lt;/D&gt;&lt;D xsi:type="xsd:double"&gt;26.5592658866156&lt;/D&gt;&lt;D xsi:type="xsd:double"&gt;24.9004058224312&lt;/D&gt;&lt;D xsi:type="xsd:double"&gt;24.3891295301089&lt;/D&gt;&lt;D xsi:type="xsd:double"&gt;23.5248442177638&lt;/D&gt;&lt;D xsi:type="xsd:double"&gt;23.4285067189724&lt;/D&gt;&lt;D xsi:type="xsd:double"&gt;23.9213124466508&lt;/D&gt;&lt;D xsi:type="xsd:double"&gt;24.2508432947538&lt;/D&gt;&lt;D xsi:type="xsd:double"&gt;25.8346718954037&lt;/D&gt;&lt;D xsi:type="xsd:double"&gt;26.0800628858261&lt;/D&gt;&lt;D xsi:type="xsd:double"&gt;25.9156114753271&lt;/D&gt;&lt;D xsi:type="xsd:double"&gt;25.5747210575716&lt;/D&gt;&lt;D xsi:type="xsd:double"&gt;26.3530110316244&lt;/D&gt;&lt;/FQL&gt;&lt;FQL&gt;&lt;Q&gt;EWL^FMA_PE(LTMA,-10AY,0,AM,"PORTAGG","MEANR")&lt;/Q&gt;&lt;R&gt;121&lt;/R&gt;&lt;C&gt;1&lt;/C&gt;&lt;D xsi:type="xsd:double"&gt;17.2144241280077&lt;/D&gt;&lt;D xsi:type="xsd:double"&gt;17.2597702996767&lt;/D&gt;&lt;D xsi:type="xsd:double"&gt;16.951517846309&lt;/D&gt;&lt;D xsi:type="xsd:double"&gt;17.4556852486492&lt;/D&gt;&lt;D xsi:type="xsd:double"&gt;17.1301215583341&lt;/D&gt;&lt;D xsi:type="xsd:double"&gt;17.361579864781&lt;/D&gt;&lt;D xsi:type="xsd:double"&gt;17.6835024755792&lt;/D&gt;&lt;D xsi:type="xsd:double"&gt;16.8762058201484&lt;/D&gt;&lt;D xsi:type="xsd:double"&gt;17.1166336423429&lt;/D&gt;&lt;D xsi:type="xsd:double"&gt;17.9695809905651&lt;/D&gt;&lt;D xsi:type="xsd:double"&gt;18.0697128963549&lt;/D&gt;&lt;D xsi:type="xsd:double"&gt;17.9625833702277&lt;/D&gt;&lt;D xsi:type="xsd:double"&gt;17.9634151902583&lt;/D&gt;&lt;D xsi:type="xsd:double"&gt;17.7126978959346&lt;/D&gt;&lt;D xsi:type="xsd:double"&gt;18.1249297462774&lt;/D&gt;&lt;D xsi:type="xsd:double"&gt;17.1691832618721&lt;/D&gt;&lt;D xsi:type="xsd:double"&gt;17.435995484328&lt;/D&gt;&lt;D xsi:type="xsd:double"&gt;17.7019987994125&lt;/D&gt;&lt;D xsi:type="xsd:double"&gt;17.4902701636845&lt;/D&gt;&lt;D xsi:type="xsd:double"&gt;16.8932224083375&lt;/D&gt;&lt;D xsi:type="xsd:double"&gt;16.6424843373393&lt;/D&gt;&lt;D xsi:type="xsd:double"&gt;16.6344526418168&lt;/D&gt;&lt;D xsi:type="xsd:double"&gt;16.6523554734958&lt;/D&gt;&lt;D xsi:type="xsd:double"&gt;16.684269223119&lt;/D&gt;&lt;D xsi:type="xsd:double"&gt;17.1545394062605&lt;/D&gt;&lt;D xsi:type="xsd:double"&gt;16.9751492900956&lt;/D&gt;&lt;D xsi:type="xsd:double"&gt;17.6878684984531&lt;/D&gt;&lt;D xsi:type="xsd:double"&gt;18.0611348526318&lt;/D&gt;&lt;D xsi:type="xsd:double"&gt;18.0225539258723&lt;/D&gt;&lt;D xsi:type="xsd:double"&gt;17.2419120869675&lt;/D&gt;&lt;D xsi:type="xsd:double"&gt;17.5968041665925&lt;/D&gt;&lt;D xsi:type="xsd:double"&gt;18.6401355812124&lt;/D&gt;&lt;D xsi:type="xsd:double"&gt;18.5408993426414&lt;/D&gt;&lt;D xsi:type="xsd:double"&gt;19.654437608482&lt;/D&gt;&lt;D xsi:type="xsd:double"&gt;19.4415163565394&lt;/D&gt;&lt;D xsi:type="xsd:double"&gt;19.5688032532538&lt;/D&gt;&lt;D xsi:type="xsd:double"&gt;19.5086228287857&lt;/D&gt;&lt;D xsi:type="xsd:double"&gt;19.2743006330552&lt;/D&gt;&lt;D xsi:type="xsd:double"&gt;19.46967483232&lt;/D&gt;&lt;D xsi:type="xsd:double"&gt;19.0536516878638&lt;/D&gt;&lt;D xsi:type="xsd:double"&gt;19.5937693596644&lt;/D&gt;&lt;D xsi:type="xsd:double"&gt;20.3189197833239&lt;/D&gt;&lt;D xsi:type="xsd:double"&gt;20.3874845855935&lt;/D&gt;&lt;D xsi:type="xsd:double"&gt;21.0571881074149&lt;/D&gt;&lt;D xsi:type="xsd:double"&gt;20.5412809972668&lt;/D&gt;&lt;D xsi:type="xsd:double"&gt;21.0891339219366&lt;/D&gt;&lt;D xsi:type="xsd:double"&gt;20.5710922479933&lt;/D&gt;&lt;D xsi:type="xsd:double"&gt;20.2444108893736&lt;/D&gt;&lt;D xsi:type="xsd:double"&gt;19.5867267923116&lt;/D&gt;&lt;D xsi:type="xsd:double"&gt;19.3008446693988&lt;/D&gt;&lt;D xsi:type="xsd:double"&gt;19.202887055534&lt;/D&gt;&lt;D xsi:type="xsd:double"&gt;18.5378337437299&lt;/D&gt;&lt;D xsi:type="xsd:double"&gt;18.3122112676716&lt;/D&gt;&lt;D xsi:type="xsd:double"&gt;17.9108317737766&lt;/D&gt;&lt;D xsi:type="xsd:double"&gt;17.0107364773806&lt;/D&gt;&lt;D xsi:type="xsd:double"&gt;16.4991314313888&lt;/D&gt;&lt;D xsi:type="xsd:double"&gt;17.839995148717&lt;/D&gt;&lt;D xsi:type="xsd:double"&gt;18.3281425466674&lt;/D&gt;&lt;D xsi:type="xsd:double"&gt;18.2938420500146&lt;/D&gt;&lt;D xsi:type="xsd:double"&gt;18.2175532329494&lt;/D&gt;&lt;D xsi:type="xsd:double"&gt;18.1777788863962&lt;/D&gt;&lt;D xsi:type="xsd:double"&gt;18.4026630063264&lt;/D&gt;&lt;D xsi:type="xsd:double"&gt;17.9669175171299&lt;/D&gt;&lt;D xsi:type="xsd:double"&gt;18.51899978141&lt;/D&gt;&lt;D xsi:type="xsd:double"&gt;18.1417193729842&lt;/D&gt;&lt;D xsi:type="xsd:double"&gt;18.8605018324261&lt;/D&gt;&lt;D xsi:type="xsd:double"&gt;19.1153989537791&lt;/D&gt;&lt;D xsi:type="xsd:double"&gt;19.6926434079956&lt;/D&gt;&lt;D xsi:type="xsd:double"&gt;20.060196138857&lt;/D&gt;&lt;D xsi:type="xsd:double"&gt;17.9943584392494&lt;/D&gt;&lt;D xsi:type="xsd:double"&gt;17.9030063342011&lt;/D&gt;&lt;D xsi:type="xsd:double"&gt;18.582788184161&lt;/D&gt;&lt;D xsi:type="xsd:double"&gt;19.3875425348279&lt;/D&gt;&lt;D xsi:type="xsd:double"&gt;19.8421179507795&lt;/D&gt;&lt;D xsi:type="xsd:double"&gt;20.0811275155818&lt;/D&gt;&lt;D xsi:type="xsd:double"&gt;20.4419869614541&lt;/D&gt;&lt;D xsi:type="xsd:double"&gt;20.8055984597273&lt;/D&gt;&lt;D xsi:type="xsd:double"&gt;20.9543361846843&lt;/D&gt;&lt;D xsi:type="xsd:double"&gt;20.9651291212946&lt;/D&gt;&lt;D xsi:type="xsd:double"&gt;22.0552259987246&lt;/D&gt;&lt;D xsi:type="xsd:double"&gt;21.2017027155629&lt;/D&gt;&lt;D xsi:type="xsd:double"&gt;20.417164040447&lt;/D&gt;&lt;D xsi:type="xsd:double"&gt;20.479980423559&lt;/D&gt;&lt;D xsi:type="xsd:double"&gt;20.4678000588148&lt;/D&gt;&lt;D xsi:type="xsd:double"&gt;20.7389530193878&lt;/D&gt;&lt;D xsi:type="xsd:double"&gt;20.8490328925078&lt;/D&gt;&lt;D xsi:type="xsd:double"&gt;20.9724541274135&lt;/D&gt;&lt;D xsi:type="xsd:double"&gt;21.1174303918721&lt;/D&gt;&lt;D xsi:type="xsd:double"&gt;19.9453072494023&lt;/D&gt;&lt;D xsi:type="xsd:double"&gt;20.8484374996188&lt;/D&gt;&lt;D xsi:type="xsd:double"&gt;20.6796514755192&lt;/D&gt;&lt;D xsi:type="xsd:double"&gt;21.3740044170201&lt;/D&gt;&lt;D xsi:type="xsd:double"&gt;19.7278824743864&lt;/D&gt;&lt;D xsi:type="xsd:double"&gt;18.3281041295579&lt;/D&gt;&lt;D xsi:type="xsd:double"&gt;18.620817757072&lt;/D&gt;&lt;D xsi:type="xsd:double"&gt;18.2794694544933&lt;/D&gt;&lt;D xsi:type="xsd:double"&gt;18.1191599170451&lt;/D&gt;&lt;D xsi:type="xsd:double"&gt;17.6387466467389&lt;/D&gt;&lt;D xsi:type="xsd:double"&gt;18.2293976230257&lt;/D&gt;&lt;D xsi:type="xsd:double"&gt;17.7727125063534&lt;/D&gt;&lt;D xsi:type="xsd:double"&gt;17.0662262340072&lt;/D&gt;&lt;D xsi:type="xsd:double"&gt;18.6915925518893&lt;/D&gt;&lt;D xsi:type="xsd:double"&gt;19.7495204129627&lt;/D&gt;&lt;D xsi:type="xsd:double"&gt;20.9084740759864&lt;/D&gt;&lt;D xsi:type="xsd:double"&gt;20.6396976815372&lt;/D&gt;&lt;D xsi:type="xsd:double"&gt;20.6485893000803&lt;/D&gt;&lt;D xsi:type="xsd:double"&gt;20.4236985985638&lt;/D&gt;&lt;D xsi:type="xsd:double"&gt;20.29931360474&lt;/D&gt;&lt;D xsi:type="xsd:double"&gt;19.6354199683456&lt;/D&gt;&lt;D xsi:type="xsd:double"&gt;19.0157891765332&lt;/D&gt;&lt;D xsi:type="xsd:double"&gt;19.0267071074674&lt;/D&gt;&lt;D xsi:type="xsd:double"&gt;18.6511997037746&lt;/D&gt;&lt;D xsi:type="xsd:double"&gt;18.1957141892598&lt;/D&gt;&lt;D xsi:type="xsd:double"&gt;17.7268850281445&lt;/D&gt;&lt;D xsi:type="xsd:double"&gt;18.1205056932792&lt;/D&gt;&lt;D xsi:type="xsd:double"&gt;18.4112361041034&lt;/D&gt;&lt;D xsi:type="xsd:double"&gt;18.9715445270193&lt;/D&gt;&lt;D xsi:type="xsd:double"&gt;19.1884068923745&lt;/D&gt;&lt;D xsi:type="xsd:double"&gt;19.0355123284699&lt;/D&gt;&lt;D xsi:type="xsd:double"&gt;18.7656777262044&lt;/D&gt;&lt;D xsi:type="xsd:double"&gt;18.8684922722106&lt;/D&gt;&lt;/FQL&gt;&lt;FQL&gt;&lt;Q&gt;WL-FDS^FG_PRICE(0)/MAX(FG_PRICE(0,-1AY))&lt;/Q&gt;&lt;R&gt;1&lt;/R&gt;&lt;C&gt;1&lt;/C&gt;&lt;D xsi:type="xsd:double"&gt;0.734608331150118&lt;/D&gt;&lt;/FQL&gt;&lt;FQL&gt;&lt;Q&gt;NI-FDS^FG_PRICE(0)/MAX(FG_PRICE(0,-1AY))&lt;/Q&gt;&lt;R&gt;1&lt;/R&gt;&lt;C&gt;1&lt;/C&gt;&lt;D xsi:type="xsd:double"&gt;0.783491789109767&lt;/D&gt;&lt;/FQL&gt;&lt;FQL&gt;&lt;Q&gt;CPALM-FDS^FG_PRICE(0)/MAX(FG_PRICE(0,-1AY))&lt;/Q&gt;&lt;R&gt;1&lt;/R&gt;&lt;C&gt;1&lt;/C&gt;&lt;D xsi:type="xsd:double"&gt;0.859357938414501&lt;/D&gt;&lt;/FQL&gt;&lt;FQL&gt;&lt;Q&gt;BRENT-FDS^FG_PRICE(0)/MAX(FG_PRICE(0,-1AY))&lt;/Q&gt;&lt;R&gt;1&lt;/R&gt;&lt;C&gt;1&lt;/C&gt;&lt;D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xsi:type="xsd:double"&gt;0.752635960044395&lt;/D&gt;&lt;/FQL&gt;&lt;FQL&gt;&lt;Q&gt;FC0000US^FG_PRICE(0)&lt;/Q&gt;&lt;R&gt;1&lt;/R&gt;&lt;C&gt;1&lt;/C&gt;&lt;D xsi:type="xsd:double"&gt;400.1963&lt;/D&gt;&lt;/FQL&gt;&lt;FQL&gt;&lt;Q&gt;FC0000GB^FG_PRICE(0)&lt;/Q&gt;&lt;R&gt;1&lt;/R&gt;&lt;C&gt;1&lt;/C&gt;&lt;D xsi:type="xsd:double"&gt;129.57199&lt;/D&gt;&lt;/FQL&gt;&lt;FQL&gt;&lt;Q&gt;EWI^FG_COMPANY_NAME&lt;/Q&gt;&lt;R&gt;1&lt;/R&gt;&lt;C&gt;1&lt;/C&gt;&lt;D xsi:type="xsd:string"&gt;iShares MSCI Italy ETF&lt;/D&gt;&lt;/FQL&gt;&lt;FQL&gt;&lt;Q&gt;EWQ^FMA_ROE(NTMA,-20AY,NOW,FY,"PORTAGG","MEANR")&lt;/Q&gt;&lt;R&gt;20&lt;/R&gt;&lt;C&gt;1&lt;/C&gt;&lt;D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xsi:type="xsd:double"&gt;10.9140096503084&lt;/D&gt;&lt;D xsi:type="xsd:double"&gt;8.94223448642103&lt;/D&gt;&lt;D xsi:type="xsd:double"&gt;12.2539555402015&lt;/D&gt;&lt;D xsi:type="xsd:double"&gt;13.1476341706846&lt;/D&gt;&lt;D xsi:type="xsd:double"&gt;13.2209624082426&lt;/D&gt;&lt;/FQL&gt;&lt;FQL&gt;&lt;Q&gt;TRYID10Y-FDS^FG_YIELD(-10AY,0,Y,,"YTM")&lt;/Q&gt;&lt;R&gt;10&lt;/R&gt;&lt;C&gt;1&lt;/C&gt;&lt;D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</t>
        </r>
      </text>
    </comment>
    <comment ref="A2" authorId="0" shapeId="0" xr:uid="{B7AAE20C-798D-43B1-B677-75A0892EBDDD}">
      <text>
        <r>
          <rPr>
            <b/>
            <sz val="9"/>
            <color indexed="81"/>
            <rFont val="Tahoma"/>
            <charset val="1"/>
          </rPr>
          <t>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xsi:type="xsd:double"&gt;5.1912&lt;/D&gt;&lt;/FQL&gt;&lt;FQL&gt;&lt;Q&gt;TIOS-FDS^FG_PRICE_CHANGE(0,-1AY)&lt;/Q&gt;&lt;R&gt;1&lt;/R&gt;&lt;C&gt;1&lt;/C&gt;&lt;D xsi:type="xsd:double"&gt;-0.0828805599042304&lt;/D&gt;&lt;/FQL&gt;&lt;FQL&gt;&lt;Q&gt;EWG^FG_PRICE_MAVG(0,,,,30)&lt;/Q&gt;&lt;R&gt;1&lt;/R&gt;&lt;C&gt;1&lt;/C&gt;&lt;D xsi:type="xsd:double"&gt;31.786&lt;/D&gt;&lt;/FQL&gt;&lt;FQL&gt;&lt;Q&gt;EWD^FG_COMPANY_NAME&lt;/Q&gt;&lt;R&gt;1&lt;/R&gt;&lt;C&gt;1&lt;/C&gt;&lt;D xsi:type="xsd:string"&gt;iShares MSCI Sweden ETF&lt;/D&gt;&lt;/FQL&gt;&lt;FQL&gt;&lt;Q&gt;FXI^FG_TOTAL_RETURNC(0,-3AM)&lt;/Q&gt;&lt;R&gt;1&lt;/R&gt;&lt;C&gt;1&lt;/C&gt;&lt;D xsi:type="xsd:double"&gt;15.554607&lt;/D&gt;&lt;/FQL&gt;&lt;FQL&gt;&lt;Q&gt;VWO^FG_TOTAL_RETURNC(0,-12AM)&lt;/Q&gt;&lt;R&gt;1&lt;/R&gt;&lt;C&gt;1&lt;/C&gt;&lt;D xsi:type="xsd:double"&gt;11.203468&lt;/D&gt;&lt;/FQL&gt;&lt;FQL&gt;&lt;Q&gt;VGK^PERCENT_CHANGE(FMA_EPS(+1,0,,,,"PORTAGG","MEAN"),FMA_EPS(+1,-1AM,,,,"PORTAGG","MEAN"))&lt;/Q&gt;&lt;R&gt;1&lt;/R&gt;&lt;C&gt;1&lt;/C&gt;&lt;D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xsi:type="xsd:double"&gt;6.845534&lt;/D&gt;&lt;/FQL&gt;&lt;FQL&gt;&lt;Q&gt;EWQ^FG_TOTAL_RETURNC(0,-6AM)&lt;/Q&gt;&lt;R&gt;1&lt;/R&gt;&lt;C&gt;1&lt;/C&gt;&lt;D xsi:type="xsd:double"&gt;12.738013&lt;/D&gt;&lt;/FQL&gt;&lt;FQL&gt;&lt;Q&gt;QQQ^P_PRICE(0)/P_PRICE_LOW_PR(0,,,,,,"PRICE","INTRA","52W")-1&lt;/Q&gt;&lt;R&gt;1&lt;/R&gt;&lt;C&gt;1&lt;/C&gt;&lt;D xsi:type="xsd:double"&gt;0.35349786&lt;/D&gt;&lt;/FQL&gt;&lt;FQL&gt;&lt;Q&gt;EWU^FMA_PCT_ABOVE_MAVG(200,0,,,,"PORTAGG")&lt;/Q&gt;&lt;R&gt;1&lt;/R&gt;&lt;C&gt;1&lt;/C&gt;&lt;D xsi:type="xsd:double"&gt;72.5&lt;/D&gt;&lt;/FQL&gt;&lt;FQL&gt;&lt;Q&gt;EWJ^PERCENT_CHANGE(FMA_EPS(+1,0,,,,"PORTAGG","MEAN"),FMA_EPS(+1,-3AM,,,,"PORTAGG","MEAN"))&lt;/Q&gt;&lt;R&gt;1&lt;/R&gt;&lt;C&gt;1&lt;/C&gt;&lt;D xsi:type="xsd:double"&gt;-3.97452478567243&lt;/D&gt;&lt;/FQL&gt;&lt;FQL&gt;&lt;Q&gt;EWC^FG_TOTAL_RETURNC(0,-3AM)&lt;/Q&gt;&lt;R&gt;1&lt;/R&gt;&lt;C&gt;1&lt;/C&gt;&lt;D xsi:type="xsd:double"&gt;1.9318461&lt;/D&gt;&lt;/FQL&gt;&lt;FQL&gt;&lt;Q&gt;EWL^FMA_COS_UP("EPS","1M",+1,0,,,"PORTAGG","MEANR")&lt;/Q&gt;&lt;R&gt;1&lt;/R&gt;&lt;C&gt;1&lt;/C&gt;&lt;D xsi:type="xsd:double"&gt;22&lt;/D&gt;&lt;/FQL&gt;&lt;FQL&gt;&lt;Q&gt;REFCATARG-FDS^FG_YIELD(NOW,,,0)&lt;/Q&gt;&lt;R&gt;1&lt;/R&gt;&lt;C&gt;1&lt;/C&gt;&lt;D xsi:type="xsd:double"&gt;4.75&lt;/D&gt;&lt;/FQL&gt;&lt;FQL&gt;&lt;Q&gt;CAGDPY@US^EE_ACTUAL_ANNUAL(MED,0)&lt;/Q&gt;&lt;R&gt;1&lt;/R&gt;&lt;C&gt;1&lt;/C&gt;&lt;D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xsi:type="xsd:double"&gt;1779.9054&lt;/D&gt;&lt;/FQL&gt;&lt;FQL&gt;&lt;Q&gt;USDANG^FG_PRICE(0)&lt;/Q&gt;&lt;R&gt;1&lt;/R&gt;&lt;C&gt;1&lt;/C&gt;&lt;D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xsi:type="xsd:double"&gt;0.7829321&lt;/D&gt;&lt;/FQL&gt;&lt;FQL&gt;&lt;Q&gt;USDJPY^FG_PRICE(0)&lt;/Q&gt;&lt;R&gt;1&lt;/R&gt;&lt;C&gt;1&lt;/C&gt;&lt;D xsi:type="xsd:double"&gt;156.015&lt;/D&gt;&lt;/FQL&gt;&lt;FQL&gt;&lt;Q&gt;USDCAD^FG_PRICE(0)&lt;/Q&gt;&lt;R&gt;1&lt;/R&gt;&lt;C&gt;1&lt;/C&gt;&lt;D xsi:type="xsd:double"&gt;1.37075&lt;/D&gt;&lt;/FQL&gt;&lt;FQL&gt;&lt;Q&gt;USDNZD^FG_PRICE(0)&lt;/Q&gt;&lt;R&gt;1&lt;/R&gt;&lt;C&gt;1&lt;/C&gt;&lt;D xsi:type="xsd:double"&gt;1.6166842&lt;/D&gt;&lt;/FQL&gt;&lt;FQL&gt;&lt;Q&gt;EWI^P_PRICE_RETURNS_PR('52W',2,-10AY,0,AM)&lt;/Q&gt;&lt;R&gt;121&lt;/R&gt;&lt;C&gt;1&lt;/C&gt;&lt;D xsi:type="xsd:double"&gt;42.216553&lt;/D&gt;&lt;D xsi:type="xsd:double"&gt;53.476418&lt;/D&gt;&lt;D xsi:type="xsd:double"&gt;20.487701&lt;/D&gt;&lt;D xsi:type="xsd:double"&gt;26.841759&lt;/D&gt;&lt;D xsi:type="xsd:double"&gt;4.333985&lt;/D&gt;&lt;D xsi:type="xsd:double"&gt;-5.635476&lt;/D&gt;&lt;D xsi:type="xsd:double"&gt;3.7394881&lt;/D&gt;&lt;D xsi:type="xsd:double"&gt;-15.789318&lt;/D&gt;&lt;D xsi:type="xsd:double"&gt;-10.834753&lt;/D&gt;&lt;D xsi:type="xsd:double"&gt;-14.255309&lt;/D&gt;&lt;D xsi:type="xsd:double"&gt;-12.341804&lt;/D&gt;&lt;D xsi:type="xsd:double"&gt;-12.57937&lt;/D&gt;&lt;D xsi:type="xsd:double"&gt;-13.433552&lt;/D&gt;&lt;D xsi:type="xsd:double"&gt;-18.301737&lt;/D&gt;&lt;D xsi:type="xsd:double"&gt;2.2055864&lt;/D&gt;&lt;D xsi:type="xsd:double"&gt;-10.47247&lt;/D&gt;&lt;D xsi:type="xsd:double"&gt;1.2499452&lt;/D&gt;&lt;D xsi:type="xsd:double"&gt;4.254186&lt;/D&gt;&lt;D xsi:type="xsd:double"&gt;2.4690032&lt;/D&gt;&lt;D xsi:type="xsd:double"&gt;4.7804832&lt;/D&gt;&lt;D xsi:type="xsd:double"&gt;-17.639668&lt;/D&gt;&lt;D xsi:type="xsd:double"&gt;-16.57129&lt;/D&gt;&lt;D xsi:type="xsd:double"&gt;-21.89598&lt;/D&gt;&lt;D xsi:type="xsd:double"&gt;-18.692852&lt;/D&gt;&lt;D xsi:type="xsd:double"&gt;-19.184053&lt;/D&gt;&lt;D xsi:type="xsd:double"&gt;-24.961329&lt;/D&gt;&lt;D xsi:type="xsd:double"&gt;-27.235985&lt;/D&gt;&lt;D xsi:type="xsd:double"&gt;-17.155064&lt;/D&gt;&lt;D xsi:type="xsd:double"&gt;-23.95835&lt;/D&gt;&lt;D xsi:type="xsd:double"&gt;-23.391169&lt;/D&gt;&lt;D xsi:type="xsd:double"&gt;-17.408096&lt;/D&gt;&lt;D xsi:type="xsd:double"&gt;-1.8498957&lt;/D&gt;&lt;D xsi:type="xsd:double"&gt;7.19769&lt;/D&gt;&lt;D xsi:type="xsd:double"&gt;5.622256&lt;/D&gt;&lt;D xsi:type="xsd:double"&gt;12.935972&lt;/D&gt;&lt;D xsi:type="xsd:double"&gt;20.043373&lt;/D&gt;&lt;D xsi:type="xsd:double"&gt;19.92842&lt;/D&gt;&lt;D xsi:type="xsd:double"&gt;40.17205&lt;/D&gt;&lt;D xsi:type="xsd:double"&gt;44.502686&lt;/D&gt;&lt;D xsi:type="xsd:double"&gt;36.67027&lt;/D&gt;&lt;D xsi:type="xsd:double"&gt;43.462444&lt;/D&gt;&lt;D xsi:type="xsd:double"&gt;48.25114&lt;/D&gt;&lt;D xsi:type="xsd:double"&gt;35.996246&lt;/D&gt;&lt;D xsi:type="xsd:double"&gt;30.958294&lt;/D&gt;&lt;D xsi:type="xsd:double"&gt;42.338898&lt;/D&gt;&lt;D xsi:type="xsd:double"&gt;35.00762&lt;/D&gt;&lt;D xsi:type="xsd:double"&gt;30.973137&lt;/D&gt;&lt;D xsi:type="xsd:double"&gt;26.959455&lt;/D&gt;&lt;D xsi:type="xsd:double"&gt;10.782766&lt;/D&gt;&lt;D xsi:type="xsd:double"&gt;8.556211&lt;/D&gt;&lt;D xsi:type="xsd:double"&gt;-1.817888&lt;/D&gt;&lt;D xsi:type="xsd:double"&gt;-7.106143&lt;/D&gt;&lt;D xsi:type="xsd:double"&gt;-9.321612&lt;/D&gt;&lt;D xsi:type="xsd:double"&gt;-14.543146&lt;/D&gt;&lt;D xsi:type="xsd:double"&gt;-15.611374&lt;/D&gt;&lt;D xsi:type="xsd:double"&gt;-17.777222&lt;/D&gt;&lt;D xsi:type="xsd:double"&gt;-16.593338&lt;/D&gt;&lt;D xsi:type="xsd:double"&gt;-11.240196&lt;/D&gt;&lt;D xsi:type="xsd:double"&gt;-9.883213&lt;/D&gt;&lt;D xsi:type="xsd:double"&gt;-14.90621&lt;/D&gt;&lt;D xsi:type="xsd:double"&gt;-7.7958765&lt;/D&gt;&lt;D xsi:type="xsd:double"&gt;0.34786463&lt;/D&gt;&lt;D xsi:type="xsd:double"&gt;-3.2847047&lt;/D&gt;&lt;D xsi:type="xsd:double"&gt;5.2597165&lt;/D&gt;&lt;D xsi:type="xsd:double"&gt;3.3450484&lt;/D&gt;&lt;D xsi:type="xsd:double"&gt;18.973457&lt;/D&gt;&lt;D xsi:type="xsd:double"&gt;20.614338&lt;/D&gt;&lt;D xsi:type="xsd:double"&gt;23.91057&lt;/D&gt;&lt;D xsi:type="xsd:double"&gt;19.193518&lt;/D&gt;&lt;D xsi:type="xsd:double"&gt;0.08419752&lt;/D&gt;&lt;D xsi:type="xsd:double"&gt;-23.49053&lt;/D&gt;&lt;D xsi:type="xsd:double"&gt;-24.119026&lt;/D&gt;&lt;D xsi:type="xsd:double"&gt;-1.9382656&lt;/D&gt;&lt;D xsi:type="xsd:double"&gt;-9.812755&lt;/D&gt;&lt;D xsi:type="xsd:double"&gt;-2.0060182&lt;/D&gt;&lt;D xsi:type="xsd:double"&gt;-5.4678917&lt;/D&gt;&lt;D xsi:type="xsd:double"&gt;-6.820667&lt;/D&gt;&lt;D xsi:type="xsd:double"&gt;-11.377043&lt;/D&gt;&lt;D xsi:type="xsd:double"&gt;2.946353&lt;/D&gt;&lt;D xsi:type="xsd:double"&gt;5.115092&lt;/D&gt;&lt;D xsi:type="xsd:double"&gt;3.827548&lt;/D&gt;&lt;D xsi:type="xsd:double"&gt;15.485263&lt;/D&gt;&lt;D xsi:type="xsd:double"&gt;56.72455&lt;/D&gt;&lt;D xsi:type="xsd:double"&gt;62.968983&lt;/D&gt;&lt;D xsi:type="xsd:double"&gt;41.094337&lt;/D&gt;&lt;D xsi:type="xsd:double"&gt;32.189404&lt;/D&gt;&lt;D xsi:type="xsd:double"&gt;31.749905&lt;/D&gt;&lt;D xsi:type="xsd:double"&gt;33.085884&lt;/D&gt;&lt;D xsi:type="xsd:double"&gt;31.62154&lt;/D&gt;&lt;D xsi:type="xsd:double"&gt;38.408707&lt;/D&gt;&lt;D xsi:type="xsd:double"&gt;12.592279&lt;/D&gt;&lt;D xsi:type="xsd:double"&gt;11.666441&lt;/D&gt;&lt;D xsi:type="xsd:double"&gt;12.1616955&lt;/D&gt;&lt;D xsi:type="xsd:double"&gt;-8.70803&lt;/D&gt;&lt;D xsi:type="xsd:double"&gt;-7.180989&lt;/D&gt;&lt;D xsi:type="xsd:double"&gt;-14.343816&lt;/D&gt;&lt;D xsi:type="xsd:double"&gt;-13.621891&lt;/D&gt;&lt;D xsi:type="xsd:double"&gt;-25.275242&lt;/D&gt;&lt;D xsi:type="xsd:double"&gt;-21.485579&lt;/D&gt;&lt;D xsi:type="xsd:double"&gt;-28.203785&lt;/D&gt;&lt;D xsi:type="xsd:double"&gt;-27.319973&lt;/D&gt;&lt;D xsi:type="xsd:double"&gt;-23.29244&lt;/D&gt;&lt;D xsi:type="xsd:double"&gt;-11.368632&lt;/D&gt;&lt;D xsi:type="xsd:double"&gt;-10.4612465&lt;/D&gt;&lt;D xsi:type="xsd:double"&gt;-3.8590312&lt;/D&gt;&lt;D xsi:type="xsd:double"&gt;21.426083&lt;/D&gt;&lt;D xsi:type="xsd:double"&gt;11.941921&lt;/D&gt;&lt;D xsi:type="xsd:double"&gt;22.810614&lt;/D&gt;&lt;D xsi:type="xsd:double"&gt;12.128555&lt;/D&gt;&lt;D xsi:type="xsd:double"&gt;39.319073&lt;/D&gt;&lt;D xsi:type="xsd:double"&gt;35.33162&lt;/D&gt;&lt;D xsi:type="xsd:double"&gt;42.50058&lt;/D&gt;&lt;D xsi:type="xsd:double"&gt;41.49431&lt;/D&gt;&lt;D xsi:type="xsd:double"&gt;29.784906&lt;/D&gt;&lt;D xsi:type="xsd:double"&gt;25.621784&lt;/D&gt;&lt;D xsi:type="xsd:double"&gt;25.745142&lt;/D&gt;&lt;D xsi:type="xsd:double"&gt;16.934658&lt;/D&gt;&lt;D xsi:type="xsd:double"&gt;23.01587&lt;/D&gt;&lt;D xsi:type="xsd:double"&gt;26.135612&lt;/D&gt;&lt;D xsi:type="xsd:double"&gt;21.18863&lt;/D&gt;&lt;D xsi:type="xsd:double"&gt;31.537878&lt;/D&gt;&lt;/FQL&gt;&lt;FQL&gt;&lt;Q&gt;EWN^FG_TOTAL_RETURNC(-10AY,0,AM)&lt;/Q&gt;&lt;R&gt;121&lt;/R&gt;&lt;C&gt;1&lt;/C&gt;&lt;D xsi:type="xsd:double"&gt;3.3738732&lt;/D&gt;&lt;D xsi:type="xsd:double"&gt;0.13731718&lt;/D&gt;&lt;D xsi:type="xsd:double"&gt;-8.220762&lt;/D&gt;&lt;D xsi:type="xsd:double"&gt;4.4995785&lt;/D&gt;&lt;D xsi:type="xsd:double"&gt;-4.2655888&lt;/D&gt;&lt;D xsi:type="xsd:double"&gt;-0.2101779&lt;/D&gt;&lt;D xsi:type="xsd:double"&gt;5.3917527&lt;/D&gt;&lt;D xsi:type="xsd:double"&gt;-8.761698&lt;/D&gt;&lt;D xsi:type="xsd:double"&gt;5.18682&lt;/D&gt;&lt;D xsi:type="xsd:double"&gt;5.766821&lt;/D&gt;&lt;D xsi:type="xsd:double"&gt;3.2398224&lt;/D&gt;&lt;D xsi:type="xsd:double"&gt;-0.4592359&lt;/D&gt;&lt;D xsi:type="xsd:double"&gt;0.34601688&lt;/D&gt;&lt;D xsi:type="xsd:double"&gt;-3.047502&lt;/D&gt;&lt;D xsi:type="xsd:double"&gt;6.237507&lt;/D&gt;&lt;D xsi:type="xsd:double"&gt;-10.613471&lt;/D&gt;&lt;D xsi:type="xsd:double"&gt;2.4842143&lt;/D&gt;&lt;D xsi:type="xsd:double"&gt;3.122437&lt;/D&gt;&lt;D xsi:type="xsd:double"&gt;-2.1912396&lt;/D&gt;&lt;D xsi:type="xsd:double"&gt;-6.0653505&lt;/D&gt;&lt;D xsi:type="xsd:double"&gt;-0.43630004&lt;/D&gt;&lt;D xsi:type="xsd:double"&gt;3.6371589&lt;/D&gt;&lt;D xsi:type="xsd:double"&gt;3.002119&lt;/D&gt;&lt;D xsi:type="xsd:double"&gt;0&lt;/D&gt;&lt;D xsi:type="xsd:double"&gt;3.5303712&lt;/D&gt;&lt;D xsi:type="xsd:double"&gt;-10.219187&lt;/D&gt;&lt;D xsi:type="xsd:double"&gt;7.5268865&lt;/D&gt;&lt;D xsi:type="xsd:double"&gt;5.708337&lt;/D&gt;&lt;D xsi:type="xsd:double"&gt;-0.82775354&lt;/D&gt;&lt;D xsi:type="xsd:double"&gt;-4.848963&lt;/D&gt;&lt;D xsi:type="xsd:double"&gt;-0.29239655&lt;/D&gt;&lt;D xsi:type="xsd:double"&gt;3.3678055&lt;/D&gt;&lt;D xsi:type="xsd:double"&gt;2.134645&lt;/D&gt;&lt;D xsi:type="xsd:double"&gt;3.9991975&lt;/D&gt;&lt;D xsi:type="xsd:double"&gt;3.246379&lt;/D&gt;&lt;D xsi:type="xsd:double"&gt;9.114731&lt;/D&gt;&lt;D xsi:type="xsd:double"&gt;1.2006879&lt;/D&gt;&lt;D xsi:type="xsd:double"&gt;-0.8328438&lt;/D&gt;&lt;D xsi:type="xsd:double"&gt;7.128024&lt;/D&gt;&lt;D xsi:type="xsd:double"&gt;-0.936687&lt;/D&gt;&lt;D xsi:type="xsd:double"&gt;2.1193385&lt;/D&gt;&lt;D xsi:type="xsd:double"&gt;0.7662773&lt;/D&gt;&lt;D xsi:type="xsd:double"&gt;-0.8555114&lt;/D&gt;&lt;D xsi:type="xsd:double"&gt;4.487014&lt;/D&gt;&lt;D xsi:type="xsd:double"&gt;-0.6767094&lt;/D&gt;&lt;D xsi:type="xsd:double"&gt;-0.24775863&lt;/D&gt;&lt;D xsi:type="xsd:double"&gt;-0.83824396&lt;/D&gt;&lt;D xsi:type="xsd:double"&gt;0.06260872&lt;/D&gt;&lt;D xsi:type="xsd:double"&gt;0.93866587&lt;/D&gt;&lt;D xsi:type="xsd:double"&gt;-2.7524948&lt;/D&gt;&lt;D xsi:type="xsd:double"&gt;2.3647547&lt;/D&gt;&lt;D xsi:type="xsd:double"&gt;-4.4620275&lt;/D&gt;&lt;D xsi:type="xsd:double"&gt;-2.616763&lt;/D&gt;&lt;D xsi:type="xsd:double"&gt;-2.4149656&lt;/D&gt;&lt;D xsi:type="xsd:double"&gt;-3.590101&lt;/D&gt;&lt;D xsi:type="xsd:double"&gt;-3.8050473&lt;/D&gt;&lt;D xsi:type="xsd:double"&gt;9.780968&lt;/D&gt;&lt;D xsi:type="xsd:double"&gt;1.1695862&lt;/D&gt;&lt;D xsi:type="xsd:double"&gt;4.318261&lt;/D&gt;&lt;D xsi:type="xsd:double"&gt;1.9556761&lt;/D&gt;&lt;D xsi:type="xsd:double"&gt;-3.069055&lt;/D&gt;&lt;D xsi:type="xsd:double"&gt;5.063033&lt;/D&gt;&lt;D xsi:type="xsd:double"&gt;-3.4737885&lt;/D&gt;&lt;D xsi:type="xsd:double"&gt;4.3985367&lt;/D&gt;&lt;D xsi:type="xsd:double"&gt;-0.9894669&lt;/D&gt;&lt;D xsi:type="xsd:double"&gt;5.222428&lt;/D&gt;&lt;D xsi:type="xsd:double"&gt;1.3174057&lt;/D&gt;&lt;D xsi:type="xsd:double"&gt;2.5058866&lt;/D&gt;&lt;D xsi:type="xsd:double"&gt;1.3921857&lt;/D&gt;&lt;D xsi:type="xsd:double"&gt;-10.371017&lt;/D&gt;&lt;D xsi:type="xsd:double"&gt;-13.885265&lt;/D&gt;&lt;D xsi:type="xsd:double"&gt;4.9583673&lt;/D&gt;&lt;D xsi:type="xsd:double"&gt;18.860435&lt;/D&gt;&lt;D xsi:type="xsd:double"&gt;3.7748694&lt;/D&gt;&lt;D xsi:type="xsd:double"&gt;3.6176443&lt;/D&gt;&lt;D xsi:type="xsd:double"&gt;-1.0218561&lt;/D&gt;&lt;D xsi:type="xsd:double"&gt;1.3191938&lt;/D&gt;&lt;D xsi:type="xsd:double"&gt;5.519378&lt;/D&gt;&lt;D xsi:type="xsd:double"&gt;8.503222&lt;/D&gt;&lt;D xsi:type="xsd:double"&gt;4.7418118&lt;/D&gt;&lt;D xsi:type="xsd:double"&gt;3.7887812&lt;/D&gt;&lt;D xsi:type="xsd:double"&gt;-0.79854727&lt;/D&gt;&lt;D xsi:type="xsd:double"&gt;9.222639&lt;/D&gt;&lt;D xsi:type="xsd:double"&gt;2.1899343&lt;/D&gt;&lt;D xsi:type="xsd:double"&gt;2.9466271&lt;/D&gt;&lt;D xsi:type="xsd:double"&gt;-3.2465637&lt;/D&gt;&lt;D xsi:type="xsd:double"&gt;5.0603867&lt;/D&gt;&lt;D xsi:type="xsd:double"&gt;6.382549&lt;/D&gt;&lt;D xsi:type="xsd:double"&gt;-8.664054&lt;/D&gt;&lt;D xsi:type="xsd:double"&gt;8.363926&lt;/D&gt;&lt;D xsi:type="xsd:double"&gt;-8.697289&lt;/D&gt;&lt;D xsi:type="xsd:double"&gt;1.4484406&lt;/D&gt;&lt;D xsi:type="xsd:double"&gt;-5.834353&lt;/D&gt;&lt;D xsi:type="xsd:double"&gt;-16.269493&lt;/D&gt;&lt;D xsi:type="xsd:double"&gt;6.7011595&lt;/D&gt;&lt;D xsi:type="xsd:double"&gt;-9.966051&lt;/D&gt;&lt;D xsi:type="xsd:double"&gt;6.167507&lt;/D&gt;&lt;D xsi:type="xsd:double"&gt;-13.057107&lt;/D&gt;&lt;D xsi:type="xsd:double"&gt;11.291754&lt;/D&gt;&lt;D xsi:type="xsd:double"&gt;-11.792832&lt;/D&gt;&lt;D xsi:type="xsd:double"&gt;-2.981025&lt;/D&gt;&lt;D xsi:type="xsd:double"&gt;3.3985019&lt;/D&gt;&lt;D xsi:type="xsd:double"&gt;15.56356&lt;/D&gt;&lt;D xsi:type="xsd:double"&gt;3.8879156&lt;/D&gt;&lt;D xsi:type="xsd:double"&gt;5.7232738&lt;/D&gt;&lt;D xsi:type="xsd:double"&gt;-1.3206422&lt;/D&gt;&lt;D xsi:type="xsd:double"&gt;1.326263&lt;/D&gt;&lt;D xsi:type="xsd:double"&gt;0.5949497&lt;/D&gt;&lt;D xsi:type="xsd:double"&gt;0.40217638&lt;/D&gt;&lt;D xsi:type="xsd:double"&gt;0.42939186&lt;/D&gt;&lt;D xsi:type="xsd:double"&gt;2.7995229&lt;/D&gt;&lt;D xsi:type="xsd:double"&gt;-6.2081757&lt;/D&gt;&lt;D xsi:type="xsd:double"&gt;-6.274605&lt;/D&gt;&lt;D xsi:type="xsd:double"&gt;2.9404044&lt;/D&gt;&lt;D xsi:type="xsd:double"&gt;7.753122&lt;/D&gt;&lt;D xsi:type="xsd:double"&gt;2.2806883&lt;/D&gt;&lt;D xsi:type="xsd:double"&gt;7.530892&lt;/D&gt;&lt;D xsi:type="xsd:double"&gt;5.5941105&lt;/D&gt;&lt;D xsi:type="xsd:double"&gt;2.1355271&lt;/D&gt;&lt;D xsi:type="xsd:double"&gt;-0.20105243&lt;/D&gt;&lt;D xsi:type="xsd:double"&gt;6.0435176&lt;/D&gt;&lt;/FQL&gt;&lt;FQL&gt;&lt;Q&gt;SPY^FMA_DIV_YLD(NTMA,-10AY,0,AM,"PORTAGG","MEANR")&lt;/Q&gt;&lt;R&gt;121&lt;/R&gt;&lt;C&gt;1&lt;/C&gt;&lt;D xsi:type="xsd:double"&gt;2.09874950053167&lt;/D&gt;&lt;D xsi:type="xsd:double"&gt;2.07287838127132&lt;/D&gt;&lt;D xsi:type="xsd:double"&gt;2.16442831975938&lt;/D&gt;&lt;D xsi:type="xsd:double"&gt;2.08219627248286&lt;/D&gt;&lt;D xsi:type="xsd:double"&gt;2.14308406249087&lt;/D&gt;&lt;D xsi:type="xsd:double"&gt;2.09562236670916&lt;/D&gt;&lt;D xsi:type="xsd:double"&gt;2.07069378160549&lt;/D&gt;&lt;D xsi:type="xsd:double"&gt;2.16357041844717&lt;/D&gt;&lt;D xsi:type="xsd:double"&gt;2.14225873981895&lt;/D&gt;&lt;D xsi:type="xsd:double"&gt;2.17023939518584&lt;/D&gt;&lt;D xsi:type="xsd:double"&gt;2.16685284125469&lt;/D&gt;&lt;D xsi:type="xsd:double"&gt;2.18055949644479&lt;/D&gt;&lt;D xsi:type="xsd:double"&gt;2.17737742560943&lt;/D&gt;&lt;D xsi:type="xsd:double"&gt;2.20236772976566&lt;/D&gt;&lt;D xsi:type="xsd:double"&gt;2.21558502483705&lt;/D&gt;&lt;D xsi:type="xsd:double"&gt;2.41531906080632&lt;/D&gt;&lt;D xsi:type="xsd:double"&gt;2.34849887610687&lt;/D&gt;&lt;D xsi:type="xsd:double"&gt;2.23665278271199&lt;/D&gt;&lt;D xsi:type="xsd:double"&gt;2.2641211874548&lt;/D&gt;&lt;D xsi:type="xsd:double"&gt;2.38135716972919&lt;/D&gt;&lt;D xsi:type="xsd:double"&gt;2.45182025901469&lt;/D&gt;&lt;D xsi:type="xsd:double"&gt;2.47519773454617&lt;/D&gt;&lt;D xsi:type="xsd:double"&gt;2.29179874134034&lt;/D&gt;&lt;D xsi:type="xsd:double"&gt;2.29270141173246&lt;/D&gt;&lt;D xsi:type="xsd:double"&gt;2.26176671969918&lt;/D&gt;&lt;D xsi:type="xsd:double"&gt;2.28067494817223&lt;/D&gt;&lt;D xsi:type="xsd:double"&gt;2.20251445545465&lt;/D&gt;&lt;D xsi:type="xsd:double"&gt;2.20804672211248&lt;/D&gt;&lt;D xsi:type="xsd:double"&gt;2.22921291771373&lt;/D&gt;&lt;D xsi:type="xsd:double"&gt;2.32384116037786&lt;/D&gt;&lt;D xsi:type="xsd:double"&gt;2.20286658611757&lt;/D&gt;&lt;D xsi:type="xsd:double"&gt;2.15460539903595&lt;/D&gt;&lt;D xsi:type="xsd:double"&gt;2.15967705381808&lt;/D&gt;&lt;D xsi:type="xsd:double"&gt;2.09732360866114&lt;/D&gt;&lt;D xsi:type="xsd:double"&gt;2.12213276527342&lt;/D&gt;&lt;D xsi:type="xsd:double"&gt;2.09855010863938&lt;/D&gt;&lt;D xsi:type="xsd:double"&gt;2.08512556246108&lt;/D&gt;&lt;D xsi:type="xsd:double"&gt;2.12514311538192&lt;/D&gt;&lt;D xsi:type="xsd:double"&gt;2.08220043472711&lt;/D&gt;&lt;D xsi:type="xsd:double"&gt;2.10425755679001&lt;/D&gt;&lt;D xsi:type="xsd:double"&gt;2.03837399615971&lt;/D&gt;&lt;D xsi:type="xsd:double"&gt;2.02316272382373&lt;/D&gt;&lt;D xsi:type="xsd:double"&gt;1.98614513718295&lt;/D&gt;&lt;D xsi:type="xsd:double"&gt;1.91577386898982&lt;/D&gt;&lt;D xsi:type="xsd:double"&gt;1.97894825160735&lt;/D&gt;&lt;D xsi:type="xsd:double"&gt;1.98049447688898&lt;/D&gt;&lt;D xsi:type="xsd:double"&gt;2.09006805519341&lt;/D&gt;&lt;D xsi:type="xsd:double"&gt;2.06639210659848&lt;/D&gt;&lt;D xsi:type="xsd:double"&gt;1.99831090663892&lt;/D&gt;&lt;D xsi:type="xsd:double"&gt;2.02899688068925&lt;/D&gt;&lt;D xsi:type="xsd:double"&gt;1.98289724726197&lt;/D&gt;&lt;D xsi:type="xsd:double"&gt;1.97336093249728&lt;/D&gt;&lt;D xsi:type="xsd:double"&gt;1.98040058262349&lt;/D&gt;&lt;D xsi:type="xsd:double"&gt;2.07723599672442&lt;/D&gt;&lt;D xsi:type="xsd:double"&gt;2.13859687394249&lt;/D&gt;&lt;D xsi:type="xsd:double"&gt;2.29908188709377&lt;/D&gt;&lt;D xsi:type="xsd:double"&gt;2.14321607957628&lt;/D&gt;&lt;D xsi:type="xsd:double"&gt;2.12051483531305&lt;/D&gt;&lt;D xsi:type="xsd:double"&gt;2.05074860195764&lt;/D&gt;&lt;D xsi:type="xsd:double"&gt;2.03299881556124&lt;/D&gt;&lt;D xsi:type="xsd:double"&gt;2.11116395593936&lt;/D&gt;&lt;D xsi:type="xsd:double"&gt;2.01572118645368&lt;/D&gt;&lt;D xsi:type="xsd:double"&gt;2.10332647531823&lt;/D&gt;&lt;D xsi:type="xsd:double"&gt;2.0461837942364&lt;/D&gt;&lt;D xsi:type="xsd:double"&gt;2.0732652104928&lt;/D&gt;&lt;D xsi:type="xsd:double"&gt;2.00561938425257&lt;/D&gt;&lt;D xsi:type="xsd:double"&gt;1.97284994136286&lt;/D&gt;&lt;D xsi:type="xsd:double"&gt;1.92555891105131&lt;/D&gt;&lt;D xsi:type="xsd:double"&gt;1.88569815484305&lt;/D&gt;&lt;D xsi:type="xsd:double"&gt;2.13470753282309&lt;/D&gt;&lt;D xsi:type="xsd:double"&gt;2.34228846576635&lt;/D&gt;&lt;D xsi:type="xsd:double"&gt;2.13256087418088&lt;/D&gt;&lt;D xsi:type="xsd:double"&gt;1.88872635899281&lt;/D&gt;&lt;D xsi:type="xsd:double"&gt;1.87900936641964&lt;/D&gt;&lt;D xsi:type="xsd:double"&gt;1.77730609910617&lt;/D&gt;&lt;D xsi:type="xsd:double"&gt;1.74173338276709&lt;/D&gt;&lt;D xsi:type="xsd:double"&gt;1.77705863597968&lt;/D&gt;&lt;D xsi:type="xsd:double"&gt;1.70801612603208&lt;/D&gt;&lt;D xsi:type="xsd:double"&gt;1.62208323933263&lt;/D&gt;&lt;D xsi:type="xsd:double"&gt;1.58144879819163&lt;/D&gt;&lt;D xsi:type="xsd:double"&gt;1.54276610518147&lt;/D&gt;&lt;D xsi:type="xsd:double"&gt;1.56901380446748&lt;/D&gt;&lt;D xsi:type="xsd:double"&gt;1.48827651098629&lt;/D&gt;&lt;D xsi:type="xsd:double"&gt;1.45355103766857&lt;/D&gt;&lt;D xsi:type="xsd:double"&gt;1.45319438417443&lt;/D&gt;&lt;D xsi:type="xsd:double"&gt;1.43178843548281&lt;/D&gt;&lt;D xsi:type="xsd:double"&gt;1.41797160601292&lt;/D&gt;&lt;D xsi:type="xsd:double"&gt;1.39709799464068&lt;/D&gt;&lt;D xsi:type="xsd:double"&gt;1.45884050856292&lt;/D&gt;&lt;D xsi:type="xsd:double"&gt;1.36645703429069&lt;/D&gt;&lt;D xsi:type="xsd:double"&gt;1.40425336163496&lt;/D&gt;&lt;D xsi:type="xsd:double"&gt;1.37757789219207&lt;/D&gt;&lt;D xsi:type="xsd:double"&gt;1.45574928485835&lt;/D&gt;&lt;D xsi:type="xsd:double"&gt;1.52746580553944&lt;/D&gt;&lt;D xsi:type="xsd:double"&gt;1.47184335826979&lt;/D&gt;&lt;D xsi:type="xsd:double"&gt;1.60517748149701&lt;/D&gt;&lt;D xsi:type="xsd:double"&gt;1.61534455223306&lt;/D&gt;&lt;D xsi:type="xsd:double"&gt;1.74762484202599&lt;/D&gt;&lt;D xsi:type="xsd:double"&gt;1.63707192555468&lt;/D&gt;&lt;D xsi:type="xsd:double"&gt;1.7497418335563&lt;/D&gt;&lt;D xsi:type="xsd:double"&gt;1.83189021780599&lt;/D&gt;&lt;D xsi:type="xsd:double"&gt;1.83328458374818&lt;/D&gt;&lt;D xsi:type="xsd:double"&gt;1.75947008329586&lt;/D&gt;&lt;D xsi:type="xsd:double"&gt;1.78456819286165&lt;/D&gt;&lt;D xsi:type="xsd:double"&gt;1.70291843644172&lt;/D&gt;&lt;D xsi:type="xsd:double"&gt;1.73590047620133&lt;/D&gt;&lt;D xsi:type="xsd:double"&gt;1.71859505285292&lt;/D&gt;&lt;D xsi:type="xsd:double"&gt;1.70309078813362&lt;/D&gt;&lt;D xsi:type="xsd:double"&gt;1.65645051622067&lt;/D&gt;&lt;D xsi:type="xsd:double"&gt;1.61141178936201&lt;/D&gt;&lt;D xsi:type="xsd:double"&gt;1.59904650146594&lt;/D&gt;&lt;D xsi:type="xsd:double"&gt;1.61156358423363&lt;/D&gt;&lt;D xsi:type="xsd:double"&gt;1.68241468999913&lt;/D&gt;&lt;D xsi:type="xsd:double"&gt;1.66750330080869&lt;/D&gt;&lt;D xsi:type="xsd:double"&gt;1.60453226351606&lt;/D&gt;&lt;D xsi:type="xsd:double"&gt;1.56737805914559&lt;/D&gt;&lt;D xsi:type="xsd:double"&gt;1.50712283499609&lt;/D&gt;&lt;D xsi:type="xsd:double"&gt;1.47245963058709&lt;/D&gt;&lt;D xsi:type="xsd:double"&gt;1.44373541071087&lt;/D&gt;&lt;D xsi:type="xsd:double"&gt;1.47408136777443&lt;/D&gt;&lt;D xsi:type="xsd:double"&gt;1.45119487844159&lt;/D&gt;&lt;/FQL&gt;&lt;FQL&gt;&lt;Q&gt;EWU^FMA_PE(NTMA,-10AY,0,AM,"PORTAGG","MEANR")&lt;/Q&gt;&lt;R&gt;121&lt;/R&gt;&lt;C&gt;1&lt;/C&gt;&lt;D xsi:type="xsd:double"&gt;13.691689693845&lt;/D&gt;&lt;D xsi:type="xsd:double"&gt;13.8295425863518&lt;/D&gt;&lt;D xsi:type="xsd:double"&gt;13.3432076463487&lt;/D&gt;&lt;D xsi:type="xsd:double"&gt;13.5299709300625&lt;/D&gt;&lt;D xsi:type="xsd:double"&gt;12.9029895784903&lt;/D&gt;&lt;D xsi:type="xsd:double"&gt;13.1700441687714&lt;/D&gt;&lt;D xsi:type="xsd:double"&gt;13.8123218921419&lt;/D&gt;&lt;D xsi:type="xsd:double"&gt;13.2962972533536&lt;/D&gt;&lt;D xsi:type="xsd:double"&gt;15.4061475461788&lt;/D&gt;&lt;D xsi:type="xsd:double"&gt;15.5660303135901&lt;/D&gt;&lt;D xsi:type="xsd:double"&gt;15.5735549672227&lt;/D&gt;&lt;D xsi:type="xsd:double"&gt;15.9156584107041&lt;/D&gt;&lt;D xsi:type="xsd:double"&gt;15.5657557469797&lt;/D&gt;&lt;D xsi:type="xsd:double"&gt;14.9330168631313&lt;/D&gt;&lt;D xsi:type="xsd:double"&gt;15.5516208706903&lt;/D&gt;&lt;D xsi:type="xsd:double"&gt;13.8779037354283&lt;/D&gt;&lt;D xsi:type="xsd:double"&gt;14.9648929602342&lt;/D&gt;&lt;D xsi:type="xsd:double"&gt;15.2645531378868&lt;/D&gt;&lt;D xsi:type="xsd:double"&gt;15.088114860838&lt;/D&gt;&lt;D xsi:type="xsd:double"&gt;14.8244100862472&lt;/D&gt;&lt;D xsi:type="xsd:double"&gt;15.1307915439873&lt;/D&gt;&lt;D xsi:type="xsd:double"&gt;16.0190635420138&lt;/D&gt;&lt;D xsi:type="xsd:double"&gt;15.947587920191&lt;/D&gt;&lt;D xsi:type="xsd:double"&gt;15.7151276673697&lt;/D&gt;&lt;D xsi:type="xsd:double"&gt;15.8912038887185&lt;/D&gt;&lt;D xsi:type="xsd:double"&gt;15.5711592036247&lt;/D&gt;&lt;D xsi:type="xsd:double"&gt;16.1636142535901&lt;/D&gt;&lt;D xsi:type="xsd:double"&gt;16.0037530245602&lt;/D&gt;&lt;D xsi:type="xsd:double"&gt;15.6264889027724&lt;/D&gt;&lt;D xsi:type="xsd:double"&gt;14.3522619546099&lt;/D&gt;&lt;D xsi:type="xsd:double"&gt;14.2385922259725&lt;/D&gt;&lt;D xsi:type="xsd:double"&gt;14.4500724871746&lt;/D&gt;&lt;D xsi:type="xsd:double"&gt;14.2583949005923&lt;/D&gt;&lt;D xsi:type="xsd:double"&gt;14.4147792302717&lt;/D&gt;&lt;D xsi:type="xsd:double"&gt;14.3956575517123&lt;/D&gt;&lt;D xsi:type="xsd:double"&gt;14.4673287201972&lt;/D&gt;&lt;D xsi:type="xsd:double"&gt;14.7975651199731&lt;/D&gt;&lt;D xsi:type="xsd:double"&gt;14.4433633240645&lt;/D&gt;&lt;D xsi:type="xsd:double"&gt;14.8909741982064&lt;/D&gt;&lt;D xsi:type="xsd:double"&gt;14.4911020810687&lt;/D&gt;&lt;D xsi:type="xsd:double"&gt;14.6079572946423&lt;/D&gt;&lt;D xsi:type="xsd:double"&gt;14.5677691718739&lt;/D&gt;&lt;D xsi:type="xsd:double"&gt;14.1845199908847&lt;/D&gt;&lt;D xsi:type="xsd:double"&gt;14.8192911705612&lt;/D&gt;&lt;D xsi:type="xsd:double"&gt;13.4880492723672&lt;/D&gt;&lt;D xsi:type="xsd:double"&gt;13.4387091571531&lt;/D&gt;&lt;D xsi:type="xsd:double"&gt;13.4410708315087&lt;/D&gt;&lt;D xsi:type="xsd:double"&gt;13.7275503828248&lt;/D&gt;&lt;D xsi:type="xsd:double"&gt;13.6603654062543&lt;/D&gt;&lt;D xsi:type="xsd:double"&gt;13.2340943764275&lt;/D&gt;&lt;D xsi:type="xsd:double"&gt;13.1329685896235&lt;/D&gt;&lt;D xsi:type="xsd:double"&gt;12.3936183702124&lt;/D&gt;&lt;D xsi:type="xsd:double"&gt;12.4109587895274&lt;/D&gt;&lt;D xsi:type="xsd:double"&gt;11.8275132290279&lt;/D&gt;&lt;D xsi:type="xsd:double"&gt;11.262956138292&lt;/D&gt;&lt;D xsi:type="xsd:double"&gt;11.5835868385297&lt;/D&gt;&lt;D xsi:type="xsd:double"&gt;12.4473390882049&lt;/D&gt;&lt;D xsi:type="xsd:double"&gt;12.520797922937&lt;/D&gt;&lt;D xsi:type="xsd:double"&gt;12.7883971307857&lt;/D&gt;&lt;D xsi:type="xsd:double"&gt;12.6243300012092&lt;/D&gt;&lt;D xsi:type="xsd:double"&gt;12.3115267200128&lt;/D&gt;&lt;D xsi:type="xsd:double"&gt;12.6752699618371&lt;/D&gt;&lt;D xsi:type="xsd:double"&gt;11.9463918529228&lt;/D&gt;&lt;D xsi:type="xsd:double"&gt;12.2483961799062&lt;/D&gt;&lt;D xsi:type="xsd:double"&gt;12.072441573793&lt;/D&gt;&lt;D xsi:type="xsd:double"&gt;12.8730333529448&lt;/D&gt;&lt;D xsi:type="xsd:double"&gt;12.890374186244&lt;/D&gt;&lt;D xsi:type="xsd:double"&gt;13.4875571418108&lt;/D&gt;&lt;D xsi:type="xsd:double"&gt;13.4046300570585&lt;/D&gt;&lt;D xsi:type="xsd:double"&gt;11.8220949359102&lt;/D&gt;&lt;D xsi:type="xsd:double"&gt;12.1349993531405&lt;/D&gt;&lt;D xsi:type="xsd:double"&gt;14.8873239043745&lt;/D&gt;&lt;D xsi:type="xsd:double"&gt;16.9909019336216&lt;/D&gt;&lt;D xsi:type="xsd:double"&gt;16.1135270334941&lt;/D&gt;&lt;D xsi:type="xsd:double"&gt;15.4923345294182&lt;/D&gt;&lt;D xsi:type="xsd:double"&gt;14.8264427565213&lt;/D&gt;&lt;D xsi:type="xsd:double"&gt;14.4302513417847&lt;/D&gt;&lt;D xsi:type="xsd:double"&gt;13.772818764594&lt;/D&gt;&lt;D xsi:type="xsd:double"&gt;15.2025518344183&lt;/D&gt;&lt;D xsi:type="xsd:double"&gt;15.0818035803724&lt;/D&gt;&lt;D xsi:type="xsd:double"&gt;13.8148033747624&lt;/D&gt;&lt;D xsi:type="xsd:double"&gt;14.0030538222103&lt;/D&gt;&lt;D xsi:type="xsd:double"&gt;13.5874898900141&lt;/D&gt;&lt;D xsi:type="xsd:double"&gt;13.3486001183086&lt;/D&gt;&lt;D xsi:type="xsd:double"&gt;13.1803681250863&lt;/D&gt;&lt;D xsi:type="xsd:double"&gt;12.6128887889214&lt;/D&gt;&lt;D xsi:type="xsd:double"&gt;12.304873621714&lt;/D&gt;&lt;D xsi:type="xsd:double"&gt;12.2419563226345&lt;/D&gt;&lt;D xsi:type="xsd:double"&gt;11.8231275239274&lt;/D&gt;&lt;D xsi:type="xsd:double"&gt;12.1358772167425&lt;/D&gt;&lt;D xsi:type="xsd:double"&gt;11.9065578345348&lt;/D&gt;&lt;D xsi:type="xsd:double"&gt;12.30384122761&lt;/D&gt;&lt;D xsi:type="xsd:double"&gt;12.2266361075214&lt;/D&gt;&lt;D xsi:type="xsd:double"&gt;11.1822219282581&lt;/D&gt;&lt;D xsi:type="xsd:double"&gt;11.2473446731222&lt;/D&gt;&lt;D xsi:type="xsd:double"&gt;10.3021784529593&lt;/D&gt;&lt;D xsi:type="xsd:double"&gt;10.5396542265582&lt;/D&gt;&lt;D xsi:type="xsd:double"&gt;9.28098408434482&lt;/D&gt;&lt;D xsi:type="xsd:double"&gt;9.74236648986491&lt;/D&gt;&lt;D xsi:type="xsd:double"&gt;9.22629828397731&lt;/D&gt;&lt;D xsi:type="xsd:double"&gt;8.72072700799148&lt;/D&gt;&lt;D xsi:type="xsd:double"&gt;9.21074654124603&lt;/D&gt;&lt;D xsi:type="xsd:double"&gt;9.93448894936857&lt;/D&gt;&lt;D xsi:type="xsd:double"&gt;10.1828519241928&lt;/D&gt;&lt;D xsi:type="xsd:double"&gt;10.3657300945424&lt;/D&gt;&lt;D xsi:type="xsd:double"&gt;10.5290888832024&lt;/D&gt;&lt;D xsi:type="xsd:double"&gt;10.5816316697775&lt;/D&gt;&lt;D xsi:type="xsd:double"&gt;10.6292105586726&lt;/D&gt;&lt;D xsi:type="xsd:double"&gt;10.30032585404&lt;/D&gt;&lt;D xsi:type="xsd:double"&gt;10.0250846438018&lt;/D&gt;&lt;D xsi:type="xsd:double"&gt;10.5725881108624&lt;/D&gt;&lt;D xsi:type="xsd:double"&gt;10.2621314150314&lt;/D&gt;&lt;D xsi:type="xsd:double"&gt;10.243615711363&lt;/D&gt;&lt;D xsi:type="xsd:double"&gt;10.2699106780149&lt;/D&gt;&lt;D xsi:type="xsd:double"&gt;10.5185595183988&lt;/D&gt;&lt;D xsi:type="xsd:double"&gt;11.0377465597886&lt;/D&gt;&lt;D xsi:type="xsd:double"&gt;11.1380126769613&lt;/D&gt;&lt;D xsi:type="xsd:double"&gt;11.2492135293019&lt;/D&gt;&lt;D xsi:type="xsd:double"&gt;11.4735465147104&lt;/D&gt;&lt;D xsi:type="xsd:double"&gt;11.636409865565&lt;/D&gt;&lt;D xsi:type="xsd:double"&gt;11.6365834404623&lt;/D&gt;&lt;/FQL&gt;&lt;FQL&gt;&lt;Q&gt;EWJ^FMA_PE(LTMA,-10AY,0,AM,"PORTAGG","MEANR")&lt;/Q&gt;&lt;R&gt;121&lt;/R&gt;&lt;C&gt;1&lt;/C&gt;&lt;D xsi:type="xsd:double"&gt;15.3097483476255&lt;/D&gt;&lt;D xsi:type="xsd:double"&gt;15.3810728766151&lt;/D&gt;&lt;D xsi:type="xsd:double"&gt;14.9971959411728&lt;/D&gt;&lt;D xsi:type="xsd:double"&gt;15.1081770837807&lt;/D&gt;&lt;D xsi:type="xsd:double"&gt;15.1725358583169&lt;/D&gt;&lt;D xsi:type="xsd:double"&gt;15.5926291095749&lt;/D&gt;&lt;D xsi:type="xsd:double"&gt;16.2277875734756&lt;/D&gt;&lt;D xsi:type="xsd:double"&gt;15.3259386236807&lt;/D&gt;&lt;D xsi:type="xsd:double"&gt;15.6408115008451&lt;/D&gt;&lt;D xsi:type="xsd:double"&gt;16.9314156890226&lt;/D&gt;&lt;D xsi:type="xsd:double"&gt;16.8463616546683&lt;/D&gt;&lt;D xsi:type="xsd:double"&gt;16.8699678861632&lt;/D&gt;&lt;D xsi:type="xsd:double"&gt;17.1100057369139&lt;/D&gt;&lt;D xsi:type="xsd:double"&gt;16.680275437854&lt;/D&gt;&lt;D xsi:type="xsd:double"&gt;16.8999718205332&lt;/D&gt;&lt;D xsi:type="xsd:double"&gt;15.2574437940338&lt;/D&gt;&lt;D xsi:type="xsd:double"&gt;15.2638141830924&lt;/D&gt;&lt;D xsi:type="xsd:double"&gt;15.9135660672985&lt;/D&gt;&lt;D xsi:type="xsd:double"&gt;16.0308345788856&lt;/D&gt;&lt;D xsi:type="xsd:double"&gt;15.0898933568162&lt;/D&gt;&lt;D xsi:type="xsd:double"&gt;14.136253206001&lt;/D&gt;&lt;D xsi:type="xsd:double"&gt;13.9379006042755&lt;/D&gt;&lt;D xsi:type="xsd:double"&gt;13.6123365235429&lt;/D&gt;&lt;D xsi:type="xsd:double"&gt;13.6412413864766&lt;/D&gt;&lt;D xsi:type="xsd:double"&gt;14.0266504283105&lt;/D&gt;&lt;D xsi:type="xsd:double"&gt;13.6043769272777&lt;/D&gt;&lt;D xsi:type="xsd:double"&gt;13.841499679465&lt;/D&gt;&lt;D xsi:type="xsd:double"&gt;14.4661357394836&lt;/D&gt;&lt;D xsi:type="xsd:double"&gt;14.3873590197457&lt;/D&gt;&lt;D xsi:type="xsd:double"&gt;14.347881767995&lt;/D&gt;&lt;D xsi:type="xsd:double"&gt;15.902779141294&lt;/D&gt;&lt;D xsi:type="xsd:double"&gt;16.6966801191728&lt;/D&gt;&lt;D xsi:type="xsd:double"&gt;16.1928137252572&lt;/D&gt;&lt;D xsi:type="xsd:double"&gt;15.9444759453944&lt;/D&gt;&lt;D xsi:type="xsd:double"&gt;15.6070469774337&lt;/D&gt;&lt;D xsi:type="xsd:double"&gt;15.6278790724519&lt;/D&gt;&lt;D xsi:type="xsd:double"&gt;15.6783090086484&lt;/D&gt;&lt;D xsi:type="xsd:double"&gt;15.5120572397608&lt;/D&gt;&lt;D xsi:type="xsd:double"&gt;15.4156211265165&lt;/D&gt;&lt;D xsi:type="xsd:double"&gt;14.7734932699391&lt;/D&gt;&lt;D xsi:type="xsd:double"&gt;15.0267002580787&lt;/D&gt;&lt;D xsi:type="xsd:double"&gt;15.6036053866011&lt;/D&gt;&lt;D xsi:type="xsd:double"&gt;15.8223646555029&lt;/D&gt;&lt;D xsi:type="xsd:double"&gt;16.9229040055479&lt;/D&gt;&lt;D xsi:type="xsd:double"&gt;15.3749592869363&lt;/D&gt;&lt;D xsi:type="xsd:double"&gt;14.3994964697526&lt;/D&gt;&lt;D xsi:type="xsd:double"&gt;14.2408250489234&lt;/D&gt;&lt;D xsi:type="xsd:double"&gt;14.2649089849868&lt;/D&gt;&lt;D xsi:type="xsd:double"&gt;14.1723496643665&lt;/D&gt;&lt;D xsi:type="xsd:double"&gt;13.8176867822779&lt;/D&gt;&lt;D xsi:type="xsd:double"&gt;13.7742800230073&lt;/D&gt;&lt;D xsi:type="xsd:double"&gt;13.3912885867487&lt;/D&gt;&lt;D xsi:type="xsd:double"&gt;13.8262055007928&lt;/D&gt;&lt;D xsi:type="xsd:double"&gt;12.8978965008711&lt;/D&gt;&lt;D xsi:type="xsd:double"&gt;12.4317510889786&lt;/D&gt;&lt;D xsi:type="xsd:double"&gt;11.2917931477768&lt;/D&gt;&lt;D xsi:type="xsd:double"&gt;12.3706810723587&lt;/D&gt;&lt;D xsi:type="xsd:double"&gt;12.7031197572245&lt;/D&gt;&lt;D xsi:type="xsd:double"&gt;12.760892941707&lt;/D&gt;&lt;D xsi:type="xsd:double"&gt;12.7955074856193&lt;/D&gt;&lt;D xsi:type="xsd:double"&gt;12.6832810727878&lt;/D&gt;&lt;D xsi:type="xsd:double"&gt;13.0301334202961&lt;/D&gt;&lt;D xsi:type="xsd:double"&gt;12.6734186779951&lt;/D&gt;&lt;D xsi:type="xsd:double"&gt;13.0549612097348&lt;/D&gt;&lt;D xsi:type="xsd:double"&gt;13.3349983185123&lt;/D&gt;&lt;D xsi:type="xsd:double"&gt;14.319978745317&lt;/D&gt;&lt;D xsi:type="xsd:double"&gt;14.9868450768448&lt;/D&gt;&lt;D xsi:type="xsd:double"&gt;15.088609202065&lt;/D&gt;&lt;D xsi:type="xsd:double"&gt;15.5115252506952&lt;/D&gt;&lt;D xsi:type="xsd:double"&gt;13.9150146429316&lt;/D&gt;&lt;D xsi:type="xsd:double"&gt;13.7362159207764&lt;/D&gt;&lt;D xsi:type="xsd:double"&gt;14.2525442079452&lt;/D&gt;&lt;D xsi:type="xsd:double"&gt;16.1581574033087&lt;/D&gt;&lt;D xsi:type="xsd:double"&gt;17.2369246703866&lt;/D&gt;&lt;D xsi:type="xsd:double"&gt;17.9055013561502&lt;/D&gt;&lt;D xsi:type="xsd:double"&gt;19.1827587407589&lt;/D&gt;&lt;D xsi:type="xsd:double"&gt;20.3473326378296&lt;/D&gt;&lt;D xsi:type="xsd:double"&gt;21.0282566865571&lt;/D&gt;&lt;D xsi:type="xsd:double"&gt;22.4630208176504&lt;/D&gt;&lt;D xsi:type="xsd:double"&gt;23.2645468151594&lt;/D&gt;&lt;D xsi:type="xsd:double"&gt;23.6983345600669&lt;/D&gt;&lt;D xsi:type="xsd:double"&gt;21.5976677243343&lt;/D&gt;&lt;D xsi:type="xsd:double"&gt;21.2397593390262&lt;/D&gt;&lt;D xsi:type="xsd:double"&gt;20.7309110542324&lt;/D&gt;&lt;D xsi:type="xsd:double"&gt;20.270344713472&lt;/D&gt;&lt;D xsi:type="xsd:double"&gt;19.7264518778871&lt;/D&gt;&lt;D xsi:type="xsd:double"&gt;19.0046344459795&lt;/D&gt;&lt;D xsi:type="xsd:double"&gt;18.6774611627148&lt;/D&gt;&lt;D xsi:type="xsd:double"&gt;17.4536755206511&lt;/D&gt;&lt;D xsi:type="xsd:double"&gt;17.6581248985461&lt;/D&gt;&lt;D xsi:type="xsd:double"&gt;16.3153903128046&lt;/D&gt;&lt;D xsi:type="xsd:double"&gt;16.1373595066597&lt;/D&gt;&lt;D xsi:type="xsd:double"&gt;15.2522253689435&lt;/D&gt;&lt;D xsi:type="xsd:double"&gt;14.6403459535915&lt;/D&gt;&lt;D xsi:type="xsd:double"&gt;14.5424464335337&lt;/D&gt;&lt;D xsi:type="xsd:double"&gt;14.3515193762447&lt;/D&gt;&lt;D xsi:type="xsd:double"&gt;14.2590588662082&lt;/D&gt;&lt;D xsi:type="xsd:double"&gt;13.7721129354002&lt;/D&gt;&lt;D xsi:type="xsd:double"&gt;13.9287308067608&lt;/D&gt;&lt;D xsi:type="xsd:double"&gt;13.6157289219698&lt;/D&gt;&lt;D xsi:type="xsd:double"&gt;13.3508357199071&lt;/D&gt;&lt;D xsi:type="xsd:double"&gt;13.1728811602023&lt;/D&gt;&lt;D xsi:type="xsd:double"&gt;13.349743093125&lt;/D&gt;&lt;D xsi:type="xsd:double"&gt;12.6865989266868&lt;/D&gt;&lt;D xsi:type="xsd:double"&gt;13.4561355136541&lt;/D&gt;&lt;D xsi:type="xsd:double"&gt;13.7113741984137&lt;/D&gt;&lt;D xsi:type="xsd:double"&gt;13.5825968461102&lt;/D&gt;&lt;D xsi:type="xsd:double"&gt;13.816590063767&lt;/D&gt;&lt;D xsi:type="xsd:double"&gt;14.3408678651825&lt;/D&gt;&lt;D xsi:type="xsd:double"&gt;14.5743324338236&lt;/D&gt;&lt;D xsi:type="xsd:double"&gt;14.5572458564325&lt;/D&gt;&lt;D xsi:type="xsd:double"&gt;15.07215074355&lt;/D&gt;&lt;D xsi:type="xsd:double"&gt;14.5077969293225&lt;/D&gt;&lt;D xsi:type="xsd:double"&gt;15.0804946616839&lt;/D&gt;&lt;D xsi:type="xsd:double"&gt;15.2660242151196&lt;/D&gt;&lt;D xsi:type="xsd:double"&gt;15.4485811335502&lt;/D&gt;&lt;D xsi:type="xsd:double"&gt;16.3436401291512&lt;/D&gt;&lt;D xsi:type="xsd:double"&gt;17.0853854649276&lt;/D&gt;&lt;D xsi:type="xsd:double"&gt;16.8979839920528&lt;/D&gt;&lt;D xsi:type="xsd:double"&gt;16.7958867944653&lt;/D&gt;&lt;D xsi:type="xsd:double"&gt;16.8786020132602&lt;/D&gt;&lt;/FQL&gt;&lt;FQL&gt;&lt;Q&gt;WL-FDS^FG_PRICE_CHANGE(0,-1AY)&lt;/Q&gt;&lt;R&gt;1&lt;/R&gt;&lt;C&gt;1&lt;/C&gt;&lt;D xsi:type="xsd:double"&gt;-16.4107914741392&lt;/D&gt;&lt;/FQL&gt;&lt;FQL&gt;&lt;Q&gt;NI-FDS^FG_PRICE_CHANGE(0,-1AY)&lt;/Q&gt;&lt;R&gt;1&lt;/R&gt;&lt;C&gt;1&lt;/C&gt;&lt;D xsi:type="xsd:double"&gt;-13.8717339667458&lt;/D&gt;&lt;/FQL&gt;&lt;FQL&gt;&lt;Q&gt;CPALM-FDS^FG_PRICE_CHANGE(0,-1AY)&lt;/Q&gt;&lt;R&gt;1&lt;/R&gt;&lt;C&gt;1&lt;/C&gt;&lt;D xsi:type="xsd:double"&gt;17.2526817640048&lt;/D&gt;&lt;/FQL&gt;&lt;FQL&gt;&lt;Q&gt;BRENT-FDS^FG_PRICE_CHANGE(0,-1AY)&lt;/Q&gt;&lt;R&gt;1&lt;/R&gt;&lt;C&gt;1&lt;/C&gt;&lt;D xsi:type="xsd:double"&gt;12.8994082840237&lt;/D&gt;&lt;/FQL&gt;&lt;FQL&gt;&lt;Q&gt;EWD^FG_PRICE_MAVG(0,,,,30)&lt;/Q&gt;&lt;R&gt;1&lt;/R&gt;&lt;C&gt;1&lt;/C&gt;&lt;D xsi:type="xsd:double"&gt;40.7435&lt;/D&gt;&lt;/FQL&gt;&lt;FQL&gt;&lt;Q&gt;QQQ^FG_PRICE_MAVG(0,,,,30)&lt;/Q&gt;&lt;R&gt;1&lt;/R&gt;&lt;C&gt;1&lt;/C&gt;&lt;D xsi:type="xsd:double"&gt;445.89532&lt;/D&gt;&lt;/FQL&gt;&lt;FQL&gt;&lt;Q&gt;EWN^FG_COMPANY_NAME&lt;/Q&gt;&lt;R&gt;1&lt;/R&gt;&lt;C&gt;1&lt;/C&gt;&lt;D xsi:type="xsd:string"&gt;iShares MSCI Netherlands ETF&lt;/D&gt;&lt;/FQL&gt;&lt;FQL&gt;&lt;Q&gt;EWJ^P_PRICE(0)/P_PRICE_HIGH_PR(0,,,,,,"PRICE","INTRA","52W")&lt;/Q&gt;&lt;R&gt;1&lt;/R&gt;&lt;C&gt;1&lt;/C&gt;&lt;D xsi:type="xsd:double"&gt;0.9607992&lt;/D&gt;&lt;/FQL&gt;&lt;FQL&gt;&lt;Q&gt;ENZL^P_PRICE(0)/P_PRICE_HIGH_PR(0,,,,,,"PRICE","INTRA","52W")&lt;/Q&gt;&lt;R&gt;1&lt;/R&gt;&lt;C&gt;1&lt;/C&gt;&lt;D xsi:type="xsd:double"&gt;0.922207&lt;/D&gt;&lt;/FQL&gt;&lt;FQL&gt;&lt;Q&gt;URTH^SIZE(FG_CONSTITUENTS)&lt;/Q&gt;&lt;R&gt;1&lt;/R&gt;&lt;C&gt;1&lt;/C&gt;&lt;D xsi:type="xsd:long"&gt;1437&lt;/D&gt;&lt;/FQL&gt;&lt;FQL&gt;&lt;Q&gt;EWN^FMA_COS_DOWN("EPS","1M",+1,0,,,"PORTAGG","MEANR")&lt;/Q&gt;&lt;R&gt;1&lt;/R&gt;&lt;C&gt;1&lt;/C&gt;&lt;D xsi:type="xsd:double"&gt;20&lt;/D&gt;&lt;/FQL&gt;&lt;FQL&gt;&lt;Q&gt;EWQ^FMA_RBICS_REV_CURRENT(30, LOC, "PORTAGG")&lt;/Q&gt;&lt;R&gt;1&lt;/R&gt;&lt;C&gt;1&lt;/C&gt;&lt;D xsi:type="xsd:double"&gt;11.8223044537397&lt;/D&gt;&lt;/FQL&gt;&lt;FQL&gt;&lt;Q&gt;EWU^FG_ROE(0)&lt;/Q&gt;&lt;R&gt;1&lt;/R&gt;&lt;C&gt;1&lt;/C&gt;&lt;D xsi:type="xsd:double"&gt;14.618163691281&lt;/D&gt;&lt;/FQL&gt;&lt;FQL&gt;&lt;Q&gt;TRYDE10Y-FDS^FG_YIELD_NAME&lt;/Q&gt;&lt;R&gt;1&lt;/R&gt;&lt;C&gt;1&lt;/C&gt;&lt;D xsi:type="xsd:string"&gt;Germany Benchmark Bond - 10 Year&lt;/D&gt;&lt;/FQL&gt;&lt;FQL&gt;&lt;Q&gt;ENZL^FG_COMPANY_NAME&lt;/Q&gt;&lt;R&gt;1&lt;/R&gt;&lt;C&gt;1&lt;/C&gt;&lt;D xsi:type="xsd:string"&gt;iShares MSCI New Zealand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xsi:type="xsd:double"&gt;25&lt;/D&gt;&lt;/FQL&gt;&lt;FQL&gt;&lt;Q&gt;TRYUS10Y-FDS^PCTCHG(FG_YIELD(0,,,,"YTM"),FG_YIELD(-3AM,,,,"YTM"))&lt;/Q&gt;&lt;R&gt;1&lt;/R&gt;&lt;C&gt;1&lt;/C&gt;&lt;D xsi:type="xsd:double"&gt;4.43713&lt;/D&gt;&lt;/FQL&gt;&lt;FQL&gt;&lt;Q&gt;TRYNZ10Y-FDS^PCTCHG(FG_YIELD(0,,,,"YTM"),FG_YIELD(-3AM,,,,"YTM"))&lt;/Q&gt;&lt;R&gt;1&lt;/R&gt;&lt;C&gt;1&lt;/C&gt;&lt;D xsi:type="xsd:double"&gt;-0.8886469&lt;/D&gt;&lt;/FQL&gt;&lt;FQL&gt;&lt;Q&gt;TRYGB10Y-FDS^FG_YIELD(0,,,,"YTM")&lt;/Q&gt;&lt;R&gt;1&lt;/R&gt;&lt;C&gt;1&lt;/C&gt;&lt;D xsi:type="xsd:double"&gt;4.189&lt;/D&gt;&lt;/FQL&gt;&lt;FQL&gt;&lt;Q&gt;CC_NL^IMF_IFS_RCPI_Q(0)&lt;/Q&gt;&lt;R&gt;1&lt;/R&gt;&lt;C&gt;1&lt;/C&gt;&lt;D xsi:type="xsd:double"&gt;3.0237906&lt;/D&gt;&lt;/FQL&gt;&lt;FQL&gt;&lt;Q&gt;SPY^FMA_ROE(NTMA,-20AY,NOW,FY,"PORTAGG","MEANR")&lt;/Q&gt;&lt;R&gt;20&lt;/R&gt;&lt;C&gt;1&lt;/C&gt;&lt;D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xsi:type="xsd:double"&gt;20.5983105929019&lt;/D&gt;&lt;D xsi:type="xsd:double"&gt;20.3505037761569&lt;/D&gt;&lt;/FQL&gt;&lt;FQL&gt;&lt;Q&gt;TRYAE10Y-FDS^FG_YIELD(-10AY,0,Y,,"YTM")&lt;/Q&gt;&lt;R&gt;10&lt;/R&gt;&lt;C&gt;1&lt;/C&gt;&lt;D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</t>
        </r>
      </text>
    </comment>
    <comment ref="A3" authorId="0" shapeId="0" xr:uid="{015F0B1C-DC23-4216-9446-EF2A4311CB8C}">
      <text>
        <r>
          <rPr>
            <b/>
            <sz val="9"/>
            <color indexed="81"/>
            <rFont val="Tahoma"/>
            <charset val="1"/>
          </rPr>
          <t>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xsi:type="xsd:double"&gt;19.102049&lt;/D&gt;&lt;D xsi:type="xsd:double"&gt;21.768236&lt;/D&gt;&lt;D xsi:type="xsd:double"&gt;4.0995836&lt;/D&gt;&lt;D xsi:type="xsd:double"&gt;6.352806&lt;/D&gt;&lt;D xsi:type="xsd:double"&gt;-1.2726307&lt;/D&gt;&lt;D xsi:type="xsd:double"&gt;-1.1193752&lt;/D&gt;&lt;D xsi:type="xsd:double"&gt;2.3420215&lt;/D&gt;&lt;D xsi:type="xsd:double"&gt;-9.7275915&lt;/D&gt;&lt;D xsi:type="xsd:double"&gt;-3.0664861&lt;/D&gt;&lt;D xsi:type="xsd:double"&gt;-6.0333967&lt;/D&gt;&lt;D xsi:type="xsd:double"&gt;-1.7928302&lt;/D&gt;&lt;D xsi:type="xsd:double"&gt;-4.275632&lt;/D&gt;&lt;D xsi:type="xsd:double"&gt;-4.5944033&lt;/D&gt;&lt;D xsi:type="xsd:double"&gt;-9.124446&lt;/D&gt;&lt;D xsi:type="xsd:double"&gt;-1.0401487&lt;/D&gt;&lt;D xsi:type="xsd:double"&gt;-8.794773&lt;/D&gt;&lt;D xsi:type="xsd:double"&gt;-2.6668787&lt;/D&gt;&lt;D xsi:type="xsd:double"&gt;-3.6618888&lt;/D&gt;&lt;D xsi:type="xsd:double"&gt;-4.1704836&lt;/D&gt;&lt;D xsi:type="xsd:double"&gt;-5.6351366&lt;/D&gt;&lt;D xsi:type="xsd:double"&gt;-14.976764&lt;/D&gt;&lt;D xsi:type="xsd:double"&gt;-13.995302&lt;/D&gt;&lt;D xsi:type="xsd:double"&gt;-11.311996&lt;/D&gt;&lt;D xsi:type="xsd:double"&gt;-10.804778&lt;/D&gt;&lt;D xsi:type="xsd:double"&gt;-8.394069&lt;/D&gt;&lt;D xsi:type="xsd:double"&gt;-11.227518&lt;/D&gt;&lt;D xsi:type="xsd:double"&gt;-8.692986&lt;/D&gt;&lt;D xsi:type="xsd:double"&gt;2.9960513&lt;/D&gt;&lt;D xsi:type="xsd:double"&gt;0.854516&lt;/D&gt;&lt;D xsi:type="xsd:double"&gt;-8.109623&lt;/D&gt;&lt;D xsi:type="xsd:double"&gt;-3.929007&lt;/D&gt;&lt;D xsi:type="xsd:double"&gt;9.540272&lt;/D&gt;&lt;D xsi:type="xsd:double"&gt;17.223476&lt;/D&gt;&lt;D xsi:type="xsd:double"&gt;11.534095&lt;/D&gt;&lt;D xsi:type="xsd:double"&gt;9.749353&lt;/D&gt;&lt;D xsi:type="xsd:double"&gt;21.79426&lt;/D&gt;&lt;D xsi:type="xsd:double"&gt;18.36506&lt;/D&gt;&lt;D xsi:type="xsd:double"&gt;32.25231&lt;/D&gt;&lt;D xsi:type="xsd:double"&gt;26.857018&lt;/D&gt;&lt;D xsi:type="xsd:double"&gt;20.97863&lt;/D&gt;&lt;D xsi:type="xsd:double"&gt;25.92585&lt;/D&gt;&lt;D xsi:type="xsd:double"&gt;35.522903&lt;/D&gt;&lt;D xsi:type="xsd:double"&gt;22.404993&lt;/D&gt;&lt;D xsi:type="xsd:double"&gt;24.137878&lt;/D&gt;&lt;D xsi:type="xsd:double"&gt;16.828453&lt;/D&gt;&lt;D xsi:type="xsd:double"&gt;14.655638&lt;/D&gt;&lt;D xsi:type="xsd:double"&gt;8.761287&lt;/D&gt;&lt;D xsi:type="xsd:double"&gt;0.7822275&lt;/D&gt;&lt;D xsi:type="xsd:double"&gt;0.14823675&lt;/D&gt;&lt;D xsi:type="xsd:double"&gt;-3.8911045&lt;/D&gt;&lt;D xsi:type="xsd:double"&gt;-2.641189&lt;/D&gt;&lt;D xsi:type="xsd:double"&gt;-3.633231&lt;/D&gt;&lt;D xsi:type="xsd:double"&gt;-7.422&lt;/D&gt;&lt;D xsi:type="xsd:double"&gt;-11.406321&lt;/D&gt;&lt;D xsi:type="xsd:double"&gt;-10.598737&lt;/D&gt;&lt;D xsi:type="xsd:double"&gt;-14.315426&lt;/D&gt;&lt;D xsi:type="xsd:double"&gt;-9.198248&lt;/D&gt;&lt;D xsi:type="xsd:double"&gt;-7.260126&lt;/D&gt;&lt;D xsi:type="xsd:double"&gt;1.2410879&lt;/D&gt;&lt;D xsi:type="xsd:double"&gt;0.2646327&lt;/D&gt;&lt;D xsi:type="xsd:double"&gt;-5.18049&lt;/D&gt;&lt;D xsi:type="xsd:double"&gt;3.0958295&lt;/D&gt;&lt;D xsi:type="xsd:double"&gt;-8.098352&lt;/D&gt;&lt;D xsi:type="xsd:double"&gt;-4.685158&lt;/D&gt;&lt;D xsi:type="xsd:double"&gt;-7.7558336&lt;/D&gt;&lt;D xsi:type="xsd:double"&gt;10.868788&lt;/D&gt;&lt;D xsi:type="xsd:double"&gt;16.95435&lt;/D&gt;&lt;D xsi:type="xsd:double"&gt;20.67014&lt;/D&gt;&lt;D xsi:type="xsd:double"&gt;16.815449&lt;/D&gt;&lt;D xsi:type="xsd:double"&gt;5.0171614&lt;/D&gt;&lt;D xsi:type="xsd:double"&gt;-16.865337&lt;/D&gt;&lt;D xsi:type="xsd:double"&gt;-11.8311405&lt;/D&gt;&lt;D xsi:type="xsd:double"&gt;13.867605&lt;/D&gt;&lt;D xsi:type="xsd:double"&gt;7.310045&lt;/D&gt;&lt;D xsi:type="xsd:double"&gt;26.182281&lt;/D&gt;&lt;D xsi:type="xsd:double"&gt;26.378452&lt;/D&gt;&lt;D xsi:type="xsd:double"&gt;26.086784&lt;/D&gt;&lt;D xsi:type="xsd:double"&gt;17.407835&lt;/D&gt;&lt;D xsi:type="xsd:double"&gt;26.56002&lt;/D&gt;&lt;D xsi:type="xsd:double"&gt;28.189957&lt;/D&gt;&lt;D xsi:type="xsd:double"&gt;26.323938&lt;/D&gt;&lt;D xsi:type="xsd:double"&gt;41.8226&lt;/D&gt;&lt;D xsi:type="xsd:double"&gt;84.05726&lt;/D&gt;&lt;D xsi:type="xsd:double"&gt;80.829445&lt;/D&gt;&lt;D xsi:type="xsd:double"&gt;54.751133&lt;/D&gt;&lt;D xsi:type="xsd:double"&gt;48.05187&lt;/D&gt;&lt;D xsi:type="xsd:double"&gt;41.927696&lt;/D&gt;&lt;D xsi:type="xsd:double"&gt;43.636013&lt;/D&gt;&lt;D xsi:type="xsd:double"&gt;28.998697&lt;/D&gt;&lt;D xsi:type="xsd:double"&gt;37.048172&lt;/D&gt;&lt;D xsi:type="xsd:double"&gt;17.293953&lt;/D&gt;&lt;D xsi:type="xsd:double"&gt;16.093075&lt;/D&gt;&lt;D xsi:type="xsd:double"&gt;6.6045284&lt;/D&gt;&lt;D xsi:type="xsd:double"&gt;-14.979535&lt;/D&gt;&lt;D xsi:type="xsd:double"&gt;-10.884487&lt;/D&gt;&lt;D xsi:type="xsd:double"&gt;-24.60363&lt;/D&gt;&lt;D xsi:type="xsd:double"&gt;-20.904667&lt;/D&gt;&lt;D xsi:type="xsd:double"&gt;-31.116772&lt;/D&gt;&lt;D xsi:type="xsd:double"&gt;-27.994287&lt;/D&gt;&lt;D xsi:type="xsd:double"&gt;-35.92541&lt;/D&gt;&lt;D xsi:type="xsd:double"&gt;-33.081264&lt;/D&gt;&lt;D xsi:type="xsd:double"&gt;-33.687996&lt;/D&gt;&lt;D xsi:type="xsd:double"&gt;-21.321285&lt;/D&gt;&lt;D xsi:type="xsd:double"&gt;-23.729342&lt;/D&gt;&lt;D xsi:type="xsd:double"&gt;-13.372916&lt;/D&gt;&lt;D xsi:type="xsd:double"&gt;8.088053&lt;/D&gt;&lt;D xsi:type="xsd:double"&gt;-6.363809&lt;/D&gt;&lt;D xsi:type="xsd:double"&gt;10.914946&lt;/D&gt;&lt;D xsi:type="xsd:double"&gt;-1.9489348&lt;/D&gt;&lt;D xsi:type="xsd:double"&gt;12.376356&lt;/D&gt;&lt;D xsi:type="xsd:double"&gt;3.5244346&lt;/D&gt;&lt;D xsi:type="xsd:double"&gt;13.746298&lt;/D&gt;&lt;D xsi:type="xsd:double"&gt;18.756378&lt;/D&gt;&lt;D xsi:type="xsd:double"&gt;8.330858&lt;/D&gt;&lt;D xsi:type="xsd:double"&gt;10.533154&lt;/D&gt;&lt;D xsi:type="xsd:double"&gt;17.330456&lt;/D&gt;&lt;D xsi:type="xsd:double"&gt;7.909775&lt;/D&gt;&lt;D xsi:type="xsd:double"&gt;14.225876&lt;/D&gt;&lt;D xsi:type="xsd:double"&gt;17.3805&lt;/D&gt;&lt;D xsi:type="xsd:double"&gt;9.969891&lt;/D&gt;&lt;D xsi:type="xsd:double"&gt;24.677967&lt;/D&gt;&lt;/FQL&gt;&lt;FQL&gt;&lt;Q&gt;EWQ^FG_TOTAL_RETURNC(-10AY,0,AM)&lt;/Q&gt;&lt;R&gt;121&lt;/R&gt;&lt;C&gt;1&lt;/C&gt;&lt;D xsi:type="xsd:double"&gt;3.1900525&lt;/D&gt;&lt;D xsi:type="xsd:double"&gt;-2.4912894&lt;/D&gt;&lt;D xsi:type="xsd:double"&gt;-8.313459&lt;/D&gt;&lt;D xsi:type="xsd:double"&gt;3.6046028&lt;/D&gt;&lt;D xsi:type="xsd:double"&gt;-7.0659933&lt;/D&gt;&lt;D xsi:type="xsd:double"&gt;-2.585876&lt;/D&gt;&lt;D xsi:type="xsd:double"&gt;3.8034916&lt;/D&gt;&lt;D xsi:type="xsd:double"&gt;-9.970676&lt;/D&gt;&lt;D xsi:type="xsd:double"&gt;8.63986&lt;/D&gt;&lt;D xsi:type="xsd:double"&gt;1.6141772&lt;/D&gt;&lt;D xsi:type="xsd:double"&gt;3.9907098&lt;/D&gt;&lt;D xsi:type="xsd:double"&gt;1.4157891&lt;/D&gt;&lt;D xsi:type="xsd:double"&gt;-1.9103527&lt;/D&gt;&lt;D xsi:type="xsd:double"&gt;-4.973358&lt;/D&gt;&lt;D xsi:type="xsd:double"&gt;8.897793&lt;/D&gt;&lt;D xsi:type="xsd:double"&gt;-10.967976&lt;/D&gt;&lt;D xsi:type="xsd:double"&gt;4.3406367&lt;/D&gt;&lt;D xsi:type="xsd:double"&gt;2.337563&lt;/D&gt;&lt;D xsi:type="xsd:double"&gt;-2.8648853&lt;/D&gt;&lt;D xsi:type="xsd:double"&gt;-7.117009&lt;/D&gt;&lt;D xsi:type="xsd:double"&gt;-2.0241141&lt;/D&gt;&lt;D xsi:type="xsd:double"&gt;3.8681269&lt;/D&gt;&lt;D xsi:type="xsd:double"&gt;0.80406666&lt;/D&gt;&lt;D xsi:type="xsd:double"&gt;1.7212391&lt;/D&gt;&lt;D xsi:type="xsd:double"&gt;2.97153&lt;/D&gt;&lt;D xsi:type="xsd:double"&gt;-9.139061&lt;/D&gt;&lt;D xsi:type="xsd:double"&gt;6.696832&lt;/D&gt;&lt;D xsi:type="xsd:double"&gt;4.3257&lt;/D&gt;&lt;D xsi:type="xsd:double"&gt;-1.7886221&lt;/D&gt;&lt;D xsi:type="xsd:double"&gt;-2.6076138&lt;/D&gt;&lt;D xsi:type="xsd:double"&gt;2.804935&lt;/D&gt;&lt;D xsi:type="xsd:double"&gt;3.5539746&lt;/D&gt;&lt;D xsi:type="xsd:double"&gt;-0.24037957&lt;/D&gt;&lt;D xsi:type="xsd:double"&gt;2.3694754&lt;/D&gt;&lt;D xsi:type="xsd:double"&gt;3.6877275&lt;/D&gt;&lt;D xsi:type="xsd:double"&gt;11.502075&lt;/D&gt;&lt;D xsi:type="xsd:double"&gt;-0.033932924&lt;/D&gt;&lt;D xsi:type="xsd:double"&gt;-0.92998147&lt;/D&gt;&lt;D xsi:type="xsd:double"&gt;4.3569207&lt;/D&gt;&lt;D xsi:type="xsd:double"&gt;-0.13360381&lt;/D&gt;&lt;D xsi:type="xsd:double"&gt;3.3444762&lt;/D&gt;&lt;D xsi:type="xsd:double"&gt;1.3592243&lt;/D&gt;&lt;D xsi:type="xsd:double"&gt;-0.7662833&lt;/D&gt;&lt;D xsi:type="xsd:double"&gt;4.0798903&lt;/D&gt;&lt;D xsi:type="xsd:double"&gt;-0.65116286&lt;/D&gt;&lt;D xsi:type="xsd:double"&gt;-1.3108611&lt;/D&gt;&lt;D xsi:type="xsd:double"&gt;0.031614304&lt;/D&gt;&lt;D xsi:type="xsd:double"&gt;3.319633&lt;/D&gt;&lt;D xsi:type="xsd:double"&gt;-0.70379376&lt;/D&gt;&lt;D xsi:type="xsd:double"&gt;-1.9379079&lt;/D&gt;&lt;D xsi:type="xsd:double"&gt;0.1283288&lt;/D&gt;&lt;D xsi:type="xsd:double"&gt;-2.9477656&lt;/D&gt;&lt;D xsi:type="xsd:double"&gt;0.5282283&lt;/D&gt;&lt;D xsi:type="xsd:double"&gt;-5.45156&lt;/D&gt;&lt;D xsi:type="xsd:double"&gt;-5.31435&lt;/D&gt;&lt;D xsi:type="xsd:double"&gt;-1.9355297&lt;/D&gt;&lt;D xsi:type="xsd:double"&gt;6.5764785&lt;/D&gt;&lt;D xsi:type="xsd:double"&gt;3.4555674&lt;/D&gt;&lt;D xsi:type="xsd:double"&gt;3.1015635&lt;/D&gt;&lt;D xsi:type="xsd:double"&gt;0.46280622&lt;/D&gt;&lt;D xsi:type="xsd:double"&gt;-2.3362935&lt;/D&gt;&lt;D xsi:type="xsd:double"&gt;5.8633327&lt;/D&gt;&lt;D xsi:type="xsd:double"&gt;-6.066537&lt;/D&gt;&lt;D xsi:type="xsd:double"&gt;4.444444&lt;/D&gt;&lt;D xsi:type="xsd:double"&gt;-1.9281924&lt;/D&gt;&lt;D xsi:type="xsd:double"&gt;7.22034&lt;/D&gt;&lt;D xsi:type="xsd:double"&gt;0.18969774&lt;/D&gt;&lt;D xsi:type="xsd:double"&gt;3.5649896&lt;/D&gt;&lt;D xsi:type="xsd:double"&gt;-1.0076404&lt;/D&gt;&lt;D xsi:type="xsd:double"&gt;-11.967916&lt;/D&gt;&lt;D xsi:type="xsd:double"&gt;-18.60547&lt;/D&gt;&lt;D xsi:type="xsd:double"&gt;1.0331511&lt;/D&gt;&lt;D xsi:type="xsd:double"&gt;23.008108&lt;/D&gt;&lt;D xsi:type="xsd:double"&gt;-1.089859&lt;/D&gt;&lt;D xsi:type="xsd:double"&gt;1.9034147&lt;/D&gt;&lt;D xsi:type="xsd:double"&gt;1.3836026&lt;/D&gt;&lt;D xsi:type="xsd:double"&gt;-3.2753289&lt;/D&gt;&lt;D xsi:type="xsd:double"&gt;3.0335069&lt;/D&gt;&lt;D xsi:type="xsd:double"&gt;15.2687435&lt;/D&gt;&lt;D xsi:type="xsd:double"&gt;1.8679738&lt;/D&gt;&lt;D xsi:type="xsd:double"&gt;-1.1426866&lt;/D&gt;&lt;D xsi:type="xsd:double"&gt;1.30409&lt;/D&gt;&lt;D xsi:type="xsd:double"&gt;4.2714953&lt;/D&gt;&lt;D xsi:type="xsd:double"&gt;6.172836&lt;/D&gt;&lt;D xsi:type="xsd:double"&gt;3.6205053&lt;/D&gt;&lt;D xsi:type="xsd:double"&gt;-3.0349255&lt;/D&gt;&lt;D xsi:type="xsd:double"&gt;3.9627671&lt;/D&gt;&lt;D xsi:type="xsd:double"&gt;-0.15349388&lt;/D&gt;&lt;D xsi:type="xsd:double"&gt;-4.176265&lt;/D&gt;&lt;D xsi:type="xsd:double"&gt;8.021391&lt;/D&gt;&lt;D xsi:type="xsd:double"&gt;-5.297035&lt;/D&gt;&lt;D xsi:type="xsd:double"&gt;4.9957514&lt;/D&gt;&lt;D xsi:type="xsd:double"&gt;-2.2256315&lt;/D&gt;&lt;D xsi:type="xsd:double"&gt;-16.457355&lt;/D&gt;&lt;D xsi:type="xsd:double"&gt;6.7647934&lt;/D&gt;&lt;D xsi:type="xsd:double"&gt;-5.280137&lt;/D&gt;&lt;D xsi:type="xsd:double"&gt;6.875181&lt;/D&gt;&lt;D xsi:type="xsd:double"&gt;-12.771731&lt;/D&gt;&lt;D xsi:type="xsd:double"&gt;8.823526&lt;/D&gt;&lt;D xsi:type="xsd:double"&gt;-8.73664&lt;/D&gt;&lt;D xsi:type="xsd:double"&gt;-3.9944947&lt;/D&gt;&lt;D xsi:type="xsd:double"&gt;10.186518&lt;/D&gt;&lt;D xsi:type="xsd:double"&gt;9.505213&lt;/D&gt;&lt;D xsi:type="xsd:double"&gt;4.2689204&lt;/D&gt;&lt;D xsi:type="xsd:double"&gt;4.7210217&lt;/D&gt;&lt;D xsi:type="xsd:double"&gt;2.0491838&lt;/D&gt;&lt;D xsi:type="xsd:double"&gt;2.2489905&lt;/D&gt;&lt;D xsi:type="xsd:double"&gt;3.1683803&lt;/D&gt;&lt;D xsi:type="xsd:double"&gt;-4.6700535&lt;/D&gt;&lt;D xsi:type="xsd:double"&gt;0.2758503&lt;/D&gt;&lt;D xsi:type="xsd:double"&gt;3.338766&lt;/D&gt;&lt;D xsi:type="xsd:double"&gt;-3.8350403&lt;/D&gt;&lt;D xsi:type="xsd:double"&gt;-3.1685352&lt;/D&gt;&lt;D xsi:type="xsd:double"&gt;-0.028216839&lt;/D&gt;&lt;D xsi:type="xsd:double"&gt;6.2076807&lt;/D&gt;&lt;D xsi:type="xsd:double"&gt;1.8278837&lt;/D&gt;&lt;D xsi:type="xsd:double"&gt;1.5493631&lt;/D&gt;&lt;D xsi:type="xsd:double"&gt;4.758215&lt;/D&gt;&lt;D xsi:type="xsd:double"&gt;0.7652521&lt;/D&gt;&lt;D xsi:type="xsd:double"&gt;0.195992&lt;/D&gt;&lt;D xsi:type="xsd:double"&gt;3.080678&lt;/D&gt;&lt;/FQL&gt;&lt;FQL&gt;&lt;Q&gt;QQQ^FMA_DIV_YLD(NTMA,-10AY,0,AM,"PORTAGG","MEANR")&lt;/Q&gt;&lt;R&gt;121&lt;/R&gt;&lt;C&gt;1&lt;/C&gt;&lt;D xsi:type="xsd:double"&gt;1.2935133528735&lt;/D&gt;&lt;D xsi:type="xsd:double"&gt;1.24295239364795&lt;/D&gt;&lt;D xsi:type="xsd:double"&gt;1.27262744350757&lt;/D&gt;&lt;D xsi:type="xsd:double"&gt;1.2097027697176&lt;/D&gt;&lt;D xsi:type="xsd:double"&gt;1.25023196436983&lt;/D&gt;&lt;D xsi:type="xsd:double"&gt;1.22478969380234&lt;/D&gt;&lt;D xsi:type="xsd:double"&gt;1.19951148862498&lt;/D&gt;&lt;D xsi:type="xsd:double"&gt;1.24421411638127&lt;/D&gt;&lt;D xsi:type="xsd:double"&gt;1.26378981655031&lt;/D&gt;&lt;D xsi:type="xsd:double"&gt;1.24707005571013&lt;/D&gt;&lt;D xsi:type="xsd:double"&gt;1.27301150113455&lt;/D&gt;&lt;D xsi:type="xsd:double"&gt;1.2669829701531&lt;/D&gt;&lt;D xsi:type="xsd:double"&gt;1.24874124183833&lt;/D&gt;&lt;D xsi:type="xsd:double"&gt;1.26799587881068&lt;/D&gt;&lt;D xsi:type="xsd:double"&gt;1.28097346647296&lt;/D&gt;&lt;D xsi:type="xsd:double"&gt;1.39250307387024&lt;/D&gt;&lt;D xsi:type="xsd:double"&gt;1.35618272419182&lt;/D&gt;&lt;D xsi:type="xsd:double"&gt;1.25695128964085&lt;/D&gt;&lt;D xsi:type="xsd:double"&gt;1.2594201906243&lt;/D&gt;&lt;D xsi:type="xsd:double"&gt;1.3040370770279&lt;/D&gt;&lt;D xsi:type="xsd:double"&gt;1.46120013120521&lt;/D&gt;&lt;D xsi:type="xsd:double"&gt;1.37525834454113&lt;/D&gt;&lt;D xsi:type="xsd:double"&gt;1.31686512828147&lt;/D&gt;&lt;D xsi:type="xsd:double"&gt;1.39634986907099&lt;/D&gt;&lt;D xsi:type="xsd:double"&gt;1.34219937845684&lt;/D&gt;&lt;D xsi:type="xsd:double"&gt;1.35854718278324&lt;/D&gt;&lt;D xsi:type="xsd:double"&gt;1.27754360869111&lt;/D&gt;&lt;D xsi:type="xsd:double"&gt;1.27612194404185&lt;/D&gt;&lt;D xsi:type="xsd:double"&gt;1.26155338638722&lt;/D&gt;&lt;D xsi:type="xsd:double"&gt;1.33313270243846&lt;/D&gt;&lt;D xsi:type="xsd:double"&gt;1.3009121602181&lt;/D&gt;&lt;D xsi:type="xsd:double"&gt;1.26571296089826&lt;/D&gt;&lt;D xsi:type="xsd:double"&gt;1.23848217527212&lt;/D&gt;&lt;D xsi:type="xsd:double"&gt;1.21977358624253&lt;/D&gt;&lt;D xsi:type="xsd:double"&gt;1.21280009704935&lt;/D&gt;&lt;D xsi:type="xsd:double"&gt;1.17903978476108&lt;/D&gt;&lt;D xsi:type="xsd:double"&gt;1.14745005122761&lt;/D&gt;&lt;D xsi:type="xsd:double"&gt;1.22706962548484&lt;/D&gt;&lt;D xsi:type="xsd:double"&gt;1.1733588326675&lt;/D&gt;&lt;D xsi:type="xsd:double"&gt;1.16699696702331&lt;/D&gt;&lt;D xsi:type="xsd:double"&gt;1.14682092509251&lt;/D&gt;&lt;D xsi:type="xsd:double"&gt;1.11093350359066&lt;/D&gt;&lt;D xsi:type="xsd:double"&gt;1.11723491602821&lt;/D&gt;&lt;D xsi:type="xsd:double"&gt;1.06048881214953&lt;/D&gt;&lt;D xsi:type="xsd:double"&gt;1.07967765497598&lt;/D&gt;&lt;D xsi:type="xsd:double"&gt;1.05687543481637&lt;/D&gt;&lt;D xsi:type="xsd:double"&gt;1.15165503253931&lt;/D&gt;&lt;D xsi:type="xsd:double"&gt;1.11070277517455&lt;/D&gt;&lt;D xsi:type="xsd:double"&gt;1.04736643412129&lt;/D&gt;&lt;D xsi:type="xsd:double"&gt;1.05318304107693&lt;/D&gt;&lt;D xsi:type="xsd:double"&gt;1.07367538937059&lt;/D&gt;&lt;D xsi:type="xsd:double"&gt;1.07945580155376&lt;/D&gt;&lt;D xsi:type="xsd:double"&gt;1.09618532527142&lt;/D&gt;&lt;D xsi:type="xsd:double"&gt;1.17716695725255&lt;/D&gt;&lt;D xsi:type="xsd:double"&gt;1.21137051430035&lt;/D&gt;&lt;D xsi:type="xsd:double"&gt;1.30354729744351&lt;/D&gt;&lt;D xsi:type="xsd:double"&gt;1.20618249387999&lt;/D&gt;&lt;D xsi:type="xsd:double"&gt;1.17722773392464&lt;/D&gt;&lt;D xsi:type="xsd:double"&gt;1.10989012907364&lt;/D&gt;&lt;D xsi:type="xsd:double"&gt;1.08750045529403&lt;/D&gt;&lt;D xsi:type="xsd:double"&gt;1.1770963985545&lt;/D&gt;&lt;D xsi:type="xsd:double"&gt;1.09114878018342&lt;/D&gt;&lt;D xsi:type="xsd:double"&gt;1.14228399602296&lt;/D&gt;&lt;D xsi:type="xsd:double"&gt;1.09598663225616&lt;/D&gt;&lt;D xsi:type="xsd:double"&gt;1.11610304227057&lt;/D&gt;&lt;D xsi:type="xsd:double"&gt;1.07050568584253&lt;/D&gt;&lt;D xsi:type="xsd:double"&gt;1.07390036822496&lt;/D&gt;&lt;D xsi:type="xsd:double"&gt;1.03523242317863&lt;/D&gt;&lt;D xsi:type="xsd:double"&gt;0.97623546746779&lt;/D&gt;&lt;D xsi:type="xsd:double"&gt;1.08698419837115&lt;/D&gt;&lt;D xsi:type="xsd:double"&gt;1.14735410170488&lt;/D&gt;&lt;D xsi:type="xsd:double"&gt;1.0144535234698&lt;/D&gt;&lt;D xsi:type="xsd:double"&gt;0.924012857421957&lt;/D&gt;&lt;D xsi:type="xsd:double"&gt;0.858616501297273&lt;/D&gt;&lt;D xsi:type="xsd:double"&gt;0.8099406071922&lt;/D&gt;&lt;D xsi:type="xsd:double"&gt;0.786850768282955&lt;/D&gt;&lt;D xsi:type="xsd:double"&gt;0.81053524004384&lt;/D&gt;&lt;D xsi:type="xsd:double"&gt;0.766444169880087&lt;/D&gt;&lt;D xsi:type="xsd:double"&gt;0.741361956033625&lt;/D&gt;&lt;D xsi:type="xsd:double"&gt;0.780109081414191&lt;/D&gt;&lt;D xsi:type="xsd:double"&gt;0.7304977440829&lt;/D&gt;&lt;D xsi:type="xsd:double"&gt;0.790552458438972&lt;/D&gt;&lt;D xsi:type="xsd:double"&gt;0.741003706786166&lt;/D&gt;&lt;D xsi:type="xsd:double"&gt;0.744634114759136&lt;/D&gt;&lt;D xsi:type="xsd:double"&gt;0.739173930389873&lt;/D&gt;&lt;D xsi:type="xsd:double"&gt;0.693909603122495&lt;/D&gt;&lt;D xsi:type="xsd:double"&gt;0.699039679730203&lt;/D&gt;&lt;D xsi:type="xsd:double"&gt;0.67707934468187&lt;/D&gt;&lt;D xsi:type="xsd:double"&gt;0.724918727659413&lt;/D&gt;&lt;D xsi:type="xsd:double"&gt;0.657785839394719&lt;/D&gt;&lt;D xsi:type="xsd:double"&gt;0.684774698603581&lt;/D&gt;&lt;D xsi:type="xsd:double"&gt;0.693746466746218&lt;/D&gt;&lt;D xsi:type="xsd:double"&gt;0.753452139056871&lt;/D&gt;&lt;D xsi:type="xsd:double"&gt;0.811310912196727&lt;/D&gt;&lt;D xsi:type="xsd:double"&gt;0.777337111069255&lt;/D&gt;&lt;D xsi:type="xsd:double"&gt;0.892025127416803&lt;/D&gt;&lt;D xsi:type="xsd:double"&gt;0.905698395238555&lt;/D&gt;&lt;D xsi:type="xsd:double"&gt;0.971115664783021&lt;/D&gt;&lt;D xsi:type="xsd:double"&gt;0.876986141323823&lt;/D&gt;&lt;D xsi:type="xsd:double"&gt;0.970234668398211&lt;/D&gt;&lt;D xsi:type="xsd:double"&gt;1.02342081010161&lt;/D&gt;&lt;D xsi:type="xsd:double"&gt;1.0907144875189&lt;/D&gt;&lt;D xsi:type="xsd:double"&gt;1.0257113611794&lt;/D&gt;&lt;D xsi:type="xsd:double"&gt;1.03036804414255&lt;/D&gt;&lt;D xsi:type="xsd:double"&gt;0.923052571418952&lt;/D&gt;&lt;D xsi:type="xsd:double"&gt;0.942344967449302&lt;/D&gt;&lt;D xsi:type="xsd:double"&gt;0.891956678312046&lt;/D&gt;&lt;D xsi:type="xsd:double"&gt;0.86331283263253&lt;/D&gt;&lt;D xsi:type="xsd:double"&gt;0.791565807554602&lt;/D&gt;&lt;D xsi:type="xsd:double"&gt;0.767786771841721&lt;/D&gt;&lt;D xsi:type="xsd:double"&gt;0.882725924090372&lt;/D&gt;&lt;D xsi:type="xsd:double"&gt;0.881571846105164&lt;/D&gt;&lt;D xsi:type="xsd:double"&gt;0.930702665606082&lt;/D&gt;&lt;D xsi:type="xsd:double"&gt;0.926181922729226&lt;/D&gt;&lt;D xsi:type="xsd:double"&gt;0.897830322079891&lt;/D&gt;&lt;D xsi:type="xsd:double"&gt;0.948194863420289&lt;/D&gt;&lt;D xsi:type="xsd:double"&gt;0.900463248584022&lt;/D&gt;&lt;D xsi:type="xsd:double"&gt;0.886313148260329&lt;/D&gt;&lt;D xsi:type="xsd:double"&gt;0.891825944784923&lt;/D&gt;&lt;D xsi:type="xsd:double"&gt;0.915960331682196&lt;/D&gt;&lt;D xsi:type="xsd:double"&gt;0.873882771773862&lt;/D&gt;&lt;/FQL&gt;&lt;FQL&gt;&lt;Q&gt;EWL^FMA_PE(NTMA,-10AY,0,AM,"PORTAGG","MEANR")&lt;/Q&gt;&lt;R&gt;121&lt;/R&gt;&lt;C&gt;1&lt;/C&gt;&lt;D xsi:type="xsd:double"&gt;16.3383987184734&lt;/D&gt;&lt;D xsi:type="xsd:double"&gt;16.2902501563557&lt;/D&gt;&lt;D xsi:type="xsd:double"&gt;15.5892133483416&lt;/D&gt;&lt;D xsi:type="xsd:double"&gt;16.2478737619288&lt;/D&gt;&lt;D xsi:type="xsd:double"&gt;15.6990053845404&lt;/D&gt;&lt;D xsi:type="xsd:double"&gt;15.9781722080449&lt;/D&gt;&lt;D xsi:type="xsd:double"&gt;16.1962799667207&lt;/D&gt;&lt;D xsi:type="xsd:double"&gt;15.4012373595711&lt;/D&gt;&lt;D xsi:type="xsd:double"&gt;16.8011736672765&lt;/D&gt;&lt;D xsi:type="xsd:double"&gt;17.4955610904169&lt;/D&gt;&lt;D xsi:type="xsd:double"&gt;17.8397024775383&lt;/D&gt;&lt;D xsi:type="xsd:double"&gt;17.4111130025498&lt;/D&gt;&lt;D xsi:type="xsd:double"&gt;17.3557305956885&lt;/D&gt;&lt;D xsi:type="xsd:double"&gt;16.8370528356657&lt;/D&gt;&lt;D xsi:type="xsd:double"&gt;17.6157428275655&lt;/D&gt;&lt;D xsi:type="xsd:double"&gt;16.2301395906278&lt;/D&gt;&lt;D xsi:type="xsd:double"&gt;16.5251990380523&lt;/D&gt;&lt;D xsi:type="xsd:double"&gt;17.0196256402252&lt;/D&gt;&lt;D xsi:type="xsd:double"&gt;16.8326321726504&lt;/D&gt;&lt;D xsi:type="xsd:double"&gt;16.4081937225444&lt;/D&gt;&lt;D xsi:type="xsd:double"&gt;16.1979533424086&lt;/D&gt;&lt;D xsi:type="xsd:double"&gt;16.5832884320209&lt;/D&gt;&lt;D xsi:type="xsd:double"&gt;16.3935437460227&lt;/D&gt;&lt;D xsi:type="xsd:double"&gt;16.2777307921967&lt;/D&gt;&lt;D xsi:type="xsd:double"&gt;17.1138902821511&lt;/D&gt;&lt;D xsi:type="xsd:double"&gt;16.4212751590659&lt;/D&gt;&lt;D xsi:type="xsd:double"&gt;17.3027692451943&lt;/D&gt;&lt;D xsi:type="xsd:double"&gt;17.4832842138398&lt;/D&gt;&lt;D xsi:type="xsd:double"&gt;17.0889737196982&lt;/D&gt;&lt;D xsi:type="xsd:double"&gt;16.0822832120136&lt;/D&gt;&lt;D xsi:type="xsd:double"&gt;16.4150584689164&lt;/D&gt;&lt;D xsi:type="xsd:double"&gt;17.1809395607071&lt;/D&gt;&lt;D xsi:type="xsd:double"&gt;17.1366347236182&lt;/D&gt;&lt;D xsi:type="xsd:double"&gt;17.6062049057824&lt;/D&gt;&lt;D xsi:type="xsd:double"&gt;17.3510776528678&lt;/D&gt;&lt;D xsi:type="xsd:double"&gt;18.0689627079573&lt;/D&gt;&lt;D xsi:type="xsd:double"&gt;18.0081533858935&lt;/D&gt;&lt;D xsi:type="xsd:double"&gt;17.6258468623691&lt;/D&gt;&lt;D xsi:type="xsd:double"&gt;17.9831562785605&lt;/D&gt;&lt;D xsi:type="xsd:double"&gt;17.3512227952493&lt;/D&gt;&lt;D xsi:type="xsd:double"&gt;17.8614504259141&lt;/D&gt;&lt;D xsi:type="xsd:double"&gt;17.8848014671862&lt;/D&gt;&lt;D xsi:type="xsd:double"&gt;17.5946535312696&lt;/D&gt;&lt;D xsi:type="xsd:double"&gt;17.9765016165031&lt;/D&gt;&lt;D xsi:type="xsd:double"&gt;16.5776262322702&lt;/D&gt;&lt;D xsi:type="xsd:double"&gt;16.2319110544406&lt;/D&gt;&lt;D xsi:type="xsd:double"&gt;15.9360434507666&lt;/D&gt;&lt;D xsi:type="xsd:double"&gt;16.1413610611255&lt;/D&gt;&lt;D xsi:type="xsd:double"&gt;15.5918597176844&lt;/D&gt;&lt;D xsi:type="xsd:double"&gt;15.7657766319585&lt;/D&gt;&lt;D xsi:type="xsd:double"&gt;16.254707171854&lt;/D&gt;&lt;D xsi:type="xsd:double"&gt;15.7406432030282&lt;/D&gt;&lt;D xsi:type="xsd:double"&gt;15.8339585840615&lt;/D&gt;&lt;D xsi:type="xsd:double"&gt;15.6560043647156&lt;/D&gt;&lt;D xsi:type="xsd:double"&gt;14.9886641450671&lt;/D&gt;&lt;D xsi:type="xsd:double"&gt;14.7844400374552&lt;/D&gt;&lt;D xsi:type="xsd:double"&gt;15.7944637550512&lt;/D&gt;&lt;D xsi:type="xsd:double"&gt;16.3629844096377&lt;/D&gt;&lt;D xsi:type="xsd:double"&gt;16.7459303992304&lt;/D&gt;&lt;D xsi:type="xsd:double"&gt;16.7476978192737&lt;/D&gt;&lt;D xsi:type="xsd:double"&gt;16.7842051553774&lt;/D&gt;&lt;D xsi:type="xsd:double"&gt;17.2133598523198&lt;/D&gt;&lt;D xsi:type="xsd:double"&gt;16.4865223763065&lt;/D&gt;&lt;D xsi:type="xsd:double"&gt;17.2932003564495&lt;/D&gt;&lt;D xsi:type="xsd:double"&gt;16.7562358891189&lt;/D&gt;&lt;D xsi:type="xsd:double"&gt;17.4563643864106&lt;/D&gt;&lt;D xsi:type="xsd:double"&gt;17.5316842765651&lt;/D&gt;&lt;D xsi:type="xsd:double"&gt;17.8273282500766&lt;/D&gt;&lt;D xsi:type="xsd:double"&gt;18.3462420667877&lt;/D&gt;&lt;D xsi:type="xsd:double"&gt;16.5289442645514&lt;/D&gt;&lt;D xsi:type="xsd:double"&gt;16.463470400126&lt;/D&gt;&lt;D xsi:type="xsd:double"&gt;18.2179045566999&lt;/D&gt;&lt;D xsi:type="xsd:double"&gt;19.5376052794719&lt;/D&gt;&lt;D xsi:type="xsd:double"&gt;19.673713708159&lt;/D&gt;&lt;D xsi:type="xsd:double"&gt;19.3281889719064&lt;/D&gt;&lt;D xsi:type="xsd:double"&gt;19.1309374560409&lt;/D&gt;&lt;D xsi:type="xsd:double"&gt;18.9955556615197&lt;/D&gt;&lt;D xsi:type="xsd:double"&gt;18.8754770235786&lt;/D&gt;&lt;D xsi:type="xsd:double"&gt;18.3906129466795&lt;/D&gt;&lt;D xsi:type="xsd:double"&gt;18.9174522006025&lt;/D&gt;&lt;D xsi:type="xsd:double"&gt;18.6723927107936&lt;/D&gt;&lt;D xsi:type="xsd:double"&gt;18.0929921729976&lt;/D&gt;&lt;D xsi:type="xsd:double"&gt;18.9615071194576&lt;/D&gt;&lt;D xsi:type="xsd:double"&gt;18.9953248959287&lt;/D&gt;&lt;D xsi:type="xsd:double"&gt;19.6130224461203&lt;/D&gt;&lt;D xsi:type="xsd:double"&gt;19.7046757662622&lt;/D&gt;&lt;D xsi:type="xsd:double"&gt;19.7490281979689&lt;/D&gt;&lt;D xsi:type="xsd:double"&gt;19.7512107869726&lt;/D&gt;&lt;D xsi:type="xsd:double"&gt;18.1333055670943&lt;/D&gt;&lt;D xsi:type="xsd:double"&gt;19.2619217341405&lt;/D&gt;&lt;D xsi:type="xsd:double"&gt;18.9207771316752&lt;/D&gt;&lt;D xsi:type="xsd:double"&gt;19.484293229402&lt;/D&gt;&lt;D xsi:type="xsd:double"&gt;18.0722229904065&lt;/D&gt;&lt;D xsi:type="xsd:double"&gt;17.0992650573977&lt;/D&gt;&lt;D xsi:type="xsd:double"&gt;18.4144594367596&lt;/D&gt;&lt;D xsi:type="xsd:double"&gt;17.1848709825099&lt;/D&gt;&lt;D xsi:type="xsd:double"&gt;16.7859704755347&lt;/D&gt;&lt;D xsi:type="xsd:double"&gt;15.8840869985386&lt;/D&gt;&lt;D xsi:type="xsd:double"&gt;16.7357902264594&lt;/D&gt;&lt;D xsi:type="xsd:double"&gt;15.9542835743543&lt;/D&gt;&lt;D xsi:type="xsd:double"&gt;15.1235769410399&lt;/D&gt;&lt;D xsi:type="xsd:double"&gt;15.9973445283015&lt;/D&gt;&lt;D xsi:type="xsd:double"&gt;16.6994878714368&lt;/D&gt;&lt;D xsi:type="xsd:double"&gt;16.868135764275&lt;/D&gt;&lt;D xsi:type="xsd:double"&gt;17.2557762644569&lt;/D&gt;&lt;D xsi:type="xsd:double"&gt;17.0970358198536&lt;/D&gt;&lt;D xsi:type="xsd:double"&gt;17.3221795652853&lt;/D&gt;&lt;D xsi:type="xsd:double"&gt;17.681170655061&lt;/D&gt;&lt;D xsi:type="xsd:double"&gt;16.7448401798455&lt;/D&gt;&lt;D xsi:type="xsd:double"&gt;16.0786052659543&lt;/D&gt;&lt;D xsi:type="xsd:double"&gt;16.6317183808077&lt;/D&gt;&lt;D xsi:type="xsd:double"&gt;16.3594939448264&lt;/D&gt;&lt;D xsi:type="xsd:double"&gt;15.9277955922243&lt;/D&gt;&lt;D xsi:type="xsd:double"&gt;15.7357394226188&lt;/D&gt;&lt;D xsi:type="xsd:double"&gt;16.4863008675343&lt;/D&gt;&lt;D xsi:type="xsd:double"&gt;16.9205055579589&lt;/D&gt;&lt;D xsi:type="xsd:double"&gt;17.1801449760606&lt;/D&gt;&lt;D xsi:type="xsd:double"&gt;17.5341560199768&lt;/D&gt;&lt;D xsi:type="xsd:double"&gt;17.2791385715663&lt;/D&gt;&lt;D xsi:type="xsd:double"&gt;16.7504290462871&lt;/D&gt;&lt;D xsi:type="xsd:double"&gt;17.2609570230609&lt;/D&gt;&lt;/FQL&gt;&lt;FQL&gt;&lt;Q&gt;EWG^FMA_PE(LTMA,-10AY,0,AM,"PORTAGG","MEANR")&lt;/Q&gt;&lt;R&gt;121&lt;/R&gt;&lt;C&gt;1&lt;/C&gt;&lt;D xsi:type="xsd:double"&gt;14.7226989513609&lt;/D&gt;&lt;D xsi:type="xsd:double"&gt;14.7021212436149&lt;/D&gt;&lt;D xsi:type="xsd:double"&gt;13.9750555462418&lt;/D&gt;&lt;D xsi:type="xsd:double"&gt;14.3897508616592&lt;/D&gt;&lt;D xsi:type="xsd:double"&gt;13.7416319572369&lt;/D&gt;&lt;D xsi:type="xsd:double"&gt;13.8155718490759&lt;/D&gt;&lt;D xsi:type="xsd:double"&gt;14.710912343684&lt;/D&gt;&lt;D xsi:type="xsd:double"&gt;13.8077896650738&lt;/D&gt;&lt;D xsi:type="xsd:double"&gt;15.6745758685522&lt;/D&gt;&lt;D xsi:type="xsd:double"&gt;16.4901061338623&lt;/D&gt;&lt;D xsi:type="xsd:double"&gt;16.5033485213336&lt;/D&gt;&lt;D xsi:type="xsd:double"&gt;16.1122526833369&lt;/D&gt;&lt;D xsi:type="xsd:double"&gt;15.7393681661656&lt;/D&gt;&lt;D xsi:type="xsd:double"&gt;15.3059728142001&lt;/D&gt;&lt;D xsi:type="xsd:double"&gt;15.5603607241714&lt;/D&gt;&lt;D xsi:type="xsd:double"&gt;14.1915337180314&lt;/D&gt;&lt;D xsi:type="xsd:double"&gt;14.0074240261752&lt;/D&gt;&lt;D xsi:type="xsd:double"&gt;14.6358773442415&lt;/D&gt;&lt;D xsi:type="xsd:double"&gt;14.2539952798487&lt;/D&gt;&lt;D xsi:type="xsd:double"&gt;13.3101176175119&lt;/D&gt;&lt;D xsi:type="xsd:double"&gt;12.3271567066351&lt;/D&gt;&lt;D xsi:type="xsd:double"&gt;12.7186772140856&lt;/D&gt;&lt;D xsi:type="xsd:double"&gt;12.6844894630414&lt;/D&gt;&lt;D xsi:type="xsd:double"&gt;12.7556559977459&lt;/D&gt;&lt;D xsi:type="xsd:double"&gt;12.877132294154&lt;/D&gt;&lt;D xsi:type="xsd:double"&gt;12.4461858637507&lt;/D&gt;&lt;D xsi:type="xsd:double"&gt;13.1558264403894&lt;/D&gt;&lt;D xsi:type="xsd:double"&gt;13.6405614616&lt;/D&gt;&lt;D xsi:type="xsd:double"&gt;13.6678911210931&lt;/D&gt;&lt;D xsi:type="xsd:double"&gt;13.3256283544746&lt;/D&gt;&lt;D xsi:type="xsd:double"&gt;13.854242918641&lt;/D&gt;&lt;D xsi:type="xsd:double"&gt;14.9314930705752&lt;/D&gt;&lt;D xsi:type="xsd:double"&gt;14.6786859281485&lt;/D&gt;&lt;D xsi:type="xsd:double"&gt;14.9833075299796&lt;/D&gt;&lt;D xsi:type="xsd:double"&gt;14.9375065765534&lt;/D&gt;&lt;D xsi:type="xsd:double"&gt;14.9403757085166&lt;/D&gt;&lt;D xsi:type="xsd:double"&gt;14.7707952750272&lt;/D&gt;&lt;D xsi:type="xsd:double"&gt;14.5106758193964&lt;/D&gt;&lt;D xsi:type="xsd:double"&gt;14.3844621450596&lt;/D&gt;&lt;D xsi:type="xsd:double"&gt;14.1506376154929&lt;/D&gt;&lt;D xsi:type="xsd:double"&gt;14.7335976622253&lt;/D&gt;&lt;D xsi:type="xsd:double"&gt;15.4742073669962&lt;/D&gt;&lt;D xsi:type="xsd:double"&gt;15.3318252469147&lt;/D&gt;&lt;D xsi:type="xsd:double"&gt;15.7535137770254&lt;/D&gt;&lt;D xsi:type="xsd:double"&gt;14.314591643229&lt;/D&gt;&lt;D xsi:type="xsd:double"&gt;14.1870651559509&lt;/D&gt;&lt;D xsi:type="xsd:double"&gt;14.1069426522337&lt;/D&gt;&lt;D xsi:type="xsd:double"&gt;14.2092224463604&lt;/D&gt;&lt;D xsi:type="xsd:double"&gt;14.1352116685279&lt;/D&gt;&lt;D xsi:type="xsd:double"&gt;13.9999670214322&lt;/D&gt;&lt;D xsi:type="xsd:double"&gt;14.0771999944952&lt;/D&gt;&lt;D xsi:type="xsd:double"&gt;13.7226148806775&lt;/D&gt;&lt;D xsi:type="xsd:double"&gt;13.7812156913564&lt;/D&gt;&lt;D xsi:type="xsd:double"&gt;13.0944497031955&lt;/D&gt;&lt;D xsi:type="xsd:double"&gt;12.4176834436857&lt;/D&gt;&lt;D xsi:type="xsd:double"&gt;12.2768786939817&lt;/D&gt;&lt;D xsi:type="xsd:double"&gt;13.1309909721986&lt;/D&gt;&lt;D xsi:type="xsd:double"&gt;13.2288372521781&lt;/D&gt;&lt;D xsi:type="xsd:double"&gt;13.2825238403055&lt;/D&gt;&lt;D xsi:type="xsd:double"&gt;13.3643012211461&lt;/D&gt;&lt;D xsi:type="xsd:double"&gt;13.1563638398012&lt;/D&gt;&lt;D xsi:type="xsd:double"&gt;13.5702585425229&lt;/D&gt;&lt;D xsi:type="xsd:double"&gt;13.2056995499244&lt;/D&gt;&lt;D xsi:type="xsd:double"&gt;13.8632395082939&lt;/D&gt;&lt;D xsi:type="xsd:double"&gt;13.8112607171591&lt;/D&gt;&lt;D xsi:type="xsd:double"&gt;15.1413857707322&lt;/D&gt;&lt;D xsi:type="xsd:double"&gt;15.2153091437456&lt;/D&gt;&lt;D xsi:type="xsd:double"&gt;15.3504086900513&lt;/D&gt;&lt;D xsi:type="xsd:double"&gt;15.609785887104&lt;/D&gt;&lt;D xsi:type="xsd:double"&gt;13.9592228334231&lt;/D&gt;&lt;D xsi:type="xsd:double"&gt;13.9978348208671&lt;/D&gt;&lt;D xsi:type="xsd:double"&gt;15.042356016042&lt;/D&gt;&lt;D xsi:type="xsd:double"&gt;17.2154679389063&lt;/D&gt;&lt;D xsi:type="xsd:double"&gt;18.2636110967683&lt;/D&gt;&lt;D xsi:type="xsd:double"&gt;18.9619706492299&lt;/D&gt;&lt;D xsi:type="xsd:double"&gt;19.8786602187384&lt;/D&gt;&lt;D xsi:type="xsd:double"&gt;20.6643701264062&lt;/D&gt;&lt;D xsi:type="xsd:double"&gt;19.5623556935551&lt;/D&gt;&lt;D xsi:type="xsd:double"&gt;20.9036572517995&lt;/D&gt;&lt;D xsi:type="xsd:double"&gt;22.1657056246094&lt;/D&gt;&lt;D xsi:type="xsd:double"&gt;21.4657319997156&lt;/D&gt;&lt;D xsi:type="xsd:double"&gt;20.2089392757942&lt;/D&gt;&lt;D xsi:type="xsd:double"&gt;20.0396892231826&lt;/D&gt;&lt;D xsi:type="xsd:double"&gt;19.2209563003068&lt;/D&gt;&lt;D xsi:type="xsd:double"&gt;18.8453064906651&lt;/D&gt;&lt;D xsi:type="xsd:double"&gt;18.2198636063667&lt;/D&gt;&lt;D xsi:type="xsd:double"&gt;17.4514362846595&lt;/D&gt;&lt;D xsi:type="xsd:double"&gt;16.8386908857609&lt;/D&gt;&lt;D xsi:type="xsd:double"&gt;15.7044407452253&lt;/D&gt;&lt;D xsi:type="xsd:double"&gt;15.6517092743259&lt;/D&gt;&lt;D xsi:type="xsd:double"&gt;14.1854538792857&lt;/D&gt;&lt;D xsi:type="xsd:double"&gt;14.246880827656&lt;/D&gt;&lt;D xsi:type="xsd:double"&gt;13.2834768294268&lt;/D&gt;&lt;D xsi:type="xsd:double"&gt;12.3152136331719&lt;/D&gt;&lt;D xsi:type="xsd:double"&gt;12.3820346380522&lt;/D&gt;&lt;D xsi:type="xsd:double"&gt;12.0411509749621&lt;/D&gt;&lt;D xsi:type="xsd:double"&gt;12.1906136163293&lt;/D&gt;&lt;D xsi:type="xsd:double"&gt;11.2630768548818&lt;/D&gt;&lt;D xsi:type="xsd:double"&gt;11.2822825893904&lt;/D&gt;&lt;D xsi:type="xsd:double"&gt;10.7735003609098&lt;/D&gt;&lt;D xsi:type="xsd:double"&gt;10.2675820323862&lt;/D&gt;&lt;D xsi:type="xsd:double"&gt;10.5727900905028&lt;/D&gt;&lt;D xsi:type="xsd:double"&gt;10.8820635693317&lt;/D&gt;&lt;D xsi:type="xsd:double"&gt;11.0150226960281&lt;/D&gt;&lt;D xsi:type="xsd:double"&gt;11.6541502702578&lt;/D&gt;&lt;D xsi:type="xsd:double"&gt;11.3884288485491&lt;/D&gt;&lt;D xsi:type="xsd:double"&gt;11.3692985645576&lt;/D&gt;&lt;D xsi:type="xsd:double"&gt;11.3842359903944&lt;/D&gt;&lt;D xsi:type="xsd:double"&gt;11.2499178695942&lt;/D&gt;&lt;D xsi:type="xsd:double"&gt;11.0720857622229&lt;/D&gt;&lt;D xsi:type="xsd:double"&gt;11.213051958938&lt;/D&gt;&lt;D xsi:type="xsd:double"&gt;11.2084438585406&lt;/D&gt;&lt;D xsi:type="xsd:double"&gt;10.9698475197425&lt;/D&gt;&lt;D xsi:type="xsd:double"&gt;10.8717127353237&lt;/D&gt;&lt;D xsi:type="xsd:double"&gt;11.8650502640237&lt;/D&gt;&lt;D xsi:type="xsd:double"&gt;11.8153198488426&lt;/D&gt;&lt;D xsi:type="xsd:double"&gt;12.1188360424438&lt;/D&gt;&lt;D xsi:type="xsd:double"&gt;12.5096293457188&lt;/D&gt;&lt;D xsi:type="xsd:double"&gt;12.5574666945581&lt;/D&gt;&lt;D xsi:type="xsd:double"&gt;12.5440877216439&lt;/D&gt;&lt;D xsi:type="xsd:double"&gt;12.5635961901632&lt;/D&gt;&lt;/FQL&gt;&lt;FQL&gt;&lt;Q&gt;WL-FDS^FG_PRICE_CHANGE(0,-6AM)&lt;/Q&gt;&lt;R&gt;1&lt;/R&gt;&lt;C&gt;1&lt;/C&gt;&lt;D xsi:type="xsd:double"&gt;-12.8651336233686&lt;/D&gt;&lt;/FQL&gt;&lt;FQL&gt;&lt;Q&gt;NI-FDS^FG_PRICE_CHANGE(0,-6AM)&lt;/Q&gt;&lt;R&gt;1&lt;/R&gt;&lt;C&gt;1&lt;/C&gt;&lt;D xsi:type="xsd:double"&gt;11.5692307692308&lt;/D&gt;&lt;/FQL&gt;&lt;FQL&gt;&lt;Q&gt;CPALM-FDS^FG_PRICE_CHANGE(0,-6AM)&lt;/Q&gt;&lt;R&gt;1&lt;/R&gt;&lt;C&gt;1&lt;/C&gt;&lt;D xsi:type="xsd:double"&gt;9.24486396446418&lt;/D&gt;&lt;/FQL&gt;&lt;FQL&gt;&lt;Q&gt;BRENT-FDS^FG_PRICE_CHANGE(0,-6AM)&lt;/Q&gt;&lt;R&gt;1&lt;/R&gt;&lt;C&gt;1&lt;/C&gt;&lt;D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xsi:type="xsd:double"&gt;-18.3719530544688&lt;/D&gt;&lt;/FQL&gt;&lt;FQL&gt;&lt;Q&gt;EWD^FG_PRICE(0)&lt;/Q&gt;&lt;R&gt;1&lt;/R&gt;&lt;C&gt;1&lt;/C&gt;&lt;D xsi:type="xsd:double"&gt;42.61&lt;/D&gt;&lt;/FQL&gt;&lt;FQL&gt;&lt;Q&gt;QQQ^FG_PRICE(0)&lt;/Q&gt;&lt;R&gt;1&lt;/R&gt;&lt;C&gt;1&lt;/C&gt;&lt;D xsi:type="xsd:double"&gt;463.37&lt;/D&gt;&lt;/FQL&gt;&lt;FQL&gt;&lt;Q&gt;EWG^FG_PRICE(0)&lt;/Q&gt;&lt;R&gt;1&lt;/R&gt;&lt;C&gt;1&lt;/C&gt;&lt;D xsi:type="xsd:double"&gt;32.34&lt;/D&gt;&lt;/FQL&gt;&lt;FQL&gt;&lt;Q&gt;EWQ^FG_COMPANY_NAME&lt;/Q&gt;&lt;R&gt;1&lt;/R&gt;&lt;C&gt;1&lt;/C&gt;&lt;D xsi:type="xsd:string"&gt;iShares MSCI France ETF&lt;/D&gt;&lt;/FQL&gt;&lt;FQL&gt;&lt;Q&gt;FXI^FG_TOTAL_RETURNC(0,-1AM)&lt;/Q&gt;&lt;R&gt;1&lt;/R&gt;&lt;C&gt;1&lt;/C&gt;&lt;D xsi:type="xsd:double"&gt;-0.43939352&lt;/D&gt;&lt;/FQL&gt;&lt;FQL&gt;&lt;Q&gt;EWJ^FG_TOTAL_RETURNC(0,-6AM)&lt;/Q&gt;&lt;R&gt;1&lt;/R&gt;&lt;C&gt;1&lt;/C&gt;&lt;D xsi:type="xsd:double"&gt;12.040747&lt;/D&gt;&lt;/FQL&gt;&lt;FQL&gt;&lt;Q&gt;CC_US^FG_COMPANY_NAME&lt;/Q&gt;&lt;R&gt;1&lt;/R&gt;&lt;C&gt;1&lt;/C&gt;&lt;D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xsi:type="xsd:double"&gt;25.3199155966171&lt;/D&gt;&lt;/FQL&gt;&lt;FQL&gt;&lt;Q&gt;TRYMY10Y-FDS^FG_YIELD(-10AY,0,Y,,"YTM")&lt;/Q&gt;&lt;R&gt;10&lt;/R&gt;&lt;C&gt;1&lt;/C&gt;&lt;D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xsi:type="xsd:double"&gt;3.955&lt;/D&gt;&lt;/FQL&gt;&lt;FQL&gt;&lt;Q&gt;FXI^PERCENT_CHANGE(FMA_EPS(+1,0,,,,"PORTAGG","MEAN"),FMA_EPS(+1,-3AM,,,,"PORTAGG","MEAN"))&lt;/Q&gt;&lt;R&gt;1&lt;/R&gt;&lt;C&gt;1&lt;/C&gt;&lt;D xsi:type="xsd:double"&gt;-0.329201654155525&lt;/D&gt;&lt;/FQL&gt;&lt;FQL&gt;&lt;Q&gt;EWJ^FG_TOTAL_RETURNC(0,-3AM)&lt;/Q&gt;&lt;R&gt;1&lt;/R&gt;&lt;C&gt;1&lt;/C&gt;&lt;D xsi:type="xsd:double"&gt;-2.9844522&lt;/D&gt;&lt;/FQL&gt;&lt;FQL&gt;&lt;Q&gt;VWO^P_PRICE(0)/P_PRICE_HIGH_PR(0,,,,,,"PRICE","INTRA","52W")&lt;/Q&gt;&lt;R&gt;1&lt;/R&gt;&lt;C&gt;1&lt;/C&gt;&lt;D xsi:type="xsd:double"&gt;0.9691789&lt;/D&gt;&lt;/FQL&gt;&lt;FQL&gt;&lt;Q&gt;EWL^P_PRICE(0)/P_PRICE_LOW_PR(0,,,,,,"PRICE","INTRA","52W")-1&lt;/Q&gt;&lt;R&gt;1&lt;/R&gt;&lt;C&gt;1&lt;/C&gt;&lt;D xsi:type="xsd:double"&gt;0.21853197&lt;/D&gt;&lt;/FQL&gt;&lt;FQL&gt;&lt;Q&gt;ENZL^FG_TOTAL_RETURNC(0,-3AM)&lt;/Q&gt;&lt;R&gt;1&lt;/R&gt;&lt;C&gt;1&lt;/C&gt;&lt;D xsi:type="xsd:double"&gt;3.8647294&lt;/D&gt;&lt;/FQL&gt;&lt;FQL&gt;&lt;Q&gt;URTH^FMA_COS_UP("EPS","1M",+1,0,,,"PORTAGG","MEANR")&lt;/Q&gt;&lt;R&gt;1&lt;/R&gt;&lt;C&gt;1&lt;/C&gt;&lt;D xsi:type="xsd:double"&gt;647&lt;/D&gt;&lt;/FQL&gt;&lt;FQL&gt;&lt;Q&gt;EWQ^SIZE(FG_CONSTITUENTS)&lt;/Q&gt;&lt;R&gt;1&lt;/R&gt;&lt;C&gt;1&lt;/C&gt;&lt;D xsi:type="xsd:long"&gt;64&lt;/D&gt;&lt;/FQL&gt;&lt;FQL&gt;&lt;Q&gt;QQQ^FMA_RBICS_REV_CURRENT(30, LOC, "PORTAGG")&lt;/Q&gt;&lt;R&gt;1&lt;/R&gt;&lt;C&gt;1&lt;/C&gt;&lt;D xsi:type="xsd:double"&gt;0.853987069260759&lt;/D&gt;&lt;/FQL&gt;&lt;FQL&gt;&lt;Q&gt;EWJ^FG_ROE(0)&lt;/Q&gt;&lt;R&gt;1&lt;/R&gt;&lt;C&gt;1&lt;/C&gt;&lt;D xsi:type="xsd:double"&gt;9.51573177070897&lt;/D&gt;&lt;/FQL&gt;&lt;FQL&gt;&lt;Q&gt;TRYAU10Y-FDS^FG_YIELD_NAME&lt;/Q&gt;&lt;R&gt;1&lt;/R&gt;&lt;C&gt;1&lt;/C&gt;&lt;D xsi:type="xsd:string"&gt;Australia Benchmark Bond - 10 Year&lt;/D&gt;&lt;/FQL&gt;&lt;FQL&gt;&lt;Q&gt;REFEUREFI-FDS^FG_YIELD(NOW,,,0)&lt;/Q&gt;&lt;R&gt;1&lt;/R&gt;&lt;C&gt;1&lt;/C&gt;&lt;D xsi:type="xsd:double"&gt;4.5&lt;/D&gt;&lt;/FQL&gt;&lt;FQL&gt;&lt;Q&gt;REFAUCASH-FDS^(SUBARRAY(NOT_NA(NO_REPEAT_F(FG_YIELD(NOW,-10AY,D))),0,1)-SUBARRAY(NOT_NA(NO_REPEAT_F(FG_YIELD(NOW,-10AY,D))),1,1))*100&lt;/Q&gt;&lt;R&gt;1&lt;/R&gt;&lt;C&gt;1&lt;/C&gt;&lt;D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xsi:type="xsd:double"&gt;25&lt;/D&gt;&lt;/FQL&gt;&lt;FQL&gt;&lt;Q&gt;USDSEK^STD(FG_PRICE_CHANGE(0,-3AY,M))&lt;/Q&gt;&lt;R&gt;1&lt;/R&gt;&lt;C&gt;1&lt;/C&gt;&lt;D xsi:type="xsd:double"&gt;2.99737222103518&lt;/D&gt;&lt;/FQL&gt;&lt;FQL&gt;&lt;Q&gt;USDCHF^STD(FG_PRICE_CHANGE(0,-3AY,M))&lt;/Q&gt;&lt;R&gt;1&lt;/R&gt;&lt;C&gt;1&lt;/C&gt;&lt;D xsi:type="xsd:double"&gt;2.45992337040698&lt;/D&gt;&lt;/FQL&gt;&lt;FQL&gt;&lt;Q&gt;USDUSD^STD(FG_PRICE_CHANGE(0,-3AY,M))&lt;/Q&gt;&lt;R&gt;1&lt;/R&gt;&lt;C&gt;1&lt;/C&gt;&lt;D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xsi:type="xsd:double"&gt;2.17865114035896&lt;/D&gt;&lt;/FQL&gt;&lt;FQL&gt;&lt;Q&gt;USDAUD^STD(FG_PRICE_CHANGE(0,-3AY,M))&lt;/Q&gt;&lt;R&gt;1&lt;/R&gt;&lt;C&gt;1&lt;/C&gt;&lt;D xsi:type="xsd:double"&gt;3.09147426487896&lt;/D&gt;&lt;/FQL&gt;&lt;FQL&gt;&lt;Q&gt;EWI^FMA_EPS(NTMA,-20AY,0,CY,,"PORTAGG","MEANR")&lt;/Q&gt;&lt;R&gt;20&lt;/R&gt;&lt;C&gt;1&lt;/C&gt;&lt;D xs</t>
        </r>
      </text>
    </comment>
    <comment ref="A4" authorId="0" shapeId="0" xr:uid="{5472C797-AC2A-47EA-9826-BF38C951021D}">
      <text>
        <r>
          <rPr>
            <b/>
            <sz val="9"/>
            <color indexed="81"/>
            <rFont val="Tahoma"/>
            <charset val="1"/>
          </rPr>
          <t>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xsi:type="xsd:double"&gt;23.738457&lt;/D&gt;&lt;D xsi:type="xsd:double"&gt;26.24979&lt;/D&gt;&lt;D xsi:type="xsd:double"&gt;4.8238635&lt;/D&gt;&lt;D xsi:type="xsd:double"&gt;11.073864&lt;/D&gt;&lt;D xsi:type="xsd:double"&gt;1.2006164&lt;/D&gt;&lt;D xsi:type="xsd:double"&gt;-3.2031238&lt;/D&gt;&lt;D xsi:type="xsd:double"&gt;3.8391113&lt;/D&gt;&lt;D xsi:type="xsd:double"&gt;-8.690643&lt;/D&gt;&lt;D xsi:type="xsd:double"&gt;-1.5573263&lt;/D&gt;&lt;D xsi:type="xsd:double"&gt;-0.6021261&lt;/D&gt;&lt;D xsi:type="xsd:double"&gt;2.657652&lt;/D&gt;&lt;D xsi:type="xsd:double"&gt;4.270828&lt;/D&gt;&lt;D xsi:type="xsd:double"&gt;1.6797543&lt;/D&gt;&lt;D xsi:type="xsd:double"&gt;-2.0024478&lt;/D&gt;&lt;D xsi:type="xsd:double"&gt;13.435411&lt;/D&gt;&lt;D xsi:type="xsd:double"&gt;-2.459693&lt;/D&gt;&lt;D xsi:type="xsd:double"&gt;3.8711667&lt;/D&gt;&lt;D xsi:type="xsd:double"&gt;7.3400855&lt;/D&gt;&lt;D xsi:type="xsd:double"&gt;0.4601121&lt;/D&gt;&lt;D xsi:type="xsd:double"&gt;2.5608778&lt;/D&gt;&lt;D xsi:type="xsd:double"&gt;-4.9865065&lt;/D&gt;&lt;D xsi:type="xsd:double"&gt;-5.7332096&lt;/D&gt;&lt;D xsi:type="xsd:double"&gt;-5.095583&lt;/D&gt;&lt;D xsi:type="xsd:double"&gt;-4.6577396&lt;/D&gt;&lt;D xsi:type="xsd:double"&gt;-1.6321778&lt;/D&gt;&lt;D xsi:type="xsd:double"&gt;-8.908552&lt;/D&gt;&lt;D xsi:type="xsd:double"&gt;-7.7682853&lt;/D&gt;&lt;D xsi:type="xsd:double"&gt;9.032&lt;/D&gt;&lt;D xsi:type="xsd:double"&gt;5.5084467&lt;/D&gt;&lt;D xsi:type="xsd:double"&gt;-2.4919987&lt;/D&gt;&lt;D xsi:type="xsd:double"&gt;-0.7574141&lt;/D&gt;&lt;D xsi:type="xsd:double"&gt;9.208775&lt;/D&gt;&lt;D xsi:type="xsd:double"&gt;12.028778&lt;/D&gt;&lt;D xsi:type="xsd:double"&gt;12.42013&lt;/D&gt;&lt;D xsi:type="xsd:double"&gt;12.686718&lt;/D&gt;&lt;D xsi:type="xsd:double"&gt;23.66854&lt;/D&gt;&lt;D xsi:type="xsd:double"&gt;20.190954&lt;/D&gt;&lt;D xsi:type="xsd:double"&gt;32.75659&lt;/D&gt;&lt;D xsi:type="xsd:double"&gt;33.207703&lt;/D&gt;&lt;D xsi:type="xsd:double"&gt;23.949766&lt;/D&gt;&lt;D xsi:type="xsd:double"&gt;27.633154&lt;/D&gt;&lt;D xsi:type="xsd:double"&gt;35.16532&lt;/D&gt;&lt;D xsi:type="xsd:double"&gt;34.401955&lt;/D&gt;&lt;D xsi:type="xsd:double"&gt;35.2741&lt;/D&gt;&lt;D xsi:type="xsd:double"&gt;32.11757&lt;/D&gt;&lt;D xsi:type="xsd:double"&gt;26.722372&lt;/D&gt;&lt;D xsi:type="xsd:double"&gt;21.708988&lt;/D&gt;&lt;D xsi:type="xsd:double"&gt;12.538612&lt;/D&gt;&lt;D xsi:type="xsd:double"&gt;11.323082&lt;/D&gt;&lt;D xsi:type="xsd:double"&gt;9.168137&lt;/D&gt;&lt;D xsi:type="xsd:double"&gt;4.3141603&lt;/D&gt;&lt;D xsi:type="xsd:double"&gt;0.6019592&lt;/D&gt;&lt;D xsi:type="xsd:double"&gt;-4.216683&lt;/D&gt;&lt;D xsi:type="xsd:double"&gt;-7.092518&lt;/D&gt;&lt;D xsi:type="xsd:double"&gt;-9.655083&lt;/D&gt;&lt;D xsi:type="xsd:double"&gt;-16.335875&lt;/D&gt;&lt;D xsi:type="xsd:double"&gt;-8.067381&lt;/D&gt;&lt;D xsi:type="xsd:double"&gt;-6.76114&lt;/D&gt;&lt;D xsi:type="xsd:double"&gt;-2.3406923&lt;/D&gt;&lt;D xsi:type="xsd:double"&gt;-0.056940317&lt;/D&gt;&lt;D xsi:type="xsd:double"&gt;-4.0251255&lt;/D&gt;&lt;D xsi:type="xsd:double"&gt;4.1604996&lt;/D&gt;&lt;D xsi:type="xsd:double"&gt;-2.2259116&lt;/D&gt;&lt;D xsi:type="xsd:double"&gt;6.842029&lt;/D&gt;&lt;D xsi:type="xsd:double"&gt;7.9298854&lt;/D&gt;&lt;D xsi:type="xsd:double"&gt;17.129004&lt;/D&gt;&lt;D xsi:type="xsd:double"&gt;23.091162&lt;/D&gt;&lt;D xsi:type="xsd:double"&gt;31.166649&lt;/D&gt;&lt;D xsi:type="xsd:double"&gt;21.143686&lt;/D&gt;&lt;D xsi:type="xsd:double"&gt;7.324612&lt;/D&gt;&lt;D xsi:type="xsd:double"&gt;-11.403531&lt;/D&gt;&lt;D xsi:type="xsd:double"&gt;-8.794284&lt;/D&gt;&lt;D xsi:type="xsd:double"&gt;12.563885&lt;/D&gt;&lt;D xsi:type="xsd:double"&gt;10.468685&lt;/D&gt;&lt;D xsi:type="xsd:double"&gt;18.58443&lt;/D&gt;&lt;D xsi:type="xsd:double"&gt;13.734388&lt;/D&gt;&lt;D xsi:type="xsd:double"&gt;15.049017&lt;/D&gt;&lt;D xsi:type="xsd:double"&gt;15.373683&lt;/D&gt;&lt;D xsi:type="xsd:double"&gt;25.414694&lt;/D&gt;&lt;D xsi:type="xsd:double"&gt;26.25153&lt;/D&gt;&lt;D xsi:type="xsd:double"&gt;29.842651&lt;/D&gt;&lt;D xsi:type="xsd:double"&gt;41.24279&lt;/D&gt;&lt;D xsi:type="xsd:double"&gt;81.42092&lt;/D&gt;&lt;D xsi:type="xsd:double"&gt;76.63568&lt;/D&gt;&lt;D xsi:type="xsd:double"&gt;54.43909&lt;/D&gt;&lt;D xsi:type="xsd:double"&gt;42.63543&lt;/D&gt;&lt;D xsi:type="xsd:double"&gt;44.621456&lt;/D&gt;&lt;D xsi:type="xsd:double"&gt;54.730392&lt;/D&gt;&lt;D xsi:type="xsd:double"&gt;40.124416&lt;/D&gt;&lt;D xsi:type="xsd:double"&gt;45.38374&lt;/D&gt;&lt;D xsi:type="xsd:double"&gt;21.089745&lt;/D&gt;&lt;D xsi:type="xsd:double"&gt;17.282354&lt;/D&gt;&lt;D xsi:type="xsd:double"&gt;6.8714023&lt;/D&gt;&lt;D xsi:type="xsd:double"&gt;-9.078466&lt;/D&gt;&lt;D xsi:type="xsd:double"&gt;-12.260145&lt;/D&gt;&lt;D xsi:type="xsd:double"&gt;-22.697222&lt;/D&gt;&lt;D xsi:type="xsd:double"&gt;-20.27865&lt;/D&gt;&lt;D xsi:type="xsd:double"&gt;-28.362185&lt;/D&gt;&lt;D xsi:type="xsd:double"&gt;-24.472492&lt;/D&gt;&lt;D xsi:type="xsd:double"&gt;-37.078403&lt;/D&gt;&lt;D xsi:type="xsd:double"&gt;-33.16335&lt;/D&gt;&lt;D xsi:type="xsd:double"&gt;-36.28589&lt;/D&gt;&lt;D xsi:type="xsd:double"&gt;-19.279945&lt;/D&gt;&lt;D xsi:type="xsd:double"&gt;-17.338913&lt;/D&gt;&lt;D xsi:type="xsd:double"&gt;-7.193321&lt;/D&gt;&lt;D xsi:type="xsd:double"&gt;9.375942&lt;/D&gt;&lt;D xsi:type="xsd:double"&gt;3.866303&lt;/D&gt;&lt;D xsi:type="xsd:double"&gt;13.902485&lt;/D&gt;&lt;D xsi:type="xsd:double"&gt;9.74785&lt;/D&gt;&lt;D xsi:type="xsd:double"&gt;26.771832&lt;/D&gt;&lt;D xsi:type="xsd:double"&gt;15.261555&lt;/D&gt;&lt;D xsi:type="xsd:double"&gt;24.512243&lt;/D&gt;&lt;D xsi:type="xsd:double"&gt;20.28532&lt;/D&gt;&lt;D xsi:type="xsd:double"&gt;19.752407&lt;/D&gt;&lt;D xsi:type="xsd:double"&gt;11.658859&lt;/D&gt;&lt;D xsi:type="xsd:double"&gt;13.530111&lt;/D&gt;&lt;D xsi:type="xsd:double"&gt;11.810982&lt;/D&gt;&lt;D xsi:type="xsd:double"&gt;19.645918&lt;/D&gt;&lt;D xsi:type="xsd:double"&gt;21.00464&lt;/D&gt;&lt;D xsi:type="xsd:double"&gt;19.64718&lt;/D&gt;&lt;D xsi:type="xsd:double"&gt;26.369846&lt;/D&gt;&lt;/FQL&gt;&lt;FQL&gt;&lt;Q&gt;SPY^FG_TOTAL_RETURNC(-10AY,0,AM)&lt;/Q&gt;&lt;R&gt;121&lt;/R&gt;&lt;C&gt;1&lt;/C&gt;&lt;D xsi:type="xsd:double"&gt;4.6016693&lt;/D&gt;&lt;D xsi:type="xsd:double"&gt;1.9308925&lt;/D&gt;&lt;D xsi:type="xsd:double"&gt;-3.0928314&lt;/D&gt;&lt;D xsi:type="xsd:double"&gt;4.7066092&lt;/D&gt;&lt;D xsi:type="xsd:double"&gt;-1.9399643&lt;/D&gt;&lt;D xsi:type="xsd:double"&gt;3.494835&lt;/D&gt;&lt;D xsi:type="xsd:double"&gt;2.3874044&lt;/D&gt;&lt;D xsi:type="xsd:double"&gt;-3.4047604&lt;/D&gt;&lt;D xsi:type="xsd:double"&gt;2.8675795&lt;/D&gt;&lt;D xsi:type="xsd:double"&gt;0.9486675&lt;/D&gt;&lt;D xsi:type="xsd:double"&gt;0.6021142&lt;/D&gt;&lt;D xsi:type="xsd:double"&gt;0.101041794&lt;/D&gt;&lt;D xsi:type="xsd:double"&gt;0.83158016&lt;/D&gt;&lt;D xsi:type="xsd:double"&gt;-0.9724498&lt;/D&gt;&lt;D xsi:type="xsd:double"&gt;0.78850985&lt;/D&gt;&lt;D xsi:type="xsd:double"&gt;-7.564199&lt;/D&gt;&lt;D xsi:type="xsd:double"&gt;3.243053&lt;/D&gt;&lt;D xsi:type="xsd:double"&gt;6.193435&lt;/D&gt;&lt;D xsi:type="xsd:double"&gt;-0.19996166&lt;/D&gt;&lt;D xsi:type="xsd:double"&gt;-4.5776725&lt;/D&gt;&lt;D xsi:type="xsd:double"&gt;-5.46726&lt;/D&gt;&lt;D xsi:type="xsd:double"&gt;6.6400647&lt;/D&gt;&lt;D xsi:type="xsd:double"&gt;3.5174847&lt;/D&gt;&lt;D xsi:type="xsd:double"&gt;-0.33911467&lt;/D&gt;&lt;D xsi:type="xsd:double"&gt;2.7367353&lt;/D&gt;&lt;D xsi:type="xsd:double"&gt;-0.28160214&lt;/D&gt;&lt;D xsi:type="xsd:double"&gt;4.0637136&lt;/D&gt;&lt;D xsi:type="xsd:double"&gt;0.38995743&lt;/D&gt;&lt;D xsi:type="xsd:double"&gt;-0.98457336&lt;/D&gt;&lt;D xsi:type="xsd:double"&gt;-3.3506334&lt;/D&gt;&lt;D xsi:type="xsd:double"&gt;6.3054442&lt;/D&gt;&lt;D xsi:type="xsd:double"&gt;3.0905604&lt;/D&gt;&lt;D xsi:type="xsd:double"&gt;0.75700283&lt;/D&gt;&lt;D xsi:type="xsd:double"&gt;3.835237&lt;/D&gt;&lt;D xsi:type="xsd:double"&gt;-0.5232513&lt;/D&gt;&lt;D xsi:type="xsd:double"&gt;1.8093705&lt;/D&gt;&lt;D xsi:type="xsd:double"&gt;1.4643312&lt;/D&gt;&lt;D xsi:type="xsd:double"&gt;-0.6114423&lt;/D&gt;&lt;D xsi:type="xsd:double"&gt;2.8517962&lt;/D&gt;&lt;D xsi:type="xsd:double"&gt;-0.2061367&lt;/D&gt;&lt;D xsi:type="xsd:double"&gt;3.5359502&lt;/D&gt;&lt;D xsi:type="xsd:double"&gt;1.7612219&lt;/D&gt;&lt;D xsi:type="xsd:double"&gt;1.6959548&lt;/D&gt;&lt;D xsi:type="xsd:double"&gt;4.3938637&lt;/D&gt;&lt;D xsi:type="xsd:double"&gt;-1.5690148&lt;/D&gt;&lt;D xsi:type="xsd:double"&gt;1.3933778&lt;/D&gt;&lt;D xsi:type="xsd:double"&gt;-4.441941&lt;/D&gt;&lt;D xsi:type="xsd:double"&gt;2.4256825&lt;/D&gt;&lt;D xsi:type="xsd:double"&gt;4.277873&lt;/D&gt;&lt;D xsi:type="xsd:double"&gt;-0.26751757&lt;/D&gt;&lt;D xsi:type="xsd:double"&gt;3.3476114&lt;/D&gt;&lt;D xsi:type="xsd:double"&gt;1.2366414&lt;/D&gt;&lt;D xsi:type="xsd:double"&gt;0.33444166&lt;/D&gt;&lt;D xsi:type="xsd:double"&gt;-4.412484&lt;/D&gt;&lt;D xsi:type="xsd:double"&gt;-1.9191623&lt;/D&gt;&lt;D xsi:type="xsd:double"&gt;-5.909002&lt;/D&gt;&lt;D xsi:type="xsd:double"&gt;8.062911&lt;/D&gt;&lt;D xsi:type="xsd:double"&gt;1.6829252&lt;/D&gt;&lt;D xsi:type="xsd:double"&gt;4.5090556&lt;/D&gt;&lt;D xsi:type="xsd:double"&gt;1.4727831&lt;/D&gt;&lt;D xsi:type="xsd:double"&gt;-2.738893&lt;/D&gt;&lt;D xsi:type="xsd:double"&gt;5.306673&lt;/D&gt;&lt;D xsi:type="xsd:double"&gt;-3.5716712&lt;/D&gt;&lt;D xsi:type="xsd:double"&gt;3.5614967&lt;/D&gt;&lt;D xsi:type="xsd:double"&gt;-0.7832825&lt;/D&gt;&lt;D xsi:type="xsd:double"&gt;4.331577&lt;/D&gt;&lt;D xsi:type="xsd:double"&gt;2.5301218&lt;/D&gt;&lt;D xsi:type="xsd:double"&gt;3.288424&lt;/D&gt;&lt;D xsi:type="xsd:double"&gt;3.1949043&lt;/D&gt;&lt;D xsi:type="xsd:double"&gt;-10.934793&lt;/D&gt;&lt;D xsi:type="xsd:double"&gt;-10.412466&lt;/D&gt;&lt;D xsi:type="xsd:double"&gt;7.320857&lt;/D&gt;&lt;D xsi:type="xsd:double"&gt;12.344766&lt;/D&gt;&lt;D xsi:type="xsd:double"&gt;-0.2776146&lt;/D&gt;&lt;D xsi:type="xsd:double"&gt;5.4502487&lt;/D&gt;&lt;D xsi:type="xsd:double"&gt;2.4646401&lt;/D&gt;&lt;D xsi:type="xsd:double"&gt;-1.8342078&lt;/D&gt;&lt;D xsi:type="xsd:double"&gt;4.5472264&lt;/D&gt;&lt;D xsi:type="xsd:double"&gt;5.62315&lt;/D&gt;&lt;D xsi:type="xsd:double"&gt;1.4326572&lt;/D&gt;&lt;D xsi:type="xsd:double"&gt;3.7906528&lt;/D&gt;&lt;D xsi:type="xsd:double"&gt;-1.0523319&lt;/D&gt;&lt;D xsi:type="xsd:double"&gt;6.209731&lt;/D&gt;&lt;D xsi:type="xsd:double"&gt;3.1887174&lt;/D&gt;&lt;D xsi:type="xsd:double"&gt;0.84234476&lt;/D&gt;&lt;D xsi:type="xsd:double"&gt;2.7840972&lt;/D&gt;&lt;D xsi:type="xsd:double"&gt;2.208209&lt;/D&gt;&lt;D xsi:type="xsd:double"&gt;2.3932695&lt;/D&gt;&lt;D xsi:type="xsd:double"&gt;-3.701973&lt;/D&gt;&lt;D xsi:type="xsd:double"&gt;7.7328086&lt;/D&gt;&lt;D xsi:type="xsd:double"&gt;-2.078843&lt;/D&gt;&lt;D xsi:type="xsd:double"&gt;2.357316&lt;/D&gt;&lt;D xsi:type="xsd:double"&gt;-4.1116357&lt;/D&gt;&lt;D xsi:type="xsd:double"&gt;-3.6839783&lt;/D&gt;&lt;D xsi:type="xsd:double"&gt;3.6379457&lt;/D&gt;&lt;D xsi:type="xsd:double"&gt;-7.878703&lt;/D&gt;&lt;D xsi:type="xsd:double"&gt;0.109398365&lt;/D&gt;&lt;D xsi:type="xsd:double"&gt;-6.5295935&lt;/D&gt;&lt;D xsi:type="xsd:double"&gt;7.885194&lt;/D&gt;&lt;D xsi:type="xsd:double"&gt;-5.4925385&lt;/D&gt;&lt;D xsi:type="xsd:double"&gt;-4.0983677&lt;/D&gt;&lt;D xsi:type="xsd:double"&gt;0.84404945&lt;/D&gt;&lt;D xsi:type="xsd:double"&gt;4.6446085&lt;/D&gt;&lt;D xsi:type="xsd:double"&gt;-1.0020137&lt;/D&gt;&lt;D xsi:type="xsd:double"&gt;5.6045175&lt;/D&gt;&lt;D xsi:type="xsd:double"&gt;-1.307857&lt;/D&gt;&lt;D xsi:type="xsd:double"&gt;1.557672&lt;/D&gt;&lt;D xsi:type="xsd:double"&gt;0.84068775&lt;/D&gt;&lt;D xsi:type="xsd:double"&gt;3.7321568&lt;/D&gt;&lt;D xsi:type="xsd:double"&gt;3.1000495&lt;/D&gt;&lt;D xsi:type="xsd:double"&gt;1.6262531&lt;/D&gt;&lt;D xsi:type="xsd:double"&gt;-0.13204813&lt;/D&gt;&lt;D xsi:type="xsd:double"&gt;-3.3943355&lt;/D&gt;&lt;D xsi:type="xsd:double"&gt;1.4317632&lt;/D&gt;&lt;D xsi:type="xsd:double"&gt;4.3769717&lt;/D&gt;&lt;D xsi:type="xsd:double"&gt;3.3117056&lt;/D&gt;&lt;D xsi:type="xsd:double"&gt;5.569327&lt;/D&gt;&lt;D xsi:type="xsd:double"&gt;3.1924367&lt;/D&gt;&lt;D xsi:type="xsd:double"&gt;2.020955&lt;/D&gt;&lt;D xsi:type="xsd:double"&gt;-0.35877228&lt;/D&gt;&lt;D xsi:type="xsd:double"&gt;3.5019398&lt;/D&gt;&lt;/FQL&gt;&lt;FQL&gt;&lt;Q&gt;EWU^FMA_DIV_YLD(NTMA,-10AY,0,AM,"PORTAGG","MEANR")&lt;/Q&gt;&lt;R&gt;121&lt;/R&gt;&lt;C&gt;1&lt;/C&gt;&lt;D xsi:type="xsd:double"&gt;3.83624820576473&lt;/D&gt;&lt;D xsi:type="xsd:double"&gt;3.80061627739297&lt;/D&gt;&lt;D xsi:type="xsd:double"&gt;3.96824097685002&lt;/D&gt;&lt;D xsi:type="xsd:double"&gt;3.8818166126938&lt;/D&gt;&lt;D xsi:type="xsd:double"&gt;4.1081047377074&lt;/D&gt;&lt;D xsi:type="xsd:double"&gt;4.10371589460407&lt;/D&gt;&lt;D xsi:type="xsd:double"&gt;4.02221858651168&lt;/D&gt;&lt;D xsi:type="xsd:double"&gt;4.31594779715015&lt;/D&gt;&lt;D xsi:type="xsd:double"&gt;3.99281187621056&lt;/D&gt;&lt;D xsi:type="xsd:double"&gt;3.92998776945232&lt;/D&gt;&lt;D xsi:type="xsd:double"&gt;4.00893120576075&lt;/D&gt;&lt;D xsi:type="xsd:double"&gt;3.94331366692392&lt;/D&gt;&lt;D xsi:type="xsd:double"&gt;4.03297010684339&lt;/D&gt;&lt;D xsi:type="xsd:double"&gt;4.21388525734675&lt;/D&gt;&lt;D xsi:type="xsd:double"&gt;4.04513547253889&lt;/D&gt;&lt;D xsi:type="xsd:double"&gt;4.57520747761562&lt;/D&gt;&lt;D xsi:type="xsd:double"&gt;4.29115442857226&lt;/D&gt;&lt;D xsi:type="xsd:double"&gt;4.25732439791914&lt;/D&gt;&lt;D xsi:type="xsd:double"&gt;4.28635507854789&lt;/D&gt;&lt;D xsi:type="xsd:double"&gt;4.44023320722201&lt;/D&gt;&lt;D xsi:type="xsd:double"&gt;4.57676856912857&lt;/D&gt;&lt;D xsi:type="xsd:double"&gt;4.3451297176959&lt;/D&gt;&lt;D xsi:type="xsd:double"&gt;4.39792322044772&lt;/D&gt;&lt;D xsi:type="xsd:double"&gt;4.3765577537848&lt;/D&gt;&lt;D xsi:type="xsd:double"&gt;4.25987813422118&lt;/D&gt;&lt;D xsi:type="xsd:double"&gt;4.3166230515573&lt;/D&gt;&lt;D xsi:type="xsd:double"&gt;4.11060721362042&lt;/D&gt;&lt;D xsi:type="xsd:double"&gt;4.10849894829181&lt;/D&gt;&lt;D xsi:type="xsd:double"&gt;4.19830315440843&lt;/D&gt;&lt;D xsi:type="xsd:double"&gt;4.47265640204697&lt;/D&gt;&lt;D xsi:type="xsd:double"&gt;4.40572690291395&lt;/D&gt;&lt;D xsi:type="xsd:double"&gt;4.24289732685022&lt;/D&gt;&lt;D xsi:type="xsd:double"&gt;4.31578341613052&lt;/D&gt;&lt;D xsi:type="xsd:double"&gt;4.30622638955213&lt;/D&gt;&lt;D xsi:type="xsd:double"&gt;4.35128581591594&lt;/D&gt;&lt;D xsi:type="xsd:double"&gt;4.32373255079122&lt;/D&gt;&lt;D xsi:type="xsd:double"&gt;4.23168359225659&lt;/D&gt;&lt;D xsi:type="xsd:double"&gt;4.33895314010375&lt;/D&gt;&lt;D xsi:type="xsd:double"&gt;4.22797446184224&lt;/D&gt;&lt;D xsi:type="xsd:double"&gt;4.34902639124754&lt;/D&gt;&lt;D xsi:type="xsd:double"&gt;4.27894317617627&lt;/D&gt;&lt;D xsi:type="xsd:double"&gt;4.28399634206897&lt;/D&gt;&lt;D xsi:type="xsd:double"&gt;4.39063827903152&lt;/D&gt;&lt;D xsi:type="xsd:double"&gt;4.17152665215576&lt;/D&gt;&lt;D xsi:type="xsd:double"&gt;4.4977472829283&lt;/D&gt;&lt;D xsi:type="xsd:double"&gt;4.5164850381698&lt;/D&gt;&lt;D xsi:type="xsd:double"&gt;4.48158775465838&lt;/D&gt;&lt;D xsi:type="xsd:double"&gt;4.35461890472312&lt;/D&gt;&lt;D xsi:type="xsd:double"&gt;4.32357190377624&lt;/D&gt;&lt;D xsi:type="xsd:double"&gt;4.41281405416275&lt;/D&gt;&lt;D xsi:type="xsd:double"&gt;4.43700972312118&lt;/D&gt;&lt;D xsi:type="xsd:double"&gt;4.66467658839811&lt;/D&gt;&lt;D xsi:type="xsd:double"&gt;4.62694051410397&lt;/D&gt;&lt;D xsi:type="xsd:double"&gt;4.86237958019928&lt;/D&gt;&lt;D xsi:type="xsd:double"&gt;5.18779556858668&lt;/D&gt;&lt;D xsi:type="xsd:double"&gt;5.25680202750783&lt;/D&gt;&lt;D xsi:type="xsd:double"&gt;4.96130546775284&lt;/D&gt;&lt;D xsi:type="xsd:double"&gt;4.93858277152956&lt;/D&gt;&lt;D xsi:type="xsd:double"&gt;4.81200067122581&lt;/D&gt;&lt;D xsi:type="xsd:double"&gt;4.85713888336001&lt;/D&gt;&lt;D xsi:type="xsd:double"&gt;4.87641858563867&lt;/D&gt;&lt;D xsi:type="xsd:double"&gt;4.74976759941222&lt;/D&gt;&lt;D xsi:type="xsd:double"&gt;5.10554593996164&lt;/D&gt;&lt;D xsi:type="xsd:double"&gt;4.99153672362276&lt;/D&gt;&lt;D xsi:type="xsd:double"&gt;5.05931907955311&lt;/D&gt;&lt;D xsi:type="xsd:double"&gt;4.76249262794686&lt;/D&gt;&lt;D xsi:type="xsd:double"&gt;4.78478998691143&lt;/D&gt;&lt;D xsi:type="xsd:double"&gt;4.56618537467224&lt;/D&gt;&lt;D xsi:type="xsd:double"&gt;4.65385310913245&lt;/D&gt;&lt;D xsi:type="xsd:double"&gt;5.38802050173031&lt;/D&gt;&lt;D xsi:type="xsd:double"&gt;6.18937672275123&lt;/D&gt;&lt;D xsi:type="xsd:double"&gt;4.74380746193145&lt;/D&gt;&lt;D xsi:type="xsd:double"&gt;3.89000315176969&lt;/D&gt;&lt;D xsi:type="xsd:double"&gt;4.05720429089406&lt;/D&gt;&lt;D xsi:type="xsd:double"&gt;4.0141273671554&lt;/D&gt;&lt;D xsi:type="xsd:double"&gt;4.18449642586879&lt;/D&gt;&lt;D xsi:type="xsd:double"&gt;4.21573516684033&lt;/D&gt;&lt;D xsi:type="xsd:double"&gt;4.34490548673294&lt;/D&gt;&lt;D xsi:type="xsd:double"&gt;3.84858808424841&lt;/D&gt;&lt;D xsi:type="xsd:double"&gt;3.76264535833269&lt;/D&gt;&lt;D xsi:type="xsd:double"&gt;4.06699042055385&lt;/D&gt;&lt;D xsi:type="xsd:double"&gt;3.99419101627861&lt;/D&gt;&lt;D xsi:type="xsd:double"&gt;3.98407615367796&lt;/D&gt;&lt;D xsi:type="xsd:double"&gt;3.90556325283827&lt;/D&gt;&lt;D xsi:type="xsd:double"&gt;3.88651397388147&lt;/D&gt;&lt;D xsi:type="xsd:double"&gt;4.01608478622403&lt;/D&gt;&lt;D xsi:type="xsd:double"&gt;4.14823294654854&lt;/D&gt;&lt;D xsi:type="xsd:double"&gt;4.16450288493737&lt;/D&gt;&lt;D xsi:type="xsd:double"&gt;4.21774018537049&lt;/D&gt;&lt;D xsi:type="xsd:double"&gt;4.03331189423518&lt;/D&gt;&lt;D xsi:type="xsd:double"&gt;4.05312921815185&lt;/D&gt;&lt;D xsi:type="xsd:double"&gt;3.86969584658879&lt;/D&gt;&lt;D xsi:type="xsd:double"&gt;3.83763462481412&lt;/D&gt;&lt;D xsi:type="xsd:double"&gt;4.18269313339946&lt;/D&gt;&lt;D xsi:type="xsd:double"&gt;3.94082418553628&lt;/D&gt;&lt;D xsi:type="xsd:double"&gt;4.17919565572355&lt;/D&gt;&lt;D xsi:type="xsd:double"&gt;4.02361484259331&lt;/D&gt;&lt;D xsi:type="xsd:double"&gt;4.38893479090684&lt;/D&gt;&lt;D xsi:type="xsd:double"&gt;4.20427379643366&lt;/D&gt;&lt;D xsi:type="xsd:double"&gt;4.4289973925916&lt;/D&gt;&lt;D xsi:type="xsd:double"&gt;4.62860313004432&lt;/D&gt;&lt;D xsi:type="xsd:double"&gt;4.44385866645048&lt;/D&gt;&lt;D xsi:type="xsd:double"&gt;4.23753310309083&lt;/D&gt;&lt;D xsi:type="xsd:double"&gt;4.17557633676269&lt;/D&gt;&lt;D xsi:type="xsd:double"&gt;4.14244458419548&lt;/D&gt;&lt;D xsi:type="xsd:double"&gt;4.13215407198382&lt;/D&gt;&lt;D xsi:type="xsd:double"&gt;4.1550143975544&lt;/D&gt;&lt;D xsi:type="xsd:double"&gt;4.19853378068065&lt;/D&gt;&lt;D xsi:type="xsd:double"&gt;4.33303674025625&lt;/D&gt;&lt;D xsi:type="xsd:double"&gt;4.52366507342697&lt;/D&gt;&lt;D xsi:type="xsd:double"&gt;4.3878762091821&lt;/D&gt;&lt;D xsi:type="xsd:double"&gt;4.52253714727669&lt;/D&gt;&lt;D xsi:type="xsd:double"&gt;4.53095960218053&lt;/D&gt;&lt;D xsi:type="xsd:double"&gt;4.55305111284228&lt;/D&gt;&lt;D xsi:type="xsd:double"&gt;4.42150312252481&lt;/D&gt;&lt;D xsi:type="xsd:double"&gt;4.28882447179392&lt;/D&gt;&lt;D xsi:type="xsd:double"&gt;4.27054166074903&lt;/D&gt;&lt;D xsi:type="xsd:double"&gt;4.15086470871432&lt;/D&gt;&lt;D xsi:type="xsd:double"&gt;4.03529654579011&lt;/D&gt;&lt;D xsi:type="xsd:double"&gt;3.90781058674176&lt;/D&gt;&lt;D xsi:type="xsd:double"&gt;3.8975562625239&lt;/D&gt;&lt;/FQL&gt;&lt;FQL&gt;&lt;Q&gt;EWJ^FMA_PE(NTMA,-10AY,0,AM,"PORTAGG","MEANR")&lt;/Q&gt;&lt;R&gt;121&lt;/R&gt;&lt;C&gt;1&lt;/C&gt;&lt;D xsi:type="xsd:double"&gt;13.581976027703&lt;/D&gt;&lt;D xsi:type="xsd:double"&gt;13.9379781926158&lt;/D&gt;&lt;D xsi:type="xsd:double"&gt;13.4646997402329&lt;/D&gt;&lt;D xsi:type="xsd:double"&gt;13.7343078281918&lt;/D&gt;&lt;D xsi:type="xsd:double"&gt;13.7251666795747&lt;/D&gt;&lt;D xsi:type="xsd:double"&gt;14.2324356788498&lt;/D&gt;&lt;D xsi:type="xsd:double"&gt;14.8041853556246&lt;/D&gt;&lt;D xsi:type="xsd:double"&gt;13.7189251247128&lt;/D&gt;&lt;D xsi:type="xsd:double"&gt;14.0750121725037&lt;/D&gt;&lt;D xsi:type="xsd:double"&gt;15.2697682374511&lt;/D&gt;&lt;D xsi:type="xsd:double"&gt;15.3526039555623&lt;/D&gt;&lt;D xsi:type="xsd:double"&gt;15.6415077086193&lt;/D&gt;&lt;D xsi:type="xsd:double"&gt;16.1572551168506&lt;/D&gt;&lt;D xsi:type="xsd:double"&gt;15.2729210619728&lt;/D&gt;&lt;D xsi:type="xsd:double"&gt;15.6123414265487&lt;/D&gt;&lt;D xsi:type="xsd:double"&gt;13.3308657736671&lt;/D&gt;&lt;D xsi:type="xsd:double"&gt;13.5814934631837&lt;/D&gt;&lt;D xsi:type="xsd:double"&gt;14.4371392271685&lt;/D&gt;&lt;D xsi:type="xsd:double"&gt;14.4319964693314&lt;/D&gt;&lt;D xsi:type="xsd:double"&gt;13.4919695034937&lt;/D&gt;&lt;D xsi:type="xsd:double"&gt;12.5659814346831&lt;/D&gt;&lt;D xsi:type="xsd:double"&gt;13.0918787470464&lt;/D&gt;&lt;D xsi:type="xsd:double"&gt;12.0586676514004&lt;/D&gt;&lt;D xsi:type="xsd:double"&gt;12.4680316687043&lt;/D&gt;&lt;D xsi:type="xsd:double"&gt;13.3595822151225&lt;/D&gt;&lt;D xsi:type="xsd:double"&gt;12.5030641861805&lt;/D&gt;&lt;D xsi:type="xsd:double"&gt;12.9886030719345&lt;/D&gt;&lt;D xsi:type="xsd:double"&gt;13.7271946601855&lt;/D&gt;&lt;D xsi:type="xsd:double"&gt;13.5393201302841&lt;/D&gt;&lt;D xsi:type="xsd:double"&gt;13.3340396907029&lt;/D&gt;&lt;D xsi:type="xsd:double"&gt;14.5708219954932&lt;/D&gt;&lt;D xsi:type="xsd:double"&gt;14.9488060207786&lt;/D&gt;&lt;D xsi:type="xsd:double"&gt;14.3028011356691&lt;/D&gt;&lt;D xsi:type="xsd:double"&gt;14.2571339098449&lt;/D&gt;&lt;D xsi:type="xsd:double"&gt;13.4746208467884&lt;/D&gt;&lt;D xsi:type="xsd:double"&gt;14.0296312178468&lt;/D&gt;&lt;D xsi:type="xsd:double"&gt;14.4009623243583&lt;/D&gt;&lt;D xsi:type="xsd:double"&gt;14.2623321625583&lt;/D&gt;&lt;D xsi:type="xsd:double"&gt;14.2334736352065&lt;/D&gt;&lt;D xsi:type="xsd:double"&gt;13.4840325028983&lt;/D&gt;&lt;D xsi:type="xsd:double"&gt;14.0591307527614&lt;/D&gt;&lt;D xsi:type="xsd:double"&gt;14.7601212913348&lt;/D&gt;&lt;D xsi:type="xsd:double"&gt;14.4333082584771&lt;/D&gt;&lt;D xsi:type="xsd:double"&gt;15.2347988861082&lt;/D&gt;&lt;D xsi:type="xsd:double"&gt;13.8636493603722&lt;/D&gt;&lt;D xsi:type="xsd:double"&gt;12.852636258826&lt;/D&gt;&lt;D xsi:type="xsd:double"&gt;12.7760290561892&lt;/D&gt;&lt;D xsi:type="xsd:double"&gt;13.1840853880057&lt;/D&gt;&lt;D xsi:type="xsd:double"&gt;13.1750803538474&lt;/D&gt;&lt;D xsi:type="xsd:double"&gt;12.6449227079606&lt;/D&gt;&lt;D xsi:type="xsd:double"&gt;12.7602258495064&lt;/D&gt;&lt;D xsi:type="xsd:double"&gt;12.3556480079364&lt;/D&gt;&lt;D xsi:type="xsd:double"&gt;13.092114958757&lt;/D&gt;&lt;D xsi:type="xsd:double"&gt;12.123166961372&lt;/D&gt;&lt;D xsi:type="xsd:double"&gt;11.8684298660566&lt;/D&gt;&lt;D xsi:type="xsd:double"&gt;10.9548340208761&lt;/D&gt;&lt;D xsi:type="xsd:double"&gt;12.0997255143571&lt;/D&gt;&lt;D xsi:type="xsd:double"&gt;12.5752133469266&lt;/D&gt;&lt;D xsi:type="xsd:double"&gt;12.7446481052659&lt;/D&gt;&lt;D xsi:type="xsd:double"&gt;12.7443906100598&lt;/D&gt;&lt;D xsi:type="xsd:double"&gt;12.3627067710607&lt;/D&gt;&lt;D xsi:type="xsd:double"&gt;13.0226087119607&lt;/D&gt;&lt;D xsi:type="xsd:double"&gt;12.3129719004748&lt;/D&gt;&lt;D xsi:type="xsd:double"&gt;12.8286520906082&lt;/D&gt;&lt;D xsi:type="xsd:double"&gt;13.0727551560052&lt;/D&gt;&lt;D xsi:type="xsd:double"&gt;14.0754563648224&lt;/D&gt;&lt;D xsi:type="xsd:double"&gt;14.4788178936548&lt;/D&gt;&lt;D xsi:type="xsd:double"&gt;14.3019938974754&lt;/D&gt;&lt;D xsi:type="xsd:double"&gt;14.627881504794&lt;/D&gt;&lt;D xsi:type="xsd:double"&gt;12.7216697946512&lt;/D&gt;&lt;D xsi:type="xsd:double"&gt;12.2984315767869&lt;/D&gt;&lt;D xsi:type="xsd:double"&gt;13.784681048767&lt;/D&gt;&lt;D xsi:type="xsd:double"&gt;17.3183548655158&lt;/D&gt;&lt;D xsi:type="xsd:double"&gt;17.8855541957546&lt;/D&gt;&lt;D xsi:type="xsd:double"&gt;17.6299692985041&lt;/D&gt;&lt;D xsi:type="xsd:double"&gt;18.2180370437472&lt;/D&gt;&lt;D xsi:type="xsd:double"&gt;18.2386905276519&lt;/D&gt;&lt;D xsi:type="xsd:double"&gt;17.82248075754&lt;/D&gt;&lt;D xsi:type="xsd:double"&gt;18.5712869430176&lt;/D&gt;&lt;D xsi:type="xsd:double"&gt;18.1423771296368&lt;/D&gt;&lt;D xsi:type="xsd:double"&gt;18.7015712694698&lt;/D&gt;&lt;D xsi:type="xsd:double"&gt;17.6261328028944&lt;/D&gt;&lt;D xsi:type="xsd:double"&gt;17.486552025547&lt;/D&gt;&lt;D xsi:type="xsd:double"&gt;16.9069211361201&lt;/D&gt;&lt;D xsi:type="xsd:double"&gt;16.634587308079&lt;/D&gt;&lt;D xsi:type="xsd:double"&gt;16.2760445351622&lt;/D&gt;&lt;D xsi:type="xsd:double"&gt;15.6878359673374&lt;/D&gt;&lt;D xsi:type="xsd:double"&gt;15.7491388648641&lt;/D&gt;&lt;D xsi:type="xsd:double"&gt;14.7564875611827&lt;/D&gt;&lt;D xsi:type="xsd:double"&gt;15.4263148396724&lt;/D&gt;&lt;D xsi:type="xsd:double"&gt;14.3649531295213&lt;/D&gt;&lt;D xsi:type="xsd:double"&gt;14.5350356147592&lt;/D&gt;&lt;D xsi:type="xsd:double"&gt;13.7802967302216&lt;/D&gt;&lt;D xsi:type="xsd:double"&gt;12.7648424887294&lt;/D&gt;&lt;D xsi:type="xsd:double"&gt;13.0725161683003&lt;/D&gt;&lt;D xsi:type="xsd:double"&gt;12.9143558911101&lt;/D&gt;&lt;D xsi:type="xsd:double"&gt;12.967301666536&lt;/D&gt;&lt;D xsi:type="xsd:double"&gt;12.2452415555424&lt;/D&gt;&lt;D xsi:type="xsd:double"&gt;12.7678879798978&lt;/D&gt;&lt;D xsi:type="xsd:double"&gt;12.5859723589065&lt;/D&gt;&lt;D xsi:type="xsd:double"&gt;12.4421552354861&lt;/D&gt;&lt;D xsi:type="xsd:double"&gt;12.4068215482135&lt;/D&gt;&lt;D xsi:type="xsd:double"&gt;12.7147171902788&lt;/D&gt;&lt;D xsi:type="xsd:double"&gt;12.1685693262555&lt;/D&gt;&lt;D xsi:type="xsd:double"&gt;12.9222303243019&lt;/D&gt;&lt;D xsi:type="xsd:double"&gt;13.4185498993803&lt;/D&gt;&lt;D xsi:type="xsd:double"&gt;12.8980042563252&lt;/D&gt;&lt;D xsi:type="xsd:double"&gt;13.6269253564947&lt;/D&gt;&lt;D xsi:type="xsd:double"&gt;14.6816674456173&lt;/D&gt;&lt;D xsi:type="xsd:double"&gt;14.7729287795632&lt;/D&gt;&lt;D xsi:type="xsd:double"&gt;14.4390281144804&lt;/D&gt;&lt;D xsi:type="xsd:double"&gt;14.9101082302624&lt;/D&gt;&lt;D xsi:type="xsd:double"&gt;13.9672916710377&lt;/D&gt;&lt;D xsi:type="xsd:double"&gt;14.3848638719639&lt;/D&gt;&lt;D xsi:type="xsd:double"&gt;14.2678440941266&lt;/D&gt;&lt;D xsi:type="xsd:double"&gt;14.150672595243&lt;/D&gt;&lt;D xsi:type="xsd:double"&gt;14.8909882406202&lt;/D&gt;&lt;D xsi:type="xsd:double"&gt;15.8770756377629&lt;/D&gt;&lt;D xsi:type="xsd:double"&gt;15.4498865491275&lt;/D&gt;&lt;D xsi:type="xsd:double"&gt;15.4313852337695&lt;/D&gt;&lt;D xsi:type="xsd:double"&gt;15.7529227384706&lt;/D&gt;&lt;/FQL&gt;&lt;FQL&gt;&lt;Q&gt;EWC^FMA_PE(LTMA,-10AY,0,AM,"PORTAGG","MEANR")&lt;/Q&gt;&lt;R&gt;121&lt;/R&gt;&lt;C&gt;1&lt;/C&gt;&lt;D xsi:type="xsd:double"&gt;16.1994279869132&lt;/D&gt;&lt;D xsi:type="xsd:double"&gt;16.3289123304105&lt;/D&gt;&lt;D xsi:type="xsd:double"&gt;16.2577902035854&lt;/D&gt;&lt;D xsi:type="xsd:double"&gt;16.4556365719838&lt;/D&gt;&lt;D xsi:type="xsd:double"&gt;15.7777799473983&lt;/D&gt;&lt;D xsi:type="xsd:double"&gt;15.5775487156582&lt;/D&gt;&lt;D xsi:type="xsd:double"&gt;15.564710823245&lt;/D&gt;&lt;D xsi:type="xsd:double"&gt;15.1385666082883&lt;/D&gt;&lt;D xsi:type="xsd:double"&gt;16.3267395429862&lt;/D&gt;&lt;D xsi:type="xsd:double"&gt;17.0035867268895&lt;/D&gt;&lt;D xsi:type="xsd:double"&gt;17.1396620390759&lt;/D&gt;&lt;D xsi:type="xsd:double"&gt;17.2576661805182&lt;/D&gt;&lt;D xsi:type="xsd:double"&gt;17.2149388067691&lt;/D&gt;&lt;D xsi:type="xsd:double"&gt;17.0532717592398&lt;/D&gt;&lt;D xsi:type="xsd:double"&gt;16.9735003118072&lt;/D&gt;&lt;D xsi:type="xsd:double"&gt;16.3289756829073&lt;/D&gt;&lt;D xsi:type="xsd:double"&gt;16.7000988893378&lt;/D&gt;&lt;D xsi:type="xsd:double"&gt;16.8241701935249&lt;/D&gt;&lt;D xsi:type="xsd:double"&gt;16.5771509376271&lt;/D&gt;&lt;D xsi:type="xsd:double"&gt;15.3812490795157&lt;/D&gt;&lt;D xsi:type="xsd:double"&gt;15.5297259416792&lt;/D&gt;&lt;D xsi:type="xsd:double"&gt;15.806776648673&lt;/D&gt;&lt;D xsi:type="xsd:double"&gt;15.96963311113&lt;/D&gt;&lt;D xsi:type="xsd:double"&gt;16.3276002313818&lt;/D&gt;&lt;D xsi:type="xsd:double"&gt;16.7692107123201&lt;/D&gt;&lt;D xsi:type="xsd:double"&gt;16.9232034442183&lt;/D&gt;&lt;D xsi:type="xsd:double"&gt;17.3146709775102&lt;/D&gt;&lt;D xsi:type="xsd:double"&gt;17.7242630834034&lt;/D&gt;&lt;D xsi:type="xsd:double"&gt;17.8354433396888&lt;/D&gt;&lt;D xsi:type="xsd:double"&gt;17.9708370643136&lt;/D&gt;&lt;D xsi:type="xsd:double"&gt;18.890696851539&lt;/D&gt;&lt;D xsi:type="xsd:double"&gt;19.6015646290249&lt;/D&gt;&lt;D xsi:type="xsd:double"&gt;19.5585965139708&lt;/D&gt;&lt;D xsi:type="xsd:double"&gt;19.3885399841943&lt;/D&gt;&lt;D xsi:type="xsd:double"&gt;19.0853042503833&lt;/D&gt;&lt;D xsi:type="xsd:double"&gt;18.7408572029035&lt;/D&gt;&lt;D xsi:type="xsd:double"&gt;18.3783647813859&lt;/D&gt;&lt;D xsi:type="xsd:double"&gt;17.960320760246&lt;/D&gt;&lt;D xsi:type="xsd:double"&gt;18.0045353284545&lt;/D&gt;&lt;D xsi:type="xsd:double"&gt;17.3646113118497&lt;/D&gt;&lt;D xsi:type="xsd:double"&gt;17.6476208964657&lt;/D&gt;&lt;D xsi:type="xsd:double"&gt;17.5339143802014&lt;/D&gt;&lt;D xsi:type="xsd:double"&gt;17.1537766198726&lt;/D&gt;&lt;D xsi:type="xsd:double"&gt;17.3595918329497&lt;/D&gt;&lt;D xsi:type="xsd:double"&gt;16.0942844344517&lt;/D&gt;&lt;D xsi:type="xsd:double"&gt;15.8237636890363&lt;/D&gt;&lt;D xsi:type="xsd:double"&gt;15.6157284490258&lt;/D&gt;&lt;D xsi:type="xsd:double"&gt;15.5888812557178&lt;/D&gt;&lt;D xsi:type="xsd:double"&gt;15.5732071836564&lt;/D&gt;&lt;D xsi:type="xsd:double"&gt;15.504726122439&lt;/D&gt;&lt;D xsi:type="xsd:double"&gt;15.4814104072835&lt;/D&gt;&lt;D xsi:type="xsd:double"&gt;15.1086333598293&lt;/D&gt;&lt;D xsi:type="xsd:double"&gt;14.9694145905974&lt;/D&gt;&lt;D xsi:type="xsd:double"&gt;14.3071822748332&lt;/D&gt;&lt;D xsi:type="xsd:double"&gt;13.8221606368755&lt;/D&gt;&lt;D xsi:type="xsd:double"&gt;13.2373247902731&lt;/D&gt;&lt;D xsi:type="xsd:double"&gt;14.7371327102567&lt;/D&gt;&lt;D xsi:type="xsd:double"&gt;14.7319967545465&lt;/D&gt;&lt;D xsi:type="xsd:double"&gt;14.7606766347791&lt;/D&gt;&lt;D xsi:type="xsd:double"&gt;14.5986152989762&lt;/D&gt;&lt;D xsi:type="xsd:double"&gt;14.4307933600245&lt;/D&gt;&lt;D xsi:type="xsd:double"&gt;14.5243856543913&lt;/D&gt;&lt;D xsi:type="xsd:double"&gt;14.2981442066958&lt;/D&gt;&lt;D xsi:type="xsd:double"&gt;14.5216135852786&lt;/D&gt;&lt;D xsi:type="xsd:double"&gt;14.5155283080125&lt;/D&gt;&lt;D xsi:type="xsd:double"&gt;14.9840701021219&lt;/D&gt;&lt;D xsi:type="xsd:double"&gt;15.1145658772977&lt;/D&gt;&lt;D xsi:type="xsd:double"&gt;15.2903707234766&lt;/D&gt;&lt;D xsi:type="xsd:double"&gt;15.767876260581&lt;/D&gt;&lt;D xsi:type="xsd:double"&gt;14.3850025058356&lt;/D&gt;&lt;D xsi:type="xsd:double"&gt;14.3664569348021&lt;/D&gt;&lt;D xsi:type="xsd:double"&gt;15.8164428897994&lt;/D&gt;&lt;D xsi:type="xsd:double"&gt;17.3164305478997&lt;/D&gt;&lt;D xsi:type="xsd:double"&gt;17.5198044766905&lt;/D&gt;&lt;D xsi:type="xsd:double"&gt;18.2311835740168&lt;/D&gt;&lt;D xsi:type="xsd:double"&gt;18.1013456003587&lt;/D&gt;&lt;D xsi:type="xsd:double"&gt;18.4834693865614&lt;/D&gt;&lt;D xsi:type="xsd:double"&gt;18.5943677610659&lt;/D&gt;&lt;D xsi:type="xsd:double"&gt;20.0369285715154&lt;/D&gt;&lt;D xsi:type="xsd:double"&gt;21.089378257216&lt;/D&gt;&lt;D xsi:type="xsd:double"&gt;20.9570402441176&lt;/D&gt;&lt;D xsi:type="xsd:double"&gt;19.92742109319&lt;/D&gt;&lt;D xsi:type="xsd:double"&gt;19.560319080621&lt;/D&gt;&lt;D xsi:type="xsd:double"&gt;19.1734467549964&lt;/D&gt;&lt;D xsi:type="xsd:double"&gt;18.7762277565505&lt;/D&gt;&lt;D xsi:type="xsd:double"&gt;18.3700711255967&lt;/D&gt;&lt;D xsi:type="xsd:double"&gt;17.7173217210988&lt;/D&gt;&lt;D xsi:type="xsd:double"&gt;17.2307850610811&lt;/D&gt;&lt;D xsi:type="xsd:double"&gt;16.3797064143527&lt;/D&gt;&lt;D xsi:type="xsd:double"&gt;16.663784082601&lt;/D&gt;&lt;D xsi:type="xsd:double"&gt;15.5710299959019&lt;/D&gt;&lt;D xsi:type="xsd:double"&gt;15.302979598251&lt;/D&gt;&lt;D xsi:type="xsd:double"&gt;15.4053006106557&lt;/D&gt;&lt;D xsi:type="xsd:double"&gt;15.241983480752&lt;/D&gt;&lt;D xsi:type="xsd:double"&gt;14.9933734981675&lt;/D&gt;&lt;D xsi:type="xsd:double"&gt;14.4661101510887&lt;/D&gt;&lt;D xsi:type="xsd:double"&gt;14.2406374924748&lt;/D&gt;&lt;D xsi:type="xsd:double"&gt;13.3249258953943&lt;/D&gt;&lt;D xsi:type="xsd:double"&gt;13.2356482006498&lt;/D&gt;&lt;D xsi:type="xsd:double"&gt;12.6540616891125&lt;/D&gt;&lt;D xsi:type="xsd:double"&gt;12.3388598369773&lt;/D&gt;&lt;D xsi:type="xsd:double"&gt;12.4251735409757&lt;/D&gt;&lt;D xsi:type="xsd:double"&gt;12.5737448421909&lt;/D&gt;&lt;D xsi:type="xsd:double"&gt;12.2980958276015&lt;/D&gt;&lt;D xsi:type="xsd:double"&gt;12.8317072744895&lt;/D&gt;&lt;D xsi:type="xsd:double"&gt;12.6240929057007&lt;/D&gt;&lt;D xsi:type="xsd:double"&gt;12.6559109153111&lt;/D&gt;&lt;D xsi:type="xsd:double"&gt;12.8065103851918&lt;/D&gt;&lt;D xsi:type="xsd:double"&gt;12.915783082891&lt;/D&gt;&lt;D xsi:type="xsd:double"&gt;12.9347334625336&lt;/D&gt;&lt;D xsi:type="xsd:double"&gt;13.4132407090427&lt;/D&gt;&lt;D xsi:type="xsd:double"&gt;13.5314900322209&lt;/D&gt;&lt;D xsi:type="xsd:double"&gt;13.1010499211487&lt;/D&gt;&lt;D xsi:type="xsd:double"&gt;13.4430278479131&lt;/D&gt;&lt;D xsi:type="xsd:double"&gt;13.9188486487742&lt;/D&gt;&lt;D xsi:type="xsd:double"&gt;14.5970817609926&lt;/D&gt;&lt;D xsi:type="xsd:double"&gt;14.5832786673845&lt;/D&gt;&lt;D xsi:type="xsd:double"&gt;14.8908215466196&lt;/D&gt;&lt;D xsi:type="xsd:double"&gt;14.9833806590998&lt;/D&gt;&lt;D xsi:type="xsd:double"&gt;14.9692948282329&lt;/D&gt;&lt;D xsi:type="xsd:double"&gt;14.8578125154919&lt;/D&gt;&lt;/FQL&gt;&lt;FQL&gt;&lt;Q&gt;WL-FDS^FG_PRICE_CHANGE(0,-3AM)&lt;/Q&gt;&lt;R&gt;1&lt;/R&gt;&lt;C&gt;1&lt;/C&gt;&lt;D xsi:type="xsd:double"&gt;-8.21603927986907&lt;/D&gt;&lt;/FQL&gt;&lt;FQL&gt;&lt;Q&gt;NI-FDS^FG_PRICE_CHANGE(0,-3AM)&lt;/Q&gt;&lt;R&gt;1&lt;/R&gt;&lt;C&gt;1&lt;/C&gt;&lt;D xsi:type="xsd:double"&gt;3.74821173104436&lt;/D&gt;&lt;/FQL&gt;&lt;FQL&gt;&lt;Q&gt;CPALM-FDS^FG_PRICE_CHANGE(0,-3AM)&lt;/Q&gt;&lt;R&gt;1&lt;/R&gt;&lt;C&gt;1&lt;/C&gt;&lt;D xsi:type="xsd:double"&gt;-4.99758570738773&lt;/D&gt;&lt;/FQL&gt;&lt;FQL&gt;&lt;Q&gt;BRENT-FDS^FG_PRICE_CHANGE(0,-3AM)&lt;/Q&gt;&lt;R&gt;1&lt;/R&gt;&lt;C&gt;1&lt;/C&gt;&lt;D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xsi:type="xsd:double"&gt;-7.23324213406292&lt;/D&gt;&lt;/FQL&gt;&lt;FQL&gt;&lt;Q&gt;FC0000CH^FG_PRICE(0)&lt;/Q&gt;&lt;R&gt;1&lt;/R&gt;&lt;C&gt;1&lt;/C&gt;&lt;D xsi:type="xsd:double"&gt;337.54053&lt;/D&gt;&lt;/FQL&gt;&lt;FQL&gt;&lt;Q&gt;FC0000AU^FG_PRICE(0)&lt;/Q&gt;&lt;R&gt;1&lt;/R&gt;&lt;C&gt;1&lt;/C&gt;&lt;D xsi:type="xsd:double"&gt;363.85654&lt;/D&gt;&lt;/FQL&gt;&lt;FQL&gt;&lt;Q&gt;EWN^FG_PRICE_MAVG(0,,,,200)&lt;/Q&gt;&lt;R&gt;1&lt;/R&gt;&lt;C&gt;1&lt;/C&gt;&lt;D xsi:type="xsd:double"&gt;44.506855&lt;/D&gt;&lt;/FQL&gt;&lt;FQL&gt;&lt;Q&gt;EWU^FG_PRICE_MAVG(0,,,,200)&lt;/Q&gt;&lt;R&gt;1&lt;/R&gt;&lt;C&gt;1&lt;/C&gt;&lt;D xsi:type="xsd:double"&gt;32.966&lt;/D&gt;&lt;/FQL&gt;&lt;FQL&gt;&lt;Q&gt;EWC^FG_PRICE_MAVG(0,,,,200)&lt;/Q&gt;&lt;R&gt;1&lt;/R&gt;&lt;C&gt;1&lt;/C&gt;&lt;D xsi:type="xsd:double"&gt;35.8299&lt;/D&gt;&lt;/FQL&gt;&lt;FQL&gt;&lt;Q&gt;EWI^FG_TOTAL_RETURNC(0,-12AM)&lt;/Q&gt;&lt;R&gt;1&lt;/R&gt;&lt;C&gt;1&lt;/C&gt;&lt;D xsi:type="xsd:double"&gt;31.537878&lt;/D&gt;&lt;/FQL&gt;&lt;FQL&gt;&lt;Q&gt;EWD^PERCENT_CHANGE(FMA_EPS(+1,0,,,,"PORTAGG","MEAN"),FMA_EPS(+1,-1AM,,,,"PORTAGG","MEAN"))&lt;/Q&gt;&lt;R&gt;1&lt;/R&gt;&lt;C&gt;1&lt;/C&gt;&lt;D xsi:type="xsd:double"&gt;4.56824270241876&lt;/D&gt;&lt;/FQL&gt;&lt;FQL&gt;&lt;Q&gt;EWQ^FG_TOTAL_RETURNC(0,-1AM)&lt;/Q&gt;&lt;R&gt;1&lt;/R&gt;&lt;C&gt;1&lt;/C&gt;&lt;D xsi:type="xsd:double"&gt;3.080678&lt;/D&gt;&lt;/FQL&gt;&lt;FQL&gt;&lt;Q&gt;QQQ^FG_TOTAL_RETURNC(0,-6AM)&lt;/Q&gt;&lt;R&gt;1&lt;/R&gt;&lt;C&gt;1&lt;/C&gt;&lt;D xsi:type="xsd:double"&gt;20.800531&lt;/D&gt;&lt;/FQL&gt;&lt;FQL&gt;&lt;Q&gt;EWJ^FMA_PCT_ABOVE_MAVG(200,0,,,,"PORTAGG")&lt;/Q&gt;&lt;R&gt;1&lt;/R&gt;&lt;C&gt;1&lt;/C&gt;&lt;D xsi:type="xsd:double"&gt;73.5294117647059&lt;/D&gt;&lt;/FQL&gt;&lt;FQL&gt;&lt;Q&gt;EWC^PERCENT_CHANGE(FMA_EPS(+1,0,,,,"PORTAGG","MEAN"),FMA_EPS(+1,-3AM,,,,"PORTAGG","MEAN"))&lt;/Q&gt;&lt;R&gt;1&lt;/R&gt;&lt;C&gt;1&lt;/C&gt;&lt;D xsi:type="xsd:double"&gt;0.161263571466032&lt;/D&gt;&lt;/FQL&gt;&lt;FQL&gt;&lt;Q&gt;EWJ^FMA_COS_DOWN("EPS","1M",+1,0,,,"PORTAGG","MEANR")&lt;/Q&gt;&lt;R&gt;1&lt;/R&gt;&lt;C&gt;1&lt;/C&gt;&lt;D xsi:type="xsd:double"&gt;82&lt;/D&gt;&lt;/FQL&gt;&lt;FQL&gt;&lt;Q&gt;REFFFUND-FDS^PROPER_NAME(0,,,"SECURITY","NAME")&lt;/Q&gt;&lt;R&gt;1&lt;/R&gt;&lt;C&gt;1&lt;/C&gt;&lt;D xsi:type="xsd:string"&gt;US Federal Funds Target Rate&lt;/D&gt;&lt;/FQL&gt;&lt;FQL&gt;&lt;Q&gt;EWU^FMA_ROE(NTMA,-20AY,NOW,FY,"PORTAGG","MEANR")&lt;/Q&gt;&lt;R&gt;20&lt;/R&gt;&lt;C&gt;1&lt;/C&gt;&lt;D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xsi:type="xsd:double"&gt;12.8710545059328&lt;/D&gt;&lt;D xsi:type="xsd:double"&gt;11.2050609778507&lt;/D&gt;&lt;D xsi:type="xsd:double"&gt;13.9227699516468&lt;/D&gt;&lt;D xsi:type="xsd:double"&gt;15.8587443966116&lt;/D&gt;&lt;D xsi:type="xsd:double"&gt;14.7207288829902&lt;/D&gt;&lt;/FQL&gt;&lt;FQL&gt;&lt;Q&gt;TRYMX10Y-FDS^FG_YIELD(-10AY,0,Y,,"YTM")&lt;/Q&gt;&lt;R&gt;10&lt;/R&gt;&lt;C&gt;1&lt;/C&gt;&lt;D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xsi:type="xsd:double"&gt;6.6087&lt;/D&gt;&lt;/FQL&gt;&lt;FQL&gt;&lt;Q&gt;EWA^FMA_PE(LTMA,-10AY,0,AM,"PORTAGG","MEANR")&lt;/Q&gt;&lt;R&gt;121&lt;/R&gt;&lt;C&gt;1&lt;/C&gt;&lt;D xsi:type="xsd:double"&gt;15.165065184907&lt;/D&gt;&lt;D xsi:type="xsd:double"&gt;15.2291980254451&lt;/D&gt;&lt;D xsi:type="xsd:double"&gt;15.3259866095166&lt;/D&gt;&lt;D xsi:type="xsd:double"&gt;15.4287814317086&lt;/D&gt;&lt;D xsi:type="xsd:double"&gt;14.658771214042&lt;/D&gt;&lt;D xsi:type="xsd:double"&gt;15.2123078703656&lt;/D&gt;&lt;D xsi:type="xsd:double"&gt;14.479613828904&lt;/D&gt;&lt;D xsi:type="xsd:double"&gt;14.6422069476042&lt;/D&gt;&lt;D xsi:type="xsd:double"&gt;15.8637742850143&lt;/D&gt;&lt;D xsi:type="xsd:double"&gt;16.2015961004084&lt;/D&gt;&lt;D xsi:type="xsd:double"&gt;16.2789146526875&lt;/D&gt;&lt;D xsi:type="xsd:double"&gt;16.2429324663725&lt;/D&gt;&lt;D xsi:type="xsd:double"&gt;15.9034076406753&lt;/D&gt;&lt;D xsi:type="xsd:double"&gt;15.8624107187674&lt;/D&gt;&lt;D xsi:type="xsd:double"&gt;16.0549608737648&lt;/D&gt;&lt;D xsi:type="xsd:double"&gt;15.0967343099177&lt;/D&gt;&lt;D xsi:type="xsd:double"&gt;15.4123986114577&lt;/D&gt;&lt;D xsi:type="xsd:double"&gt;15.5405114159289&lt;/D&gt;&lt;D xsi:type="xsd:double"&gt;15.5206311202538&lt;/D&gt;&lt;D xsi:type="xsd:double"&gt;15.4498522958867&lt;/D&gt;&lt;D xsi:type="xsd:double"&gt;15.2038563512921&lt;/D&gt;&lt;D xsi:type="xsd:double"&gt;15.0670649567759&lt;/D&gt;&lt;D xsi:type="xsd:double"&gt;15.0430146132962&lt;/D&gt;&lt;D xsi:type="xsd:double"&gt;15.5564555379923&lt;/D&gt;&lt;D xsi:type="xsd:double"&gt;15.7984223100888&lt;/D&gt;&lt;D xsi:type="xsd:double"&gt;15.6890800958371&lt;/D&gt;&lt;D xsi:type="xsd:double"&gt;16.3848729529623&lt;/D&gt;&lt;D xsi:type="xsd:double"&gt;16.5273896601435&lt;/D&gt;&lt;D xsi:type="xsd:double"&gt;16.8734757102131&lt;/D&gt;&lt;D xsi:type="xsd:double"&gt;16.4497033585976&lt;/D&gt;&lt;D xsi:type="xsd:double"&gt;17.0603556309243&lt;/D&gt;&lt;D xsi:type="xsd:double"&gt;17.9944173334142&lt;/D&gt;&lt;D xsi:type="xsd:double"&gt;17.4636938755494&lt;/D&gt;&lt;D xsi:type="xsd:double"&gt;17.4972625840073&lt;/D&gt;&lt;D xsi:type="xsd:double"&gt;17.3280404492047&lt;/D&gt;&lt;D xsi:type="xsd:double"&gt;17.1693280887931&lt;/D&gt;&lt;D xsi:type="xsd:double"&gt;16.7650926049915&lt;/D&gt;&lt;D xsi:type="xsd:double"&gt;16.8034476527698&lt;/D&gt;&lt;D xsi:type="xsd:double"&gt;16.7726012076477&lt;/D&gt;&lt;D xsi:type="xsd:double"&gt;16.5336276263185&lt;/D&gt;&lt;D xsi:type="xsd:double"&gt;16.3605479638982&lt;/D&gt;&lt;D xsi:type="xsd:double"&gt;16.7151815046095&lt;/D&gt;&lt;D xsi:type="xsd:double"&gt;16.4889817957836&lt;/D&gt;&lt;D xsi:type="xsd:double"&gt;16.9233709424541&lt;/D&gt;&lt;D xsi:type="xsd:double"&gt;16.1</t>
        </r>
      </text>
    </comment>
    <comment ref="A5" authorId="0" shapeId="0" xr:uid="{A3EA6DFF-22EE-4902-8B79-041A48E0B172}">
      <text>
        <r>
          <rPr>
            <b/>
            <sz val="9"/>
            <color indexed="81"/>
            <rFont val="Tahoma"/>
            <charset val="1"/>
          </rPr>
          <t>075367676151&lt;/D&gt;&lt;D xsi:type="xsd:double"&gt;16.5142295149566&lt;/D&gt;&lt;D xsi:type="xsd:double"&gt;16.2729891033&lt;/D&gt;&lt;D xsi:type="xsd:double"&gt;16.3189205214321&lt;/D&gt;&lt;D xsi:type="xsd:double"&gt;16.1634591964835&lt;/D&gt;&lt;D xsi:type="xsd:double"&gt;16.3747364683711&lt;/D&gt;&lt;D xsi:type="xsd:double"&gt;16.3344370646359&lt;/D&gt;&lt;D xsi:type="xsd:double"&gt;16.0585430119576&lt;/D&gt;&lt;D xsi:type="xsd:double"&gt;15.9777701229299&lt;/D&gt;&lt;D xsi:type="xsd:double"&gt;15.3858695989612&lt;/D&gt;&lt;D xsi:type="xsd:double"&gt;14.7732756090128&lt;/D&gt;&lt;D xsi:type="xsd:double"&gt;14.6043015986726&lt;/D&gt;&lt;D xsi:type="xsd:double"&gt;15.6306035267892&lt;/D&gt;&lt;D xsi:type="xsd:double"&gt;15.9288319313117&lt;/D&gt;&lt;D xsi:type="xsd:double"&gt;15.8273105397965&lt;/D&gt;&lt;D xsi:type="xsd:double"&gt;15.8351701961921&lt;/D&gt;&lt;D xsi:type="xsd:double"&gt;15.94888803944&lt;/D&gt;&lt;D xsi:type="xsd:double"&gt;16.4177999086978&lt;/D&gt;&lt;D xsi:type="xsd:double"&gt;16.0463965769998&lt;/D&gt;&lt;D xsi:type="xsd:double"&gt;16.58479427772&lt;/D&gt;&lt;D xsi:type="xsd:double"&gt;16.5624234257992&lt;/D&gt;&lt;D xsi:type="xsd:double"&gt;17.3058112871919&lt;/D&gt;&lt;D xsi:type="xsd:double"&gt;17.5188756447492&lt;/D&gt;&lt;D xsi:type="xsd:double"&gt;17.8155129483565&lt;/D&gt;&lt;D xsi:type="xsd:double"&gt;18.5511740093714&lt;/D&gt;&lt;D xsi:type="xsd:double"&gt;16.8710000174158&lt;/D&gt;&lt;D xsi:type="xsd:double"&gt;16.5536132563878&lt;/D&gt;&lt;D xsi:type="xsd:double"&gt;17.2744096083798&lt;/D&gt;&lt;D xsi:type="xsd:double"&gt;18.5483217528395&lt;/D&gt;&lt;D xsi:type="xsd:double"&gt;18.7098216524194&lt;/D&gt;&lt;D xsi:type="xsd:double"&gt;19.2548368744493&lt;/D&gt;&lt;D xsi:type="xsd:double"&gt;19.4760473060604&lt;/D&gt;&lt;D xsi:type="xsd:double"&gt;19.4782166987244&lt;/D&gt;&lt;D xsi:type="xsd:double"&gt;20.5392822982421&lt;/D&gt;&lt;D xsi:type="xsd:double"&gt;22.732353364669&lt;/D&gt;&lt;D xsi:type="xsd:double"&gt;23.1142490037421&lt;/D&gt;&lt;D xsi:type="xsd:double"&gt;23.1150878054756&lt;/D&gt;&lt;D xsi:type="xsd:double"&gt;21.722389990913&lt;/D&gt;&lt;D xsi:type="xsd:double"&gt;21.2797735750497&lt;/D&gt;&lt;D xsi:type="xsd:double"&gt;20.9434761953151&lt;/D&gt;&lt;D xsi:type="xsd:double"&gt;20.7909363987482&lt;/D&gt;&lt;D xsi:type="xsd:double"&gt;19.7730626030813&lt;/D&gt;&lt;D xsi:type="xsd:double"&gt;19.339892017413&lt;/D&gt;&lt;D xsi:type="xsd:double"&gt;19.1294168598437&lt;/D&gt;&lt;D xsi:type="xsd:double"&gt;18.2998417139257&lt;/D&gt;&lt;D xsi:type="xsd:double"&gt;18.6369761832307&lt;/D&gt;&lt;D xsi:type="xsd:double"&gt;17.5357417489642&lt;/D&gt;&lt;D xsi:type="xsd:double"&gt;17.4953795319166&lt;/D&gt;&lt;D xsi:type="xsd:double"&gt;16.0393361768342&lt;/D&gt;&lt;D xsi:type="xsd:double"&gt;15.704104198327&lt;/D&gt;&lt;D xsi:type="xsd:double"&gt;15.7584145869165&lt;/D&gt;&lt;D xsi:type="xsd:double"&gt;15.2429036493485&lt;/D&gt;&lt;D xsi:type="xsd:double"&gt;14.9862774088791&lt;/D&gt;&lt;D xsi:type="xsd:double"&gt;14.0031032032933&lt;/D&gt;&lt;D xsi:type="xsd:double"&gt;14.5158510191603&lt;/D&gt;&lt;D xsi:type="xsd:double"&gt;14.0674809850566&lt;/D&gt;&lt;D xsi:type="xsd:double"&gt;13.7330225745456&lt;/D&gt;&lt;D xsi:type="xsd:double"&gt;13.5207993888735&lt;/D&gt;&lt;D xsi:type="xsd:double"&gt;14.3538989285745&lt;/D&gt;&lt;D xsi:type="xsd:double"&gt;13.9836515171127&lt;/D&gt;&lt;D xsi:type="xsd:double"&gt;14.8035280848147&lt;/D&gt;&lt;D xsi:type="xsd:double"&gt;14.2901983079833&lt;/D&gt;&lt;D xsi:type="xsd:double"&gt;14.2678494278165&lt;/D&gt;&lt;D xsi:type="xsd:double"&gt;14.3223122304917&lt;/D&gt;&lt;D xsi:type="xsd:double"&gt;14.3142161062879&lt;/D&gt;&lt;D xsi:type="xsd:double"&gt;14.5723684839591&lt;/D&gt;&lt;D xsi:type="xsd:double"&gt;14.978178529504&lt;/D&gt;&lt;D xsi:type="xsd:double"&gt;15.0807244591538&lt;/D&gt;&lt;D xsi:type="xsd:double"&gt;14.536618052016&lt;/D&gt;&lt;D xsi:type="xsd:double"&gt;14.9443811159088&lt;/D&gt;&lt;D xsi:type="xsd:double"&gt;15.3623814871907&lt;/D&gt;&lt;D xsi:type="xsd:double"&gt;16.2955018368134&lt;/D&gt;&lt;D xsi:type="xsd:double"&gt;16.3542563660458&lt;/D&gt;&lt;D xsi:type="xsd:double"&gt;16.6242658468087&lt;/D&gt;&lt;D xsi:type="xsd:double"&gt;16.6490074828537&lt;/D&gt;&lt;D xsi:type="xsd:double"&gt;16.6643889982375&lt;/D&gt;&lt;D xsi:type="xsd:double"&gt;16.7345707602512&lt;/D&gt;&lt;/FQL&gt;&lt;FQL&gt;&lt;Q&gt;WL-FDS^FG_PRICE_CHANGE(0,-1AM)&lt;/Q&gt;&lt;R&gt;1&lt;/R&gt;&lt;C&gt;1&lt;/C&gt;&lt;D xsi:type="xsd:double"&gt;-1.95804195804197&lt;/D&gt;&lt;/FQL&gt;&lt;FQL&gt;&lt;Q&gt;NI-FDS^FG_PRICE_CHANGE(0,-1AM)&lt;/Q&gt;&lt;R&gt;1&lt;/R&gt;&lt;C&gt;1&lt;/C&gt;&lt;D xsi:type="xsd:double"&gt;-3.35820895522388&lt;/D&gt;&lt;/FQL&gt;&lt;FQL&gt;&lt;Q&gt;CPALM-FDS^FG_PRICE_CHANGE(0,-1AM)&lt;/Q&gt;&lt;R&gt;1&lt;/R&gt;&lt;C&gt;1&lt;/C&gt;&lt;D xsi:type="xsd:double"&gt;0.665131747249936&lt;/D&gt;&lt;/FQL&gt;&lt;FQL&gt;&lt;Q&gt;BRENT-FDS^FG_PRICE_CHANGE(0,-1AM)&lt;/Q&gt;&lt;R&gt;1&lt;/R&gt;&lt;C&gt;1&lt;/C&gt;&lt;D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xsi:type="xsd:double"&gt;-9.25058548009368&lt;/D&gt;&lt;/FQL&gt;&lt;FQL&gt;&lt;Q&gt;EWN^FG_PRICE_MAVG(0,,,,60)&lt;/Q&gt;&lt;R&gt;1&lt;/R&gt;&lt;C&gt;1&lt;/C&gt;&lt;D xsi:type="xsd:double"&gt;49.651833&lt;/D&gt;&lt;/FQL&gt;&lt;FQL&gt;&lt;Q&gt;EWU^FG_PRICE_MAVG(0,,,,60)&lt;/Q&gt;&lt;R&gt;1&lt;/R&gt;&lt;C&gt;1&lt;/C&gt;&lt;D xsi:type="xsd:double"&gt;34.878&lt;/D&gt;&lt;/FQL&gt;&lt;FQL&gt;&lt;Q&gt;SPY^FG_COMPANY_NAME&lt;/Q&gt;&lt;R&gt;1&lt;/R&gt;&lt;C&gt;1&lt;/C&gt;&lt;D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xsi:type="xsd:double"&gt;-0.6171942&lt;/D&gt;&lt;/FQL&gt;&lt;FQL&gt;&lt;Q&gt;QQQ^FG_TOTAL_RETURNC(0,-3AM)&lt;/Q&gt;&lt;R&gt;1&lt;/R&gt;&lt;C&gt;1&lt;/C&gt;&lt;D xsi:type="xsd:double"&gt;5.7401896&lt;/D&gt;&lt;/FQL&gt;&lt;FQL&gt;&lt;Q&gt;CAGDPY@GB^EE_ACTUAL_ANNUAL(MED,+1)&lt;/Q&gt;&lt;R&gt;1&lt;/R&gt;&lt;C&gt;1&lt;/C&gt;&lt;D xsi:type="xsd:double"&gt;-2.9&lt;/D&gt;&lt;/FQL&gt;&lt;FQL&gt;&lt;Q&gt;CC_GB^FG_COMPANY_NAME&lt;/Q&gt;&lt;R&gt;1&lt;/R&gt;&lt;C&gt;1&lt;/C&gt;&lt;D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xsi:type="xsd:double"&gt;3.69510270699637&lt;/D&gt;&lt;/FQL&gt;&lt;FQL&gt;&lt;Q&gt;USDCHF^STD(FG_PRICE_CHANGE(0,-1AY,AM))&lt;/Q&gt;&lt;R&gt;1&lt;/R&gt;&lt;C&gt;1&lt;/C&gt;&lt;D xsi:type="xsd:double"&gt;2.22699040544249&lt;/D&gt;&lt;/FQL&gt;&lt;FQL&gt;&lt;Q&gt;USDUSD^STD(FG_PRICE_CHANGE(0,-1AY,AM))&lt;/Q&gt;&lt;R&gt;1&lt;/R&gt;&lt;C&gt;1&lt;/C&gt;&lt;D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xsi:type="xsd:double"&gt;1.82306558338501&lt;/D&gt;&lt;/FQL&gt;&lt;FQL&gt;&lt;Q&gt;USDAUD^STD(FG_PRICE_CHANGE(0,-1AY,AM))&lt;/Q&gt;&lt;R&gt;1&lt;/R&gt;&lt;C&gt;1&lt;/C&gt;&lt;D xsi:type="xsd:double"&gt;1.78752893606908&lt;/D&gt;&lt;/FQL&gt;&lt;FQL&gt;&lt;Q&gt;EWD^FMA_EPS(NTMA,-20AY,0,CY,,"PORTAGG","MEANR")&lt;/Q&gt;&lt;R&gt;20&lt;/R&gt;&lt;C&gt;1&lt;/C&gt;&lt;D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xsi:type="xsd:double"&gt;2.04500092559165&lt;/D&gt;&lt;D xsi:type="xsd:double"&gt;2.21310873729953&lt;/D&gt;&lt;D xsi:type="xsd:double"&gt;2.48981565223205&lt;/D&gt;&lt;D xsi:type="xsd:double"&gt;2.56381617157873&lt;/D&gt;&lt;D xsi:type="xsd:double"&gt;2.51009258677617&lt;/D&gt;&lt;/FQL&gt;&lt;FQL&gt;&lt;Q&gt;EWQ^P_PRICE_RETURNS_PR('52W',2,-10AY,0,AM)&lt;/Q&gt;&lt;R&gt;121&lt;/R&gt;&lt;C&gt;1&lt;/C&gt;&lt;D xsi:type="xsd:double"&gt;26.863121&lt;/D&gt;&lt;D xsi:type="xsd:double"&gt;29.733551&lt;/D&gt;&lt;D xsi:type="xsd:double"&gt;7.0026517&lt;/D&gt;&lt;D xsi:type="xsd:double"&gt;13.230538&lt;/D&gt;&lt;D xsi:type="xsd:double"&gt;-1.7795682&lt;/D&gt;&lt;D xsi:type="xsd:double"&gt;-6.760037&lt;/D&gt;&lt;D xsi:type="xsd:double"&gt;-0.2676785&lt;/D&gt;&lt;D xsi:type="xsd:double"&gt;-12.842989&lt;/D&gt;&lt;D xsi:type="xsd:double"&gt;-4.413271&lt;/D&gt;&lt;D xsi:type="xsd:double"&gt;-9.484548&lt;/D&gt;&lt;D xsi:type="xsd:double"&gt;-6.000364&lt;/D&gt;&lt;D xsi:type="xsd:double"&gt;-5.853951&lt;/D&gt;&lt;D xsi:type="xsd:double"&gt;-9.802908&lt;/D&gt;&lt;D xsi:type="xsd:double"&gt;-12.785369&lt;/D&gt;&lt;D xsi:type="xsd:double"&gt;3.5864234&lt;/D&gt;&lt;D xsi:type="xsd:double"&gt;-10.727442&lt;/D&gt;&lt;D xsi:type="xsd:double"&gt;-0.057816505&lt;/D&gt;&lt;D xsi:type="xsd:double"&gt;4.993391&lt;/D&gt;&lt;D xsi:type="xsd:double"&gt;-1.147747&lt;/D&gt;&lt;D xsi:type="xsd:double"&gt;1.3627648&lt;/D&gt;&lt;D xsi:type="xsd:double"&gt;-10.696441&lt;/D&gt;&lt;D xsi:type="xsd:double"&gt;-7.8093886&lt;/D&gt;&lt;D xsi:type="xsd:double"&gt;-9.422577&lt;/D&gt;&lt;D xsi:type="xsd:double"&gt;-9.149772&lt;/D&gt;&lt;D xsi:type="xsd:double"&gt;-4.6281934&lt;/D&gt;&lt;D xsi:type="xsd:double"&gt;-8.809018&lt;/D&gt;&lt;D xsi:type="xsd:double"&gt;-10.322041&lt;/D&gt;&lt;D xsi:type="xsd:double"&gt;4.6958327&lt;/D&gt;&lt;D xsi:type="xsd:double"&gt;-1.4542758&lt;/D&gt;&lt;D xsi:type="xsd:double"&gt;-6.288785&lt;/D&gt;&lt;D xsi:type="xsd:double"&gt;-0.74203014&lt;/D&gt;&lt;D xsi:type="xsd:double"&gt;10.661352&lt;/D&gt;&lt;D xsi:type="xsd:double"&gt;12.676037&lt;/D&gt;&lt;D xsi:type="xsd:double"&gt;11.050308&lt;/D&gt;&lt;D xsi:type="xsd:double"&gt;14.22708&lt;/D&gt;&lt;D xsi:type="xsd:double"&gt;25.729286&lt;/D&gt;&lt;D xsi:type="xsd:double"&gt;21.555828&lt;/D&gt;&lt;D xsi:type="xsd:double"&gt;32.538116&lt;/D&gt;&lt;D xsi:type="xsd:double"&gt;30.461407&lt;/D&gt;&lt;D xsi:type="xsd:double"&gt;24.090517&lt;/D&gt;&lt;D xsi:type="xsd:double"&gt;30.576206&lt;/D&gt;&lt;D xsi:type="xsd:double"&gt;35.894646&lt;/D&gt;&lt;D xsi:type="xsd:double"&gt;31.17397&lt;/D&gt;&lt;D xsi:type="xsd:double"&gt;31.31404&lt;/D&gt;&lt;D xsi:type="xsd:double"&gt;31.29728&lt;/D&gt;&lt;D xsi:type="xsd:double"&gt;26.576948&lt;/D&gt;&lt;D xsi:type="xsd:double"&gt;22.11374&lt;/D&gt;&lt;D xsi:type="xsd:double"&gt;15.145254&lt;/D&gt;&lt;D xsi:type="xsd:double"&gt;12.394357&lt;/D&gt;&lt;D xsi:type="xsd:double"&gt;11.250866&lt;/D&gt;&lt;D xsi:type="xsd:double"&gt;6.7429185&lt;/D&gt;&lt;D xsi:type="xsd:double"&gt;3.734982&lt;/D&gt;&lt;D xsi:type="xsd:double"&gt;0.9080887&lt;/D&gt;&lt;D xsi:type="xsd:double"&gt;-5.8723745&lt;/D&gt;&lt;D xsi:type="xsd:double"&gt;-10.186428&lt;/D&gt;&lt;D xsi:type="xsd:double"&gt;-14.582729&lt;/D&gt;&lt;D xsi:type="xsd:double"&gt;-9.221&lt;/D&gt;&lt;D xsi:type="xsd:double"&gt;-4.8366013&lt;/D&gt;&lt;D xsi:type="xsd:double"&gt;-2.1943629&lt;/D&gt;&lt;D xsi:type="xsd:double"&gt;-4.628122&lt;/D&gt;&lt;D xsi:type="xsd:double"&gt;-6.1960993&lt;/D&gt;&lt;D xsi:type="xsd:double"&gt;1.7232656&lt;/D&gt;&lt;D xsi:type="xsd:double"&gt;-4.998893&lt;/D&gt;&lt;D xsi:type="xsd:double"&gt;2.2370934&lt;/D&gt;&lt;D xsi:type="xsd:double"&gt;-1.1698604&lt;/D&gt;&lt;D xsi:type="xsd:double"&gt;13.106465&lt;/D&gt;&lt;D xsi:type="xsd:double"&gt;19.68131&lt;/D&gt;&lt;D xsi:type="xsd:double"&gt;26.394331&lt;/D&gt;&lt;D xsi:type="xsd:double"&gt;17.399967&lt;/D&gt;&lt;D xsi:type="xsd:double"&gt;-0.10240078&lt;/D&gt;&lt;D xsi:type="xsd:double"&gt;-21.13487&lt;/D&gt;&lt;D xsi:type="xsd:double"&gt;-20.687151&lt;/D&gt;&lt;D xsi:type="xsd:double"&gt;-0.037568808&lt;/D&gt;&lt;D xsi:type="xsd:double"&gt;-6.666106&lt;/D&gt;&lt;D xsi:type="xsd:double"&gt;1.2529731&lt;/D&gt;&lt;D xsi:type="xsd:double"&gt;-0.85739493&lt;/D&gt;&lt;D xsi:type="xsd:double"&gt;-3.064406&lt;/D&gt;&lt;D xsi:type="xsd:double"&gt;-6.8496346&lt;/D&gt;&lt;D xsi:type="xsd:double"&gt;8.159744&lt;/D&gt;&lt;D xsi:type="xsd:double"&gt;5.413866&lt;/D&gt;&lt;D xsi:type="xsd:double"&gt;5.792153&lt;/D&gt;&lt;D xsi:type="xsd:double"&gt;18.483948&lt;/D&gt;&lt;D xsi:type="xsd:double"&gt;55.1891&lt;/D&gt;&lt;D xsi:type="xsd:double"&gt;63.083767&lt;/D&gt;&lt;D xsi:type="xsd:double"&gt;41.043877&lt;/D&gt;&lt;D xsi:type="xsd:double"&gt;34.678185&lt;/D&gt;&lt;D xsi:type="xsd:double"&gt;37.399876&lt;/D&gt;&lt;D xsi:type="xsd:double"&gt;35.594296&lt;/D&gt;&lt;D xsi:type="xsd:double"&gt;34.056328&lt;/D&gt;&lt;D xsi:type="xsd:double"&gt;40.73875&lt;/D&gt;&lt;D xsi:type="xsd:double"&gt;15.470386&lt;/D&gt;&lt;D xsi:type="xsd:double"&gt;19.015825&lt;/D&gt;&lt;D xsi:type="xsd:double"&gt;19.554626&lt;/D&gt;&lt;D xsi:type="xsd:double"&gt;-2.6413262&lt;/D&gt;&lt;D xsi:type="xsd:double"&gt;-0.6049752&lt;/D&gt;&lt;D xsi:type="xsd:double"&gt;-11.326819&lt;/D&gt;&lt;D xsi:type="xsd:double"&gt;-8.541632&lt;/D&gt;&lt;D xsi:type="xsd:double"&gt;-17.72548&lt;/D&gt;&lt;D xsi:type="xsd:double"&gt;-13.922792&lt;/D&gt;&lt;D xsi:type="xsd:double"&gt;-21.282022&lt;/D&gt;&lt;D xsi:type="xsd:double"&gt;-21.132696&lt;/D&gt;&lt;D xsi:type="xsd:double"&gt;-18.950064&lt;/D&gt;&lt;D xsi:type="xsd:double"&gt;-6.977743&lt;/D&gt;&lt;D xsi:type="xsd:double"&gt;-7.6216936&lt;/D&gt;&lt;D xsi:type="xsd:double"&gt;-1.0584116&lt;/D&gt;&lt;D xsi:type="xsd:double"&gt;20.859325&lt;/D&gt;&lt;D xsi:type="xsd:double"&gt;15.747368&lt;/D&gt;&lt;D xsi:type="xsd:double"&gt;24.30067&lt;/D&gt;&lt;D xsi:type="xsd:double"&gt;12.452507&lt;/D&gt;&lt;D xsi:type="xsd:double"&gt;29.273117&lt;/D&gt;&lt;D xsi:type="xsd:double"&gt;21.762753&lt;/D&gt;&lt;D xsi:type="xsd:double"&gt;29.35078&lt;/D&gt;&lt;D xsi:type="xsd:double"&gt;30.463636&lt;/D&gt;&lt;D xsi:type="xsd:double"&gt;18.369139&lt;/D&gt;&lt;D xsi:type="xsd:double"&gt;14.804686&lt;/D&gt;&lt;D xsi:type="xsd:double"&gt;15.317524&lt;/D&gt;&lt;D xsi:type="xsd:double"&gt;8.72134&lt;/D&gt;&lt;D xsi:type="xsd:double"&gt;11.607492&lt;/D&gt;&lt;D xsi:type="xsd:double"&gt;10.421646&lt;/D&gt;&lt;D xsi:type="xsd:double"&gt;6.8190813&lt;/D&gt;&lt;D xsi:type="xsd:double"&gt;15.50392&lt;/D&gt;&lt;/FQL&gt;&lt;FQL&gt;&lt;Q&gt;QQQ^FG_TOTAL_RETURNC(-10AY,0,AM)&lt;/Q&gt;&lt;R&gt;121&lt;/R&gt;&lt;C&gt;1&lt;/C&gt;&lt;D xsi:type="xsd:double"&gt;6.923163&lt;/D&gt;&lt;D xsi:type="xsd:double"&gt;3.379631&lt;/D&gt;&lt;D xsi:type="xsd:double"&gt;-1.2330174&lt;/D&gt;&lt;D xsi:type="xsd:double"&gt;5.681336&lt;/D&gt;&lt;D xsi:type="xsd:double"&gt;-1.6988754&lt;/D&gt;&lt;D xsi:type="xsd:double"&gt;3.8076758&lt;/D&gt;&lt;D xsi:type="xsd:double"&gt;3.6286712&lt;/D&gt;&lt;D xsi:type="xsd:double"&gt;-4.6867967&lt;/D&gt;&lt;D xsi:type="xsd:double"&gt;3.0578613&lt;/D&gt;&lt;D xsi:type="xsd:double"&gt;4.1501045&lt;/D&gt;&lt;D xsi:type="xsd:double"&gt;-1.105833&lt;/D&gt;&lt;D xsi:type="xsd:double"&gt;0.6888032&lt;/D&gt;&lt;D xsi:type="xsd:double"&gt;2.427137&lt;/D&gt;&lt;D xsi:type="xsd:double"&gt;-1.2359738&lt;/D&gt;&lt;D xsi:type="xsd:double"&gt;2.5533915&lt;/D&gt;&lt;D xsi:type="xsd:double"&gt;-7.5056553&lt;/D&gt;&lt;D xsi:type="xsd:double"&gt;3.033626&lt;/D&gt;&lt;D xsi:type="xsd:double"&gt;9.323812&lt;/D&gt;&lt;D xsi:type="xsd:double"&gt;0.3049016&lt;/D&gt;&lt;D xsi:type="xsd:double"&gt;-5.6822596&lt;/D&gt;&lt;D xsi:type="xsd:double"&gt;-9.36634&lt;/D&gt;&lt;D xsi:type="xsd:double"&gt;7.6946497&lt;/D&gt;&lt;D xsi:type="xsd:double"&gt;5.0417066&lt;/D&gt;&lt;D xsi:type="xsd:double"&gt;-4.5992556&lt;/D&gt;&lt;D xsi:type="xsd:double"&gt;4.62209&lt;/D&gt;&lt;D xsi:type="xsd:double"&gt;-1.6915381&lt;/D&gt;&lt;D xsi:type="xsd:double"&gt;7.8300953&lt;/D&gt;&lt;D xsi:type="xsd:double"&gt;0.9162545&lt;/D&gt;&lt;D xsi:type="xsd:double"&gt;0.9991288&lt;/D&gt;&lt;D xsi:type="xsd:double"&gt;-4.278618&lt;/D&gt;&lt;D xsi:type="xsd:double"&gt;2.8420568&lt;/D&gt;&lt;D xsi:type="xsd:double"&gt;4.6302795&lt;/D&gt;&lt;D xsi:type="xsd:double"&gt;3.1985521&lt;/D&gt;&lt;D xsi:type="xsd:double"&gt;3.8941383&lt;/D&gt;&lt;D xsi:type="xsd:double"&gt;1.2123227&lt;/D&gt;&lt;D xsi:type="xsd:double"&gt;4.165399&lt;/D&gt;&lt;D xsi:type="xsd:double"&gt;3.867972&lt;/D&gt;&lt;D xsi:type="xsd:double"&gt;-4.337591&lt;/D&gt;&lt;D xsi:type="xsd:double"&gt;5.4002523&lt;/D&gt;&lt;D xsi:type="xsd:double"&gt;1.0302901&lt;/D&gt;&lt;D xsi:type="xsd:double"&gt;1.9665122&lt;/D&gt;&lt;D xsi:type="xsd:double"&gt;4.1514277&lt;/D&gt;&lt;D xsi:type="xsd:double"&gt;-0.18856525&lt;/D&gt;&lt;D xsi:type="xsd:double"&gt;5.704379&lt;/D&gt;&lt;D xsi:type="xsd:double"&gt;0.24086237&lt;/D&gt;&lt;D xsi:type="xsd:double"&gt;3.8383365&lt;/D&gt;&lt;D xsi:type="xsd:double"&gt;-6.9127617&lt;/D&gt;&lt;D xsi:type="xsd:double"&gt;5.2608013&lt;/D&gt;&lt;D xsi:type="xsd:double"&gt;6.6658616&lt;/D&gt;&lt;D xsi:type="xsd:double"&gt;0.07190704&lt;/D&gt;&lt;D xsi:type="xsd:double"&gt;3.1490207&lt;/D&gt;&lt;D xsi:type="xsd:double"&gt;0.36988258&lt;/D&gt;&lt;D xsi:type="xsd:double"&gt;-0.73536634&lt;/D&gt;&lt;D xsi:type="xsd:double"&gt;-5.500966&lt;/D&gt;&lt;D xsi:type="xsd:double"&gt;-1.9678116&lt;/D&gt;&lt;D xsi:type="xsd:double"&gt;-6.113058&lt;/D&gt;&lt;D xsi:type="xsd:double"&gt;9.146774&lt;/D&gt;&lt;D xsi:type="xsd:double"&gt;1.7827749&lt;/D&gt;&lt;D xsi:type="xsd:double"&gt;6.588781&lt;/D&gt;&lt;D xsi:type="xsd:double"&gt;2.8593063&lt;/D&gt;&lt;D xsi:type="xsd:double"&gt;-6.4915237&lt;/D&gt;&lt;D xsi:type="xsd:double"&gt;7.8047276&lt;/D&gt;&lt;D xsi:type="xsd:double"&gt;-4.0774703&lt;/D&gt;&lt;D xsi:type="xsd:double"&gt;4.54545&lt;/D&gt;&lt;D xsi:type="xsd:double"&gt;-1.2522817&lt;/D&gt;&lt;D xsi:type="xsd:double"&gt;5.7994843&lt;/D&gt;&lt;D xsi:type="xsd:double"&gt;2.6231527&lt;/D&gt;&lt;D xsi:type="xsd:double"&gt;5.378413&lt;/D&gt;&lt;D xsi:type="xsd:double"&gt;6.7869782&lt;/D&gt;&lt;D xsi:type="xsd:double"&gt;-9.631175&lt;/D&gt;&lt;D xsi:type="xsd:double"&gt;-5.3465843&lt;/D&gt;&lt;D xsi:type="xsd:double"&gt;11.461723&lt;/D&gt;&lt;D xsi:type="xsd:double"&gt;9.447491&lt;/D&gt;&lt;D xsi:type="xsd:double"&gt;7.987106&lt;/D&gt;&lt;D xsi:type="xsd:double"&gt;6.2889457&lt;/D&gt;&lt;D xsi:type="xsd:double"&gt;3.2551646&lt;/D&gt;&lt;D xsi:type="xsd:double"&gt;-2.8283536&lt;/D&gt;&lt;D xsi:type="xsd:double"&gt;7.06861&lt;/D&gt;&lt;D xsi:type="xsd:double"&gt;3.7032008&lt;/D&gt;&lt;D xsi:type="xsd:double"&gt;0.8440852&lt;/D&gt;&lt;D xsi:type="xsd:double"&gt;7.7453256&lt;/D&gt;&lt;D xsi:type="xsd:double"&gt;-6.8445206&lt;/D&gt;&lt;D xsi:type="xsd:double"&gt;7.3052406&lt;/D&gt;&lt;D xsi:type="xsd:double"&gt;0.20856857&lt;/D&gt;&lt;D xsi:type="xsd:double"&gt;1.2337446&lt;/D&gt;&lt;D xsi:type="xsd:double"&gt;7.450843&lt;/D&gt;&lt;D xsi:type="xsd:double"&gt;2.1821737&lt;/D&gt;&lt;D xsi:type="xsd:double"&gt;3.6734223&lt;/D&gt;&lt;D xsi:type="xsd:double"&gt;-5.6327524&lt;/D&gt;&lt;D xsi:type="xsd:double"&gt;10.823811&lt;/D&gt;&lt;D xsi:type="xsd:double"&gt;-3.1108856&lt;/D&gt;&lt;D xsi:type="xsd:double"&gt;-0.4361272&lt;/D&gt;&lt;D xsi:type="xsd:double"&gt;-6.7730784&lt;/D&gt;&lt;D xsi:type="xsd:double"&gt;-5.784762&lt;/D&gt;&lt;D xsi:type="xsd:double"&gt;4.86145&lt;/D&gt;&lt;D xsi:type="xsd:double"&gt;-12.458247&lt;/D&gt;&lt;D xsi:type="xsd:double"&gt;-0.65642595&lt;/D&gt;&lt;D xsi:type="xsd:double"&gt;-5.8193264&lt;/D&gt;&lt;D xsi:type="xsd:double"&gt;11.409283&lt;/D&gt;&lt;D xsi:type="xsd:double"&gt;-8.919972&lt;/D&gt;&lt;D xsi:type="xsd:double"&gt;-4.3649673&lt;/D&gt;&lt;D xsi:type="xsd:double"&gt;-5.39034&lt;/D&gt;&lt;D xsi:type="xsd:double"&gt;6.4228535&lt;/D&gt;&lt;D xsi:type="xsd:double"&gt;-4.340702&lt;/D&gt;&lt;D xsi:type="xsd:double"&gt;12.942707&lt;/D&gt;&lt;D xsi:type="xsd:double"&gt;-1.1759281&lt;/D&gt;&lt;D xsi:type="xsd:double"&gt;6.1732054&lt;/D&gt;&lt;D xsi:type="xsd:double"&gt;1.5217781&lt;/D&gt;&lt;D xsi:type="xsd:double"&gt;9.895002&lt;/D&gt;&lt;D xsi:type="xsd:double"&gt;3.6987662&lt;/D&gt;&lt;D xsi:type="xsd:double"&gt;1.2464046&lt;/D&gt;&lt;D xsi:type="xsd:double"&gt;0.7257223&lt;/D&gt;&lt;D xsi:type="xsd:double"&gt;-2.5385737&lt;/D&gt;&lt;D xsi:type="xsd:double"&gt;1.2366295&lt;/D&gt;&lt;D xsi:type="xsd:double"&gt;4.290235&lt;/D&gt;&lt;D xsi:type="xsd:double"&gt;3.297305&lt;/D&gt;&lt;D xsi:type="xsd:double"&gt;7.773161&lt;/D&gt;&lt;D xsi:type="xsd:double"&gt;2.619338&lt;/D&gt;&lt;D xsi:type="xsd:double"&gt;0.5144596&lt;/D&gt;&lt;D xsi:type="xsd:double"&gt;-0.049948692&lt;/D&gt;&lt;D xsi:type="xsd:double"&gt;5.2515626&lt;/D&gt;&lt;/FQL&gt;&lt;FQL&gt;&lt;Q&gt;EWL^FMA_DIV_YLD(NTMA,-10AY,0,AM,"PORTAGG","MEANR")&lt;/Q&gt;&lt;R&gt;121&lt;/R&gt;&lt;C&gt;1&lt;/C&gt;&lt;D xsi:type="xsd:double"&gt;3.21226610346514&lt;/D&gt;&lt;D xsi:type="xsd:double"&gt;3.27782530149552&lt;/D&gt;&lt;D xsi:type="xsd:double"&gt;3.45009325105518&lt;/D&gt;&lt;D xsi:type="xsd:double"&gt;3.2757776239486&lt;/D&gt;&lt;D xsi:type="xsd:double"&gt;3.38160433250165&lt;/D&gt;&lt;D xsi:type="xsd:double"&gt;3.31222558964702&lt;/D&gt;&lt;D xsi:type="xsd:double"&gt;3.21625906426219&lt;/D&gt;&lt;D xsi:type="xsd:double"&gt;3.37270059850552&lt;/D&gt;&lt;D xsi:type="xsd:double"&gt;3.29727110281968&lt;/D&gt;&lt;D xsi:type="xsd:double"&gt;3.17106423932275&lt;/D&gt;&lt;D xsi:type="xsd:double"&gt;3.10488770562606&lt;/D&gt;&lt;D xsi:type="xsd:double"&gt;3.16001139053935&lt;/D&gt;&lt;D xsi:type="xsd:double"&gt;3.17635742491703&lt;/D&gt;&lt;D xsi:type="xsd:double"&gt;3.27845700317194&lt;/D&gt;&lt;D xsi:type="xsd:double"&gt;3.10751830345945&lt;/D&gt;&lt;D xsi:type="xsd:double"&gt;3.39346671177993&lt;/D&gt;&lt;D xsi:type="xsd:double"&gt;3.33417508540231&lt;/D&gt;&lt;D xsi:type="xsd:double"&gt;3.24257617645985&lt;/D&gt;&lt;D xsi:type="xsd:double"&gt;3.28451161991089&lt;/D&gt;&lt;D xsi:type="xsd:double"&gt;3.36813838925023&lt;/D&gt;&lt;D xsi:type="xsd:double"&gt;3.52264299233504&lt;/D&gt;&lt;D xsi:type="xsd:double"&gt;3.48595322964661&lt;/D&gt;&lt;D xsi:type="xsd:double"&gt;3.56035853309347&lt;/D&gt;&lt;D xsi:type="xsd:double"&gt;3.60416406242199&lt;/D&gt;&lt;D xsi:type="xsd:double"&gt;3.45723729661766&lt;/D&gt;&lt;D xsi:type="xsd:double"&gt;3.61660952552956&lt;/D&gt;&lt;D xsi:type="xsd:double"&gt;3.47730822009615&lt;/D&gt;&lt;D xsi:type="xsd:double"&gt;3.42345251340483&lt;/D&gt;&lt;D xsi:type="xsd:double"&gt;3.49772243169909&lt;/D&gt;&lt;D xsi:type="xsd:double"&gt;3.71827232610039&lt;/D&gt;&lt;D xsi:type="xsd:double"&gt;3.65852632160612&lt;/D&gt;&lt;D xsi:type="xsd:double"&gt;3.47853398060787&lt;/D&gt;&lt;D xsi:type="xsd:double"&gt;3.45880230987988&lt;/D&gt;&lt;D xsi:type="xsd:double"&gt;3.3531763657888&lt;/D&gt;&lt;D xsi:type="xsd:double"&gt;3.42942899257753&lt;/D&gt;&lt;D xsi:type="xsd:double"&gt;3.30095324943237&lt;/D&gt;&lt;D xsi:type="xsd:double"&gt;3.31718990319418&lt;/D&gt;&lt;D xsi:type="xsd:double"&gt;3.3036887480939&lt;/D&gt;&lt;D xsi:type="xsd:double"&gt;3.23855101744722&lt;/D&gt;&lt;D xsi:type="xsd:double"&gt;3.34197614382195&lt;/D&gt;&lt;D xsi:type="xsd:double"&gt;3.24819797185085&lt;/D&gt;&lt;D xsi:type="xsd:double"&gt;3.24042355344082&lt;/D&gt;&lt;D xsi:type="xsd:double"&gt;3.24240041298878&lt;/D&gt;&lt;D xsi:type="xsd:double"&gt;3.16477620439948&lt;/D&gt;&lt;D xsi:type="xsd:double"&gt;3.38465804090773&lt;/D&gt;&lt;D xsi:type="xsd:double"&gt;3.47324240026996&lt;/D&gt;&lt;D xsi:type="xsd:double"&gt;3.520914840161&lt;/D&gt;&lt;D xsi:type="xsd:double"&gt;3.471129052571&lt;/D&gt;&lt;D xsi:type="xsd:double"&gt;3.5691941756334&lt;/D&gt;&lt;D xsi:type="xsd:double"&gt;3.51934254235369&lt;/D&gt;&lt;D xsi:type="xsd:double"&gt;3.38230884601673&lt;/D&gt;&lt;D xsi:type="xsd:double"&gt;3.47177097968039&lt;/D&gt;&lt;D xsi:type="xsd:double"&gt;3.46864616560649&lt;/D&gt;&lt;D xsi:type="xsd:double"&gt;3.51674745268988&lt;/D&gt;&lt;D xsi:type="xsd:double"&gt;3.66717016207934&lt;/D&gt;&lt;D xsi:type="xsd:double"&gt;3.636441554693&lt;/D&gt;&lt;D xsi:type="xsd:double"&gt;3.40703598128611&lt;/D&gt;&lt;D xsi:type="xsd:double"&gt;3.34903759486923&lt;/D&gt;&lt;D xsi:type="xsd:double"&gt;3.299568902249&lt;/D&gt;&lt;D xsi:type="xsd:double"&gt;3.29083403914528&lt;/D&gt;&lt;D xsi:type="xsd:double"&gt;3.28442594552564&lt;/D&gt;&lt;D xsi:type="xsd:double"&gt;3.21408492524736&lt;/D&gt;&lt;D xsi:type="xsd:double"&gt;3.33702641914346&lt;/D&gt;&lt;D xsi:type="xsd:double"&gt;3.1688809272603&lt;/D&gt;&lt;D xsi:type="xsd:double"&gt;3.27933245349102&lt;/D&gt;&lt;D xsi:type="xsd:double"&gt;3.12894639579368&lt;/D&gt;&lt;D xsi:type="xsd:double"&gt;3.09801381424772&lt;/D&gt;&lt;D xsi:type="xsd:double"&gt;3.03120713818725&lt;/D&gt;&lt;D xsi:type="xsd:double"&gt;2.95524991506223&lt;/D&gt;&lt;D xsi:type="xsd:double"&gt;3.28983319432317&lt;/D&gt;&lt;D xsi:type="xsd:double"&gt;3.44506837963528&lt;/D&gt;&lt;D xsi:type="xsd:double"&gt;3.32459540429116&lt;/D&gt;&lt;D xsi:type="xsd:double"&gt;3.0635304381136&lt;/D&gt;&lt;D xsi:type="xsd:double"&gt;3.01606734086857&lt;/D&gt;&lt;D xsi:type="xsd:double"&gt;2.97804461398537&lt;/D&gt;&lt;D xsi:type="xsd:double"&gt;2.98287087833223&lt;/D&gt;&lt;D xsi:type="xsd:double"&gt;2.95497709682438&lt;/D&gt;&lt;D xsi:type="xsd:double"&gt;2.91872827225348&lt;/D&gt;&lt;D xsi:type="xsd:double"&gt;2.92200975383172&lt;/D&gt;&lt;D xsi:type="xsd:double"&gt;2.81254139954437&lt;/D&gt;&lt;D xsi:type="xsd:double"&gt;2.84778190512066&lt;/D&gt;&lt;D xsi:type="xsd:double"&gt;2.9306160719392&lt;/D&gt;&lt;D xsi:type="xsd:double"&gt;2.76527309353292&lt;/D&gt;&lt;D xsi:type="xsd:double"&gt;2.76082926384766&lt;/D&gt;&lt;D xsi:type="xsd:double"&gt;2.67233855706077&lt;/D&gt;&lt;D xsi:type="xsd:double"&gt;2.63320347592058&lt;/D&gt;&lt;D xsi:type="xsd:double"&gt;2.59134329422048&lt;/D&gt;&lt;D xsi:type="xsd:double"&gt;2.57558710693509&lt;/D&gt;&lt;D xsi:type="xsd:double"&gt;2.78518018486368&lt;/D&gt;&lt;D xsi:type="xsd:double"&gt;2.59736401657929&lt;/D&gt;&lt;D xsi:type="xsd:double"&gt;2.63399338465976&lt;/D&gt;&lt;D xsi:type="xsd:double"&gt;2.56306050210476&lt;/D&gt;&lt;D xsi:type="xsd:double"&gt;2.77485801484989&lt;/D&gt;&lt;D xsi:type="xsd:double"&gt;2.96721915783942&lt;/D&gt;&lt;D xsi:type="xsd:double"&gt;2.7722003882918&lt;/D&gt;&lt;D xsi:type="xsd:double"&gt;2.9506141177816&lt;/D&gt;&lt;D xsi:type="xsd:double"&gt;2.98372779855747&lt;/D&gt;&lt;D xsi:type="xsd:double"&gt;3.18804089847588&lt;/D&gt;&lt;D xsi:type="xsd:double"&gt;3.08733317068248&lt;/D&gt;&lt;D xsi:type="xsd:double"&gt;3.22656122805546&lt;/D&gt;&lt;D xsi:type="xsd:double"&gt;3.38891184760227&lt;/D&gt;&lt;D xsi:type="xsd:double"&gt;3.28862045824417&lt;/D&gt;&lt;D xsi:type="xsd:double"&gt;3.12895558939828&lt;/D&gt;&lt;D xsi:type="xsd:double"&gt;3.11301894016644&lt;/D&gt;&lt;D xsi:type="xsd:double"&gt;3.05432063811303&lt;/D&gt;&lt;D xsi:type="xsd:double"&gt;3.15205853992435&lt;/D&gt;&lt;D xsi:type="xsd:double"&gt;3.13297294749822&lt;/D&gt;&lt;D xsi:type="xsd:double"&gt;3.04483551917609&lt;/D&gt;&lt;D xsi:type="xsd:double"&gt;3.1282322651849&lt;/D&gt;&lt;D xsi:type="xsd:double"&gt;3.25429503588392&lt;/D&gt;&lt;D xsi:type="xsd:double"&gt;3.2027226644569&lt;/D&gt;&lt;D xsi:type="xsd:double"&gt;3.2980659765067&lt;/D&gt;&lt;D xsi:type="xsd:double"&gt;3.39651733136635&lt;/D&gt;&lt;D xsi:type="xsd:double"&gt;3.47257577121683&lt;/D&gt;&lt;D xsi:type="xsd:double"&gt;3.34187268667256&lt;/D&gt;&lt;D xsi:type="xsd:double"&gt;3.28064902742492&lt;/D&gt;&lt;D xsi:type="xsd:double"&gt;3.34051683971704&lt;/D&gt;&lt;D xsi:type="xsd:double"&gt;3.2833596093724&lt;/D&gt;&lt;D xsi:type="xsd:double"&gt;3.31722226517507&lt;/D&gt;&lt;D xsi:type="xsd:double"&gt;3.37875044097213&lt;/D&gt;&lt;D xsi:type="xsd:double"&gt;3.21855104042415&lt;/D&gt;&lt;/FQL&gt;&lt;FQL&gt;&lt;Q&gt;EWG^FMA_PE(NTMA,-10AY,0,AM,"PORTAGG","MEANR")&lt;/Q&gt;&lt;R&gt;121&lt;/R&gt;&lt;C&gt;1&lt;/C&gt;&lt;D xsi:type="xsd:double"&gt;13.3869398811036&lt;/D&gt;&lt;D xsi:type="xsd:double"&gt;13.3314700479341&lt;/D&gt;&lt;D xsi:type="xsd:double"&gt;12.2103075873379&lt;/D&gt;&lt;D xsi:type="xsd:double"&gt;12.9073321289977&lt;/D&gt;&lt;D xsi:type="xsd:double"&gt;12.13481044621&lt;/D&gt;&lt;D xsi:type="xsd:double"&gt;12.3735386889711&lt;/D&gt;&lt;D xsi:type="xsd:double"&gt;13.2537162847636&lt;/D&gt;&lt;D xsi:type="xsd:double"&gt;12.4221875881229&lt;/D&gt;&lt;D xsi:type="xsd:double"&gt;14.1424025484798&lt;/D&gt;&lt;D xsi:type="xsd:double"&gt;14.9875154505114&lt;/D&gt;&lt;D xsi:type="xsd:double"&gt;15.3841949212584&lt;/D&gt;&lt;D xsi:type="xsd:double"&gt;14.3434902581543&lt;/D&gt;&lt;D xsi:type="xsd:double"&gt;13.7602464332273&lt;/D&gt;&lt;D xsi:type="xsd:double"&gt;13.2498252413426&lt;/D&gt;&lt;D xsi:type="xsd:double"&gt;14.0264845646393&lt;/D&gt;&lt;D xsi:type="xsd:double"&gt;12.1909707472067&lt;/D&gt;&lt;D xsi:type="xsd:double"&gt;12.2201101838535&lt;/D&gt;&lt;D xsi:type="xsd:double"&gt;13.589915821574&lt;/D&gt;&lt;D xsi:type="xsd:double"&gt;13.4161150303784&lt;/D&gt;&lt;D xsi:type="xsd:double"&gt;12.688347836718&lt;/D&gt;&lt;D xsi:type="xsd:double"&gt;11.7522985987955&lt;/D&gt;&lt;D xsi:type="xsd:double"&gt;12.5663689423759&lt;/D&gt;&lt;D xsi:type="xsd:double"&gt;12.3152881954956&lt;/D&gt;&lt;D xsi:type="xsd:double"&gt;12.3966666978659&lt;/D&gt;&lt;D xsi:type="xsd:double"&gt;12.515246655399&lt;/D&gt;&lt;D xsi:type="xsd:double"&gt;11.5844880354666&lt;/D&gt;&lt;D xsi:type="xsd:double"&gt;12.764414883923&lt;/D&gt;&lt;D xsi:type="xsd:double"&gt;13.152982939709&lt;/D&gt;&lt;D xsi:type="xsd:double"&gt;12.9532800978088&lt;/D&gt;&lt;D xsi:type="xsd:double"&gt;12.4291032450206&lt;/D&gt;&lt;D xsi:type="xsd:double"&gt;12.908852901897&lt;/D&gt;&lt;D xsi:type="xsd:double"&gt;13.7500463586584&lt;/D&gt;&lt;D xsi:type="xsd:double"&gt;13.4438705802739&lt;/D&gt;&lt;D xsi:type="xsd:double"&gt;13.8772269256745&lt;/D&gt;&lt;D xsi:type="xsd:double"&gt;13.96157000565&lt;/D&gt;&lt;D xsi:type="xsd:double"&gt;14.1134663053273&lt;/D&gt;&lt;D xsi:type="xsd:double"&gt;13.77495963012&lt;/D&gt;&lt;D xsi:type="xsd:double"&gt;13.3503355894439&lt;/D&gt;&lt;D xsi:type="xsd:double"&gt;13.2515016007289&lt;/D&gt;&lt;D xsi:type="xsd:double"&gt;13.0587653572935&lt;/D&gt;&lt;D xsi:type="xsd:double"&gt;13.7973459082423&lt;/D&gt;&lt;D xsi:type="xsd:double"&gt;14.2763986391564&lt;/D&gt;&lt;D xsi:type="xsd:double"&gt;13.8850258642557&lt;/D&gt;&lt;D xsi:type="xsd:double"&gt;14.1699902504967&lt;/D&gt;&lt;D xsi:type="xsd:double"&gt;13.0717348417655&lt;/D&gt;&lt;D xsi:type="xsd:double"&gt;12.8162162402249&lt;/D&gt;&lt;D xsi:type="xsd:double"&gt;12.8758492670057&lt;/D&gt;&lt;D xsi:type="xsd:double"&gt;13.3662469696264&lt;/D&gt;&lt;D xsi:type="xsd:double"&gt;13.2697466496859&lt;/D&gt;&lt;D xsi:type="xsd:double"&gt;12.9361874134064&lt;/D&gt;&lt;D xsi:type="xsd:double"&gt;13.0171034705808&lt;/D&gt;&lt;D xsi:type="xsd:double"&gt;12.417220887949&lt;/D&gt;&lt;D xsi:type="xsd:double"&gt;12.5039332969612&lt;/D&gt;&lt;D xsi:type="xsd:double"&gt;11.74606163632&lt;/D&gt;&lt;D xsi:type="xsd:double"&gt;11.1591277555883&lt;/D&gt;&lt;D xsi:type="xsd:double"&gt;11.1728077094826&lt;/D&gt;&lt;D xsi:type="xsd:double"&gt;11.9536764172538&lt;/D&gt;&lt;D xsi:type="xsd:double"&gt;12.2442393976859&lt;/D&gt;&lt;D xsi:type="xsd:double"&gt;12.6313708440491&lt;/D&gt;&lt;D xsi:type="xsd:double"&gt;12.8465910726754&lt;/D&gt;&lt;D xsi:type="xsd:double"&gt;12.2620700214318&lt;/D&gt;&lt;D xsi:type="xsd:double"&gt;12.9834588066123&lt;/D&gt;&lt;D xsi:type="xsd:double"&gt;12.2085825354485&lt;/D&gt;&lt;D xsi:type="xsd:double"&gt;12.9186575689387&lt;/D&gt;&lt;D xsi:type="xsd:double"&gt;12.6712000276239&lt;/D&gt;&lt;D xsi:type="xsd:double"&gt;13.891144386397&lt;/D&gt;&lt;D xsi:type="xsd:double"&gt;14.0188039704474&lt;/D&gt;&lt;D xsi:type="xsd:double"&gt;14.0006864812014&lt;/D&gt;&lt;D xsi:type="xsd:double"&gt;14.3841089127969&lt;/D&gt;&lt;D xsi:type="xsd:double"&gt;12.3648301883838&lt;/D&gt;&lt;D xsi:type="xsd:double"&gt;12.5897982497517&lt;/D&gt;&lt;D xsi:type="xsd:double"&gt;14.9211454419171&lt;/D&gt;&lt;D xsi:type="xsd:double"&gt;18.433436694067&lt;/D&gt;&lt;D xsi:type="xsd:double"&gt;18.3609325615779&lt;/D&gt;&lt;D xsi:type="xsd:double"&gt;17.7368577304716&lt;/D&gt;&lt;D xsi:type="xsd:double"&gt;17.4460328297695&lt;/D&gt;&lt;D xsi:type="xsd:double"&gt;16.963668197603&lt;/D&gt;&lt;D xsi:type="xsd:double"&gt;15.4921658903506&lt;/D&gt;&lt;D xsi:type="xsd:double"&gt;16.0193050028657&lt;/D&gt;&lt;D xsi:type="xsd:double"&gt;16.1650027924313&lt;/D&gt;&lt;D xsi:type="xsd:double"&gt;15.8454672454303&lt;/D&gt;&lt;D xsi:type="xsd:double"&gt;15.3741941153767&lt;/D&gt;&lt;D xsi:type="xsd:double"&gt;16.2793409124825&lt;/D&gt;&lt;D xsi:type="xsd:double"&gt;14.9608547255024&lt;/D&gt;&lt;D xsi:type="xsd:double"&gt;15.0248160706633&lt;/D&gt;&lt;D xsi:type="xsd:double"&gt;14.6362219139912&lt;/D&gt;&lt;D xsi:type="xsd:double"&gt;14.3161399952549&lt;/D&gt;&lt;D xsi:type="xsd:double"&gt;14.1714929365441&lt;/D&gt;&lt;D xsi:type="xsd:double"&gt;13.3018610954649&lt;/D&gt;&lt;D xsi:type="xsd:double"&gt;13.9058611555734&lt;/D&gt;&lt;D xsi:type="xsd:double"&gt;13.0265691094255&lt;/D&gt;&lt;D xsi:type="xsd:double"&gt;13.4874660628155&lt;/D&gt;&lt;D xsi:type="xsd:double"&gt;12.6296919472422&lt;/D&gt;&lt;D xsi:type="xsd:double"&gt;10.6512178505404&lt;/D&gt;&lt;D xsi:type="xsd:double"&gt;11.4045182786887&lt;/D&gt;&lt;D xsi:type="xsd:double"&gt;10.5976472781197&lt;/D&gt;&lt;D xsi:type="xsd:double"&gt;11.1703794320877&lt;/D&gt;&lt;D xsi:type="xsd:double"&gt;9.55732551427196&lt;/D&gt;&lt;D xsi:type="xsd:double"&gt;10.2017222164704&lt;/D&gt;&lt;D xsi:type="xsd:double"&gt;9.6346873298495&lt;/D&gt;&lt;D xsi:type="xsd:double"&gt;9.23859065074438&lt;/D&gt;&lt;D xsi:type="xsd:double"&gt;10.033085311993&lt;/D&gt;&lt;D xsi:type="xsd:double"&gt;10.7109694800535&lt;/D&gt;&lt;D xsi:type="xsd:double"&gt;11.0496304104333&lt;/D&gt;&lt;D xsi:type="xsd:double"&gt;11.6803113283807&lt;/D&gt;&lt;D xsi:type="xsd:double"&gt;11.7058704254341&lt;/D&gt;&lt;D xsi:type="xsd:double"&gt;11.3238314607596&lt;/D&gt;&lt;D xsi:type="xsd:double"&gt;11.2163098357458&lt;/D&gt;&lt;D xsi:type="xsd:double"&gt;10.8038169324612&lt;/D&gt;&lt;D xsi:type="xsd:double"&gt;10.4010541829728&lt;/D&gt;&lt;D xsi:type="xsd:double"&gt;10.6651354219102&lt;/D&gt;&lt;D xsi:type="xsd:double"&gt;10.5756062043345&lt;/D&gt;&lt;D xsi:type="xsd:double"&gt;10.2076257451608&lt;/D&gt;&lt;D xsi:type="xsd:double"&gt;10.1163777154626&lt;/D&gt;&lt;D xsi:type="xsd:double"&gt;11.2162062413391&lt;/D&gt;&lt;D xsi:type="xsd:double"&gt;11.0404001224321&lt;/D&gt;&lt;D xsi:type="xsd:double"&gt;11.6052047598442&lt;/D&gt;&lt;D xsi:type="xsd:double"&gt;12.0220947593333&lt;/D&gt;&lt;D xsi:type="xsd:double"&gt;12.1704618807763&lt;/D&gt;&lt;D xsi:type="xsd:double"&gt;12.0220544223688&lt;/D&gt;&lt;D xsi:type="xsd:double"&gt;11.9874865224613&lt;/D&gt;&lt;/FQL&gt;&lt;FQL&gt;&lt;Q&gt;EWC^FG_PRICE_MAVG(0,,,,60)&lt;/Q&gt;&lt;R&gt;1&lt;/R&gt;&lt;C&gt;1&lt;/C&gt;&lt;D xsi:type="xsd:double"&gt;37.834667&lt;/D&gt;&lt;/FQL&gt;&lt;FQL&gt;&lt;Q&gt;FXI^PERCENT_CHANGE(FMA_EPS(+1,0,,,,"PORTAGG","MEAN"),FMA_EPS(+1,-1AM,,,,"PORTAGG","MEAN"))&lt;/Q&gt;&lt;R&gt;1&lt;/R&gt;&lt;C&gt;1&lt;/C&gt;&lt;D xsi:type="xsd:double"&gt;0.147110309160216&lt;/D&gt;&lt;/FQL&gt;&lt;FQL&gt;&lt;Q&gt;VWO^FG_TOTAL_RETURNC(0,-6AM)&lt;/Q&gt;&lt;R&gt;1&lt;/R&gt;&lt;C&gt;1&lt;/C&gt;&lt;D xsi:type="xsd:double"&gt;10.705149&lt;/D&gt;&lt;/FQL&gt;&lt;FQL&gt;&lt;Q&gt;EWI^P_PRICE(0)/P_PRICE_LOW_PR(0,,,,,,"PRICE","INTRA","52W")-1&lt;/Q&gt;&lt;R&gt;1&lt;/R&gt;&lt;C&gt;1&lt;/C&gt;&lt;D xsi:type="xsd:double"&gt;0.34413242&lt;/D&gt;&lt;/FQL&gt;&lt;FQL&gt;&lt;Q&gt;EWD^FMA_PCT_ABOVE_MAVG(200,0,,,,"PORTAGG")&lt;/Q&gt;&lt;R&gt;1&lt;/R&gt;&lt;C&gt;1&lt;/C&gt;&lt;D xsi:type="xsd:double"&gt;88.6363636363636&lt;/D&gt;&lt;/FQL&gt;&lt;FQL&gt;&lt;Q&gt;EWQ^PERCENT_CHANGE(FMA_EPS(+1,0,,,,"PORTAGG","MEAN"),FMA_EPS(+1,-3AM,,,,"PORTAGG","MEAN"))&lt;/Q&gt;&lt;R&gt;1&lt;/R&gt;&lt;C&gt;1&lt;/C&gt;&lt;D xsi:type="xsd:double"&gt;0.565974528001859&lt;/D&gt;&lt;/FQL&gt;&lt;FQL&gt;&lt;Q&gt;EWL^P_PRICE(0)/P_PRICE_HIGH_PR(0,,,,,,"PRICE","INTRA","52W")&lt;/Q&gt;&lt;R&gt;1&lt;/R&gt;&lt;C&gt;1&lt;/C&gt;&lt;D xsi:type="xsd:double"&gt;1&lt;/D&gt;&lt;/FQL&gt;&lt;FQL&gt;&lt;Q&gt;EWG^FG_TOTAL_RETURNC(0,-12AM)&lt;/Q&gt;&lt;R&gt;1&lt;/R&gt;&lt;C&gt;1&lt;/C&gt;&lt;D xsi:type="xsd:double"&gt;16.554737&lt;/D&gt;&lt;/FQL&gt;&lt;FQL&gt;&lt;Q&gt;EWC^PERCENT_CHANGE(FMA_EPS(+1,0,,,,"PORTAGG","MEAN"),FMA_EPS(+1,-1AM,,,,"PORTAGG","MEAN"))&lt;/Q&gt;&lt;R&gt;1&lt;/R&gt;&lt;C&gt;1&lt;/C&gt;&lt;D xsi:type="xsd:double"&gt;0.485184281275239&lt;/D&gt;&lt;/FQL&gt;&lt;FQL&gt;&lt;Q&gt;ENZL^FG_TOTAL_RETURNC(0,-1AM)&lt;/Q&gt;&lt;R&gt;1&lt;/R&gt;&lt;C&gt;1&lt;/C&gt;&lt;D xsi:type="xsd:double"&gt;4.0017605&lt;/D&gt;&lt;/FQL&gt;&lt;FQL&gt;&lt;Q&gt;VWO^SIZE(FG_CONSTITUENTS)&lt;/Q&gt;&lt;R&gt;1&lt;/R&gt;&lt;C&gt;1&lt;/C&gt;&lt;D xsi:type="xsd:long"&gt;4780&lt;/D&gt;&lt;/FQL&gt;&lt;FQL&gt;&lt;Q&gt;EWQ^FMA_COS_DOWN("EPS","1M",+1,0,,,"PORTAGG","MEANR")&lt;/Q&gt;&lt;R&gt;1&lt;/R&gt;&lt;C&gt;1&lt;/C&gt;&lt;D xsi:type="xsd:double"&gt;20&lt;/D&gt;&lt;/FQL&gt;&lt;FQL&gt;&lt;Q&gt;EWJ^FMA_COS_UP("EPS","1M",+1,0,,,"PORTAGG","MEANR")&lt;/Q&gt;&lt;R&gt;1&lt;/R&gt;&lt;C&gt;1&lt;/C&gt;&lt;D xsi:type="xsd:double"&gt;109&lt;/D&gt;&lt;/FQL&gt;&lt;FQL&gt;&lt;Q&gt;EWL^FMA_ROE(NTMA,-20AY,NOW,FY,"PORTAGG","MEANR")&lt;/Q&gt;&lt;R&gt;20&lt;/R&gt;&lt;C&gt;1&lt;/C&gt;&lt;D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xsi:type="xsd:double"&gt;3.099&lt;/D&gt;&lt;/FQL&gt;&lt;FQL&gt;&lt;Q&gt;EWJ^FMA_DIV_YLD(NTMA,-10AY,0,AM,"PORTAGG","MEANR")&lt;/Q&gt;&lt;R&gt;121&lt;/R&gt;&lt;C&gt;1&lt;/C&gt;&lt;D xsi:type="xsd:double"&gt;2.10601277629105&lt;/D&gt;&lt;D xsi:type="xsd:double"&gt;2.04869438770492&lt;/D&gt;&lt;D xsi:type="xsd:double"&gt;2.10982139530287&lt;/D&gt;&lt;D xsi:type="xsd:double"&gt;2.06319538628193&lt;/D&gt;&lt;D xsi:type="xsd:double"&gt;2.0749395309814&lt;/D&gt;&lt;D xsi:type="xsd:double"&gt;1.98841660758046&lt;/D&gt;&lt;D xsi:type="xsd:double"&gt;1.90970939643325&lt;/D&gt;&lt;D xsi:type="xsd:double"&gt;2.05495140446159&lt;/D&gt;&lt;D xsi:type="xsd:double"&gt;2.00295141553699&lt;/D&gt;&lt;D xsi:type="xsd:double"&gt;1.86480719478219&lt;/D&gt;&lt;D xsi:type="xsd:double"&gt;1.87042778104331&lt;/D&gt;&lt;D xsi:type="xsd:double"&gt;1.86658167583408&lt;/D&gt;&lt;D xsi:type="xsd:double"&gt;1.85881223176462&lt;/D&gt;&lt;D xsi:type="xsd:double"&gt;1.93607702880632&lt;/D&gt;&lt;D xsi:type="xsd:double"&gt;1.88752634283043&lt;/D&gt;&lt;D xsi:type="xsd:double"&gt;2.20556783206123&lt;/D&gt;&lt;D xsi:type="xsd:double"&gt;2.16803050830644&lt;/D&gt;&lt;D xsi:type="xsd:double"&gt;2.05038792734742&lt;/D&gt;&lt;D xsi:type="xsd:double"&gt;2.0516927131749&lt;/D&gt;&lt;D xsi:type="xsd:double"&gt;2.18476046920475&lt;/D&gt;&lt;D xsi:type="xsd:double"&gt;2.38252674203107&lt;/D&gt;&lt;D xsi:type="xsd:double"&gt;2.33487126205417&lt;/D&gt;&lt;D xsi:type="xsd:double"&gt;2.54820978292485&lt;/D&gt;&lt;D xsi:type="xsd:double"&gt;2.47079049693391&lt;/D&gt;&lt;D xsi:type="xsd:double"&gt;2.37620397461999&lt;/D&gt;&lt;D xsi:type="xsd:double"&gt;2.56224798666687&lt;/D&gt;&lt;D xsi:type="xsd:double"&gt;2.45863710880569&lt;/D&gt;&lt;D xsi:type="xsd:double"&gt;2.32580578572147&lt;/D&gt;&lt;D xsi:type="xsd:double"&gt;2.35354477613607&lt;/D&gt;&lt;D xsi:type="xsd:double"&gt;2.39090100670584&lt;/D&gt;&lt;D xsi:type="xsd:double"&gt;2.16922873165637&lt;/D&gt;&lt;D xsi:type="xsd:double"&gt;2.08160148748912&lt;/D&gt;&lt;D xsi:type="xsd:double"&gt;2.15902579689107&lt;/D&gt;&lt;D xsi:type="xsd:double"&gt;2.14191344902474&lt;/D&gt;&lt;D xsi:type="xsd:double"&gt;2.26997278495432&lt;/D&gt;&lt;D xsi:type="xsd:double"&gt;2.19003384652388&lt;/D&gt;&lt;D xsi:type="xsd:double"&gt;2.16236837667732&lt;/D&gt;&lt;D xsi:type="xsd:double"&gt;2.16688495052324&lt;/D&gt;&lt;D xsi:type="xsd:double"&gt;2.16454066370686&lt;/D&gt;&lt;D xsi:type="xsd:double"&gt;2.25069767590705&lt;/D&gt;&lt;D xsi:type="xsd:double"&gt;2.14784098165971&lt;/D&gt;&lt;D xsi:type="xsd:double"&gt;2.04247942404851&lt;/D&gt;&lt;D xsi:type="xsd:double"&gt;2.11189440293176&lt;/D&gt;&lt;D xsi:type="xsd:double"&gt;1.98855582613455&lt;/D&gt;&lt;D xsi:type="xsd:double"&gt;2.17922262169932&lt;/D&gt;&lt;D xsi:type="xsd:double"&gt;2.26178024973112&lt;/D&gt;&lt;D xsi:type="xsd:double"&gt;2.27244617383314&lt;/D&gt;&lt;D xsi:type="xsd:double"&gt;2.21512025713478&lt;/D&gt;&lt;D xsi:type="xsd:double"&gt;2.23735289733549&lt;/D&gt;&lt;D xsi:type="xsd:double"&gt;2.35253099303608&lt;/D&gt;&lt;D xsi:type="xsd:double"&gt;2.30521957101342&lt;/D&gt;&lt;D xsi:type="xsd:double"&gt;2.37601569926782&lt;/D&gt;&lt;D xsi:type="xsd:double"&gt;2.24935512268578&lt;/D&gt;&lt;D xsi:type="xsd:double"&gt;2.44486645882018&lt;/D&gt;&lt;D xsi:type="xsd:double"&gt;2.54415148612394&lt;/D&gt;&lt;D xsi:type="xsd:double"&gt;2.79422796757495&lt;/D&gt;&lt;D xsi:type="xsd:double"&gt;2.61215552904177&lt;/D&gt;&lt;D xsi:type="xsd:double"&gt;2.55372599122118&lt;/D&gt;&lt;D xsi:type="xsd:double"&gt;2.55054687766502&lt;/D&gt;&lt;D xsi:type="xsd:doubl</t>
        </r>
      </text>
    </comment>
    <comment ref="A6" authorId="0" shapeId="0" xr:uid="{09D9984D-9F8F-40C0-AED4-34671D10D74C}">
      <text>
        <r>
          <rPr>
            <b/>
            <sz val="9"/>
            <color indexed="81"/>
            <rFont val="Tahoma"/>
            <charset val="1"/>
          </rPr>
          <t>e"&gt;2.56875843878194&lt;/D&gt;&lt;D xsi:type="xsd:double"&gt;2.73185646658442&lt;/D&gt;&lt;D xsi:type="xsd:double"&gt;2.62157623365677&lt;/D&gt;&lt;D xsi:type="xsd:double"&gt;2.78091242695417&lt;/D&gt;&lt;D xsi:type="xsd:double"&gt;2.69893745776104&lt;/D&gt;&lt;D xsi:type="xsd:double"&gt;2.65087043620892&lt;/D&gt;&lt;D xsi:type="xsd:double"&gt;2.47443979207215&lt;/D&gt;&lt;D xsi:type="xsd:double"&gt;2.45117905822663&lt;/D&gt;&lt;D xsi:type="xsd:double"&gt;2.4821055660892&lt;/D&gt;&lt;D xsi:type="xsd:double"&gt;2.4261213317658&lt;/D&gt;&lt;D xsi:type="xsd:double"&gt;2.83127081393428&lt;/D&gt;&lt;D xsi:type="xsd:double"&gt;3.02469216929993&lt;/D&gt;&lt;D xsi:type="xsd:double"&gt;2.86378420404786&lt;/D&gt;&lt;D xsi:type="xsd:double"&gt;2.45690917410835&lt;/D&gt;&lt;D xsi:type="xsd:double"&gt;2.47990743692835&lt;/D&gt;&lt;D xsi:type="xsd:double"&gt;2.50560129131832&lt;/D&gt;&lt;D xsi:type="xsd:double"&gt;2.38062230713563&lt;/D&gt;&lt;D xsi:type="xsd:double"&gt;2.36756299353127&lt;/D&gt;&lt;D xsi:type="xsd:double"&gt;2.34554552376455&lt;/D&gt;&lt;D xsi:type="xsd:double"&gt;2.16331508727304&lt;/D&gt;&lt;D xsi:type="xsd:double"&gt;2.15645629443252&lt;/D&gt;&lt;D xsi:type="xsd:double"&gt;2.06794076139249&lt;/D&gt;&lt;D xsi:type="xsd:double"&gt;2.10421562162755&lt;/D&gt;&lt;D xsi:type="xsd:double"&gt;2.07028873653481&lt;/D&gt;&lt;D xsi:type="xsd:double"&gt;2.12906722581158&lt;/D&gt;&lt;D xsi:type="xsd:double"&gt;2.14244312815284&lt;/D&gt;&lt;D xsi:type="xsd:double"&gt;2.18672789063116&lt;/D&gt;&lt;D xsi:type="xsd:double"&gt;2.24230441037&lt;/D&gt;&lt;D xsi:type="xsd:double"&gt;2.19252581731811&lt;/D&gt;&lt;D xsi:type="xsd:double"&gt;2.31018061130189&lt;/D&gt;&lt;D xsi:type="xsd:double"&gt;2.21398253020704&lt;/D&gt;&lt;D xsi:type="xsd:double"&gt;2.35152312195362&lt;/D&gt;&lt;D xsi:type="xsd:double"&gt;2.30971569003785&lt;/D&gt;&lt;D xsi:type="xsd:double"&gt;2.43842931263453&lt;/D&gt;&lt;D xsi:type="xsd:double"&gt;2.62267968345481&lt;/D&gt;&lt;D xsi:type="xsd:double"&gt;2.55068088609225&lt;/D&gt;&lt;D xsi:type="xsd:double"&gt;2.57627100365841&lt;/D&gt;&lt;D xsi:type="xsd:double"&gt;2.57492417365288&lt;/D&gt;&lt;D xsi:type="xsd:double"&gt;2.7271044680068&lt;/D&gt;&lt;D xsi:type="xsd:double"&gt;2.60703729282843&lt;/D&gt;&lt;D xsi:type="xsd:double"&gt;2.64930207033383&lt;/D&gt;&lt;D xsi:type="xsd:double"&gt;2.68565507053355&lt;/D&gt;&lt;D xsi:type="xsd:double"&gt;2.69459021734616&lt;/D&gt;&lt;D xsi:type="xsd:double"&gt;2.65081276078567&lt;/D&gt;&lt;D xsi:type="xsd:double"&gt;2.77070286698833&lt;/D&gt;&lt;D xsi:type="xsd:double"&gt;2.62234843599235&lt;/D&gt;&lt;D xsi:type="xsd:double"&gt;2.5596677334072&lt;/D&gt;&lt;D xsi:type="xsd:double"&gt;2.68149979933935&lt;/D&gt;&lt;D xsi:type="xsd:double"&gt;2.53785845639841&lt;/D&gt;&lt;D xsi:type="xsd:double"&gt;2.3595462814957&lt;/D&gt;&lt;D xsi:type="xsd:double"&gt;2.35147823654884&lt;/D&gt;&lt;D xsi:type="xsd:double"&gt;2.38157952320115&lt;/D&gt;&lt;D xsi:type="xsd:double"&gt;2.29643323918515&lt;/D&gt;&lt;D xsi:type="xsd:double"&gt;2.4500682658624&lt;/D&gt;&lt;D xsi:type="xsd:double"&gt;2.37276832084194&lt;/D&gt;&lt;D xsi:type="xsd:double"&gt;2.38921638947812&lt;/D&gt;&lt;D xsi:type="xsd:double"&gt;2.40440896519297&lt;/D&gt;&lt;D xsi:type="xsd:double"&gt;2.28988560514046&lt;/D&gt;&lt;D xsi:type="xsd:double"&gt;2.14270145998356&lt;/D&gt;&lt;D xsi:type="xsd:double"&gt;2.20731037325054&lt;/D&gt;&lt;D xsi:type="xsd:double"&gt;2.21540917784141&lt;/D&gt;&lt;D xsi:type="xsd:double"&gt;2.19845497105487&lt;/D&gt;&lt;/FQL&gt;&lt;FQL&gt;&lt;Q&gt;WL-FDS^FG_PRICE_MAVG(0,,,,30)&lt;/Q&gt;&lt;R&gt;1&lt;/R&gt;&lt;C&gt;1&lt;/C&gt;&lt;D xsi:type="xsd:double"&gt;556.77&lt;/D&gt;&lt;/FQL&gt;&lt;FQL&gt;&lt;Q&gt;NI-FDS^FG_PRICE_MAVG(0,,,,30)&lt;/Q&gt;&lt;R&gt;1&lt;/R&gt;&lt;C&gt;1&lt;/C&gt;&lt;D xsi:type="xsd:double"&gt;19316.666&lt;/D&gt;&lt;/FQL&gt;&lt;FQL&gt;&lt;Q&gt;CPALM-FDS^FG_PRICE_MAVG(0,,,,30)&lt;/Q&gt;&lt;R&gt;1&lt;/R&gt;&lt;C&gt;1&lt;/C&gt;&lt;D xsi:type="xsd:double"&gt;3908.8667&lt;/D&gt;&lt;/FQL&gt;&lt;FQL&gt;&lt;Q&gt;BRENT-FDS^FG_PRICE_MAVG(0,,,,30)&lt;/Q&gt;&lt;R&gt;1&lt;/R&gt;&lt;C&gt;1&lt;/C&gt;&lt;D xsi:type="xsd:double"&gt;85.86&lt;/D&gt;&lt;/FQL&gt;&lt;FQL&gt;&lt;Q&gt;EWU^FG_PRICE_MAVG(0,,,,30)&lt;/Q&gt;&lt;R&gt;1&lt;/R&gt;&lt;C&gt;1&lt;/C&gt;&lt;D xsi:type="xsd:double"&gt;35.906666&lt;/D&gt;&lt;/FQL&gt;&lt;FQL&gt;&lt;Q&gt;EWC^FG_PRICE_MAVG(0,,,,30)&lt;/Q&gt;&lt;R&gt;1&lt;/R&gt;&lt;C&gt;1&lt;/C&gt;&lt;D xsi:type="xsd:double"&gt;37.923&lt;/D&gt;&lt;/FQL&gt;&lt;FQL&gt;&lt;Q&gt;QQQ^FG_COMPANY_NAME&lt;/Q&gt;&lt;R&gt;1&lt;/R&gt;&lt;C&gt;1&lt;/C&gt;&lt;D xsi:type="xsd:string"&gt;Invesco QQQ Trust Series I&lt;/D&gt;&lt;/FQL&gt;&lt;FQL&gt;&lt;Q&gt;EWI^P_PRICE(0)/P_PRICE_HIGH_PR(0,,,,,,"PRICE","INTRA","52W")&lt;/Q&gt;&lt;R&gt;1&lt;/R&gt;&lt;C&gt;1&lt;/C&gt;&lt;D xsi:type="xsd:double"&gt;0.990602&lt;/D&gt;&lt;/FQL&gt;&lt;FQL&gt;&lt;Q&gt;EWG^P_PRICE(0)/P_PRICE_LOW_PR(0,,,,,,"PRICE","INTRA","52W")-1&lt;/Q&gt;&lt;R&gt;1&lt;/R&gt;&lt;C&gt;1&lt;/C&gt;&lt;D xsi:type="xsd:double"&gt;0.30904675&lt;/D&gt;&lt;/FQL&gt;&lt;FQL&gt;&lt;Q&gt;ENZL^PERCENT_CHANGE(FMA_EPS(+1,0,,,,"PORTAGG","MEAN"),FMA_EPS(+1,-3AM,,,,"PORTAGG","MEAN"))&lt;/Q&gt;&lt;R&gt;1&lt;/R&gt;&lt;C&gt;1&lt;/C&gt;&lt;D xsi:type="xsd:double"&gt;1.48258333667107&lt;/D&gt;&lt;/FQL&gt;&lt;FQL&gt;&lt;Q&gt;VWO^FMA_COS_DOWN("EPS","1M",+1,0,,,"PORTAGG","MEANR")&lt;/Q&gt;&lt;R&gt;1&lt;/R&gt;&lt;C&gt;1&lt;/C&gt;&lt;D xsi:type="xsd:double"&gt;1617&lt;/D&gt;&lt;/FQL&gt;&lt;FQL&gt;&lt;Q&gt;EWQ^FMA_COS_UP("EPS","1M",+1,0,,,"PORTAGG","MEANR")&lt;/Q&gt;&lt;R&gt;1&lt;/R&gt;&lt;C&gt;1&lt;/C&gt;&lt;D xsi:type="xsd:double"&gt;27&lt;/D&gt;&lt;/FQL&gt;&lt;FQL&gt;&lt;Q&gt;EWG^SIZE(FG_CONSTITUENTS)&lt;/Q&gt;&lt;R&gt;1&lt;/R&gt;&lt;C&gt;1&lt;/C&gt;&lt;D xsi:type="xsd:long"&gt;58&lt;/D&gt;&lt;/FQL&gt;&lt;FQL&gt;&lt;Q&gt;EWC^FG_ROE(0)&lt;/Q&gt;&lt;R&gt;1&lt;/R&gt;&lt;C&gt;1&lt;/C&gt;&lt;D xsi:type="xsd:double"&gt;11.0214913708581&lt;/D&gt;&lt;/FQL&gt;&lt;FQL&gt;&lt;Q&gt;CAGDPY@GB^EE_ACTUAL_ANNUAL(MED,0)&lt;/Q&gt;&lt;R&gt;1&lt;/R&gt;&lt;C&gt;1&lt;/C&gt;&lt;D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xsi:type="xsd:double"&gt;-0.15230179&lt;/D&gt;&lt;/FQL&gt;&lt;FQL&gt;&lt;Q&gt;USDCHF^FG_PRICE_CHANGE(0,-6AM)&lt;/Q&gt;&lt;R&gt;1&lt;/R&gt;&lt;C&gt;1&lt;/C&gt;&lt;D xsi:type="xsd:double"&gt;2.1061063&lt;/D&gt;&lt;/FQL&gt;&lt;FQL&gt;&lt;Q&gt;USDUSD^FG_PRICE_CHANGE(0,-6AM)&lt;/Q&gt;&lt;R&gt;1&lt;/R&gt;&lt;C&gt;1&lt;/C&gt;&lt;D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xsi:type="xsd:double"&gt;-0.8043349&lt;/D&gt;&lt;/FQL&gt;&lt;FQL&gt;&lt;Q&gt;USDAUD^FG_PRICE_CHANGE(0,-6AM)&lt;/Q&gt;&lt;R&gt;1&lt;/R&gt;&lt;C&gt;1&lt;/C&gt;&lt;D xsi:type="xsd:double"&gt;-1.0599971&lt;/D&gt;&lt;/FQL&gt;&lt;FQL&gt;&lt;Q&gt;EWN^FMA_EPS(NTMA,-20AY,0,CY,,"PORTAGG","MEANR")&lt;/Q&gt;&lt;R&gt;20&lt;/R&gt;&lt;C&gt;1&lt;/C&gt;&lt;D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xsi:type="xsd:double"&gt;22.481464&lt;/D&gt;&lt;D xsi:type="xsd:double"&gt;25.307869&lt;/D&gt;&lt;D xsi:type="xsd:double"&gt;15.386808&lt;/D&gt;&lt;D xsi:type="xsd:double"&gt;23.562145&lt;/D&gt;&lt;D xsi:type="xsd:double"&gt;18.481493&lt;/D&gt;&lt;D xsi:type="xsd:double"&gt;16.891502&lt;/D&gt;&lt;D xsi:type="xsd:double"&gt;18.498325&lt;/D&gt;&lt;D xsi:type="xsd:double"&gt;11.7139225&lt;/D&gt;&lt;D xsi:type="xsd:double"&gt;18.077194&lt;/D&gt;&lt;D xsi:type="xsd:double"&gt;12.419737&lt;/D&gt;&lt;D xsi:type="xsd:double"&gt;13.673222&lt;/D&gt;&lt;D xsi:type="xsd:double"&gt;13.556564&lt;/D&gt;&lt;D xsi:type="xsd:double"&gt;9.984434&lt;/D&gt;&lt;D xsi:type="xsd:double"&gt;6.3458204&lt;/D&gt;&lt;D xsi:type="xsd:double"&gt;10.605192&lt;/D&gt;&lt;D xsi:type="xsd:double"&gt;-1.918006&lt;/D&gt;&lt;D xsi:type="xsd:double"&gt;2.8040886&lt;/D&gt;&lt;D xsi:type="xsd:double"&gt;5.4846883&lt;/D&gt;&lt;D xsi:type="xsd:double"&gt;2.9873967&lt;/D&gt;&lt;D xsi:type="xsd:double"&gt;1.5705705&lt;/D&gt;&lt;D xsi:type="xsd:double"&gt;-6.9173098&lt;/D&gt;&lt;D xsi:type="xsd:double"&gt;-2.6772082&lt;/D&gt;&lt;D xsi:type="xsd:double"&gt;1.4607191&lt;/D&gt;&lt;D xsi:type="xsd:double"&gt;1.0145783&lt;/D&gt;&lt;D xsi:type="xsd:double"&gt;2.9232025&lt;/D&gt;&lt;D xsi:type="xsd:double"&gt;3.6412358&lt;/D&gt;&lt;D xsi:type="xsd:double"&gt;6.132984&lt;/D&gt;&lt;D xsi:type="xsd:double"&gt;16.217363&lt;/D&gt;&lt;D xsi:type="xsd:double"&gt;11.458456&lt;/D&gt;&lt;D xsi:type="xsd:double"&gt;1.2868762&lt;/D&gt;&lt;D xsi:type="xsd:double"&gt;8.053577&lt;/D&gt;&lt;D xsi:type="xsd:double"&gt;16.736853&lt;/D&gt;&lt;D xsi:type="xsd:double"&gt;24.423086&lt;/D&gt;&lt;D xsi:type="xsd:double"&gt;21.150541&lt;/D&gt;&lt;D xsi:type="xsd:double"&gt;16.421509&lt;/D&gt;&lt;D xsi:type="xsd:double"&gt;19.366503&lt;/D&gt;&lt;D xsi:type="xsd:double"&gt;17.458366&lt;/D&gt;&lt;D xsi:type="xsd:double"&gt;17.06984&lt;/D&gt;&lt;D xsi:type="xsd:double"&gt;16.652966&lt;/D&gt;&lt;D xsi:type="xsd:double"&gt;15.019417&lt;/D&gt;&lt;D xsi:type="xsd:double"&gt;20.270575&lt;/D&gt;&lt;D xsi:type="xsd:double"&gt;26.631773&lt;/D&gt;&lt;D xsi:type="xsd:double"&gt;21.14092&lt;/D&gt;&lt;D xsi:type="xsd:double"&gt;23.111332&lt;/D&gt;&lt;D xsi:type="xsd:double"&gt;19.840479&lt;/D&gt;&lt;D xsi:type="xsd:double"&gt;17.02224&lt;/D&gt;&lt;D xsi:type="xsd:double"&gt;12.412369&lt;/D&gt;&lt;D xsi:type="xsd:double"&gt;13.538122&lt;/D&gt;&lt;D xsi:type="xsd:double"&gt;16.228867&lt;/D&gt;&lt;D xsi:type="xsd:double"&gt;16.631054&lt;/D&gt;&lt;D xsi:type="xsd:double"&gt;17.193306&lt;/D&gt;&lt;D xsi:type="xsd:double"&gt;18.887638&lt;/D&gt;&lt;D xsi:type="xsd:double"&gt;15.080225&lt;/D&gt;&lt;D xsi:type="xsd:double"&gt;8.221722&lt;/D&gt;&lt;D xsi:type="xsd:double"&gt;4.3746233&lt;/D&gt;&lt;D xsi:type="xsd:double"&gt;-5.299425&lt;/D&gt;&lt;D xsi:type="xsd:double"&gt;3.2792091&lt;/D&gt;&lt;D xsi:type="xsd:double"&gt;3.5741448&lt;/D&gt;&lt;D xsi:type="xsd:double"&gt;10.751545&lt;/D&gt;&lt;D xsi:type="xsd:double"&gt;12.222136&lt;/D&gt;&lt;D xsi:type="xsd:double"&gt;4.6708226&lt;/D&gt;&lt;D xsi:type="xsd:double"&gt;11.455833&lt;/D&gt;&lt;D xsi:type="xsd:double"&gt;3.1214595&lt;/D&gt;&lt;D xsi:type="xsd:double"&gt;5.4895997&lt;/D&gt;&lt;D xsi:type="xsd:double"&gt;3.730595&lt;/D&gt;&lt;D xsi:type="xsd:double"&gt;13.856804&lt;/D&gt;&lt;D xsi:type="xsd:double"&gt;19.02175&lt;/D&gt;&lt;D xsi:type="xsd:double"&gt;30.656158&lt;/D&gt;&lt;D xsi:type="xsd:double"&gt;24.770378&lt;/D&gt;&lt;D xsi:type="xsd:double"&gt;9.287775&lt;/D&gt;&lt;D xsi:type="xsd:double"&gt;-6.316036&lt;/D&gt;&lt;D xsi:type="xsd:double"&gt;-0.91685057&lt;/D&gt;&lt;D xsi:type="xsd:double"&gt;15.193605&lt;/D&gt;&lt;D xsi:type="xsd:double"&gt;8.38027&lt;/D&gt;&lt;D xsi:type="xsd:double"&gt;18.520414&lt;/D&gt;&lt;D xsi:type="xsd:double"&gt;18.864323&lt;/D&gt;&lt;D xsi:type="xsd:double"&gt;16.023016&lt;/D&gt;&lt;D xsi:type="xsd:double"&gt;16.262829&lt;/D&gt;&lt;D xsi:type="xsd:double"&gt;21.081425&lt;/D&gt;&lt;D xsi:type="xsd:double"&gt;17.618238&lt;/D&gt;&lt;D xsi:type="xsd:double"&gt;18.695318&lt;/D&gt;&lt;D xsi:type="xsd:double"&gt;29.25067&lt;/D&gt;&lt;D xsi:type="xsd:double"&gt;55.807686&lt;/D&gt;&lt;D xsi:type="xsd:double"&gt;49.80868&lt;/D&gt;&lt;D xsi:type="xsd:double"&gt;37.916924&lt;/D&gt;&lt;D xsi:type="xsd:double"&gt;38.599075&lt;/D&gt;&lt;D xsi:type="xsd:double"&gt;34.337902&lt;/D&gt;&lt;D xsi:type="xsd:double"&gt;33.148266&lt;/D&gt;&lt;D xsi:type="xsd:double"&gt;31.690132&lt;/D&gt;&lt;D xsi:type="xsd:double"&gt;35.671795&lt;/D&gt;&lt;D xsi:type="xsd:double"&gt;25.807392&lt;/D&gt;&lt;D xsi:type="xsd:double"&gt;26.954247&lt;/D&gt;&lt;D xsi:type="xsd:double"&gt;17.749989&lt;/D&gt;&lt;D xsi:type="xsd:double"&gt;16.26923&lt;/D&gt;&lt;D xsi:type="xsd:double"&gt;11.4044075&lt;/D&gt;&lt;D xsi:type="xsd:double"&gt;-0.54418445&lt;/D&gt;&lt;D xsi:type="xsd:double"&gt;-1.2670457&lt;/D&gt;&lt;D xsi:type="xsd:double"&gt;-10.213643&lt;/D&gt;&lt;D xsi:type="xsd:double"&gt;-5.069995&lt;/D&gt;&lt;D xsi:type="xsd:double"&gt;-12.52557&lt;/D&gt;&lt;D xsi:type="xsd:double"&gt;-12.885642&lt;/D&gt;&lt;D xsi:type="xsd:double"&gt;-18.17308&lt;/D&gt;&lt;D xsi:type="xsd:double"&gt;-12.857032&lt;/D&gt;&lt;D xsi:type="xsd:double"&gt;-15.717041&lt;/D&gt;&lt;D xsi:type="xsd:double"&gt;-7.1768403&lt;/D&gt;&lt;D xsi:type="xsd:double"&gt;-4.8869014&lt;/D&gt;&lt;D xsi:type="xsd:double"&gt;-6.79605&lt;/D&gt;&lt;D xsi:type="xsd:double"&gt;1.4168262&lt;/D&gt;&lt;D xsi:type="xsd:double"&gt;5.7179213&lt;/D&gt;&lt;D xsi:type="xsd:double"&gt;16.609335&lt;/D&gt;&lt;D xsi:type="xsd:double"&gt;9.658611&lt;/D&gt;&lt;D xsi:type="xsd:double"&gt;16.074657&lt;/D&gt;&lt;D xsi:type="xsd:double"&gt;16.926788&lt;/D&gt;&lt;D xsi:type="xsd:double"&gt;17.608225&lt;/D&gt;&lt;D xsi:type="xsd:double"&gt;17.307436&lt;/D&gt;&lt;D xsi:type="xsd:double"&gt;25.226307&lt;/D&gt;&lt;D xsi:type="xsd:double"&gt;22.378195&lt;/D&gt;&lt;D xsi:type="xsd:double"&gt;27.958548&lt;/D&gt;&lt;D xsi:type="xsd:double"&gt;29.043686&lt;/D&gt;&lt;D xsi:type="xsd:double"&gt;27.013313&lt;/D&gt;&lt;D xsi:type="xsd:double"&gt;26.731419&lt;/D&gt;&lt;/FQL&gt;&lt;FQL&gt;&lt;Q&gt;EWU^FG_TOTAL_RETURNC(-10AY,0,AM)&lt;/Q&gt;&lt;R&gt;121&lt;/R&gt;&lt;C&gt;1&lt;/C&gt;&lt;D xsi:type="xsd:double"&gt;0.92378855&lt;/D&gt;&lt;D xsi:type="xsd:double"&gt;2.2294044&lt;/D&gt;&lt;D xsi:type="xsd:double"&gt;-5.284172&lt;/D&gt;&lt;D xsi:type="xsd:double"&gt;0.96702576&lt;/D&gt;&lt;D xsi:type="xsd:double"&gt;-6.0412645&lt;/D&gt;&lt;D xsi:type="xsd:double"&gt;-1.4113903&lt;/D&gt;&lt;D xsi:type="xsd:double"&gt;1.219511&lt;/D&gt;&lt;D xsi:type="xsd:double"&gt;-8.068716&lt;/D&gt;&lt;D xsi:type="xsd:double"&gt;7.844281&lt;/D&gt;&lt;D xsi:type="xsd:double"&gt;-0.10775328&lt;/D&gt;&lt;D xsi:type="xsd:double"&gt;-0.8630097&lt;/D&gt;&lt;D xsi:type="xsd:double"&gt;3.5364628&lt;/D&gt;&lt;D xsi:type="xsd:double"&gt;-0.8933246&lt;/D&gt;&lt;D xsi:type="xsd:double"&gt;-2.2806168&lt;/D&gt;&lt;D xsi:type="xsd:double"&gt;2.7071834&lt;/D&gt;&lt;D xsi:type="xsd:double"&gt;-12.04949&lt;/D&gt;&lt;D xsi:type="xsd:double"&gt;5.1376104&lt;/D&gt;&lt;D xsi:type="xsd:double"&gt;-0.11634827&lt;/D&gt;&lt;D xsi:type="xsd:double"&gt;-0.931859&lt;/D&gt;&lt;D xsi:type="xsd:double"&gt;-6.757784&lt;/D&gt;&lt;D xsi:type="xsd:double"&gt;-3.9871395&lt;/D&gt;&lt;D xsi:type="xsd:double"&gt;4.2866707&lt;/D&gt;&lt;D xsi:type="xsd:double"&gt;-0.5138099&lt;/D&gt;&lt;D xsi:type="xsd:double"&gt;2.194965&lt;/D&gt;&lt;D xsi:type="xsd:double"&gt;2.7163625&lt;/D&gt;&lt;D xsi:type="xsd:double"&gt;-6.228894&lt;/D&gt;&lt;D xsi:type="xsd:double"&gt;4.7042966&lt;/D&gt;&lt;D xsi:type="xsd:double"&gt;4.172015&lt;/D&gt;&lt;D xsi:type="xsd:double"&gt;-3.0807137&lt;/D&gt;&lt;D xsi:type="xsd:double"&gt;-6.3572764&lt;/D&gt;&lt;D xsi:type="xsd:double"&gt;4.1072726&lt;/D&gt;&lt;D xsi:type="xsd:double"&gt;2.872312&lt;/D&gt;&lt;D xsi:type="xsd:double"&gt;0.8033395&lt;/D&gt;&lt;D xsi:type="xsd:double"&gt;1.4344931&lt;/D&gt;&lt;D xsi:type="xsd:double"&gt;1.5399218&lt;/D&gt;&lt;D xsi:type="xsd:double"&gt;4.3330193&lt;/D&gt;&lt;D xsi:type="xsd:double"&gt;2.788496&lt;/D&gt;&lt;D xsi:type="xsd:double"&gt;-2.0650506&lt;/D&gt;&lt;D xsi:type="xsd:double"&gt;3.585422&lt;/D&gt;&lt;D xsi:type="xsd:double"&gt;-1.5416026&lt;/D&gt;&lt;D xsi:type="xsd:double"&gt;2.392912&lt;/D&gt;&lt;D xsi:type="xsd:double"&gt;1.1829138&lt;/D&gt;&lt;D xsi:type="xsd:double"&gt;-1.0265231&lt;/D&gt;&lt;D xsi:type="xsd:double"&gt;6.821084&lt;/D&gt;&lt;D xsi:type="xsd:double"&gt;-2.99533&lt;/D&gt;&lt;D xsi:type="xsd:double"&gt;-1.5014112&lt;/D&gt;&lt;D xsi:type="xsd:double"&gt;1.4380217&lt;/D&gt;&lt;D xsi:type="xsd:double"&gt;2.268219&lt;/D&gt;&lt;D xsi:type="xsd:double"&gt;1.3861895&lt;/D&gt;&lt;D xsi:type="xsd:double"&gt;-2.156639&lt;/D&gt;&lt;D xsi:type="xsd:double"&gt;-2.0314693&lt;/D&gt;&lt;D xsi:type="xsd:double"&gt;-3.5630882&lt;/D&gt;&lt;D xsi:type="xsd:double"&gt;1.5445113&lt;/D&gt;&lt;D xsi:type="xsd:double"&gt;-3.3104718&lt;/D&gt;&lt;D xsi:type="xsd:double"&gt;-5.7680426&lt;/D&gt;&lt;D xsi:type="xsd:double"&gt;0.21262169&lt;/D&gt;&lt;D xsi:type="xsd:double"&gt;6.3084126&lt;/D&gt;&lt;D xsi:type="xsd:double"&gt;2.8885365&lt;/D&gt;&lt;D xsi:type="xsd:double"&gt;3.1431198&lt;/D&gt;&lt;D xsi:type="xsd:double"&gt;-0.62130094&lt;/D&gt;&lt;D xsi:type="xsd:double"&gt;-3.6618054&lt;/D&gt;&lt;D xsi:type="xsd:double"&gt;2.7564168&lt;/D&gt;&lt;D xsi:type="xsd:double"&gt;-7.587904&lt;/D&gt;&lt;D xsi:type="xsd:double"&gt;3.4045458&lt;/D&gt;&lt;D xsi:type="xsd:double"&gt;-1.2588739&lt;/D&gt;&lt;D xsi:type="xsd:double"&gt;7.3880315&lt;/D&gt;&lt;D xsi:type="xsd:double"&gt;0.15221834&lt;/D&gt;&lt;D xsi:type="xsd:double"&gt;5.307436&lt;/D&gt;&lt;D xsi:type="xsd:double"&gt;-3.0543327&lt;/D&gt;&lt;D xsi:type="xsd:double"&gt;-12.32959&lt;/D&gt;&lt;D xsi:type="xsd:double"&gt;-18.590187&lt;/D&gt;&lt;D xsi:type="xsd:double"&gt;4.2444825&lt;/D&gt;&lt;D xsi:type="xsd:double"&gt;13.517916&lt;/D&gt;&lt;D xsi:type="xsd:double"&gt;-3.8366973&lt;/D&gt;&lt;D xsi:type="xsd:double"&gt;1.0602117&lt;/D&gt;&lt;D xsi:type="xsd:double"&gt;-1.9857645&lt;/D&gt;&lt;D xsi:type="xsd:double"&gt;-1.8348634&lt;/D&gt;&lt;D xsi:type="xsd:double"&gt;1.6355157&lt;/D&gt;&lt;D xsi:type="xsd:double"&gt;14.367819&lt;/D&gt;&lt;D xsi:type="xsd:double"&gt;5.2119136&lt;/D&gt;&lt;D xsi:type="xsd:double"&gt;-4.0257635&lt;/D&gt;&lt;D xsi:type="xsd:double"&gt;4.9664497&lt;/D&gt;&lt;D xsi:type="xsd:double"&gt;1.886189&lt;/D&gt;&lt;D xsi:type="xsd:double"&gt;4.8948884&lt;/D&gt;&lt;D xsi:type="xsd:double"&gt;2.0341039&lt;/D&gt;&lt;D xsi:type="xsd:double"&gt;-2.1262884&lt;/D&gt;&lt;D xsi:type="xsd:double"&gt;1.2488604&lt;/D&gt;&lt;D xsi:type="xsd:double"&gt;0.6919384&lt;/D&gt;&lt;D xsi:type="xsd:double"&gt;-3.0176342&lt;/D&gt;&lt;D xsi:type="xsd:double"&gt;3.2963634&lt;/D&gt;&lt;D xsi:type="xsd:double"&gt;-2.3859203&lt;/D&gt;&lt;D xsi:type="xsd:double"&gt;5.421412&lt;/D&gt;&lt;D xsi:type="xsd:double"&gt;1.697433&lt;/D&gt;&lt;D xsi:type="xsd:double"&gt;-8.023429&lt;/D&gt;&lt;D xsi:type="xsd:double"&gt;8.213949&lt;/D&gt;&lt;D xsi:type="xsd:double"&gt;-7.0609035&lt;/D&gt;&lt;D xsi:type="xsd:double"&gt;4.6850204&lt;/D&gt;&lt;D xsi:type="xsd:double"&gt;-10.266108&lt;/D&gt;&lt;D xsi:type="xsd:double"&gt;5.1475644&lt;/D&gt;&lt;D xsi:type="xsd:double"&gt;-6.462139&lt;/D&gt;&lt;D xsi:type="xsd:double"&gt;-6.5247717&lt;/D&gt;&lt;D xsi:type="xsd:double"&gt;7.5401187&lt;/D&gt;&lt;D xsi:type="xsd:double"&gt;9.649431&lt;/D&gt;&lt;D xsi:type="xsd:double"&gt;1.8175721&lt;/D&gt;&lt;D xsi:type="xsd:double"&gt;0.7573366&lt;/D&gt;&lt;D xsi:type="xsd:double"&gt;1.8164635&lt;/D&gt;&lt;D xsi:type="xsd:double"&gt;1.6917944&lt;/D&gt;&lt;D xsi:type="xsd:double"&gt;2.48034&lt;/D&gt;&lt;D xsi:type="xsd:double"&gt;-3.600949&lt;/D&gt;&lt;D xsi:type="xsd:double"&gt;-2.271247&lt;/D&gt;&lt;D xsi:type="xsd:double"&gt;3.3216238&lt;/D&gt;&lt;D xsi:type="xsd:double"&gt;-2.3802102&lt;/D&gt;&lt;D xsi:type="xsd:double"&gt;-0.31665564&lt;/D&gt;&lt;D xsi:type="xsd:double"&gt;-0.31766295&lt;/D&gt;&lt;D xsi:type="xsd:double"&gt;2.9955387&lt;/D&gt;&lt;D xsi:type="xsd:double"&gt;3.8848042&lt;/D&gt;&lt;D xsi:type="xsd:double"&gt;-0.5179703&lt;/D&gt;&lt;D xsi:type="xsd:double"&gt;1.2557387&lt;/D&gt;&lt;D xsi:type="xsd:double"&gt;3.3272743&lt;/D&gt;&lt;D xsi:type="xsd:double"&gt;4.0983677&lt;/D&gt;&lt;D xsi:type="xsd:double"&gt;2.3622036&lt;/D&gt;&lt;/FQL&gt;&lt;FQL&gt;&lt;Q&gt;EWC^FMA_PE(NTMA,-10AY,0,AM,"PORTAGG","MEANR")&lt;/Q&gt;&lt;R&gt;121&lt;/R&gt;&lt;C&gt;1&lt;/C&gt;&lt;D xsi:type="xsd:double"&gt;14.8027605367709&lt;/D&gt;&lt;D xsi:type="xsd:double"&gt;15.1112937218677&lt;/D&gt;&lt;D xsi:type="xsd:double"&gt;14.937559119125&lt;/D&gt;&lt;D xsi:type="xsd:double"&gt;15.1799267930553&lt;/D&gt;&lt;D xsi:type="xsd:double"&gt;14.2642788053491&lt;/D&gt;&lt;D xsi:type="xsd:double"&gt;14.3319413629031&lt;/D&gt;&lt;D xsi:type="xsd:double"&gt;14.6672505986709&lt;/D&gt;&lt;D xsi:type="xsd:double"&gt;15.1110800933393&lt;/D&gt;&lt;D xsi:type="xsd:double"&gt;17.168342123964&lt;/D&gt;&lt;D xsi:type="xsd:double"&gt;17.1756059107594&lt;/D&gt;&lt;D xsi:type="xsd:double"&gt;17.2117520594958&lt;/D&gt;&lt;D xsi:type="xsd:double"&gt;16.9987654765962&lt;/D&gt;&lt;D xsi:type="xsd:double"&gt;16.4878539188705&lt;/D&gt;&lt;D xsi:type="xsd:double"&gt;15.8559088853958&lt;/D&gt;&lt;D xsi:type="xsd:double"&gt;15.60523483864&lt;/D&gt;&lt;D xsi:type="xsd:double"&gt;14.501702845761&lt;/D&gt;&lt;D xsi:type="xsd:double"&gt;14.813102328672&lt;/D&gt;&lt;D xsi:type="xsd:double"&gt;14.7925534003849&lt;/D&gt;&lt;D xsi:type="xsd:double"&gt;14.5116256698864&lt;/D&gt;&lt;D xsi:type="xsd:double"&gt;13.7703550203093&lt;/D&gt;&lt;D xsi:type="xsd:double"&gt;14.5780205643591&lt;/D&gt;&lt;D xsi:type="xsd:double"&gt;15.3121315579067&lt;/D&gt;&lt;D xsi:type="xsd:double"&gt;15.7141179831059&lt;/D&gt;&lt;D xsi:type="xsd:double"&gt;16.2915331232812&lt;/D&gt;&lt;D xsi:type="xsd:double"&gt;16.7299447176437&lt;/D&gt;&lt;D xsi:type="xsd:double"&gt;16.416083019282&lt;/D&gt;&lt;D xsi:type="xsd:double"&gt;16.4490961390644&lt;/D&gt;&lt;D xsi:type="xsd:double"&gt;16.4236612719198&lt;/D&gt;&lt;D xsi:type="xsd:double"&gt;15.9930177173763&lt;/D&gt;&lt;D xsi:type="xsd:double"&gt;15.4998692488029&lt;/D&gt;&lt;D xsi:type="xsd:double"&gt;15.8553151158223&lt;/D&gt;&lt;D xsi:type="xsd:double"&gt;15.9046482608851&lt;/D&gt;&lt;D xsi:type="xsd:double"&gt;15.9597294488211&lt;/D&gt;&lt;D xsi:type="xsd:double"&gt;16.1199769279788&lt;/D&gt;&lt;D xsi:type="xsd:double"&gt;15.9626645903167&lt;/D&gt;&lt;D xsi:type="xsd:double"&gt;15.6889903586278&lt;/D&gt;&lt;D xsi:type="xsd:double"&gt;15.4815265615327&lt;/D&gt;&lt;D xsi:type="xsd:double"&gt;15.1432228909553&lt;/D&gt;&lt;D xsi:type="xsd:double"&gt;15.7243994529745&lt;/D&gt;&lt;D xsi:type="xsd:double"&gt;15.1962427560178&lt;/D&gt;&lt;D xsi:type="xsd:double"&gt;15.8066924813931&lt;/D&gt;&lt;D xsi:type="xsd:double"&gt;15.9936933448588&lt;/D&gt;&lt;D xsi:type="xsd:double"&gt;15.7824781422846&lt;/D&gt;&lt;D xsi:type="xsd:double"&gt;16.0119499480903&lt;/D&gt;&lt;D xsi:type="xsd:double"&gt;14.6211876542055&lt;/D&gt;&lt;D xsi:type="xsd:double"&gt;14.4305405961643&lt;/D&gt;&lt;D xsi:type="xsd:double"&gt;13.9891647370478&lt;/D&gt;&lt;D xsi:type="xsd:double"&gt;14.1585075546921&lt;/D&gt;&lt;D xsi:type="xsd:double"&gt;14.3162524811071&lt;/D&gt;&lt;D xsi:type="xsd:double"&gt;14.2774106348255&lt;/D&gt;&lt;D xsi:type="xsd:double"&gt;14.1468437809111&lt;/D&gt;&lt;D xsi:type="xsd:double"&gt;13.6341910800264&lt;/D&gt;&lt;D xsi:type="xsd:double"&gt;13.4301621829886&lt;/D&gt;&lt;D xsi:type="xsd:double"&gt;12.7439759975795&lt;/D&gt;&lt;D xsi:type="xsd:double"&gt;12.4998114099521&lt;/D&gt;&lt;D xsi:type="xsd:double"&gt;12.3790409167286&lt;/D&gt;&lt;D xsi:type="xsd:double"&gt;13.8353751162691&lt;/D&gt;&lt;D xsi:type="xsd:double"&gt;14.1876357748313&lt;/D&gt;&lt;D xsi:type="xsd:double"&gt;14.2862832062362&lt;/D&gt;&lt;D xsi:type="xsd:double"&gt;13.8241788044543&lt;/D&gt;&lt;D xsi:type="xsd:double"&gt;13.5011700963203&lt;/D&gt;&lt;D xsi:type="xsd:double"&gt;13.741183366669&lt;/D&gt;&lt;D xsi:type="xsd:double"&gt;13.429121665197&lt;/D&gt;&lt;D xsi:type="xsd:double"&gt;13.7771208573892&lt;/D&gt;&lt;D xsi:type="xsd:double"&gt;13.7403541728782&lt;/D&gt;&lt;D xsi:type="xsd:double"&gt;14.2167374722115&lt;/D&gt;&lt;D xsi:type="xsd:double"&gt;14.3221290806966&lt;/D&gt;&lt;D xsi:type="xsd:double"&gt;14.4296027150844&lt;/D&gt;&lt;D xsi:type="xsd:double"&gt;14.8635828573917&lt;/D&gt;&lt;D xsi:type="xsd:double"&gt;13.9389894022328&lt;/D&gt;&lt;D xsi:type="xsd:double"&gt;13.6561024768671&lt;/D&gt;&lt;D xsi:type="xsd:double"&gt;16.8118992065428&lt;/D&gt;&lt;D xsi:type="xsd:double"&gt;18.5972743230184&lt;/D&gt;&lt;D xsi:type="xsd:double"&gt;17.6922085342893&lt;/D&gt;&lt;D xsi:type="xsd:double"&gt;17.7968415871748&lt;/D&gt;&lt;D xsi:type="xsd:double"&gt;16.7949894250864&lt;/D&gt;&lt;D xsi:type="xsd:double"&gt;16.2009682635509&lt;/D&gt;&lt;D xsi:type="xsd:double"&gt;15.6711228895558&lt;/D&gt;&lt;D xsi:type="xsd:double"&gt;16.2812045631427&lt;/D&gt;&lt;D xsi:type="xsd:double"&gt;16.1474424271694&lt;/D&gt;&lt;D xsi:type="xsd:double"&gt;16.0366049573975&lt;/D&gt;&lt;D xsi:type="xsd:double"&gt;15.3415716872814&lt;/D&gt;&lt;D xsi:type="xsd:double"&gt;15.5694070309674&lt;/D&gt;&lt;D xsi:type="xsd:double"&gt;15.5045148372353&lt;/D&gt;&lt;D xsi:type="xsd:double"&gt;15.5890171863838&lt;/D&gt;&lt;D xsi:type="xsd:double"&gt;15.5902768812884&lt;/D&gt;&lt;D xsi:type="xsd:double"&gt;15.1540595947622&lt;/D&gt;&lt;D xsi:type="xsd:double"&gt;15.0059607722278&lt;/D&gt;&lt;D xsi:type="xsd:double"&gt;14.4476811402765&lt;/D&gt;&lt;D xsi:type="xsd:double"&gt;14.9975714125687&lt;/D&gt;&lt;D xsi:type="xsd:double"&gt;14.2037227621379&lt;/D&gt;&lt;D xsi:type="xsd:double"&gt;14.3292163650846&lt;/D&gt;&lt;D xsi:type="xsd:double"&gt;14.1827105139414&lt;/D&gt;&lt;D xsi:type="xsd:double"&gt;13.9791952098913&lt;/D&gt;&lt;D xsi:type="xsd:double"&gt;13.4884768557782&lt;/D&gt;&lt;D xsi:type="xsd:double"&gt;12.3965682584384&lt;/D&gt;&lt;D xsi:type="xsd:double"&gt;12.4345106608769&lt;/D&gt;&lt;D xsi:type="xsd:double"&gt;11.0307259115722&lt;/D&gt;&lt;D xsi:type="xsd:double"&gt;11.504987698383&lt;/D&gt;&lt;D xsi:type="xsd:double"&gt;11.1952315129042&lt;/D&gt;&lt;D xsi:type="xsd:double"&gt;11.0785042735308&lt;/D&gt;&lt;D xsi:type="xsd:double"&gt;11.5186146675421&lt;/D&gt;&lt;D xsi:type="xsd:double"&gt;12.1759553580852&lt;/D&gt;&lt;D xsi:type="xsd:double"&gt;12.2201575774045&lt;/D&gt;&lt;D xsi:type="xsd:double"&gt;12.9778355967398&lt;/D&gt;&lt;D xsi:type="xsd:double"&gt;12.9266925898701&lt;/D&gt;&lt;D xsi:type="xsd:double"&gt;12.7642705625729&lt;/D&gt;&lt;D xsi:type="xsd:double"&gt;13.0171436362616&lt;/D&gt;&lt;D xsi:type="xsd:double"&gt;12.9496419264447&lt;/D&gt;&lt;D xsi:type="xsd:double"&gt;12.7687025797954&lt;/D&gt;&lt;D xsi:type="xsd:double"&gt;13.2089591843777&lt;/D&gt;&lt;D xsi:type="xsd:double"&gt;13.129134627743&lt;/D&gt;&lt;D xsi:type="xsd:double"&gt;12.3673854646741&lt;/D&gt;&lt;D xsi:type="xsd:double"&gt;12.5347657343865&lt;/D&gt;&lt;D xsi:type="xsd:double"&gt;12.9990138081577&lt;/D&gt;&lt;D xsi:type="xsd:double"&gt;13.6417179963574&lt;/D&gt;&lt;D xsi:type="xsd:double"&gt;13.793554581948&lt;/D&gt;&lt;D xsi:type="xsd:double"&gt;14.3488421118531&lt;/D&gt;&lt;D xsi:type="xsd:double"&gt;14.6653160443817&lt;/D&gt;&lt;D xsi:type="xsd:double"&gt;14.4575736259307&lt;/D&gt;&lt;D xsi:type="xsd:double"&gt;14.073631654769&lt;/D&gt;&lt;/FQL&gt;&lt;FQL&gt;&lt;Q&gt;ENZL^FMA_PE(LTMA,-10AY,0,AM,"PORTAGG","MEANR")&lt;/Q&gt;&lt;R&gt;121&lt;/R&gt;&lt;C&gt;1&lt;/C&gt;&lt;D xsi:type="xsd:double"&gt;17.9542838646496&lt;/D&gt;&lt;D xsi:type="xsd:double"&gt;18.0160973330219&lt;/D&gt;&lt;D xsi:type="xsd:double"&gt;17.8914988890964&lt;/D&gt;&lt;D xsi:type="xsd:double"&gt;17.9836273862335&lt;/D&gt;&lt;D xsi:type="xsd:double"&gt;17.8742958519226&lt;/D&gt;&lt;D xsi:type="xsd:double"&gt;18.454806849786&lt;/D&gt;&lt;D xsi:type="xsd:double"&gt;18.9500358494259&lt;/D&gt;&lt;D xsi:type="xsd:double"&gt;19.2024103423043&lt;/D&gt;&lt;D xsi:type="xsd:double"&gt;20.0490429965878&lt;/D&gt;&lt;D xsi:type="xsd:double"&gt;20.5177576990093&lt;/D&gt;&lt;D xsi:type="xsd:double"&gt;20.2487214950265&lt;/D&gt;&lt;D xsi:type="xsd:double"&gt;20.0806766997301&lt;/D&gt;&lt;D xsi:type="xsd:double"&gt;20.0336627665395&lt;/D&gt;&lt;D xsi:type="xsd:double"&gt;19.7525867922965&lt;/D&gt;&lt;D xsi:type="xsd:double"&gt;19.9021609854412&lt;/D&gt;&lt;D xsi:type="xsd:double"&gt;18.960416878999&lt;/D&gt;&lt;D xsi:type="xsd:double"&gt;18.7825742323497&lt;/D&gt;&lt;D xsi:type="xsd:double"&gt;19.6650458755318&lt;/D&gt;&lt;D xsi:type="xsd:double"&gt;19.5659708040725&lt;/D&gt;&lt;D xsi:type="xsd:double"&gt;19.6385201862591&lt;/D&gt;&lt;D xsi:type="xsd:double"&gt;19.065479037999&lt;/D&gt;&lt;D xsi:type="xsd:double"&gt;19.3301639469493&lt;/D&gt;&lt;D xsi:type="xsd:double"&gt;19.3462444029259&lt;/D&gt;&lt;D xsi:type="xsd:double"&gt;19.5494573362396&lt;/D&gt;&lt;D xsi:type="xsd:double"&gt;19.8186269405129&lt;/D&gt;&lt;D xsi:type="xsd:double"&gt;19.7878447430534&lt;/D&gt;&lt;D xsi:type="xsd:double"&gt;20.5127422810263&lt;/D&gt;&lt;D xsi:type="xsd:double"&gt;21.3565709823966&lt;/D&gt;&lt;D xsi:type="xsd:double"&gt;20.6081400537484&lt;/D&gt;&lt;D xsi:type="xsd:double"&gt;19.476175382873&lt;/D&gt;&lt;D xsi:type="xsd:double"&gt;19.9715931786697&lt;/D&gt;&lt;D xsi:type="xsd:double"&gt;20.2504633820836&lt;/D&gt;&lt;D xsi:type="xsd:double"&gt;20.525593272303&lt;/D&gt;&lt;D xsi:type="xsd:double"&gt;19.8171286639947&lt;/D&gt;&lt;D xsi:type="xsd:double"&gt;19.8553090064846&lt;/D&gt;&lt;D xsi:type="xsd:double"&gt;19.9256887239669&lt;/D&gt;&lt;D xsi:type="xsd:double"&gt;20.0045107121143&lt;/D&gt;&lt;D xsi:type="xsd:double"&gt;20.1114275439806&lt;/D&gt;&lt;D xsi:type="xsd:double"&gt;20.4993157209764&lt;/D&gt;&lt;D xsi:type="xsd:double"&gt;20.5552841281206&lt;/D&gt;&lt;D xsi:type="xsd:double"&gt;20.7026463826383&lt;/D&gt;&lt;D xsi:type="xsd:double"&gt;21.2115377700825&lt;/D&gt;&lt;D xsi:type="xsd:double"&gt;21.4931846683634&lt;/D&gt;&lt;D xsi:type="xsd:double"&gt;22.5179605673982&lt;/D&gt;&lt;D xsi:type="xsd:double"&gt;21.8676702452761&lt;/D&gt;&lt;D xsi:type="xsd:double"&gt;22.5711335283977&lt;/D&gt;&lt;D xsi:type="xsd:double"&gt;22.3962719887514&lt;/D&gt;&lt;D xsi:type="xsd:double"&gt;22.4001870149689&lt;/D&gt;&lt;D xsi:type="xsd:double"&gt;22.6261048961249&lt;/D&gt;&lt;D xsi:type="xsd:double"&gt;23.0043961402302&lt;/D&gt;&lt;D xsi:type="xsd:double"&gt;22.873533304221&lt;/D&gt;&lt;D xsi:type="xsd:double"&gt;23.2834202329609&lt;/D&gt;&lt;D xsi:type="xsd:double"&gt;23.4499931253208&lt;/D&gt;&lt;D xsi:type="xsd:double"&gt;22.809918004389&lt;/D&gt;&lt;D xsi:type="xsd:double"&gt;22.7887905442609&lt;/D&gt;&lt;D xsi:type="xsd:double"&gt;22.7918941770155&lt;/D&gt;&lt;D xsi:type="xsd:double"&gt;23.4429017338657&lt;/D&gt;&lt;D xsi:type="xsd:double"&gt;24.1817229515975&lt;/D&gt;&lt;D xsi:type="xsd:double"&gt;24.1399481058379&lt;/D&gt;&lt;D xsi:type="xsd:double"&gt;24.1602610820161&lt;/D&gt;&lt;D xsi:type="xsd:double"&gt;24.085985023673&lt;/D&gt;&lt;D xsi:type="xsd:double"&gt;24.8714794493471&lt;/D&gt;&lt;D xsi:type="xsd:double"&gt;25.0074722321997&lt;/D&gt;&lt;D xsi:type="xsd:double"&gt;28.9400529311444&lt;/D&gt;&lt;D xsi:type="xsd:double"&gt;28.5934771235445&lt;/D&gt;&lt;D xsi:type="xsd:double"&gt;28.8108427122926&lt;/D&gt;&lt;D xsi:type="xsd:double"&gt;31.1293727925276&lt;/D&gt;&lt;D xsi:type="xsd:double"&gt;32.6448353159375&lt;/D&gt;&lt;D xsi:type="xsd:double"&gt;32.3545017765437&lt;/D&gt;&lt;D xsi:type="xsd:double"&gt;31.0834697630674&lt;/D&gt;&lt;D xsi:type="xsd:double"&gt;30.5763841942284&lt;/D&gt;&lt;D xsi:type="xsd:double"&gt;31.6804733247213&lt;/D&gt;&lt;D xsi:type="xsd:double"&gt;32.2066638783874&lt;/D&gt;&lt;D xsi:type="xsd:double"&gt;33.2704805698477&lt;/D&gt;&lt;D xsi:type="xsd:double"&gt;33.9506267237553&lt;/D&gt;&lt;D xsi:type="xsd:double"&gt;33.6290782545707&lt;/D&gt;&lt;D xsi:type="xsd:double"&gt;34.3017435432475&lt;/D&gt;&lt;D xsi:type="xsd:double"&gt;35.8304931752729&lt;/D&gt;&lt;D xsi:type="xsd:double"&gt;35.8585888067486&lt;/D&gt;&lt;D xsi:type="xsd:double"&gt;38.646361295616&lt;/D&gt;&lt;D xsi:type="xsd:double"&gt;36.4862036143977&lt;/D&gt;&lt;D xsi:type="xsd:double"&gt;34.3556536883641&lt;/D&gt;&lt;D xsi:type="xsd:double"&gt;34.3604219496096&lt;/D&gt;&lt;D xsi:type="xsd:double"&gt;34.5920531527912&lt;/D&gt;&lt;D xsi:type="xsd:double"&gt;35.2895620560326&lt;/D&gt;&lt;D xsi:type="xsd:double"&gt;36.4113469795694&lt;/D&gt;&lt;D xsi:type="xsd:double"&gt;36.9224877856688&lt;/D&gt;&lt;D xsi:type="xsd:double"&gt;38.5269567438967&lt;/D&gt;&lt;D xsi:type="xsd:double"&gt;38.646741004829&lt;/D&gt;&lt;D xsi:type="xsd:double"&gt;39.3725233426677&lt;/D&gt;&lt;D xsi:type="xsd:double"&gt;38.3598717208776&lt;/D&gt;&lt;D xsi:type="xsd:double"&gt;39.0782103740638&lt;/D&gt;&lt;D xsi:type="xsd:double"&gt;37.1552301371641&lt;/D&gt;&lt;D xsi:type="xsd:double"&gt;35.3194494266874&lt;/D&gt;&lt;D xsi:type="xsd:double"&gt;34.6940647882517&lt;/D&gt;&lt;D xsi:type="xsd:double"&gt;34.6365272661495&lt;/D&gt;&lt;D xsi:type="xsd:double"&gt;33.4186721878374&lt;/D&gt;&lt;D xsi:type="xsd:double"&gt;33.2312410015195&lt;/D&gt;&lt;D xsi:type="xsd:double"&gt;33.5390528308907&lt;/D&gt;&lt;D xsi:type="xsd:double"&gt;34.1027977879031&lt;/D&gt;&lt;D xsi:type="xsd:double"&gt;31.8061786055311&lt;/D&gt;&lt;D xsi:type="xsd:double"&gt;31.2708705353861&lt;/D&gt;&lt;D xsi:type="xsd:double"&gt;29.802850274796&lt;/D&gt;&lt;D xsi:type="xsd:double"&gt;29.5084915927528&lt;/D&gt;&lt;D xsi:type="xsd:double"&gt;30.1618192677606&lt;/D&gt;&lt;D xsi:type="xsd:double"&gt;29.4410199474281&lt;/D&gt;&lt;D xsi:type="xsd:double"&gt;28.8377979758142&lt;/D&gt;&lt;D xsi:type="xsd:double"&gt;28.3562335512945&lt;/D&gt;&lt;D xsi:type="xsd:double"&gt;26.7278783306399&lt;/D&gt;&lt;D xsi:type="xsd:double"&gt;26.0052245725822&lt;/D&gt;&lt;D xsi:type="xsd:double"&gt;25.1971049821125&lt;/D&gt;&lt;D xsi:type="xsd:double"&gt;24.4162600875765&lt;/D&gt;&lt;D xsi:type="xsd:double"&gt;23.5962185674825&lt;/D&gt;&lt;D xsi:type="xsd:double"&gt;23.0445149363271&lt;/D&gt;&lt;D xsi:type="xsd:double"&gt;23.4587318027964&lt;/D&gt;&lt;D xsi:type="xsd:double"&gt;23.882163073788&lt;/D&gt;&lt;D xsi:type="xsd:double"&gt;23.6153345673127&lt;/D&gt;&lt;D xsi:type="xsd:double"&gt;23.7488861570881&lt;/D&gt;&lt;D xsi:type="xsd:double"&gt;24.0747462182146&lt;/D&gt;&lt;D xsi:type="xsd:double"&gt;24.4086441067061&lt;/D&gt;&lt;D xsi:type="xsd:double"&gt;24.2613132399537&lt;/D&gt;&lt;/FQL&gt;&lt;FQL&gt;&lt;Q&gt;TIOS-FDS^FG_PRICE_MAVG(0,,,,30)&lt;/Q&gt;&lt;R&gt;1&lt;/R&gt;&lt;C&gt;1&lt;/C&gt;&lt;D xsi:type="xsd:double"&gt;115.29933&lt;/D&gt;&lt;/FQL&gt;&lt;FQL&gt;&lt;Q&gt;EWN^FG_PRICE_MAVG(0,,,,30)&lt;/Q&gt;&lt;R&gt;1&lt;/R&gt;&lt;C&gt;1&lt;/C&gt;&lt;D xsi:type="xsd:double"&gt;50.508&lt;/D&gt;&lt;/FQL&gt;&lt;FQL&gt;&lt;Q&gt;FXI^FMA_PCT_ABOVE_MAVG(200,0,,,,"PORTAGG")&lt;/Q&gt;&lt;R&gt;1&lt;/R&gt;&lt;C&gt;1&lt;/C&gt;&lt;D xsi:type="xsd:double"&gt;76.4705882352941&lt;/D&gt;&lt;/FQL&gt;&lt;FQL&gt;&lt;Q&gt;VWO^FG_TOTAL_RETURNC(0,-3AM)&lt;/Q&gt;&lt;R&gt;1&lt;/R&gt;&lt;C&gt;1&lt;/C&gt;&lt;D xsi:type="xsd:double"&gt;4.781008&lt;/D&gt;&lt;/FQL&gt;&lt;FQL&gt;&lt;Q&gt;EWN^FG_TOTAL_RETURNC(0,-12AM)&lt;/Q&gt;&lt;R&gt;1&lt;/R&gt;&lt;C&gt;1&lt;/C&gt;&lt;D xsi:type="xsd:double"&gt;26.369846&lt;/D&gt;&lt;/FQL&gt;&lt;FQL&gt;&lt;Q&gt;EWQ^PERCENT_CHANGE(FMA_EPS(+1,0,,,,"PORTAGG","MEAN"),FMA_EPS(+1,-1AM,,,,"PORTAGG","MEAN"))&lt;/Q&gt;&lt;R&gt;1&lt;/R&gt;&lt;C&gt;1&lt;/C&gt;&lt;D xsi:type="xsd:double"&gt;1.59343513628223&lt;/D&gt;&lt;/FQL&gt;&lt;FQL&gt;&lt;Q&gt;QQQ^FG_TOTAL_RETURNC(0,-1AM)&lt;/Q&gt;&lt;R&gt;1&lt;/R&gt;&lt;C&gt;1&lt;/C&gt;&lt;D xsi:type="xsd:double"&gt;5.2515626&lt;/D&gt;&lt;/FQL&gt;&lt;FQL&gt;&lt;Q&gt;EWL^FG_TOTAL_RETURNC(0,-6AM)&lt;/Q&gt;&lt;R&gt;1&lt;/R&gt;&lt;C&gt;1&lt;/C&gt;&lt;D xsi:type="xsd:double"&gt;10.666668&lt;/D&gt;&lt;/FQL&gt;&lt;FQL&gt;&lt;Q&gt;EWC^FMA_PCT_ABOVE_MAVG(200,0,,,,"PORTAGG")&lt;/Q&gt;&lt;R&gt;1&lt;/R&gt;&lt;C&gt;1&lt;/C&gt;&lt;D xsi:type="xsd:double"&gt;68.1818181818182&lt;/D&gt;&lt;/FQL&gt;&lt;FQL&gt;&lt;Q&gt;EWL^FMA_RBICS_REV_CURRENT(30, LOC, "PORTAGG")&lt;/Q&gt;&lt;R&gt;1&lt;/R&gt;&lt;C&gt;1&lt;/C&gt;&lt;D xsi:type="xsd:double"&gt;18.424673270129&lt;/D&gt;&lt;/FQL&gt;&lt;FQL&gt;&lt;Q&gt;EWJ^FMA_ROE(NTMA,-20AY,NOW,FY,"PORTAGG","MEANR")&lt;/Q&gt;&lt;R&gt;20&lt;/R&gt;&lt;C&gt;1&lt;/C&gt;&lt;D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xsi:type="xsd:double"&gt;8.3559627813131&lt;/D&gt;&lt;D xsi:type="xsd:double"&gt;7.43859928704763&lt;/D&gt;&lt;D xsi:type="xsd:double"&gt;9.22076567652678&lt;/D&gt;&lt;D xsi:type="xsd:double"&gt;9.2254455739887&lt;/D&gt;&lt;D xsi:type="xsd:double"&gt;9.29937608846778&lt;/D&gt;&lt;/FQL&gt;&lt;FQL&gt;&lt;Q&gt;TRYQA10Y-FDS^FG_YIELD(-10AY,0,Y,,"YTM")&lt;/Q&gt;&lt;R&gt;10&lt;/R&gt;&lt;C&gt;1&lt;/C&gt;&lt;D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xsi:type="xsd:double"&gt;0.703&lt;/D&gt;&lt;/FQL&gt;&lt;FQL&gt;&lt;Q&gt;EWU^FG_PRICE(0)&lt;/Q&gt;&lt;R&gt;1&lt;/R&gt;&lt;C&gt;1&lt;/C&gt;&lt;D xsi:type="xsd:double"&gt;36.4&lt;/D&gt;&lt;/FQL&gt;&lt;FQL&gt;&lt;Q&gt;EWJ^PERCENT_CHANGE(FMA_EPS(+1,0,,,,"PORTAGG","MEAN"),FMA_EPS(+1,-1AM,,,,"PORTAGG","MEAN"))&lt;/Q&gt;&lt;R&gt;1&lt;/R&gt;&lt;C&gt;1&lt;/C&gt;&lt;D xsi:type="xsd:double"&gt;-3.19320524447351&lt;/D&gt;&lt;/FQL&gt;&lt;FQL&gt;&lt;Q&gt;VWO^FG_TOTAL_RETURNC(0,-1AM)&lt;/Q&gt;&lt;R&gt;1&lt;/R&gt;&lt;C&gt;1&lt;/C&gt;&lt;D xsi:type="xsd:double"&gt;0.06889105&lt;/D&gt;&lt;/FQL&gt;&lt;FQL&gt;&lt;Q&gt;CAGDPY@CH^EE_ACTUAL_ANNUAL(MED,+1)&lt;/Q&gt;&lt;R&gt;1&lt;/R&gt;&lt;C&gt;1&lt;/C&gt;&lt;D xsi:type="xsd:double"&gt;8.1&lt;/D&gt;&lt;/FQL&gt;&lt;FQL&gt;&lt;Q&gt;CC_JP^FG_COMPANY_NAME&lt;/Q&gt;&lt;R&gt;1&lt;/R&gt;&lt;C&gt;1&lt;/C&gt;&lt;D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xsi:type="xsd:double"&gt;1.3213992&lt;/D&gt;&lt;/FQL&gt;&lt;FQL&gt;&lt;Q&gt;USDCHF^FG_PRICE_CHANGE(0,-3AM)&lt;/Q&gt;&lt;R&gt;1&lt;/R&gt;&lt;C&gt;1&lt;/C&gt;&lt;D xsi:type="xsd:double"&gt;1.1681318&lt;/D&gt;&lt;/FQL&gt;&lt;FQL&gt;&lt;Q&gt;USDUSD^FG_PRICE_CHANGE(0,-3AM)&lt;/Q&gt;&lt;R&gt;1&lt;/R&gt;&lt;C&gt;1&lt;/C&gt;&lt;D xsi:type="xsd:double"&gt;0&lt;/D&gt;&lt;/FQL&gt;&lt;FQL&gt;&lt;Q&gt;USDEUR^FG_PRICE_CHANGE(0,-3AM)&lt;/Q&gt;&lt;R&gt;1&lt;/R&gt;&lt;C&gt;1&lt;/C&gt;&lt;D xsi:type="xsd:double"&gt;0.26658773&lt;/D&gt;&lt;/FQL&gt;&lt;FQL&gt;&lt;Q&gt;USDAUD^FG_PRICE_CHANGE(0,-3AM)&lt;/Q&gt;&lt;R&gt;1&lt;/R&gt;&lt;C&gt;1&lt;/C&gt;&lt;D xsi:type="xsd:double"&gt;-1.2554526&lt;/D&gt;&lt;/FQL&gt;&lt;FQL&gt;&lt;Q&gt;EWQ^FMA_EPS(NTMA,-20AY,0,CY,,"PORTAGG","MEANR")&lt;/Q&gt;&lt;R&gt;20&lt;/R&gt;&lt;C&gt;1&lt;/C&gt;&lt;D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xsi:type="xsd:double"&gt;2.19705971628031&lt;/D&gt;&lt;D xsi:type="xsd:double"&gt;1.85109750631934&lt;/D&gt;&lt;D xsi:type="xsd:double"&gt;2.46081747041971&lt;/D&gt;&lt;D xsi:type="xsd:double"&gt;2.80266518747483&lt;/D&gt;&lt;D xsi:type="xsd:double"&gt;2.92070468056675&lt;/D&gt;&lt;/FQL&gt;&lt;FQL&gt;&lt;Q&gt;QQQ^P_PRICE_RETURNS_PR('52W',2,-10AY,0,AM)&lt;/Q&gt;&lt;R&gt;121&lt;/R&gt;&lt;C&gt;1&lt;/C&gt;&lt;D xsi:type="xsd:double"&gt;30.239498&lt;/D&gt;&lt;D xsi:type="xsd:double"&gt;34.90254&lt;/D&gt;&lt;D xsi:type="xsd:double"&gt;25.357235&lt;/D&gt;&lt;D xsi:type="xsd:double"&gt;31.996464&lt;/D&gt;&lt;D xsi:type="xsd:double"&gt;25.193727&lt;/D&gt;&lt;D xsi:type="xsd:double"&gt;24.323845&lt;/D&gt;&lt;D xsi:type="xsd:double"&gt;25.243843&lt;/D&gt;&lt;D xsi:type="xsd:double"&gt;17.703283&lt;/D&gt;&lt;D xsi:type="xsd:double"&gt;22.080326&lt;/D&gt;&lt;D xsi:type="xsd:double"&gt;19.373178&lt;/D&gt;&lt;D xsi:type="xsd:double"&gt;24.066973&lt;/D&gt;&lt;D xsi:type="xsd:double"&gt;24.288404&lt;/D&gt;&lt;D xsi:type="xsd:double"&gt;19.745922&lt;/D&gt;&lt;D xsi:type="xsd:double"&gt;13.746405&lt;/D&gt;&lt;D xsi:type="xsd:double"&gt;18.10708&lt;/D&gt;&lt;D xsi:type="xsd:double"&gt;3.8896203&lt;/D&gt;&lt;D xsi:type="xsd:double"&gt;8.346105&lt;/D&gt;&lt;D xsi:type="xsd:double"&gt;14.103401&lt;/D&gt;&lt;D xsi:type="xsd:double"&gt;10.45413&lt;/D&gt;&lt;D xsi:type="xsd:double"&gt;9.290171&lt;/D&gt;&lt;D xsi:type="xsd:double"&gt;-4.4689536&lt;/D&gt;&lt;D xsi:type="xsd:double"&gt;-1.5673637&lt;/D&gt;&lt;D xsi:type="xsd:double"&gt;5.5637836&lt;/D&gt;&lt;D xsi:type="xsd:double"&gt;0.019693375&lt;/D&gt;&lt;D xsi:type="xsd:double"&gt;2.1630406&lt;/D&gt;&lt;D xsi:type="xsd:double"&gt;1.6918063&lt;/D&gt;&lt;D xsi:type="xsd:double"&gt;5.209577&lt;/D&gt;&lt;D xsi:type="xsd:double"&gt;16.659964&lt;/D&gt;&lt;D xsi:type="xsd:double"&gt;14.356411&lt;/D&gt;&lt;D xsi:type="xsd:double"&gt;-0.07240772&lt;/D&gt;&lt;D xsi:type="xsd:double"&gt;2.660489&lt;/D&gt;&lt;D xsi:type="xsd:double"&gt;13.885212&lt;/D&gt;&lt;D xsi:type="xsd:double"&gt;29.673553&lt;/D&gt;&lt;D xsi:type="xsd:double"&gt;25.097406&lt;/D&gt;&lt;D xsi:type="xsd:double"&gt;20.536877&lt;/D&gt;&lt;D xsi:type="xsd:double</t>
        </r>
      </text>
    </comment>
    <comment ref="A7" authorId="0" shapeId="0" xr:uid="{76F961F9-979C-4990-882D-47FD7ED6A0C4}">
      <text>
        <r>
          <rPr>
            <b/>
            <sz val="9"/>
            <color indexed="81"/>
            <rFont val="Tahoma"/>
            <charset val="1"/>
          </rPr>
          <t>"&gt;32.312645&lt;/D&gt;&lt;D xsi:type="xsd:double"&gt;30.662203&lt;/D&gt;&lt;D xsi:type="xsd:double"&gt;27.145313&lt;/D&gt;&lt;D xsi:type="xsd:double"&gt;25.472868&lt;/D&gt;&lt;D xsi:type="xsd:double"&gt;24.420654&lt;/D&gt;&lt;D xsi:type="xsd:double"&gt;25.612366&lt;/D&gt;&lt;D xsi:type="xsd:double"&gt;36.67487&lt;/D&gt;&lt;D xsi:type="xsd:double"&gt;32.64724&lt;/D&gt;&lt;D xsi:type="xsd:double"&gt;35.184193&lt;/D&gt;&lt;D xsi:type="xsd:double"&gt;30.168224&lt;/D&gt;&lt;D xsi:type="xsd:double"&gt;30.09832&lt;/D&gt;&lt;D xsi:type="xsd:double"&gt;19.65431&lt;/D&gt;&lt;D xsi:type="xsd:double"&gt;21.353745&lt;/D&gt;&lt;D xsi:type="xsd:double"&gt;24.169624&lt;/D&gt;&lt;D xsi:type="xsd:double"&gt;29.893135&lt;/D&gt;&lt;D xsi:type="xsd:double"&gt;27.118767&lt;/D&gt;&lt;D xsi:type="xsd:double"&gt;26.287819&lt;/D&gt;&lt;D xsi:type="xsd:double"&gt;23.10822&lt;/D&gt;&lt;D xsi:type="xsd:double"&gt;11.547697&lt;/D&gt;&lt;D xsi:type="xsd:double"&gt;9.559238&lt;/D&gt;&lt;D xsi:type="xsd:double"&gt;-1.7118514&lt;/D&gt;&lt;D xsi:type="xsd:double"&gt;5.956447&lt;/D&gt;&lt;D xsi:type="xsd:double"&gt;3.8589597&lt;/D&gt;&lt;D xsi:type="xsd:double"&gt;15.947032&lt;/D&gt;&lt;D xsi:type="xsd:double"&gt;16.209675&lt;/D&gt;&lt;D xsi:type="xsd:double"&gt;1.8750548&lt;/D&gt;&lt;D xsi:type="xsd:double"&gt;11.454463&lt;/D&gt;&lt;D xsi:type="xsd:double"&gt;2.0584583&lt;/D&gt;&lt;D xsi:type="xsd:double"&gt;6.304276&lt;/D&gt;&lt;D xsi:type="xsd:double"&gt;4.4576406&lt;/D&gt;&lt;D xsi:type="xsd:double"&gt;18.396627&lt;/D&gt;&lt;D xsi:type="xsd:double"&gt;23.941278&lt;/D&gt;&lt;D xsi:type="xsd:double"&gt;39.111317&lt;/D&gt;&lt;D xsi:type="xsd:double"&gt;36.103653&lt;/D&gt;&lt;D xsi:type="xsd:double"&gt;20.840954&lt;/D&gt;&lt;D xsi:type="xsd:double"&gt;7.309699&lt;/D&gt;&lt;D xsi:type="xsd:double"&gt;16.284298&lt;/D&gt;&lt;D xsi:type="xsd:double"&gt;37.18693&lt;/D&gt;&lt;D xsi:type="xsd:double"&gt;36.33586&lt;/D&gt;&lt;D xsi:type="xsd:double"&gt;51.069786&lt;/D&gt;&lt;D xsi:type="xsd:double"&gt;51.78802&lt;/D&gt;&lt;D xsi:type="xsd:double"&gt;46.823883&lt;/D&gt;&lt;D xsi:type="xsd:double"&gt;48.58513&lt;/D&gt;&lt;D xsi:type="xsd:double"&gt;52.055157&lt;/D&gt;&lt;D xsi:type="xsd:double"&gt;43.68813&lt;/D&gt;&lt;D xsi:type="xsd:double"&gt;46.2291&lt;/D&gt;&lt;D xsi:type="xsd:double"&gt;46.926723&lt;/D&gt;&lt;D xsi:type="xsd:double"&gt;69.42421&lt;/D&gt;&lt;D xsi:type="xsd:double"&gt;52.31918&lt;/D&gt;&lt;D xsi:type="xsd:double"&gt;43.681442&lt;/D&gt;&lt;D xsi:type="xsd:double"&gt;40.188374&lt;/D&gt;&lt;D xsi:type="xsd:double"&gt;34.7718&lt;/D&gt;&lt;D xsi:type="xsd:double"&gt;33.5145&lt;/D&gt;&lt;D xsi:type="xsd:double"&gt;31.412422&lt;/D&gt;&lt;D xsi:type="xsd:double"&gt;36.123074&lt;/D&gt;&lt;D xsi:type="xsd:double"&gt;27.08379&lt;/D&gt;&lt;D xsi:type="xsd:double"&gt;25.47047&lt;/D&gt;&lt;D xsi:type="xsd:double"&gt;8.931839&lt;/D&gt;&lt;D xsi:type="xsd:double"&gt;11.452341&lt;/D&gt;&lt;D xsi:type="xsd:double"&gt;7.2981&lt;/D&gt;&lt;D xsi:type="xsd:double"&gt;-6.2648654&lt;/D&gt;&lt;D xsi:type="xsd:double"&gt;-8.015037&lt;/D&gt;&lt;D xsi:type="xsd:double"&gt;-19.37517&lt;/D&gt;&lt;D xsi:type="xsd:double"&gt;-12.479937&lt;/D&gt;&lt;D xsi:type="xsd:double"&gt;-22.77271&lt;/D&gt;&lt;D xsi:type="xsd:double"&gt;-21.735186&lt;/D&gt;&lt;D xsi:type="xsd:double"&gt;-33.122017&lt;/D&gt;&lt;D xsi:type="xsd:double"&gt;-26.611359&lt;/D&gt;&lt;D xsi:type="xsd:double"&gt;-29.489428&lt;/D&gt;&lt;D xsi:type="xsd:double"&gt;-14.577734&lt;/D&gt;&lt;D xsi:type="xsd:double"&gt;-10.399037&lt;/D&gt;&lt;D xsi:type="xsd:double"&gt;-9.2781725&lt;/D&gt;&lt;D xsi:type="xsd:double"&gt;3.949213&lt;/D&gt;&lt;D xsi:type="xsd:double"&gt;16.384197&lt;/D&gt;&lt;D xsi:type="xsd:double"&gt;28.146194&lt;/D&gt;&lt;D xsi:type="xsd:double"&gt;15.505242&lt;/D&gt;&lt;D xsi:type="xsd:double"&gt;28.789722&lt;/D&gt;&lt;D xsi:type="xsd:double"&gt;31.249285&lt;/D&gt;&lt;D xsi:type="xsd:double"&gt;40.44269&lt;/D&gt;&lt;D xsi:type="xsd:double"&gt;37.628365&lt;/D&gt;&lt;D xsi:type="xsd:double"&gt;52.719486&lt;/D&gt;&lt;D xsi:type="xsd:double"&gt;41.814995&lt;/D&gt;&lt;D xsi:type="xsd:double"&gt;47.261284&lt;/D&gt;&lt;D xsi:type="xsd:double"&gt;40.352596&lt;/D&gt;&lt;D xsi:type="xsd:double"&gt;37.2543&lt;/D&gt;&lt;D xsi:type="xsd:double"&gt;31.454826&lt;/D&gt;&lt;/FQL&gt;&lt;FQL&gt;&lt;Q&gt;EWL^FG_TOTAL_RETURNC(-10AY,0,AM)&lt;/Q&gt;&lt;R&gt;121&lt;/R&gt;&lt;C&gt;1&lt;/C&gt;&lt;D xsi:type="xsd:double"&gt;1.260376&lt;/D&gt;&lt;D xsi:type="xsd:double"&gt;0.15670061&lt;/D&gt;&lt;D xsi:type="xsd:double"&gt;-6.2987566&lt;/D&gt;&lt;D xsi:type="xsd:double"&gt;3.7002802&lt;/D&gt;&lt;D xsi:type="xsd:double"&gt;-5.0252733&lt;/D&gt;&lt;D xsi:type="xsd:double"&gt;0.37571192&lt;/D&gt;&lt;D xsi:type="xsd:double"&gt;3.2439113&lt;/D&gt;&lt;D xsi:type="xsd:double"&gt;-7.009059&lt;/D&gt;&lt;D xsi:type="xsd:double"&gt;5.6530237&lt;/D&gt;&lt;D xsi:type="xsd:double"&gt;0.52274466&lt;/D&gt;&lt;D xsi:type="xsd:double"&gt;4.0685296&lt;/D&gt;&lt;D xsi:type="xsd:double"&gt;2.175188&lt;/D&gt;&lt;D xsi:type="xsd:double"&gt;-0.028765202&lt;/D&gt;&lt;D xsi:type="xsd:double"&gt;-3.6812544&lt;/D&gt;&lt;D xsi:type="xsd:double"&gt;3.1202197&lt;/D&gt;&lt;D xsi:type="xsd:double"&gt;-7.950157&lt;/D&gt;&lt;D xsi:type="xsd:double"&gt;2.159202&lt;/D&gt;&lt;D xsi:type="xsd:double"&gt;-0.15773177&lt;/D&gt;&lt;D xsi:type="xsd:double"&gt;-0.31595826&lt;/D&gt;&lt;D xsi:type="xsd:double"&gt;-4.405701&lt;/D&gt;&lt;D xsi:type="xsd:double"&gt;-5.006629&lt;/D&gt;&lt;D xsi:type="xsd:double"&gt;2.094245&lt;/D&gt;&lt;D xsi:type="xsd:double"&gt;2.632475&lt;/D&gt;&lt;D xsi:type="xsd:double"&gt;-0.8327782&lt;/D&gt;&lt;D xsi:type="xsd:double"&gt;4.366815&lt;/D&gt;&lt;D xsi:type="xsd:double"&gt;-3.7150145&lt;/D&gt;&lt;D xsi:type="xsd:double"&gt;3.1228542&lt;/D&gt;&lt;D xsi:type="xsd:double"&gt;3.0615687&lt;/D&gt;&lt;D xsi:type="xsd:double"&gt;-2.0665169&lt;/D&gt;&lt;D xsi:type="xsd:double"&gt;-5.605012&lt;/D&gt;&lt;D xsi:type="xsd:double"&gt;0.7684231&lt;/D&gt;&lt;D xsi:type="xsd:double"&gt;4.605949&lt;/D&gt;&lt;D xsi:type="xsd:double"&gt;1.790452&lt;/D&gt;&lt;D xsi:type="xsd:double"&gt;2.312696&lt;/D&gt;&lt;D xsi:type="xsd:double"&gt;1.3689876&lt;/D&gt;&lt;D xsi:type="xsd:double"&gt;8.165825&lt;/D&gt;&lt;D xsi:type="xsd:double"&gt;1.1904716&lt;/D&gt;&lt;D xsi:type="xsd:double"&gt;-0.4996121&lt;/D&gt;&lt;D xsi:type="xsd:double"&gt;2.5036812&lt;/D&gt;&lt;D xsi:type="xsd:double"&gt;-1.5229821&lt;/D&gt;&lt;D xsi:type="xsd:double"&gt;2.2176743&lt;/D&gt;&lt;D xsi:type="xsd:double"&gt;-1.1989653&lt;/D&gt;&lt;D xsi:type="xsd:double"&gt;0.34672022&lt;/D&gt;&lt;D xsi:type="xsd:double"&gt;4.491794&lt;/D&gt;&lt;D xsi:type="xsd:double"&gt;-2.480024&lt;/D&gt;&lt;D xsi:type="xsd:double"&gt;-1.6953886&lt;/D&gt;&lt;D xsi:type="xsd:double"&gt;-2.5582075&lt;/D&gt;&lt;D xsi:type="xsd:double"&gt;0.5014658&lt;/D&gt;&lt;D xsi:type="xsd:double"&gt;-1.1153519&lt;/D&gt;&lt;D xsi:type="xsd:double"&gt;0.92544556&lt;/D&gt;&lt;D xsi:type="xsd:double"&gt;3.949356&lt;/D&gt;&lt;D xsi:type="xsd:double"&gt;-0.6380558&lt;/D&gt;&lt;D xsi:type="xsd:double"&gt;-1.0215938&lt;/D&gt;&lt;D xsi:type="xsd:double"&gt;-1.8283665&lt;/D&gt;&lt;D xsi:type="xsd:double"&gt;-2.282977&lt;/D&gt;&lt;D xsi:type="xsd:double"&gt;-1.5062928&lt;/D&gt;&lt;D xsi:type="xsd:double"&gt;4.588008&lt;/D&gt;&lt;D xsi:type="xsd:double"&gt;3.1632423&lt;/D&gt;&lt;D xsi:type="xsd:double"&gt;3.2108784&lt;/D&gt;&lt;D xsi:type="xsd:double"&gt;0.89685917&lt;/D&gt;&lt;D xsi:type="xsd:double"&gt;2.5000095&lt;/D&gt;&lt;D xsi:type="xsd:double"&gt;3.2165647&lt;/D&gt;&lt;D xsi:type="xsd:double"&gt;-2.2240043&lt;/D&gt;&lt;D xsi:type="xsd:double"&gt;4.3299437&lt;/D&gt;&lt;D xsi:type="xsd:double"&gt;-2.731812&lt;/D&gt;&lt;D xsi:type="xsd:double"&gt;4.347825&lt;/D&gt;&lt;D xsi:type="xsd:double"&gt;1.449275&lt;/D&gt;&lt;D xsi:type="xsd:double"&gt;4.285717&lt;/D&gt;&lt;D xsi:type="xsd:double"&gt;2.2015572&lt;/D&gt;&lt;D xsi:type="xsd:double"&gt;-7.467687&lt;/D&gt;&lt;D xsi:type="xsd:double"&gt;-7.5788918&lt;/D&gt;&lt;D xsi:type="xsd:double"&gt;1.7072558&lt;/D&gt;&lt;D xsi:type="xsd:double"&gt;8.200323&lt;/D&gt;&lt;D xsi:type="xsd:double"&gt;3.5903454&lt;/D&gt;&lt;D xsi:type="xsd:double"&gt;2.8692603&lt;/D&gt;&lt;D xsi:type="xsd:double"&gt;0.800395&lt;/D&gt;&lt;D xsi:type="xsd:double"&gt;-0.7459104&lt;/D&gt;&lt;D xsi:type="xsd:double"&gt;3.0787945&lt;/D&gt;&lt;D xsi:type="xsd:double"&gt;1.7168403&lt;/D&gt;&lt;D xsi:type="xsd:double"&gt;4.7946095&lt;/D&gt;&lt;D xsi:type="xsd:double"&gt;-1.8322229&lt;/D&gt;&lt;D xsi:type="xsd:double"&gt;-2.6534736&lt;/D&gt;&lt;D xsi:type="xsd:double"&gt;4.781699&lt;/D&gt;&lt;D xsi:type="xsd:double"&gt;3.6375642&lt;/D&gt;&lt;D xsi:type="xsd:double"&gt;5.254209&lt;/D&gt;&lt;D xsi:type="xsd:double"&gt;0.38309097&lt;/D&gt;&lt;D xsi:type="xsd:double"&gt;2.7680874&lt;/D&gt;&lt;D xsi:type="xsd:double"&gt;1.2370348&lt;/D&gt;&lt;D xsi:type="xsd:double"&gt;-7.41033&lt;/D&gt;&lt;D xsi:type="xsd:double"&gt;8.365261&lt;/D&gt;&lt;D xsi:type="xsd:double"&gt;-1.6892552&lt;/D&gt;&lt;D xsi:type="xsd:double"&gt;3.4765244&lt;/D&gt;&lt;D xsi:type="xsd:double"&gt;-5.6381583&lt;/D&gt;&lt;D xsi:type="xsd:double"&gt;-6.0159564&lt;/D&gt;&lt;D xsi:type="xsd:double"&gt;7.0542097&lt;/D&gt;&lt;D xsi:type="xsd:double"&gt;-9.334951&lt;/D&gt;&lt;D xsi:type="xsd:double"&gt;0.40376186&lt;/D&gt;&lt;D xsi:type="xsd:double"&gt;-6.0299277&lt;/D&gt;&lt;D xsi:type="xsd:double"&gt;4.002905&lt;/D&gt;&lt;D xsi:type="xsd:double"&gt;-6.648004&lt;/D&gt;&lt;D xsi:type="xsd:double"&gt;-5.0724626&lt;/D&gt;&lt;D xsi:type="xsd:double"&gt;3.658855&lt;/D&gt;&lt;D xsi:type="xsd:double"&gt;8.100557&lt;/D&gt;&lt;D xsi:type="xsd:double"&gt;2.9128551&lt;/D&gt;&lt;D xsi:type="xsd:double"&gt;2.2825837&lt;/D&gt;&lt;D xsi:type="xsd:double"&gt;-1.852268&lt;/D&gt;&lt;D xsi:type="xsd:double"&gt;5.0250053&lt;/D&gt;&lt;D xsi:type="xsd:double"&gt;5.4557323&lt;/D&gt;&lt;D xsi:type="xsd:double"&gt;-3.1410336&lt;/D&gt;&lt;D xsi:type="xsd:double"&gt;-2.5010526&lt;/D&gt;&lt;D xsi:type="xsd:double"&gt;3.400755&lt;/D&gt;&lt;D xsi:type="xsd:double"&gt;-3.1169415&lt;/D&gt;&lt;D xsi:type="xsd:double"&gt;-3.4169078&lt;/D&gt;&lt;D xsi:type="xsd:double"&gt;-0.9648502&lt;/D&gt;&lt;D xsi:type="xsd:double"&gt;6.1238647&lt;/D&gt;&lt;D xsi:type="xsd:double"&gt;4.2622924&lt;/D&gt;&lt;D xsi:type="xsd:double"&gt;-1.0482192&lt;/D&gt;&lt;D xsi:type="xsd:double"&gt;0.38136244&lt;/D&gt;&lt;D xsi:type="xsd:double"&gt;-1.6462684&lt;/D&gt;&lt;D xsi:type="xsd:double"&gt;-0.49356222&lt;/D&gt;&lt;D xsi:type="xsd:double"&gt;9.186983&lt;/D&gt;&lt;/FQL&gt;&lt;FQL&gt;&lt;Q&gt;EWG^FMA_DIV_YLD(NTMA,-10AY,0,AM,"PORTAGG","MEANR")&lt;/Q&gt;&lt;R&gt;121&lt;/R&gt;&lt;C&gt;1&lt;/C&gt;&lt;D xsi:type="xsd:double"&gt;2.9538234214719&lt;/D&gt;&lt;D xsi:type="xsd:double"&gt;2.97712171938965&lt;/D&gt;&lt;D xsi:type="xsd:double"&gt;3.28144403577923&lt;/D&gt;&lt;D xsi:type="xsd:double"&gt;3.08481980944803&lt;/D&gt;&lt;D xsi:type="xsd:double"&gt;3.28395238510937&lt;/D&gt;&lt;D xsi:type="xsd:double"&gt;3.2554449857172&lt;/D&gt;&lt;D xsi:type="xsd:double"&gt;3.0951867599607&lt;/D&gt;&lt;D xsi:type="xsd:double"&gt;3.30443190627134&lt;/D&gt;&lt;D xsi:type="xsd:double"&gt;2.91586253779329&lt;/D&gt;&lt;D xsi:type="xsd:double"&gt;2.74806096107438&lt;/D&gt;&lt;D xsi:type="xsd:double"&gt;2.69333781297805&lt;/D&gt;&lt;D xsi:type="xsd:double"&gt;2.90378824630546&lt;/D&gt;&lt;D xsi:type="xsd:double"&gt;3.00391352307825&lt;/D&gt;&lt;D xsi:type="xsd:double"&gt;3.11625476848729&lt;/D&gt;&lt;D xsi:type="xsd:double"&gt;2.94186181206653&lt;/D&gt;&lt;D xsi:type="xsd:double"&gt;3.40086124311739&lt;/D&gt;&lt;D xsi:type="xsd:double"&gt;3.37388908741738&lt;/D&gt;&lt;D xsi:type="xsd:double"&gt;2.96597257643505&lt;/D&gt;&lt;D xsi:type="xsd:double"&gt;3.02327542846115&lt;/D&gt;&lt;D xsi:type="xsd:double"&gt;3.19196911100956&lt;/D&gt;&lt;D xsi:type="xsd:double"&gt;3.52752405127054&lt;/D&gt;&lt;D xsi:type="xsd:double"&gt;3.35807651938531&lt;/D&gt;&lt;D xsi:type="xsd:double"&gt;3.39939301886733&lt;/D&gt;&lt;D xsi:type="xsd:double"&gt;3.37596338814692&lt;/D&gt;&lt;D xsi:type="xsd:double"&gt;3.32154502677344&lt;/D&gt;&lt;D xsi:type="xsd:double"&gt;3.59404780305843&lt;/D&gt;&lt;D xsi:type="xsd:double"&gt;3.24839105494283&lt;/D&gt;&lt;D xsi:type="xsd:double"&gt;3.15870573763207&lt;/D&gt;&lt;D xsi:type="xsd:double"&gt;3.14264169593391&lt;/D&gt;&lt;D xsi:type="xsd:double"&gt;3.27905138003926&lt;/D&gt;&lt;D xsi:type="xsd:double"&gt;3.15547801277386&lt;/D&gt;&lt;D xsi:type="xsd:double"&gt;2.94677034624954&lt;/D&gt;&lt;D xsi:type="xsd:double"&gt;3.01185213516271&lt;/D&gt;&lt;D xsi:type="xsd:double"&gt;2.93122832852104&lt;/D&gt;&lt;D xsi:type="xsd:double"&gt;2.91112720009072&lt;/D&gt;&lt;D xsi:type="xsd:double"&gt;2.85886108568954&lt;/D&gt;&lt;D xsi:type="xsd:double"&gt;2.92681170590506&lt;/D&gt;&lt;D xsi:type="xsd:double"&gt;3.02472239825364&lt;/D&gt;&lt;D xsi:type="xsd:double"&gt;3.04664267387214&lt;/D&gt;&lt;D xsi:type="xsd:double"&gt;3.11727868833568&lt;/D&gt;&lt;D xsi:type="xsd:double"&gt;2.9595091627242&lt;/D&gt;&lt;D xsi:type="xsd:double"&gt;2.85609205202281&lt;/D&gt;&lt;D xsi:type="xsd:double"&gt;2.92324629163518&lt;/D&gt;&lt;D xsi:type="xsd:double"&gt;2.86620808405078&lt;/D&gt;&lt;D xsi:type="xsd:double"&gt;3.13506450690604&lt;/D&gt;&lt;D xsi:type="xsd:double"&gt;3.2095290392957&lt;/D&gt;&lt;D xsi:type="xsd:double"&gt;3.22878039724483&lt;/D&gt;&lt;D xsi:type="xsd:double"&gt;3.11958434234051&lt;/D&gt;&lt;D xsi:type="xsd:double"&gt;3.13392878885833&lt;/D&gt;&lt;D xsi:type="xsd:double"&gt;3.22813560132798&lt;/D&gt;&lt;D xsi:type="xsd:double"&gt;3.20837913485441&lt;/D&gt;&lt;D xsi:type="xsd:double"&gt;3.37427990552549&lt;/D&gt;&lt;D xsi:type="xsd:double"&gt;3.362331966612&lt;/D&gt;&lt;D xsi:type="xsd:double"&gt;3.61219352479863&lt;/D&gt;&lt;D xsi:type="xsd:double"&gt;3.83590259256478&lt;/D&gt;&lt;D xsi:type="xsd:double"&gt;3.8803184061531&lt;/D&gt;&lt;D xsi:type="xsd:double"&gt;3.65921042716906&lt;/D&gt;&lt;D xsi:type="xsd:double"&gt;3.58019963858471&lt;/D&gt;&lt;D xsi:type="xsd:double"&gt;3.47987791597743&lt;/D&gt;&lt;D xsi:type="xsd:double"&gt;3.4297838204394&lt;/D&gt;&lt;D xsi:type="xsd:double"&gt;3.60834172288016&lt;/D&gt;&lt;D xsi:type="xsd:double"&gt;3.44044000016035&lt;/D&gt;&lt;D xsi:type="xsd:double"&gt;3.64114983578041&lt;/D&gt;&lt;D xsi:type="xsd:double"&gt;3.44170282196985&lt;/D&gt;&lt;D xsi:type="xsd:double"&gt;3.49708801396196&lt;/D&gt;&lt;D xsi:type="xsd:double"&gt;3.18846836192655&lt;/D&gt;&lt;D xsi:type="xsd:double"&gt;3.11460982665375&lt;/D&gt;&lt;D xsi:type="xsd:double"&gt;3.1234981667915&lt;/D&gt;&lt;D xsi:type="xsd:double"&gt;3.04655837856122&lt;/D&gt;&lt;D xsi:type="xsd:double"&gt;3.54280618529636&lt;/D&gt;&lt;D xsi:type="xsd:double"&gt;3.79423014019121&lt;/D&gt;&lt;D xsi:type="xsd:double"&gt;3.41258267180679&lt;/D&gt;&lt;D xsi:type="xsd:double"&gt;2.78770446813248&lt;/D&gt;&lt;D xsi:type="xsd:double"&gt;2.83307243129967&lt;/D&gt;&lt;D xsi:type="xsd:double"&gt;2.87442997958829&lt;/D&gt;&lt;D xsi:type="xsd:double"&gt;2.85912471611751&lt;/D&gt;&lt;D xsi:type="xsd:double"&gt;2.84873687454481&lt;/D&gt;&lt;D xsi:type="xsd:double"&gt;2.98427298609663&lt;/D&gt;&lt;D xsi:type="xsd:double"&gt;2.77894699151275&lt;/D&gt;&lt;D xsi:type="xsd:double"&gt;2.70775365701068&lt;/D&gt;&lt;D xsi:type="xsd:double"&gt;2.72984605295561&lt;/D&gt;&lt;D xsi:type="xsd:double"&gt;2.84042654530965&lt;/D&gt;&lt;D xsi:type="xsd:double"&gt;2.68478815695582&lt;/D&gt;&lt;D xsi:type="xsd:double"&gt;2.81201195865894&lt;/D&gt;&lt;D xsi:type="xsd:double"&gt;2.7778429559406&lt;/D&gt;&lt;D xsi:type="xsd:double"&gt;2.82219125772131&lt;/D&gt;&lt;D xsi:type="xsd:double"&gt;2.85004404179017&lt;/D&gt;&lt;D xsi:type="xsd:double"&gt;2.84332633997915&lt;/D&gt;&lt;D xsi:type="xsd:double"&gt;3.04218456131493&lt;/D&gt;&lt;D xsi:type="xsd:double"&gt;2.91910874439328&lt;/D&gt;&lt;D xsi:type="xsd:double"&gt;3.11415643736021&lt;/D&gt;&lt;D xsi:type="xsd:double"&gt;3.03067565618728&lt;/D&gt;&lt;D xsi:type="xsd:double"&gt;3.24229452925837&lt;/D&gt;&lt;D xsi:type="xsd:double"&gt;3.86061467885405&lt;/D&gt;&lt;D xsi:type="xsd:double"&gt;3.60300029487456&lt;/D&gt;&lt;D xsi:type="xsd:double"&gt;3.90191405846583&lt;/D&gt;&lt;D xsi:type="xsd:double"&gt;3.68357678659967&lt;/D&gt;&lt;D xsi:type="xsd:double"&gt;4.28714850927504&lt;/D&gt;&lt;D xsi:type="xsd:double"&gt;3.98833582101205&lt;/D&gt;&lt;D xsi:type="xsd:double"&gt;4.19287104244597&lt;/D&gt;&lt;D xsi:type="xsd:double"&gt;4.356241696165&lt;/D&gt;&lt;D xsi:type="xsd:double"&gt;4.06163412591048&lt;/D&gt;&lt;D xsi:type="xsd:double"&gt;3.75499355558239&lt;/D&gt;&lt;D xsi:type="xsd:double"&gt;3.64503963109543&lt;/D&gt;&lt;D xsi:type="xsd:double"&gt;3.45493697172015&lt;/D&gt;&lt;D xsi:type="xsd:double"&gt;3.46885541233683&lt;/D&gt;&lt;D xsi:type="xsd:double"&gt;3.54684958805782&lt;/D&gt;&lt;D xsi:type="xsd:double"&gt;3.54027754351364&lt;/D&gt;&lt;D xsi:type="xsd:double"&gt;3.63779736351455&lt;/D&gt;&lt;D xsi:type="xsd:double"&gt;3.77972038793306&lt;/D&gt;&lt;D xsi:type="xsd:double"&gt;3.70327429974667&lt;/D&gt;&lt;D xsi:type="xsd:double"&gt;3.74960093862485&lt;/D&gt;&lt;D xsi:type="xsd:double"&gt;3.90024808389897&lt;/D&gt;&lt;D xsi:type="xsd:double"&gt;3.93667390133876&lt;/D&gt;&lt;D xsi:type="xsd:double"&gt;3.55917885419493&lt;/D&gt;&lt;D xsi:type="xsd:double"&gt;3.60242301858412&lt;/D&gt;&lt;D xsi:type="xsd:double"&gt;3.50915658162614&lt;/D&gt;&lt;D xsi:type="xsd:double"&gt;3.34272650016465&lt;/D&gt;&lt;D xsi:type="xsd:double"&gt;3.3075656858496&lt;/D&gt;&lt;D xsi:type="xsd:double"&gt;3.35742691793737&lt;/D&gt;&lt;D xsi:type="xsd:double"&gt;3.3502569915798&lt;/D&gt;&lt;/FQL&gt;&lt;FQL&gt;&lt;Q&gt;EWA^FMA_PE(NTMA,-10AY,0,AM,"PORTAGG","MEANR")&lt;/Q&gt;&lt;R&gt;121&lt;/R&gt;&lt;C&gt;1&lt;/C&gt;&lt;D xsi:type="xsd:double"&gt;14.2627121233112&lt;/D&gt;&lt;D xsi:type="xsd:double"&gt;14.470144161433&lt;/D&gt;&lt;D xsi:type="xsd:double"&gt;14.6797143755859&lt;/D&gt;&lt;D xsi:type="xsd:double"&gt;14.8049258179585&lt;/D&gt;&lt;D xsi:type="xsd:double"&gt;13.8597944972488&lt;/D&gt;&lt;D xsi:type="xsd:double"&gt;14.4554801414709&lt;/D&gt;&lt;D xsi:type="xsd:double"&gt;13.9789630555931&lt;/D&gt;&lt;D xsi:type="xsd:double"&gt;14.4265762708317&lt;/D&gt;&lt;D xsi:type="xsd:double"&gt;15.9352115722224&lt;/D&gt;&lt;D xsi:type="xsd:double"&gt;16.1812902486457&lt;/D&gt;&lt;D xsi:type="xsd:double"&gt;16.2755026121025&lt;/D&gt;&lt;D xsi:type="xsd:double"&gt;15.9899494134616&lt;/D&gt;&lt;D xsi:type="xsd:double"&gt;15.1263465654091&lt;/D&gt;&lt;D xsi:type="xsd:double"&gt;15.1000359276958&lt;/D&gt;&lt;D xsi:type="xsd:double"&gt;15.4914742058262&lt;/D&gt;&lt;D xsi:type="xsd:double"&gt;13.999494154228&lt;/D&gt;&lt;D xsi:type="xsd:double"&gt;14.6741328975496&lt;/D&gt;&lt;D xsi:type="xsd:double"&gt;15.0160196141613&lt;/D&gt;&lt;D xsi:type="xsd:double"&gt;15.064781264346&lt;/D&gt;&lt;D xsi:type="xsd:double"&gt;15.1940703569611&lt;/D&gt;&lt;D xsi:type="xsd:double"&gt;15.2458777697315&lt;/D&gt;&lt;D xsi:type="xsd:double"&gt;15.8199453818539&lt;/D&gt;&lt;D xsi:type="xsd:double"&gt;15.194508941149&lt;/D&gt;&lt;D xsi:type="xsd:double"&gt;16.3515838527955&lt;/D&gt;&lt;D xsi:type="xsd:double"&gt;16.4141789436785&lt;/D&gt;&lt;D xsi:type="xsd:double"&gt;15.7350182752329&lt;/D&gt;&lt;D xsi:type="xsd:double"&gt;16.5640865694745&lt;/D&gt;&lt;D xsi:type="xsd:double"&gt;16.3674367252884&lt;/D&gt;&lt;D xsi:type="xsd:double"&gt;16.3644021396606&lt;/D&gt;&lt;D xsi:type="xsd:double"&gt;15.3783155559203&lt;/D&gt;&lt;D xsi:type="xsd:double"&gt;15.5465205776487&lt;/D&gt;&lt;D xsi:type="xsd:double"&gt;16.0245964165602&lt;/D&gt;&lt;D xsi:type="xsd:double"&gt;15.5725708269953&lt;/D&gt;&lt;D xsi:type="xsd:double"&gt;15.7740838580677&lt;/D&gt;&lt;D xsi:type="xsd:double"&gt;15.7356136848182&lt;/D&gt;&lt;D xsi:type="xsd:double"&gt;15.658325546941&lt;/D&gt;&lt;D xsi:type="xsd:double"&gt;15.100188337937&lt;/D&gt;&lt;D xsi:type="xsd:double"&gt;15.4981709630251&lt;/D&gt;&lt;D xsi:type="xsd:double"&gt;15.6506028945661&lt;/D&gt;&lt;D xsi:type="xsd:double"&gt;15.5366474484638&lt;/D&gt;&lt;D xsi:type="xsd:double"&gt;15.4490759846931&lt;/D&gt;&lt;D xsi:type="xsd:double"&gt;15.9213531268421&lt;/D&gt;&lt;D xsi:type="xsd:double"&gt;15.7221797134986&lt;/D&gt;&lt;D xsi:type="xsd:double"&gt;16.1431458345104&lt;/D&gt;&lt;D xsi:type="xsd:double"&gt;15.1473428595258&lt;/D&gt;&lt;D xsi:type="xsd:double"&gt;15.4240517157515&lt;/D&gt;&lt;D xsi:type="xsd:double"&gt;14.8301680400188&lt;/D&gt;&lt;D xsi:type="xsd:double"&gt;15.310383772271&lt;/D&gt;&lt;D xsi:type="xsd:double"&gt;15.1058906993327&lt;/D&gt;&lt;D xsi:type="xsd:double"&gt;15.6735217757629&lt;/D&gt;&lt;D xsi:type="xsd:double"&gt;15.5765516543495&lt;/D&gt;&lt;D xsi:type="xsd:double"&gt;15.2530798266588&lt;/D&gt;&lt;D xsi:type="xsd:double"&gt;15.1487851805058&lt;/D&gt;&lt;D xsi:type="xsd:double"&gt;14.5199968729128&lt;/D&gt;&lt;D xsi:type="xsd:double"&gt;13.9954563731638&lt;/D&gt;&lt;D xsi:type="xsd:double"&gt;13.9949240615902&lt;/D&gt;&lt;D xsi:type="xsd:double"&gt;15.0208847891267&lt;/D&gt;&lt;D xsi:type="xsd:double"&gt;15.49505495179&lt;/D&gt;&lt;D xsi:type="xsd:double"&gt;15.1885238526581&lt;/D&gt;&lt;D xsi:type="xsd:double"&gt;15.3146760197725&lt;/D&gt;&lt;D xsi:type="xsd:double"&gt;15.5791583681968&lt;/D&gt;&lt;D xsi:type="xsd:double"&gt;16.4503077429916&lt;/D&gt;&lt;D xsi:type="xsd:double"&gt;15.6447420321997&lt;/D&gt;&lt;D xsi:type="xsd:double"&gt;16.4063482362639&lt;/D&gt;&lt;D xsi:type="xsd:double"&gt;16.2497435015316&lt;/D&gt;&lt;D xsi:type="xsd:double"&gt;16.9689194441829&lt;/D&gt;&lt;D xsi:type="xsd:double"&gt;17.099588987477&lt;/D&gt;&lt;D xsi:type="xsd:double"&gt;17.2213685768624&lt;/D&gt;&lt;D xsi:type="xsd:double"&gt;17.9967912583336&lt;/D&gt;&lt;D xsi:type="xsd:double"&gt;16.0989788355279&lt;/D&gt;&lt;D xsi:type="xsd:double"&gt;15.0576689568427&lt;/D&gt;&lt;D xsi:type="xsd:double"&gt;17.081654571247&lt;/D&gt;&lt;D xsi:type="xsd:double"&gt;19.617897566741&lt;/D&gt;&lt;D xsi:type="xsd:double"&gt;19.1928299362222&lt;/D&gt;&lt;D xsi:type="xsd:double"&gt;19.2766694500663&lt;/D&gt;&lt;D xsi:type="xsd:double"&gt;18.9553895113679&lt;/D&gt;&lt;D xsi:type="xsd:double"&gt;18.368100278687&lt;/D&gt;&lt;D xsi:type="xsd:double"&gt;18.5982006445303&lt;/D&gt;&lt;D xsi:type="xsd:double"&gt;19.8955331411633&lt;/D&gt;&lt;D xsi:type="xsd:double"&gt;19.0553099874253&lt;/D&gt;&lt;D xsi:type="xsd:double"&gt;19.1059453987592&lt;/D&gt;&lt;D xsi:type="xsd:double"&gt;17.9797579693345&lt;/D&gt;&lt;D xsi:type="xsd:double"&gt;17.8233773654636&lt;/D&gt;&lt;D xsi:type="xsd:double"&gt;17.9412935762511&lt;/D&gt;&lt;D xsi:type="xsd:double"&gt;18.4410063144998&lt;/D&gt;&lt;D xsi:type="xsd:double"&gt;17.2237294916179&lt;/D&gt;&lt;D xsi:type="xsd:double"&gt;17.1865534820249&lt;/D&gt;&lt;D xsi:type="xsd:double"&gt;17.387460383849&lt;/D&gt;&lt;D xsi:type="xsd:double"&gt;16.8689991419479&lt;/D&gt;&lt;D xsi:type="xsd:double"&gt;17.6986701468017&lt;/D&gt;&lt;D xsi:type="xsd:double"&gt;16.9213267801109&lt;/D&gt;&lt;D xsi:type="xsd:double"&gt;17.1422156627005&lt;/D&gt;&lt;D xsi:type="xsd:double"&gt;15.8324556469375&lt;/D&gt;&lt;D xsi:type="xsd:double"&gt;15.6991855448931&lt;/D&gt;&lt;D xsi:type="xsd:double"&gt;16.0194355841636&lt;/D&gt;&lt;D xsi:type="xsd:double"&gt;14.4983071737409&lt;/D&gt;&lt;D xsi:type="xsd:double"&gt;14.2177744350121&lt;/D&gt;&lt;D xsi:type="xsd:double"&gt;12.6158611031236&lt;/D&gt;&lt;D xsi:type="xsd:double"&gt;13.8903658313484&lt;/D&gt;&lt;D xsi:type="xsd:double"&gt;13.5120358012167&lt;/D&gt;&lt;D xsi:type="xsd:double"&gt;13.3286805752921&lt;/D&gt;&lt;D xsi:type="xsd:double"&gt;13.4695934600517&lt;/D&gt;&lt;D xsi:type="xsd:double"&gt;14.575407904458&lt;/D&gt;&lt;D xsi:type="xsd:double"&gt;14.1066494266599&lt;/D&gt;&lt;D xsi:type="xsd:double"&gt;14.9647807965494&lt;/D&gt;&lt;D xsi:type="xsd:double"&gt;14.6094861766839&lt;/D&gt;&lt;D xsi:type="xsd:double"&gt;14.4088833649342&lt;/D&gt;&lt;D xsi:type="xsd:double"&gt;14.521848117362&lt;/D&gt;&lt;D xsi:type="xsd:double"&gt;14.4336472260171&lt;/D&gt;&lt;D xsi:type="xsd:double"&gt;14.8419931868111&lt;/D&gt;&lt;D xsi:type="xsd:double"&gt;15.4026298204681&lt;/D&gt;&lt;D xsi:type="xsd:double"&gt;15.4204917069428&lt;/D&gt;&lt;D xsi:type="xsd:double"&gt;14.5141422218141&lt;/D&gt;&lt;D xsi:type="xsd:double"&gt;14.9412449547524&lt;/D&gt;&lt;D xsi:type="xsd:double"&gt;15.4036805345046&lt;/D&gt;&lt;D xsi:type="xsd:double"&gt;16.1868971539152&lt;/D&gt;&lt;D xsi:type="xsd:double"&gt;16.3049031338004&lt;/D&gt;&lt;D xsi:type="xsd:double"&gt;16.6420295188955&lt;/D&gt;&lt;D xsi:type="xsd:double"&gt;16.6656702076462&lt;/D&gt;&lt;D xsi:type="xsd:double"&gt;16.5995792668412&lt;/D&gt;&lt;D xsi:type="xsd:double"&gt;16.6996332258166&lt;/D&gt;&lt;/FQL&gt;&lt;FQL&gt;&lt;Q&gt;ENZL^JULIAN(FMA_DIV_YLD(LTMA,-10AY,0,AM,"PORTAGG","MEANR").DATES)&lt;/Q&gt;&lt;R&gt;121&lt;/R&gt;&lt;C&gt;1&lt;/C&gt;&lt;D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xsi:type="xsd:long"&gt;45446&lt;/D&gt;&lt;/FQL&gt;&lt;FQL&gt;&lt;Q&gt;WL-FDS^FG_PRICE(0)&lt;/Q&gt;&lt;R&gt;1&lt;/R&gt;&lt;C&gt;1&lt;/C&gt;&lt;D xsi:type="xsd:double"&gt;560.8&lt;/D&gt;&lt;/FQL&gt;&lt;FQL&gt;&lt;Q&gt;NI-FDS^FG_PRICE(0)&lt;/Q&gt;&lt;R&gt;1&lt;/R&gt;&lt;C&gt;1&lt;/C&gt;&lt;D xsi:type="xsd:double"&gt;18130&lt;/D&gt;&lt;/FQL&gt;&lt;FQL&gt;&lt;Q&gt;CPALM-FDS^FG_PRICE(0)&lt;/Q&gt;&lt;R&gt;1&lt;/R&gt;&lt;C&gt;1&lt;/C&gt;&lt;D xsi:type="xsd:double"&gt;3935&lt;/D&gt;&lt;/FQL&gt;&lt;FQL&gt;&lt;Q&gt;BRENT-FDS^FG_PRICE(0)&lt;/Q&gt;&lt;R&gt;1&lt;/R&gt;&lt;C&gt;1&lt;/C&gt;&lt;D xsi:type="xsd:double"&gt;85.86&lt;/D&gt;&lt;/FQL&gt;&lt;FQL&gt;&lt;Q&gt;TIOS-FDS^FG_PRICE(0)&lt;/Q&gt;&lt;R&gt;1&lt;/R&gt;&lt;C&gt;1&lt;/C&gt;&lt;D xsi:type="xsd:double"&gt;108.5&lt;/D&gt;&lt;/FQL&gt;&lt;FQL&gt;&lt;Q&gt;EWN^FG_PRICE(0)&lt;/Q&gt;&lt;R&gt;1&lt;/R&gt;&lt;C&gt;1&lt;/C&gt;&lt;D xsi:type="xsd:double"&gt;52.64&lt;/D&gt;&lt;/FQL&gt;&lt;FQL&gt;&lt;Q&gt;EWC^FG_PRICE(0)&lt;/Q&gt;&lt;R&gt;1&lt;/R&gt;&lt;C&gt;1&lt;/C&gt;&lt;D xsi:type="xsd:double"&gt;37.99&lt;/D&gt;&lt;/FQL&gt;&lt;FQL&gt;&lt;Q&gt;EWU^FG_COMPANY_NAME&lt;/Q&gt;&lt;R&gt;1&lt;/R&gt;&lt;C&gt;1&lt;/C&gt;&lt;D xsi:type="xsd:string"&gt;iShares MSCI United Kingdom ETF&lt;/D&gt;&lt;/FQL&gt;&lt;FQL&gt;&lt;Q&gt;SPY^FG_TOTAL_RETURNC(0,-12AM)&lt;/Q&gt;&lt;R&gt;1&lt;/R&gt;&lt;C&gt;1&lt;/C&gt;&lt;D xsi:type="xsd:double"&gt;26.731419&lt;/D&gt;&lt;/FQL&gt;&lt;FQL&gt;&lt;Q&gt;EWI^FG_TOTAL_RETURNC(0,-6AM)&lt;/Q&gt;&lt;R&gt;1&lt;/R&gt;&lt;C&gt;1&lt;/C&gt;&lt;D xsi:type="xsd:double"&gt;19.491768&lt;/D&gt;&lt;/FQL&gt;&lt;FQL&gt;&lt;Q&gt;EWN^P_PRICE(0)/P_PRICE_LOW_PR(0,,,,,,"PRICE","INTRA","52W")-1&lt;/Q&gt;&lt;R&gt;1&lt;/R&gt;&lt;C&gt;1&lt;/C&gt;&lt;D xsi:type="xsd:double"&gt;0.45053732&lt;/D&gt;&lt;/FQL&gt;&lt;FQL&gt;&lt;Q&gt;EWQ^FMA_PCT_ABOVE_MAVG(200,0,,,,"PORTAGG")&lt;/Q&gt;&lt;R&gt;1&lt;/R&gt;&lt;C&gt;1&lt;/C&gt;&lt;D xsi:type="xsd:double"&gt;74.1935483870968&lt;/D&gt;&lt;/FQL&gt;&lt;FQL&gt;&lt;Q&gt;QQQ^PERCENT_CHANGE(FMA_EPS(+1,0,,,,"PORTAGG","MEAN"),FMA_EPS(+1,-3AM,,,,"PORTAGG","MEAN"))&lt;/Q&gt;&lt;R&gt;1&lt;/R&gt;&lt;C&gt;1&lt;/C&gt;&lt;D xsi:type="xsd:double"&gt;0.271060732951907&lt;/D&gt;&lt;/FQL&gt;&lt;FQL&gt;&lt;Q&gt;EWL^FG_TOTAL_RETURNC(0,-3AM)&lt;/Q&gt;&lt;R&gt;1&lt;/R&gt;&lt;C&gt;1&lt;/C&gt;&lt;D xsi:type="xsd:double"&gt;6.8594337&lt;/D&gt;&lt;/FQL&gt;&lt;FQL&gt;&lt;Q&gt;EWG^P_PRICE(0)/P_PRICE_HIGH_PR(0,,,,,,"PRICE","INTRA","52W")&lt;/Q&gt;&lt;R&gt;1&lt;/R&gt;&lt;C&gt;1&lt;/C&gt;&lt;D xsi:type="xsd:double"&gt;0.9875563&lt;/D&gt;&lt;/FQL&gt;&lt;FQL&gt;&lt;Q&gt;EWA^FG_TOTAL_RETURNC(0,-12AM)&lt;/Q&gt;&lt;R&gt;1&lt;/R&gt;&lt;C&gt;1&lt;/C&gt;&lt;D xsi:type="xsd:double"&gt;14.983929&lt;/D&gt;&lt;/FQL&gt;&lt;FQL&gt;&lt;Q&gt;ENZL^PERCENT_CHANGE(FMA_EPS(+1,0,,,,"PORTAGG","MEAN"),FMA_EPS(+1,-1AM,,,,"PORTAGG","MEAN"))&lt;/Q&gt;&lt;R&gt;1&lt;/R&gt;&lt;C&gt;1&lt;/C&gt;&lt;D xsi:type="xsd:double"&gt;5.54285751611551&lt;/D&gt;&lt;/FQL&gt;&lt;FQL&gt;&lt;Q&gt;VWO^FMA_COS_UP("EPS","1M",+1,0,,,"PORTAGG","MEANR")&lt;/Q&gt;&lt;R&gt;1&lt;/R&gt;&lt;C&gt;1&lt;/C&gt;&lt;D xsi:type="xsd:double"&gt;857&lt;/D&gt;&lt;/FQL&gt;&lt;FQL&gt;&lt;Q&gt;SPY^SIZE(FG_CONSTITUENTS)&lt;/Q&gt;&lt;R&gt;1&lt;/R&gt;&lt;C&gt;1&lt;/C&gt;&lt;D xsi:type="xsd:long"&gt;504&lt;/D&gt;&lt;/FQL&gt;&lt;FQL&gt;&lt;Q&gt;EWG^FMA_COS_DOWN("EPS","1M",+1,0,,,"PORTAGG","MEANR")&lt;/Q&gt;&lt;R&gt;1&lt;/R&gt;&lt;C&gt;1&lt;/C&gt;&lt;D xsi:type="xsd:double"&gt;21&lt;/D&gt;&lt;/FQL&gt;&lt;FQL&gt;&lt;Q&gt;EWJ^FMA_RBICS_REV_CURRENT(30, LOC, "PORTAGG")&lt;/Q&gt;&lt;R&gt;1&lt;/R&gt;&lt;C&gt;1&lt;/C&gt;&lt;D xsi:type="xsd:double"&gt;18.8758256480555&lt;/D&gt;&lt;/FQL&gt;&lt;FQL&gt;&lt;Q&gt;EWA^FG_ROE(0)&lt;/Q&gt;&lt;R&gt;1&lt;/R&gt;&lt;C&gt;1&lt;/C&gt;&lt;D xsi:type="xsd:double"&gt;12.6155283848127&lt;/D&gt;&lt;/FQL&gt;&lt;FQL&gt;&lt;Q&gt;REFSEREPO-FDS^FG_YIELD(NOW,,,0)&lt;/Q&gt;&lt;R&gt;1&lt;/R&gt;&lt;C&gt;1&lt;/C&gt;&lt;D xsi:type="xsd:double"&gt;3.75&lt;/D&gt;&lt;/FQL&gt;&lt;FQL&gt;&lt;Q&gt;REFGBBANK-FDS^PROPER_NAME(0,,,"SECURITY","NAME")&lt;/Q&gt;&lt;R&gt;1&lt;/R&gt;&lt;C&gt;1&lt;/C&gt;&lt;D xsi:type="xsd:string"&gt;UK Bank Rate&lt;/D&gt;&lt;/FQL&gt;&lt;FQL&gt;&lt;Q&gt;REFNZOCR-FDS^(SUBARRAY(NOT_NA(NO_REPEAT_F(FG_YIELD(NOW,-10AY,D))),0,1)-SUBARRAY(NOT_NA(NO_REPEAT_F(FG_YIELD(NOW,-10AY,D))),1,1))*100&lt;/Q&gt;&lt;R&gt;1&lt;/R&gt;&lt;C&gt;1&lt;/C&gt;&lt;D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xsi:type="xsd:double"&gt;25&lt;/D&gt;&lt;/FQL&gt;&lt;FQL&gt;&lt;Q&gt;TRYGB10Y-FDS^PCTCHG(FG_YIELD(0,,,,"YTM"),FG_YIELD(-1AM,,,,"YTM"))&lt;/Q&gt;&lt;R&gt;1&lt;/R&gt;&lt;C&gt;1&lt;/C&gt;&lt;D xsi:type="xsd:double"&gt;-0.7816199&lt;/D&gt;&lt;/FQL&gt;&lt;FQL&gt;&lt;Q&gt;TRYIT10Y-FDS^FG_YIELD_NAME&lt;/Q&gt;&lt;R&gt;1&lt;/R&gt;&lt;C&gt;1&lt;/C&gt;&lt;D xsi:type="xsd:string"&gt;Italy Benchmark Bond - 10 Year&lt;/D&gt;&lt;/FQL&gt;&lt;FQL&gt;&lt;Q&gt;TRYJP10Y-FDS^FG_YIELD_NAME&lt;/Q&gt;&lt;R&gt;1&lt;/R&gt;&lt;C&gt;1&lt;/C&gt;&lt;D xsi:type="xsd:string"&gt;Japan Benchmark Bond - 10 Year&lt;/D&gt;&lt;/FQL&gt;&lt;FQL&gt;&lt;Q&gt;CC_CH^IMF_IFS_RCPI_Q(0)&lt;/Q&gt;&lt;R&gt;1&lt;/R&gt;&lt;C&gt;1&lt;/C&gt;&lt;D xsi:type="xsd:double"&gt;1.1636324&lt;/D&gt;&lt;/FQL&gt;&lt;FQL&gt;&lt;Q&gt;VGK^FMA_DIV_YLD(NTMA,NOW,NOW,M,"PORTAGG","MEANR")&lt;/Q&gt;&lt;R&gt;1&lt;/R&gt;&lt;C&gt;1&lt;/C&gt;&lt;D xsi:type="xsd:double"&gt;3.51985388875282&lt;/D&gt;&lt;/FQL&gt;&lt;FQL&gt;&lt;Q&gt;EWD^FMA_PE(LTM,0,,,"PORTAGG","MEANR")&lt;/Q&gt;&lt;R&gt;1&lt;/R&gt;&lt;C&gt;1&lt;/C&gt;&lt;D xsi:type="xsd:double"&gt;14.381312883942&lt;/D&gt;&lt;/FQL&gt;&lt;FQL&gt;&lt;Q&gt;SPY^FMA_EVAL_EBIT(LTMA,NOW,NOW,M,"PORTAGG","MEANR")&lt;/Q&gt;&lt;R&gt;1&lt;/R&gt;&lt;C&gt;1&lt;/C&gt;&lt;D xsi:type="xsd:double"&gt;20.4829725431772&lt;/D&gt;&lt;/FQL&gt;&lt;FQL&gt;&lt;Q&gt;EWU^FG_FCF_YIELD_NTM(0)&lt;/Q&gt;&lt;R&gt;1&lt;/R&gt;&lt;C&gt;1&lt;/C&gt;&lt;D xsi:type="xsd:double"&gt;6.09675195077835&lt;/D&gt;&lt;/FQL&gt;&lt;FQL&gt;&lt;Q&gt;EWJ^FMA_PE(NTMA,0,,,"PORTAGG","MEANR")&lt;/Q&gt;&lt;R&gt;1&lt;/R&gt;&lt;C&gt;1&lt;/C&gt;&lt;D xsi:type="xsd:double"&gt;15.7529227384706&lt;/D&gt;&lt;/FQL&gt;&lt;FQL&gt;&lt;Q&gt;EWC^JULIAN(FMA_DIV_YLD(NTMA,NOW,NOW,M,"PORTAGG","MEANR").DATES)&lt;/Q&gt;&lt;R&gt;1&lt;/R&gt;&lt;C&gt;1&lt;/C&gt;&lt;D xsi:type="xsd:long"&gt;45443&lt;/D&gt;&lt;/FQL&gt;&lt;FQL&gt;&lt;Q&gt;EWG^FMA_ROE(NTMA,-20AY,NOW,FY,"PORTAGG","MEANR")&lt;/Q&gt;&lt;R&gt;20&lt;/R&gt;&lt;C&gt;1&lt;/C&gt;&lt;D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xsi:type="xsd:double"&gt;9.71471543630714&lt;/D&gt;&lt;D xsi:type="xsd:double"&gt;12.1997093940908&lt;/D&gt;&lt;D xsi:type="xsd:double"&gt;11.8187115511422&lt;/D&gt;&lt;D xsi:type="xsd:double"&gt;11.9489916743573&lt;/D&gt;&lt;/FQL&gt;&lt;FQL&gt;&lt;Q&gt;TRYUS10Y-FDS^FG_YIELD(-10AY,0,Y,,"YTM")&lt;/Q&gt;&lt;R&gt;10&lt;/R&gt;&lt;C&gt;1&lt;/C&gt;&lt;D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xsi:type="xsd:double"&gt;2.004&lt;/D&gt;&lt;/FQL&gt;&lt;FQL&gt;&lt;Q&gt;SPY^P_PRICE(0)/P_PRICE_LOW_PR(0,,,,,,"PRICE","INTRA","52W")-1&lt;/Q&gt;&lt;R&gt;1&lt;/R&gt;&lt;C&gt;1&lt;/C&gt;&lt;D xsi:type="xsd:double"&gt;0.30656624&lt;/D&gt;&lt;/FQL&gt;&lt;FQL&gt;&lt;Q&gt;EWI^FG_TOTAL_RETURNC(0,-3AM)&lt;/Q&gt;&lt;R&gt;1&lt;/R&gt;&lt;C&gt;1&lt;/C&gt;&lt;D xsi:type="xsd:double"&gt;6.615627&lt;/D&gt;&lt;/FQL&gt;&lt;FQL&gt;&lt;Q&gt;EWN^P_PRICE(0)/P_PRICE_HIGH_PR(0,,,,,,"PRICE","INTRA","52W")&lt;/Q&gt;&lt;R&gt;1&lt;/R&gt;&lt;C&gt;1&lt;/C&gt;&lt;D xsi:type="xsd:double"&gt;0.9990511&lt;/D&gt;&lt;/FQL&gt;&lt;FQL&gt;&lt;Q&gt;EWL^FG_TOTAL_RETURNC(0,-1AM)&lt;/Q&gt;&lt;R&gt;1&lt;/R&gt;&lt;C&gt;1&lt;/C&gt;&lt;D xsi:type="xsd:double"&gt;9.186983&lt;/D&gt;&lt;/FQL&gt;&lt;FQL&gt;&lt;Q&gt;ENZL^FMA_PCT_ABOVE_MAVG(200,0,,,,"PORTAGG")&lt;/Q&gt;&lt;R&gt;1&lt;/R&gt;&lt;C&gt;1&lt;/C&gt;&lt;D xsi:type="xsd:double"&gt;42.8571428571429&lt;/D&gt;&lt;/FQL&gt;&lt;FQL&gt;&lt;Q&gt;VGK^SIZE(FG_CONSTITUENTS)&lt;/Q&gt;&lt;R&gt;1&lt;/R&gt;&lt;C&gt;1&lt;/C&gt;&lt;D xsi:type="xsd:long"&gt;1281&lt;/D&gt;&lt;/FQL&gt;&lt;FQL&gt;&lt;Q&gt;EWG^FMA_COS_UP("EPS","1M",+1,0,,,"PORTAGG","MEANR")&lt;/Q&gt;&lt;R&gt;1&lt;/R&gt;&lt;C&gt;1&lt;/C&gt;&lt;D xsi:type="xsd:double"&gt;30&lt;/D&gt;&lt;/FQL&gt;&lt;FQL&gt;&lt;Q&gt;TRYZA10Y-FDS^JULIAN(FG_YIELD(-10AY,0,CY,,"YTM").DATES)&lt;/Q&gt;&lt;R&gt;10&lt;/R&gt;&lt;C&gt;1&lt;/C&gt;&lt;D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xsi:type="xsd:double"&gt;7.64221110543266&lt;/D&gt;&lt;/FQL&gt;&lt;FQL&gt;&lt;Q&gt;CC_DE^FG_COMPANY_NAME&lt;/Q&gt;&lt;R&gt;1&lt;/R&gt;&lt;C&gt;1&lt;/C&gt;&lt;D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xsi:type="xsd:double"&gt;-3.4129858&lt;/D&gt;&lt;/FQL&gt;&lt;FQL&gt;&lt;Q&gt;USDCHF^FG_PRICE_CHANGE(0,-1AM)&lt;/Q&gt;&lt;R&gt;1&lt;/R&gt;&lt;C&gt;1&lt;/C&gt;&lt;D xsi:type="xsd:double"&gt;-1.4363766&lt;/D&gt;&lt;/FQL&gt;&lt;FQL&gt;&lt;Q&gt;USDUSD^FG_PRICE_CHANGE(0,-1AM)&lt;/Q&gt;&lt;R&gt;1&lt;/R&gt;&lt;C&gt;1&lt;/C&gt;&lt;D xsi:type="xsd:double"&gt;0&lt;/D&gt;&lt;/FQL&gt;&lt;FQL&gt;&lt;Q&gt;USDEUR^FG_PRICE_CHANGE(0,-1AM)&lt;/Q&gt;&lt;R&gt;1&lt;/R&gt;&lt;C&gt;1&lt;/C&gt;&lt;D xsi:type="xsd:double"&gt;-0.9008527&lt;/D&gt;&lt;/FQL&gt;&lt;FQL&gt;&lt;Q&gt;USDAUD^FG_PRICE_CHANGE(0,-1AM)&lt;/Q&gt;&lt;R&gt;1&lt;/R&gt;&lt;C&gt;1&lt;/C&gt;&lt;D xsi:type="xsd:double"&gt;-0.3683746&lt;/D&gt;&lt;/FQL&gt;&lt;FQL&gt;&lt;Q&gt;SPY^FMA_EPS(NTMA,-20AY,0,CY,,"PORTAGG","MEANR")&lt;/Q&gt;&lt;R&gt;20&lt;/R&gt;&lt;C&gt;1&lt;/C&gt;&lt;D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xsi:type="xsd:double"&gt;24.3449868014255&lt;/D&gt;&lt;/FQL&gt;&lt;FQL&gt;&lt;Q&gt;EWU^P_PRICE_RETURNS_PR('52W',2,-10AY,0,AM)&lt;/Q&gt;&lt;R&gt;121&lt;/R&gt;&lt;C&gt;1&lt;/C&gt;&lt;D xsi:type="xsd:double"&gt;20.293701&lt;/D&gt;&lt;D xsi:type="xsd:double"&gt;26.970911&lt;/D&gt;&lt;D xsi:type="xsd:double"&gt;13.20231&lt;/D&gt;&lt;D xsi:type="xsd:double"&gt;12.805653&lt;/D&gt;&lt;D xsi:type="xsd:double"&gt;4.2496443&lt;/D&gt;&lt;D xsi:type="xsd:double"&gt;-2.0009398&lt;/D&gt;&lt;D xsi:type="xsd:double"&gt;1.3268352&lt;/D&gt;&lt;D xsi:type="xsd:double"&gt;-10.5304&lt;/D&gt;&lt;D xsi:type="xsd:double"&gt;-0.86271167&lt;/D&gt;&lt;D xsi:type="xsd:double"&gt;-6.302297&lt;/D&gt;&lt;D xsi:type="xsd:double"&gt;-4.447913&lt;/D&gt;&lt;D xsi:type="xsd:double"&gt;-5.958194&lt;/D&gt;&lt;D xsi:type="xsd:double"&gt;-6.970179&lt;/D&gt;&lt;D xsi:type="xsd:double"&gt;-11.725521&lt;/D&gt;&lt;D xsi:type="xsd:double"&gt;-4.2776403&lt;/D&gt;&lt;D xsi:type="xsd:double"&gt;-16.781504&lt;/D&gt;&lt;D xsi:type="xsd:double"&gt;-6.6975174&lt;/D&gt;&lt;D xsi:type="xsd:double"&gt;-5.471921&lt;/D&gt;&lt;D xsi:type="xsd:double"&gt;-7.2867928&lt;/D&gt;&lt;D xsi:type="xsd:double"&gt;-6.1617556&lt;/D&gt;&lt;D xsi:type="xsd:double"&gt;-17.347252&lt;/D&gt;&lt;D xsi:type="xsd:double"&gt;-14.261234&lt;/D&gt;&lt;D xsi:type="xsd:double"&gt;-12.474167&lt;/D&gt;&lt;D xsi:type="xsd:double"&gt;-13.6082115&lt;/D&gt;&lt;D xsi:type="xsd:double"&gt;-10.461635&lt;/D&gt;&lt;D xsi:type="xsd:double"&gt;-14.079356&lt;/D&gt;&lt;D xsi:type="xsd:double"&gt;-12.6435995&lt;/D&gt;&lt;D xsi:type="xsd:doubl</t>
        </r>
      </text>
    </comment>
    <comment ref="A8" authorId="0" shapeId="0" xr:uid="{13FC08D4-D870-4AF4-A479-43F908B627CA}">
      <text>
        <r>
          <rPr>
            <b/>
            <sz val="9"/>
            <color indexed="81"/>
            <rFont val="Tahoma"/>
            <charset val="1"/>
          </rPr>
          <t>e"&gt;3.746605&lt;/D&gt;&lt;D xsi:type="xsd:double"&gt;-4.3629885&lt;/D&gt;&lt;D xsi:type="xsd:double"&gt;-12.776971&lt;/D&gt;&lt;D xsi:type="xsd:double"&gt;-5.777931&lt;/D&gt;&lt;D xsi:type="xsd:double"&gt;3.9533615&lt;/D&gt;&lt;D xsi:type="xsd:double"&gt;9.140026&lt;/D&gt;&lt;D xsi:type="xsd:double"&gt;6.1551094&lt;/D&gt;&lt;D xsi:type="xsd:double"&gt;8.3464985&lt;/D&gt;&lt;D xsi:type="xsd:double"&gt;10.893464&lt;/D&gt;&lt;D xsi:type="xsd:double"&gt;10.6909275&lt;/D&gt;&lt;D xsi:type="xsd:double"&gt;15.606081&lt;/D&gt;&lt;D xsi:type="xsd:double"&gt;14.444172&lt;/D&gt;&lt;D xsi:type="xsd:double"&gt;8.09772&lt;/D&gt;&lt;D xsi:type="xsd:double"&gt;14.202654&lt;/D&gt;&lt;D xsi:type="xsd:double"&gt;23.398352&lt;/D&gt;&lt;D xsi:type="xsd:double"&gt;17.31329&lt;/D&gt;&lt;D xsi:type="xsd:double"&gt;21.03852&lt;/D&gt;&lt;D xsi:type="xsd:double"&gt;17.22586&lt;/D&gt;&lt;D xsi:type="xsd:double"&gt;13.832891&lt;/D&gt;&lt;D xsi:type="xsd:double"&gt;13.718677&lt;/D&gt;&lt;D xsi:type="xsd:double"&gt;12.908363&lt;/D&gt;&lt;D xsi:type="xsd:double"&gt;9.947395&lt;/D&gt;&lt;D xsi:type="xsd:double"&gt;9.844589&lt;/D&gt;&lt;D xsi:type="xsd:double"&gt;3.8882852&lt;/D&gt;&lt;D xsi:type="xsd:double"&gt;1.7553091&lt;/D&gt;&lt;D xsi:type="xsd:double"&gt;0.7668257&lt;/D&gt;&lt;D xsi:type="xsd:double"&gt;-3.5691679&lt;/D&gt;&lt;D xsi:type="xsd:double"&gt;-8.188879&lt;/D&gt;&lt;D xsi:type="xsd:double"&gt;-13.488388&lt;/D&gt;&lt;D xsi:type="xsd:double"&gt;-5.607897&lt;/D&gt;&lt;D xsi:type="xsd:double"&gt;-1.4009655&lt;/D&gt;&lt;D xsi:type="xsd:double"&gt;-0.027036667&lt;/D&gt;&lt;D xsi:type="xsd:double"&gt;-2.5762677&lt;/D&gt;&lt;D xsi:type="xsd:double"&gt;-7.426977&lt;/D&gt;&lt;D xsi:type="xsd:double"&gt;-2.4995625&lt;/D&gt;&lt;D xsi:type="xsd:double"&gt;-8.292609&lt;/D&gt;&lt;D xsi:type="xsd:double"&gt;-1.6666949&lt;/D&gt;&lt;D xsi:type="xsd:double"&gt;-5.0047216&lt;/D&gt;&lt;D xsi:type="xsd:double"&gt;6.198573&lt;/D&gt;&lt;D xsi:type="xsd:double"&gt;12.870657&lt;/D&gt;&lt;D xsi:type="xsd:double"&gt;18.609&lt;/D&gt;&lt;D xsi:type="xsd:double"&gt;8.162916&lt;/D&gt;&lt;D xsi:type="xsd:double"&gt;-7.835335&lt;/D&gt;&lt;D xsi:type="xsd:double"&gt;-27.255375&lt;/D&gt;&lt;D xsi:type="xsd:double"&gt;-23.693651&lt;/D&gt;&lt;D xsi:type="xsd:double"&gt;-9.357876&lt;/D&gt;&lt;D xsi:type="xsd:double"&gt;-15.855265&lt;/D&gt;&lt;D xsi:type="xsd:double"&gt;-7.9808354&lt;/D&gt;&lt;D xsi:type="xsd:double"&gt;-12.353259&lt;/D&gt;&lt;D xsi:type="xsd:double"&gt;-13.286429&lt;/D&gt;&lt;D xsi:type="xsd:double"&gt;-17.931467&lt;/D&gt;&lt;D xsi:type="xsd:double"&gt;-5.536139&lt;/D&gt;&lt;D xsi:type="xsd:double"&gt;-6.3676653&lt;/D&gt;&lt;D xsi:type="xsd:double"&gt;-7.5579405&lt;/D&gt;&lt;D xsi:type="xsd:double"&gt;9.059322&lt;/D&gt;&lt;D xsi:type="xsd:double"&gt;38.8955&lt;/D&gt;&lt;D xsi:type="xsd:double"&gt;39.762093&lt;/D&gt;&lt;D xsi:type="xsd:double"&gt;28.433395&lt;/D&gt;&lt;D xsi:type="xsd:double"&gt;27.857744&lt;/D&gt;&lt;D xsi:type="xsd:double"&gt;28.096426&lt;/D&gt;&lt;D xsi:type="xsd:double"&gt;32.05025&lt;/D&gt;&lt;D xsi:type="xsd:double"&gt;30.010366&lt;/D&gt;&lt;D xsi:type="xsd:double"&gt;32.49023&lt;/D&gt;&lt;D xsi:type="xsd:double"&gt;12.778473&lt;/D&gt;&lt;D xsi:type="xsd:double"&gt;13.003039&lt;/D&gt;&lt;D xsi:type="xsd:double"&gt;20.306896&lt;/D&gt;&lt;D xsi:type="xsd:double"&gt;6.2824607&lt;/D&gt;&lt;D xsi:type="xsd:double"&gt;11.439741&lt;/D&gt;&lt;D xsi:type="xsd:double"&gt;-1.2620211&lt;/D&gt;&lt;D xsi:type="xsd:double"&gt;1.3032675&lt;/D&gt;&lt;D xsi:type="xsd:double"&gt;-7.121772&lt;/D&gt;&lt;D xsi:type="xsd:double"&gt;-3.805846&lt;/D&gt;&lt;D xsi:type="xsd:double"&gt;-10.398406&lt;/D&gt;&lt;D xsi:type="xsd:double"&gt;-13.638639&lt;/D&gt;&lt;D xsi:type="xsd:double"&gt;-9.713644&lt;/D&gt;&lt;D xsi:type="xsd:double"&gt;0.9947777&lt;/D&gt;&lt;D xsi:type="xsd:double"&gt;-2.457744&lt;/D&gt;&lt;D xsi:type="xsd:double"&gt;-3.359437&lt;/D&gt;&lt;D xsi:type="xsd:double"&gt;6.9794416&lt;/D&gt;&lt;D xsi:type="xsd:double"&gt;0.53168535&lt;/D&gt;&lt;D xsi:type="xsd:double"&gt;9.295464&lt;/D&gt;&lt;D xsi:type="xsd:double"&gt;2.078259&lt;/D&gt;&lt;D xsi:type="xsd:double"&gt;11.172951&lt;/D&gt;&lt;D xsi:type="xsd:double"&gt;8.639622&lt;/D&gt;&lt;D xsi:type="xsd:double"&gt;14.00963&lt;/D&gt;&lt;D xsi:type="xsd:double"&gt;21.581532&lt;/D&gt;&lt;D xsi:type="xsd:double"&gt;12.697756&lt;/D&gt;&lt;D xsi:type="xsd:double"&gt;5.8588862&lt;/D&gt;&lt;D xsi:type="xsd:double"&gt;10.483503&lt;/D&gt;&lt;D xsi:type="xsd:double"&gt;6.64109&lt;/D&gt;&lt;D xsi:type="xsd:double"&gt;6.0537934&lt;/D&gt;&lt;D xsi:type="xsd:double"&gt;8.713055&lt;/D&gt;&lt;D xsi:type="xsd:double"&gt;9.460807&lt;/D&gt;&lt;D xsi:type="xsd:double"&gt;16.231955&lt;/D&gt;&lt;/FQL&gt;&lt;FQL&gt;&lt;Q&gt;EWJ^FG_TOTAL_RETURNC(-10AY,0,AM)&lt;/Q&gt;&lt;R&gt;121&lt;/R&gt;&lt;C&gt;1&lt;/C&gt;&lt;D xsi:type="xsd:double"&gt;6.014359&lt;/D&gt;&lt;D xsi:type="xsd:double"&gt;3.8388014&lt;/D&gt;&lt;D xsi:type="xsd:double"&gt;-3.4893274&lt;/D&gt;&lt;D xsi:type="xsd:double"&gt;0.7230997&lt;/D&gt;&lt;D xsi:type="xsd:double"&gt;-3.125&lt;/D&gt;&lt;D xsi:type="xsd:double"&gt;1.220572&lt;/D&gt;&lt;D xsi:type="xsd:double"&gt;1.2058616&lt;/D&gt;&lt;D xsi:type="xsd:double"&gt;-6.260103&lt;/D&gt;&lt;D xsi:type="xsd:double"&gt;6.3926935&lt;/D&gt;&lt;D xsi:type="xsd:double"&gt;5.6652427&lt;/D&gt;&lt;D xsi:type="xsd:double"&gt;4.305446&lt;/D&gt;&lt;D xsi:type="xsd:double"&gt;-0.15576482&lt;/D&gt;&lt;D xsi:type="xsd:double"&gt;1.0920405&lt;/D&gt;&lt;D xsi:type="xsd:double"&gt;-0.6587267&lt;/D&gt;&lt;D xsi:type="xsd:double"&gt;0.70257187&lt;/D&gt;&lt;D xsi:type="xsd:double"&gt;-10.930234&lt;/D&gt;&lt;D xsi:type="xsd:double"&gt;3.0461311&lt;/D&gt;&lt;D xsi:type="xsd:double"&gt;4.729724&lt;/D&gt;&lt;D xsi:type="xsd:double"&gt;0.16129017&lt;/D&gt;&lt;D xsi:type="xsd:double"&gt;-3.73258&lt;/D&gt;&lt;D xsi:type="xsd:double"&gt;-7.7506304&lt;/D&gt;&lt;D xsi:type="xsd:double"&gt;5.205488&lt;/D&gt;&lt;D xsi:type="xsd:double"&gt;-3.906256&lt;/D&gt;&lt;D xsi:type="xsd:double"&gt;4.2457104&lt;/D&gt;&lt;D xsi:type="xsd:double"&gt;2.6863098&lt;/D&gt;&lt;D xsi:type="xsd:double"&gt;-2.3536384&lt;/D&gt;&lt;D xsi:type="xsd:double"&gt;5.4007053&lt;/D&gt;&lt;D xsi:type="xsd:double"&gt;3.5537124&lt;/D&gt;&lt;D xsi:type="xsd:double"&gt;-0.6384671&lt;/D&gt;&lt;D xsi:type="xsd:double"&gt;-0.56224465&lt;/D&gt;&lt;D xsi:type="xsd:double"&gt;0.5250335&lt;/D&gt;&lt;D xsi:type="xsd:double"&gt;2.5549054&lt;/D&gt;&lt;D xsi:type="xsd:double"&gt;1.010704&lt;/D&gt;&lt;D xsi:type="xsd:double"&gt;0.54934025&lt;/D&gt;&lt;D xsi:type="xsd:double"&gt;-0.5658567&lt;/D&gt;&lt;D xsi:type="xsd:double"&gt;3.551805&lt;/D&gt;&lt;D xsi:type="xsd:double"&gt;3.7142277&lt;/D&gt;&lt;D xsi:type="xsd:double"&gt;-2.5187492&lt;/D&gt;&lt;D xsi:type="xsd:double"&gt;4.018116&lt;/D&gt;&lt;D xsi:type="xsd:double"&gt;-1.1969507&lt;/D&gt;&lt;D xsi:type="xsd:double"&gt;2.7716637&lt;/D&gt;&lt;D xsi:type="xsd:double"&gt;5.697441&lt;/D&gt;&lt;D xsi:type="xsd:double"&gt;-0.40554404&lt;/D&gt;&lt;D xsi:type="xsd:double"&gt;5.964875&lt;/D&gt;&lt;D xsi:type="xsd:double"&gt;-1.9825935&lt;/D&gt;&lt;D xsi:type="xsd:double"&gt;-0.32889247&lt;/D&gt;&lt;D xsi:type="xsd:double"&gt;-1.6333938&lt;/D&gt;&lt;D xsi:type="xsd:double"&gt;1.8617868&lt;/D&gt;&lt;D xsi:type="xsd:double"&gt;-0.11526346&lt;/D&gt;&lt;D xsi:type="xsd:double"&gt;-4.9654303&lt;/D&gt;&lt;D xsi:type="xsd:double"&gt;1.6258717&lt;/D&gt;&lt;D xsi:type="xsd:double"&gt;-1.9095123&lt;/D&gt;&lt;D xsi:type="xsd:double"&gt;3.7706017&lt;/D&gt;&lt;D xsi:type="xsd:double"&gt;-6.3038707&lt;/D&gt;&lt;D xsi:type="xsd:double"&gt;-2.7056277&lt;/D&gt;&lt;D xsi:type="xsd:double"&gt;-1.9708037&lt;/D&gt;&lt;D xsi:type="xsd:double"&gt;2.8206587&lt;/D&gt;&lt;D xsi:type="xsd:double"&gt;0.24096966&lt;/D&gt;&lt;D xsi:type="xsd:double"&gt;2.385354&lt;/D&gt;&lt;D xsi:type="xsd:double"&gt;0.036120415&lt;/D&gt;&lt;D xsi:type="xsd:double"&gt;-2.9969335&lt;/D&gt;&lt;D xsi:type="xsd:double"&gt;4.1382074&lt;/D&gt;&lt;D xsi:type="xsd:double"&gt;-3.7150621&lt;/D&gt;&lt;D xsi:type="xsd:double"&gt;2.697134&lt;/D&gt;&lt;D xsi:type="xsd:double"&gt;3.44702&lt;/D&gt;&lt;D xsi:type="xsd:double"&gt;5.0952077&lt;/D&gt;&lt;D xsi:type="xsd:double"&gt;1.7614484&lt;/D&gt;&lt;D xsi:type="xsd:double"&gt;-0.89756846&lt;/D&gt;&lt;D xsi:type="xsd:double"&gt;1.0772586&lt;/D&gt;&lt;D xsi:type="xsd:double"&gt;-12.406331&lt;/D&gt;&lt;D xsi:type="xsd:double"&gt;-6.235737&lt;/D&gt;&lt;D xsi:type="xsd:double"&gt;2.7980566&lt;/D&gt;&lt;D xsi:type="xsd:double"&gt;12.544382&lt;/D&gt;&lt;D xsi:type="xsd:double"&gt;-1.2828529&lt;/D&gt;&lt;D xsi:type="xsd:double"&gt;0.17895699&lt;/D&gt;&lt;D xsi:type="xsd:double"&gt;3.697753&lt;/D&gt;&lt;D xsi:type="xsd:double"&gt;1.8776894&lt;/D&gt;&lt;D xsi:type="xsd:double"&gt;4.0243506&lt;/D&gt;&lt;D xsi:type="xsd:double"&gt;7.3797107&lt;/D&gt;&lt;D xsi:type="xsd:double"&gt;3.6136389&lt;/D&gt;&lt;D xsi:type="xsd:double"&gt;1.5693784&lt;/D&gt;&lt;D xsi:type="xsd:double"&gt;-1.5740037&lt;/D&gt;&lt;D xsi:type="xsd:double"&gt;1.1150122&lt;/D&gt;&lt;D xsi:type="xsd:double"&gt;-0.2901852&lt;/D&gt;&lt;D xsi:type="xsd:double"&gt;1.2078047&lt;/D&gt;&lt;D xsi:type="xsd:double"&gt;-2.0034015&lt;/D&gt;&lt;D xsi:type="xsd:double"&gt;0.23647547&lt;/D&gt;&lt;D xsi:type="xsd:double"&gt;5.883217&lt;/D&gt;&lt;D xsi:type="xsd:double"&gt;-5.6120276&lt;/D&gt;&lt;D xsi:type="xsd:double"&gt;3.806436&lt;/D&gt;&lt;D xsi:type="xsd:double"&gt;-4.2069316&lt;/D&gt;&lt;D xsi:type="xsd:double"&gt;0.87673664&lt;/D&gt;&lt;D xsi:type="xsd:double"&gt;-4.2920947&lt;/D&gt;&lt;D xsi:type="xsd:double"&gt;-4.7337294&lt;/D&gt;&lt;D xsi:type="xsd:double"&gt;-2.1085322&lt;/D&gt;&lt;D xsi:type="xsd:double"&gt;-5.343133&lt;/D&gt;&lt;D xsi:type="xsd:double"&gt;1.1113048&lt;/D&gt;&lt;D xsi:type="xsd:double"&gt;-7.16055&lt;/D&gt;&lt;D xsi:type="xsd:double"&gt;4.952562&lt;/D&gt;&lt;D xsi:type="xsd:double"&gt;-6.798053&lt;/D&gt;&lt;D xsi:type="xsd:double"&gt;-2.3860335&lt;/D&gt;&lt;D xsi:type="xsd:double"&gt;1.0930061&lt;/D&gt;&lt;D xsi:type="xsd:double"&gt;7.3127627&lt;/D&gt;&lt;D xsi:type="xsd:double"&gt;0.5527139&lt;/D&gt;&lt;D xsi:type="xsd:double"&gt;5.039251&lt;/D&gt;&lt;D xsi:type="xsd:double"&gt;-0.2607286&lt;/D&gt;&lt;D xsi:type="xsd:double"&gt;0.74938536&lt;/D&gt;&lt;D xsi:type="xsd:double"&gt;2.9752612&lt;/D&gt;&lt;D xsi:type="xsd:double"&gt;5.896187&lt;/D&gt;&lt;D xsi:type="xsd:double"&gt;-2.9203355&lt;/D&gt;&lt;D xsi:type="xsd:double"&gt;1.662004&lt;/D&gt;&lt;D xsi:type="xsd:double"&gt;0.7283926&lt;/D&gt;&lt;D xsi:type="xsd:double"&gt;-4.5797825&lt;/D&gt;&lt;D xsi:type="xsd:double"&gt;3.065002&lt;/D&gt;&lt;D xsi:type="xsd:double"&gt;2.40196&lt;/D&gt;&lt;D xsi:type="xsd:double"&gt;2.8011084&lt;/D&gt;&lt;D xsi:type="xsd:double"&gt;4.171264&lt;/D&gt;&lt;D xsi:type="xsd:double"&gt;7.8422546&lt;/D&gt;&lt;D xsi:type="xsd:double"&gt;-2.1017253&lt;/D&gt;&lt;D xsi:type="xsd:double"&gt;-0.2862513&lt;/D&gt;&lt;D xsi:type="xsd:double"&gt;-0.6171942&lt;/D&gt;&lt;/FQL&gt;&lt;FQL&gt;&lt;Q&gt;EWC^FMA_DIV_YLD(NTMA,-10AY,0,AM,"PORTAGG","MEANR")&lt;/Q&gt;&lt;R&gt;121&lt;/R&gt;&lt;C&gt;1&lt;/C&gt;&lt;D xsi:type="xsd:double"&gt;2.85732207593149&lt;/D&gt;&lt;D xsi:type="xsd:double"&gt;2.79690860600783&lt;/D&gt;&lt;D xsi:type="xsd:double"&gt;2.80629899946129&lt;/D&gt;&lt;D xsi:type="xsd:double"&gt;2.7569493359575&lt;/D&gt;&lt;D xsi:type="xsd:double"&gt;2.92607507758338&lt;/D&gt;&lt;D xsi:type="xsd:double"&gt;2.97792848563941&lt;/D&gt;&lt;D xsi:type="xsd:double"&gt;2.98355777834539&lt;/D&gt;&lt;D xsi:type="xsd:double"&gt;3.02043435555499&lt;/D&gt;&lt;D xsi:type="xsd:double"&gt;2.87483940899567&lt;/D&gt;&lt;D xsi:type="xsd:double"&gt;2.90517102645312&lt;/D&gt;&lt;D xsi:type="xsd:double"&gt;2.87121495832642&lt;/D&gt;&lt;D xsi:type="xsd:double"&gt;2.88499545762234&lt;/D&gt;&lt;D xsi:type="xsd:double"&gt;2.91074862865312&lt;/D&gt;&lt;D xsi:type="xsd:double"&gt;3.0139769594097&lt;/D&gt;&lt;D xsi:type="xsd:double"&gt;3.07329137785706&lt;/D&gt;&lt;D xsi:type="xsd:double"&gt;3.25660419980678&lt;/D&gt;&lt;D xsi:type="xsd:double"&gt;3.2313704757621&lt;/D&gt;&lt;D xsi:type="xsd:double"&gt;3.26038384271024&lt;/D&gt;&lt;D xsi:type="xsd:double"&gt;3.31273288692691&lt;/D&gt;&lt;D xsi:type="xsd:double"&gt;3.44618496381709&lt;/D&gt;&lt;D xsi:type="xsd:double"&gt;3.38575422336119&lt;/D&gt;&lt;D xsi:type="xsd:double"&gt;3.25532814973938&lt;/D&gt;&lt;D xsi:type="xsd:double"&gt;3.19458606410886&lt;/D&gt;&lt;D xsi:type="xsd:double"&gt;3.11786178052236&lt;/D&gt;&lt;D xsi:type="xsd:double"&gt;3.00672951959962&lt;/D&gt;&lt;D xsi:type="xsd:double"&gt;3.05148950684569&lt;/D&gt;&lt;D xsi:type="xsd:double"&gt;2.96718892835535&lt;/D&gt;&lt;D xsi:type="xsd:double"&gt;2.93496978590098&lt;/D&gt;&lt;D xsi:type="xsd:double"&gt;2.95480025118617&lt;/D&gt;&lt;D xsi:type="xsd:double"&gt;2.99276323441794&lt;/D&gt;&lt;D xsi:type="xsd:double"&gt;2.87139248029401&lt;/D&gt;&lt;D xsi:type="xsd:double"&gt;2.81333912472327&lt;/D&gt;&lt;D xsi:type="xsd:double"&gt;2.83594049466162&lt;/D&gt;&lt;D xsi:type="xsd:double"&gt;2.87255082660017&lt;/D&gt;&lt;D xsi:type="xsd:double"&gt;2.89815211011696&lt;/D&gt;&lt;D xsi:type="xsd:double"&gt;2.93545696984261&lt;/D&gt;&lt;D xsi:type="xsd:double"&gt;2.98253714724283&lt;/D&gt;&lt;D xsi:type="xsd:double"&gt;3.06705229553894&lt;/D&gt;&lt;D xsi:type="xsd:double"&gt;3.01971169312734&lt;/D&gt;&lt;D xsi:type="xsd:double"&gt;3.10212709615005&lt;/D&gt;&lt;D xsi:type="xsd:double"&gt;2.96339099217586&lt;/D&gt;&lt;D xsi:type="xsd:double"&gt;2.90481753356966&lt;/D&gt;&lt;D xsi:type="xsd:double"&gt;2.94541782647687&lt;/D&gt;&lt;D xsi:type="xsd:double"&gt;2.88691410143745&lt;/D&gt;&lt;D xsi:type="xsd:double"&gt;3.09228256343407&lt;/D&gt;&lt;D xsi:type="xsd:double"&gt;3.13993310135888&lt;/D&gt;&lt;D xsi:type="xsd:double"&gt;3.22638768948066&lt;/D&gt;&lt;D xsi:type="xsd:double"&gt;3.13343568726582&lt;/D&gt;&lt;D xsi:type="xsd:double"&gt;3.07324828144393&lt;/D&gt;&lt;D xsi:type="xsd:double"&gt;3.05770191665969&lt;/D&gt;&lt;D xsi:type="xsd:double"&gt;3.07248824923286&lt;/D&gt;&lt;D xsi:type="xsd:double"&gt;3.15653257612966&lt;/D&gt;&lt;D xsi:type="xsd:double"&gt;3.19796068151106&lt;/D&gt;&lt;D xsi:type="xsd:double"&gt;3.35540436901003&lt;/D&gt;&lt;D xsi:type="xsd:double"&gt;3.44540707915098&lt;/D&gt;&lt;D xsi:type="xsd:double"&gt;3.57435364282132&lt;/D&gt;&lt;D xsi:type="xsd:double"&gt;3.30395804182139&lt;/D&gt;&lt;D xsi:type="xsd:double"&gt;3.25835436701417&lt;/D&gt;&lt;D xsi:type="xsd:double"&gt;3.21620762299097&lt;/D&gt;&lt;D xsi:type="xsd:double"&gt;3.22397498642368&lt;/D&gt;&lt;D xsi:type="xsd:double"&gt;3.34333293183219&lt;/D&gt;&lt;D xsi:type="xsd:double"&gt;3.29319282279123&lt;/D&gt;&lt;D xsi:type="xsd:double"&gt;3.43641502962915&lt;/D&gt;&lt;D xsi:type="xsd:double"&gt;3.36246810170534&lt;/D&gt;&lt;D xsi:type="xsd:double"&gt;3.38862059274526&lt;/D&gt;&lt;D xsi:type="xsd:double"&gt;3.30008429255735&lt;/D&gt;&lt;D xsi:type="xsd:double"&gt;3.2608191064873&lt;/D&gt;&lt;D xsi:type="xsd:double"&gt;3.26696806061845&lt;/D&gt;&lt;D xsi:type="xsd:double"&gt;3.20488378546664&lt;/D&gt;&lt;D xsi:type="xsd:double"&gt;3.57666978187694&lt;/D&gt;&lt;D xsi:type="xsd:double"&gt;4.20831163585326&lt;/D&gt;&lt;D xsi:type="xsd:double"&gt;3.84850830975664&lt;/D&gt;&lt;D xsi:type="xsd:double"&gt;3.4679865140888&lt;/D&gt;&lt;D xsi:type="xsd:double"&gt;3.52039839574727&lt;/D&gt;&lt;D xsi:type="xsd:double"&gt;3.33810075045551&lt;/D&gt;&lt;D xsi:type="xsd:double"&gt;3.41112968466877&lt;/D&gt;&lt;D xsi:type="xsd:double"&gt;3.43090187378878&lt;/D&gt;&lt;D xsi:type="xsd:double"&gt;3.41676735017911&lt;/D&gt;&lt;D xsi:type="xsd:double"&gt;3.12503235027304&lt;/D&gt;&lt;D xsi:type="xsd:double"&gt;3.05875536464582&lt;/D&gt;&lt;D xsi:type="xsd:double"&gt;3.00291213960726&lt;/D&gt;&lt;D xsi:type="xsd:double"&gt;2.91776358027713&lt;/D&gt;&lt;D xsi:type="xsd:double"&gt;2.78459379357137&lt;/D&gt;&lt;D xsi:type="xsd:double"&gt;2.75626905385107&lt;/D&gt;&lt;D xsi:type="xsd:double"&gt;2.5945381468635&lt;/D&gt;&lt;D xsi:type="xsd:double"&gt;2.69410762404414&lt;/D&gt;&lt;D xsi:type="xsd:double"&gt;2.6797012757017&lt;/D&gt;&lt;D xsi:type="xsd:double"&gt;2.71305785779172&lt;/D&gt;&lt;D xsi:type="xsd:double"&gt;2.81662219176305&lt;/D&gt;&lt;D xsi:type="xsd:double"&gt;2.71077423394695&lt;/D&gt;&lt;D xsi:type="xsd:double"&gt;2.84523060943204&lt;/D&gt;&lt;D xsi:type="xsd:double"&gt;2.80109899147875&lt;/D&gt;&lt;D xsi:type="xsd:double"&gt;2.80362679520632&lt;/D&gt;&lt;D xsi:type="xsd:double"&gt;2.84557885474321&lt;/D&gt;&lt;D xsi:type="xsd:double"&gt;2.84730240915564&lt;/D&gt;&lt;D xsi:type="xsd:double"&gt;3.09809463205786&lt;/D&gt;&lt;D xsi:type="xsd:double"&gt;3.09892909268655&lt;/D&gt;&lt;D xsi:type="xsd:double"&gt;3.45924607863536&lt;/D&gt;&lt;D xsi:type="xsd:double"&gt;3.3419175608108&lt;/D&gt;&lt;D xsi:type="xsd:double"&gt;3.50998372166299&lt;/D&gt;&lt;D xsi:type="xsd:double"&gt;3.53733352849732&lt;/D&gt;&lt;D xsi:type="xsd:double"&gt;3.46403487133021&lt;/D&gt;&lt;D xsi:type="xsd:double"&gt;3.36075468068422&lt;/D&gt;&lt;D xsi:type="xsd:double"&gt;3.39356929432981&lt;/D&gt;&lt;D xsi:type="xsd:double"&gt;3.27037445388773&lt;/D&gt;&lt;D xsi:type="xsd:double"&gt;3.29531540063778&lt;/D&gt;&lt;D xsi:type="xsd:double"&gt;3.32349366972571&lt;/D&gt;&lt;D xsi:type="xsd:double"&gt;3.24642873478358&lt;/D&gt;&lt;D xsi:type="xsd:double"&gt;3.29974621637647&lt;/D&gt;&lt;D xsi:type="xsd:double"&gt;3.30167480184639&lt;/D&gt;&lt;D xsi:type="xsd:double"&gt;3.44564650882637&lt;/D&gt;&lt;D xsi:type="xsd:double"&gt;3.50226968266624&lt;/D&gt;&lt;D xsi:type="xsd:double"&gt;3.7033930062049&lt;/D&gt;&lt;D xsi:type="xsd:double"&gt;3.61754636668&lt;/D&gt;&lt;D xsi:type="xsd:double"&gt;3.47175978045724&lt;/D&gt;&lt;D xsi:type="xsd:double"&gt;3.35331791870779&lt;/D&gt;&lt;D xsi:type="xsd:double"&gt;3.33860222179981&lt;/D&gt;&lt;D xsi:type="xsd:double"&gt;3.21281700272729&lt;/D&gt;&lt;D xsi:type="xsd:double"&gt;3.08516886956719&lt;/D&gt;&lt;D xsi:type="xsd:double"&gt;3.06464636865298&lt;/D&gt;&lt;D xsi:type="xsd:double"&gt;3.31585610366913&lt;/D&gt;&lt;/FQL&gt;&lt;FQL&gt;&lt;Q&gt;ENZL^FMA_PE(NTMA,-10AY,0,AM,"PORTAGG","MEANR")&lt;/Q&gt;&lt;R&gt;121&lt;/R&gt;&lt;C&gt;1&lt;/C&gt;&lt;D xsi:type="xsd:double"&gt;17.2002913002185&lt;/D&gt;&lt;D xsi:type="xsd:double"&gt;17.32041006322&lt;/D&gt;&lt;D xsi:type="xsd:double"&gt;16.9995835657644&lt;/D&gt;&lt;D xsi:type="xsd:double"&gt;17.3696722871819&lt;/D&gt;&lt;D xsi:type="xsd:double"&gt;17.0817891710916&lt;/D&gt;&lt;D xsi:type="xsd:double"&gt;17.696252011793&lt;/D&gt;&lt;D xsi:type="xsd:double"&gt;18.0535354714861&lt;/D&gt;&lt;D xsi:type="xsd:double"&gt;18.3397721771&lt;/D&gt;&lt;D xsi:type="xsd:double"&gt;19.1707753473895&lt;/D&gt;&lt;D xsi:type="xsd:double"&gt;19.3138261673669&lt;/D&gt;&lt;D xsi:type="xsd:double"&gt;18.4655494041224&lt;/D&gt;&lt;D xsi:type="xsd:double"&gt;18.3028346187022&lt;/D&gt;&lt;D xsi:type="xsd:double"&gt;18.3620406543346&lt;/D&gt;&lt;D xsi:type="xsd:double"&gt;18.0153998107911&lt;/D&gt;&lt;D xsi:type="xsd:double"&gt;18.4535916304161&lt;/D&gt;&lt;D xsi:type="xsd:double"&gt;17.2015824314033&lt;/D&gt;&lt;D xsi:type="xsd:double"&gt;17.1782532613835&lt;/D&gt;&lt;D xsi:type="xsd:double"&gt;18.2058631857923&lt;/D&gt;&lt;D xsi:type="xsd:double"&gt;18.1877637495649&lt;/D&gt;&lt;D xsi:type="xsd:double"&gt;18.0815168658008&lt;/D&gt;&lt;D xsi:type="xsd:double"&gt;17.3443307412184&lt;/D&gt;&lt;D xsi:type="xsd:double"&gt;18.0124966648951&lt;/D&gt;&lt;D xsi:type="xsd:double"&gt;18.4949058809521&lt;/D&gt;&lt;D xsi:type="xsd:double"&gt;19.0797059583099&lt;/D&gt;&lt;D xsi:type="xsd:double"&gt;19.4664780515508&lt;/D&gt;&lt;D xsi:type="xsd:double"&gt;19.1960620070365&lt;/D&gt;&lt;D xsi:type="xsd:double"&gt;20.1265999077536&lt;/D&gt;&lt;D xsi:type="xsd:double"&gt;21.2096937241223&lt;/D&gt;&lt;D xsi:type="xsd:double"&gt;19.781042576142&lt;/D&gt;&lt;D xsi:type="xsd:double"&gt;18.2150531619003&lt;/D&gt;&lt;D xsi:type="xsd:double"&gt;18.6566144279095&lt;/D&gt;&lt;D xsi:type="xsd:double"&gt;18.7778806884712&lt;/D&gt;&lt;D xsi:type="xsd:double"&gt;19.0921426355346&lt;/D&gt;&lt;D xsi:type="xsd:double"&gt;19.053654203023&lt;/D&gt;&lt;D xsi:type="xsd:double"&gt;19.2927264493871&lt;/D&gt;&lt;D xsi:type="xsd:double"&gt;19.4206340055456&lt;/D&gt;&lt;D xsi:type="xsd:double"&gt;19.469417269834&lt;/D&gt;&lt;D xsi:type="xsd:double"&gt;19.5061863756649&lt;/D&gt;&lt;D xsi:type="xsd:double"&gt;19.8184185668558&lt;/D&gt;&lt;D xsi:type="xsd:double"&gt;19.7982998011995&lt;/D&gt;&lt;D xsi:type="xsd:double"&gt;19.8563286949991&lt;/D&gt;&lt;D xsi:type="xsd:double"&gt;20.2229445937973&lt;/D&gt;&lt;D xsi:type="xsd:double"&gt;20.2093441692945&lt;/D&gt;&lt;D xsi:type="xsd:double"&gt;21.0528578665492&lt;/D&gt;&lt;D xsi:type="xsd:double"&gt;20.3647117732393&lt;/D&gt;&lt;D xsi:type="xsd:double"&gt;20.3121856306024&lt;/D&gt;&lt;D xsi:type="xsd:double"&gt;20.0978708252272&lt;/D&gt;&lt;D xsi:type="xsd:double"&gt;20.3470634754239&lt;/D&gt;&lt;D xsi:type="xsd:double"&gt;20.9801865365252&lt;/D&gt;&lt;D xsi:type="xsd:double"&gt;21.4121441045083&lt;/D&gt;&lt;D xsi:type="xsd:double"&gt;21.0045147728688&lt;/D&gt;&lt;D xsi:type="xsd:double"&gt;21.3653023490864&lt;/D&gt;&lt;D xsi:type="xsd:double"&gt;21.2787198375952&lt;/D&gt;&lt;D xsi:type="xsd:double"&gt;20.2599688283773&lt;/D&gt;&lt;D xsi:type="xsd:double"&gt;20.0514497701916&lt;/D&gt;&lt;D xsi:type="xsd:double"&gt;19.9014809258006&lt;/D&gt;&lt;D xsi:type="xsd:double"&gt;20.6324382957351&lt;/D&gt;&lt;D xsi:type="xsd:double"&gt;21.792698862964&lt;/D&gt;&lt;D xsi:type="xsd:double"&gt;22.2878621959659&lt;/D&gt;&lt;D xsi:type="xsd:double"&gt;22.6143688060124&lt;/D&gt;&lt;D xsi:type="xsd:double"&gt;22.5186001235699&lt;/D&gt;&lt;D xsi:type="xsd:double"&gt;24.0612151789682&lt;/D&gt;&lt;D xsi:type="xsd:double"&gt;24.0234950927966&lt;/D&gt;&lt;D xsi:type="xsd:double"&gt;26.7183170821539&lt;/D&gt;&lt;D xsi:type="xsd:double"&gt;25.315679184783&lt;/D&gt;&lt;D xsi:type="xsd:double"&gt;24.6382173405067&lt;/D&gt;&lt;D xsi:type="xsd:double"&gt;25.6550697743331&lt;/D&gt;&lt;D xsi:type="xsd:double"&gt;25.9761193262365&lt;/D&gt;&lt;D xsi:type="xsd:double"&gt;26.0261589933823&lt;/D&gt;&lt;D xsi:type="xsd:double"&gt;26.2419153328932&lt;/D&gt;&lt;D xsi:type="xsd:double"&gt;25.5810507411163&lt;/D&gt;&lt;D xsi:type="xsd:double"&gt;29.4667820078337&lt;/D&gt;&lt;D xsi:type="xsd:double"&gt;30.2809319295963&lt;/D&gt;&lt;D xsi:type="xsd:double"&gt;31.80297541162&lt;/D&gt;&lt;D xsi:type="xsd:double"&gt;32.2456491516697&lt;/D&gt;&lt;D xsi:type="xsd:double"&gt;32.2310139877911&lt;/D&gt;&lt;D xsi:type="xsd:double"&gt;32.3432326230937&lt;/D&gt;&lt;D xsi:type="xsd:double"&gt;33.3523814494226&lt;/D&gt;&lt;D xsi:type="xsd:double"&gt;32.5104823611867&lt;/D&gt;&lt;D xsi:type="xsd:double"&gt;34.8765269128279&lt;/D&gt;&lt;D xsi:type="xsd:double"&gt;33.0700934901662&lt;/D&gt;&lt;D xsi:type="xsd:double"&gt;31.692085825627&lt;/D&gt;&lt;D xsi:type="xsd:double"&gt;31.8515088175801&lt;/D&gt;&lt;D xsi:type="xsd:double"&gt;32.3097391062478&lt;/D&gt;&lt;D xsi:type="xsd:double"&gt;33.1818415210105&lt;/D&gt;&lt;D xsi:type="xsd:double"&gt;34.4239964186306&lt;/D&gt;&lt;D xsi:type="xsd:double"&gt;34.1074373783085&lt;/D&gt;&lt;D xsi:type="xsd:double"&gt;35.0558025094772&lt;/D&gt;&lt;D xsi:type="xsd:double"&gt;34.0746971665323&lt;/D&gt;&lt;D xsi:type="xsd:double"&gt;33.7343972752431&lt;/D&gt;&lt;D xsi:type="xsd:double"&gt;31.5727914571243&lt;/D&gt;&lt;D xsi:type="xsd:double"&gt;32.0253089221071&lt;/D&gt;&lt;D xsi:type="xsd:double"&gt;30.2786270119634&lt;/D&gt;&lt;D xsi:type="xsd:double"&gt;29.4592610621962&lt;/D&gt;&lt;D xsi:type="xsd:double"&gt;28.66565260558&lt;/D&gt;&lt;D xsi:type="xsd:double"&gt;28.7083171108863&lt;/D&gt;&lt;D xsi:type="xsd:double"&gt;26.3678625928899&lt;/D&gt;&lt;D xsi:type="xsd:double"&gt;26.1774033321289&lt;/D&gt;&lt;D xsi:type="xsd:double"&gt;26.7136736118174&lt;/D&gt;&lt;D xsi:type="xsd:double"&gt;26.8185476282782&lt;/D&gt;&lt;D xsi:type="xsd:double"&gt;24.1437874152622&lt;/D&gt;&lt;D xsi:type="xsd:double"&gt;23.5137564579036&lt;/D&gt;&lt;D xsi:type="xsd:double"&gt;23.2911965512493&lt;/D&gt;&lt;D xsi:type="xsd:double"&gt;23.4860208600488&lt;/D&gt;&lt;D xsi:type="xsd:double"&gt;24.423868681286&lt;/D&gt;&lt;D xsi:type="xsd:double"&gt;23.6122352804504&lt;/D&gt;&lt;D xsi:type="xsd:double"&gt;23.3792101612306&lt;/D&gt;&lt;D xsi:type="xsd:double"&gt;23.42924077286&lt;/D&gt;&lt;D xsi:type="xsd:double"&gt;21.0524652962659&lt;/D&gt;&lt;D xsi:type="xsd:double"&gt;21.0868589260128&lt;/D&gt;&lt;D xsi:type="xsd:double"&gt;20.9424546735886&lt;/D&gt;&lt;D xsi:type="xsd:double"&gt;20.4778576707787&lt;/D&gt;&lt;D xsi:type="xsd:double"&gt;19.9112123171235&lt;/D&gt;&lt;D xsi:type="xsd:double"&gt;20.3857190643667&lt;/D&gt;&lt;D xsi:type="xsd:double"&gt;21.7325348887119&lt;/D&gt;&lt;D xsi:type="xsd:double"&gt;22.7887186845584&lt;/D&gt;&lt;D xsi:type="xsd:double"&gt;22.576624119567&lt;/D&gt;&lt;D xsi:type="xsd:double"&gt;24.7552436578637&lt;/D&gt;&lt;D xsi:type="xsd:double"&gt;25.1045278675832&lt;/D&gt;&lt;D xsi:type="xsd:double"&gt;25.1244553000139&lt;/D&gt;&lt;D xsi:type="xsd:double"&gt;24.3289399276116&lt;/D&gt;&lt;/FQL&gt;&lt;FQL&gt;&lt;Q&gt;DDR3512M-FDS^MAX(FG_PRICE(0,-5AY))&lt;/Q&gt;&lt;R&gt;1&lt;/R&gt;&lt;C&gt;1&lt;/C&gt;&lt;D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xsi:type="xsd:double"&gt;5.119&lt;/D&gt;&lt;/FQL&gt;&lt;FQL&gt;&lt;Q&gt;FC0000JP^FG_PRICE(0)&lt;/Q&gt;&lt;R&gt;1&lt;/R&gt;&lt;C&gt;1&lt;/C&gt;&lt;D xsi:type="xsd:double"&gt;173.17494&lt;/D&gt;&lt;/FQL&gt;&lt;FQL&gt;&lt;Q&gt;FC0000NZ^FG_PRICE(0)&lt;/Q&gt;&lt;R&gt;1&lt;/R&gt;&lt;C&gt;1&lt;/C&gt;&lt;D xsi:type="xsd:double"&gt;399.43588&lt;/D&gt;&lt;/FQL&gt;&lt;FQL&gt;&lt;Q&gt;EWQ^FG_PRICE_MAVG(0,,,,200)&lt;/Q&gt;&lt;R&gt;1&lt;/R&gt;&lt;C&gt;1&lt;/C&gt;&lt;D xsi:type="xsd:double"&gt;38.590824&lt;/D&gt;&lt;/FQL&gt;&lt;FQL&gt;&lt;Q&gt;EWL^FG_PRICE_MAVG(0,,,,200)&lt;/Q&gt;&lt;R&gt;1&lt;/R&gt;&lt;C&gt;1&lt;/C&gt;&lt;D xsi:type="xsd:double"&gt;46.1284&lt;/D&gt;&lt;/FQL&gt;&lt;FQL&gt;&lt;Q&gt;EWA^FG_PRICE_MAVG(0,,,,200)&lt;/Q&gt;&lt;R&gt;1&lt;/R&gt;&lt;C&gt;1&lt;/C&gt;&lt;D xsi:type="xsd:double"&gt;23.1516&lt;/D&gt;&lt;/FQL&gt;&lt;FQL&gt;&lt;Q&gt;EWL^FG_COMPANY_NAME&lt;/Q&gt;&lt;R&gt;1&lt;/R&gt;&lt;C&gt;1&lt;/C&gt;&lt;D xsi:type="xsd:string"&gt;iShares MSCI Switzerland ETF&lt;/D&gt;&lt;/FQL&gt;&lt;FQL&gt;&lt;Q&gt;VWO^PERCENT_CHANGE(FMA_EPS(+1,0,,,,"PORTAGG","MEAN"),FMA_EPS(+1,-3AM,,,,"PORTAGG","MEAN"))&lt;/Q&gt;&lt;R&gt;1&lt;/R&gt;&lt;C&gt;1&lt;/C&gt;&lt;D xsi:type="xsd:double"&gt;-2.61682430332933&lt;/D&gt;&lt;/FQL&gt;&lt;FQL&gt;&lt;Q&gt;QQQ^PERCENT_CHANGE(FMA_EPS(+1,0,,,,"PORTAGG","MEAN"),FMA_EPS(+1,-1AM,,,,"PORTAGG","MEAN"))&lt;/Q&gt;&lt;R&gt;1&lt;/R&gt;&lt;C&gt;1&lt;/C&gt;&lt;D xsi:type="xsd:double"&gt;0.70833960343178&lt;/D&gt;&lt;/FQL&gt;&lt;FQL&gt;&lt;Q&gt;EWG^FG_TOTAL_RETURNC(0,-6AM)&lt;/Q&gt;&lt;R&gt;1&lt;/R&gt;&lt;C&gt;1&lt;/C&gt;&lt;D xsi:type="xsd:double"&gt;12.453723&lt;/D&gt;&lt;/FQL&gt;&lt;FQL&gt;&lt;Q&gt;EWA^P_PRICE(0)/P_PRICE_LOW_PR(0,,,,,,"PRICE","INTRA","52W")-1&lt;/Q&gt;&lt;R&gt;1&lt;/R&gt;&lt;C&gt;1&lt;/C&gt;&lt;D xsi:type="xsd:double"&gt;0.22678399&lt;/D&gt;&lt;/FQL&gt;&lt;FQL&gt;&lt;Q&gt;SPY^FMA_COS_DOWN("EPS","1M",+1,0,,,"PORTAGG","MEANR")&lt;/Q&gt;&lt;R&gt;1&lt;/R&gt;&lt;C&gt;1&lt;/C&gt;&lt;D xsi:type="xsd:double"&gt;144&lt;/D&gt;&lt;/FQL&gt;&lt;FQL&gt;&lt;Q&gt;EWG^FMA_RBICS_REV_CURRENT(30, LOC, "PORTAGG")&lt;/Q&gt;&lt;R&gt;1&lt;/R&gt;&lt;C&gt;1&lt;/C&gt;&lt;D xsi:type="xsd:double"&gt;23.4356830968269&lt;/D&gt;&lt;/FQL&gt;&lt;FQL&gt;&lt;Q&gt;ENZL^FG_ROE(0)&lt;/Q&gt;&lt;R&gt;1&lt;/R&gt;&lt;C&gt;1&lt;/C&gt;&lt;D xsi:type="xsd:double"&gt;5.00375136203347&lt;/D&gt;&lt;/FQL&gt;&lt;FQL&gt;&lt;Q&gt;REFSEREPO-FDS^PROPER_NAME(0,,,"SECURITY","NAME")&lt;/Q&gt;&lt;R&gt;1&lt;/R&gt;&lt;C&gt;1&lt;/C&gt;&lt;D xsi:type="xsd:string"&gt;Sweden Repo Rate&lt;/D&gt;&lt;/FQL&gt;&lt;FQL&gt;&lt;Q&gt;REFCHMPR-FDS^(SUBARRAY(NOT_NA(NO_REPEAT_F(FG_YIELD(NOW,-10AY,D))),0,1)-SUBARRAY(NOT_NA(NO_REPEAT_F(FG_YIELD(NOW,-10AY,D))),1,1))*100&lt;/Q&gt;&lt;R&gt;1&lt;/R&gt;&lt;C&gt;1&lt;/C&gt;&lt;D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xsi:type="xsd:double"&gt;-25&lt;/D&gt;&lt;/FQL&gt;&lt;FQL&gt;&lt;Q&gt;REFNZOCR-FDS^FG_YIELD(NOW,,,0)&lt;/Q&gt;&lt;R&gt;1&lt;/R&gt;&lt;C&gt;1&lt;/C&gt;&lt;D xsi:type="xsd:double"&gt;5.5&lt;/D&gt;&lt;/FQL&gt;&lt;FQL&gt;&lt;Q&gt;TRYCH10Y-FDS^PCTCHG(FG_YIELD(0,,,,"YTM"),FG_YIELD(-3AM,,,,"YTM"))&lt;/Q&gt;&lt;R&gt;1&lt;/R&gt;&lt;C&gt;1&lt;/C&gt;&lt;D xsi:type="xsd:double"&gt;11.279232&lt;/D&gt;&lt;/FQL&gt;&lt;FQL&gt;&lt;Q&gt;TRYSE10Y-FDS^FG_YIELD(0,,,,"YTM")&lt;/Q&gt;&lt;R&gt;1&lt;/R&gt;&lt;C&gt;1&lt;/C&gt;&lt;D xsi:type="xsd:double"&gt;2.323&lt;/D&gt;&lt;/FQL&gt;&lt;FQL&gt;&lt;Q&gt;TRYDE10Y-FDS^FG_YIELD(0,,,,"YTM")&lt;/Q&gt;&lt;R&gt;1&lt;/R&gt;&lt;C&gt;1&lt;/C&gt;&lt;D xsi:type="xsd:double"&gt;2.56&lt;/D&gt;&lt;/FQL&gt;&lt;FQL&gt;&lt;Q&gt;CC_JP^IMF_IFS_RCPI_Q(0)&lt;/Q&gt;&lt;R&gt;1&lt;/R&gt;&lt;C&gt;1&lt;/C&gt;&lt;D xsi:type="xsd:double"&gt;2.5231562&lt;/D&gt;&lt;/FQL&gt;&lt;FQL&gt;&lt;Q&gt;VGK^FG_PE_NTM(0,,,90,0)&lt;/Q&gt;&lt;R&gt;1&lt;/R&gt;&lt;C&gt;1&lt;/C&gt;&lt;D xsi:type="xsd:double"&gt;13.2982893039796&lt;/D&gt;&lt;/FQL&gt;&lt;FQL&gt;&lt;Q&gt;EWD^JULIAN(FMA_DIV_YLD(NTMA,NOW,NOW,M,"PORTAGG","MEANR").DATES)&lt;/Q&gt;&lt;R&gt;1&lt;/R&gt;&lt;C&gt;1&lt;/C&gt;&lt;D xsi:type="xsd:long"&gt;45443&lt;/D&gt;&lt;/FQL&gt;&lt;FQL&gt;&lt;Q&gt;SPY^FMA_EVAL_EBITDA(NTMA,0,,,"PORTAGG","MEANR")&lt;/Q&gt;&lt;R&gt;1&lt;/R&gt;&lt;C&gt;1&lt;/C&gt;&lt;D xsi:type="xsd:double"&gt;14.1308972613205&lt;/D&gt;&lt;/FQL&gt;&lt;FQL&gt;&lt;Q&gt;EWU^FMA_DIV_YLD(NTMA,NOW,NOW,M,"PORTAGG","MEANR")&lt;/Q&gt;&lt;R&gt;1&lt;/R&gt;&lt;C&gt;1&lt;/C&gt;&lt;D xsi:type="xsd:double"&gt;3.86617068653733&lt;/D&gt;&lt;/FQL&gt;&lt;FQL&gt;&lt;Q&gt;EWC^FMA_ROE(NTMA,-20AY,NOW,FY,"PORTAGG","MEANR")&lt;/Q&gt;&lt;R&gt;20&lt;/R&gt;&lt;C&gt;1&lt;/C&gt;&lt;D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xsi:type="xsd:double"&gt;3.55&lt;/D&gt;&lt;/FQL&gt;&lt;FQL&gt;&lt;Q&gt;CC_CA^FG_COMPANY_NAME&lt;/Q&gt;&lt;R&gt;1&lt;/R&gt;&lt;C&gt;1&lt;/C&gt;&lt;D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xsi:type="xsd:double"&gt;-4.4737935&lt;/D&gt;&lt;/FQL&gt;&lt;FQL&gt;&lt;Q&gt;USDCHF^FG_PRICE_CHANGE(0,-1AY)&lt;/Q&gt;&lt;R&gt;1&lt;/R&gt;&lt;C&gt;1&lt;/C&gt;&lt;D xsi:type="xsd:double"&gt;-1.8268824&lt;/D&gt;&lt;/FQL&gt;&lt;FQL&gt;&lt;Q&gt;USDEUR^FG_PRICE_CHANGE(0,-1AY)&lt;/Q&gt;&lt;R&gt;1&lt;/R&gt;&lt;C&gt;1&lt;/C&gt;&lt;D xsi:type="xsd:double"&gt;-1.7281771&lt;/D&gt;&lt;/FQL&gt;&lt;FQL&gt;&lt;Q&gt;USDAUD^FG_PRICE_CHANGE(0,-1AY)&lt;/Q&gt;&lt;R&gt;1&lt;/R&gt;&lt;C&gt;1&lt;/C&gt;&lt;D xsi:type="xsd:double"&gt;0.16539097&lt;/D&gt;&lt;/FQL&gt;&lt;FQL&gt;&lt;Q&gt;QQQ^FMA_EPS(NTMA,-20AY,0,CY,,"PORTAGG","MEANR")&lt;/Q&gt;&lt;R&gt;20&lt;/R&gt;&lt;C&gt;1&lt;/C&gt;&lt;D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xsi:type="xsd:double"&gt;16.3243001938228&lt;/D&gt;&lt;/FQL&gt;&lt;FQL&gt;&lt;Q&gt;EWL^P_PRICE_RETURNS_PR('52W',2,-10AY,0,AM)&lt;/Q&gt;&lt;R&gt;121&lt;/R&gt;&lt;C&gt;1&lt;/C&gt;&lt;D xsi:type="xsd:double"&gt;21.742773&lt;/D&gt;&lt;D xsi:type="xsd:double"&gt;23.149193&lt;/D&gt;&lt;D xsi:type="xsd:double"&gt;8.593428&lt;/D&gt;&lt;D xsi:type="xsd:double"&gt;15.83457&lt;/D&gt;&lt;D xsi:type="xsd:double"&gt;5.2981853&lt;/D&gt;&lt;D xsi:type="xsd:double"&gt;2.4259448&lt;/D&gt;&lt;D xsi:type="xsd:double"&gt;6.849754&lt;/D&gt;&lt;D xsi:type="xsd:double"&gt;-3.17536&lt;/D&gt;&lt;D xsi:type="xsd:double"&gt;2.2352695&lt;/D&gt;&lt;D xsi:type="xsd:double"&gt;-2.9844463&lt;/D&gt;&lt;D xsi:type="xsd:double"&gt;1.9385815&lt;/D&gt;&lt;D xsi:type="xsd:double"&gt;1.858604&lt;/D&gt;&lt;D xsi:type="xsd:double"&gt;0.7613659&lt;/D&gt;&lt;D xsi:type="xsd:double"&gt;-3.2916367&lt;/D&gt;&lt;D xsi:type="xsd:double"&gt;6.4296126&lt;/D&gt;&lt;D xsi:type="xsd:double"&gt;-5.443102&lt;/D&gt;&lt;D xsi:type="xsd:double"&gt;1.619029&lt;/D&gt;&lt;D xsi:type="xsd:double"&gt;1.0789871&lt;/D&gt;&lt;D xsi:type="xsd:double"&gt;-2.2881508&lt;/D&gt;&lt;D xsi:type="xsd:double"&gt;0.3259778&lt;/D&gt;&lt;D xsi:type="xsd:double"&gt;-9.962338&lt;/D&gt;&lt;D xsi:type="xsd:double"&gt;-9.411359&lt;/D&gt;&lt;D xsi:type="xsd:double"&gt;-9.650225&lt;/D&gt;&lt;D xsi:type="xsd:double"&gt;-12.310052&lt;/D&gt;&lt;D xsi:type="xsd:double"&gt;-8.454466&lt;/D&gt;&lt;D xsi:type="xsd:double"&gt;-8.486551&lt;/D&gt;&lt;D xsi:type="xsd:double"&gt;-9.18467&lt;/D&gt;&lt;D xsi:type="xsd:double"&gt;2.463615&lt;/D&gt;&lt;D xsi:type="xsd:double"&gt;-1.7746925&lt;/D&gt;&lt;D xsi:type="xsd:double"&gt;-7.6879206&lt;/D&gt;&lt;D xsi:type="xsd:double"&gt;-6.123531&lt;/D&gt;&lt;D xsi:type="xsd:double"&gt;2.7261853&lt;/D&gt;&lt;D xsi:type="xsd:double"&gt;10.0765705&lt;/D&gt;&lt;D xsi:type="xsd:double"&gt;10.312117&lt;/D&gt;&lt;D xsi:type="xsd:double"&gt;8.954084&lt;/D&gt;&lt;D xsi:type="xsd:double"&gt;18.721127&lt;/D&gt;&lt;D xsi:type="xsd:double"&gt;15.223921&lt;/D&gt;&lt;D xsi:type="xsd:double"&gt;19.071781&lt;/D&gt;&lt;D xsi:type="xsd:double"&gt;18.712389&lt;/D&gt;&lt;D xsi:type="xsd:double"&gt;13.091909&lt;/D&gt;&lt;D xsi:type="xsd:double"&gt;18.039227&lt;/D&gt;&lt;D xsi:type="xsd:double"&gt;23.548912&lt;/D&gt;&lt;D xsi:type="xsd:double"&gt;23.031855&lt;/D&gt;&lt;D xsi:type="xsd:double"&gt;22.653603&lt;/D&gt;&lt;D xsi:type="xsd:double"&gt;17.741596&lt;/D&gt;&lt;D xsi:type="xsd:double"&gt;13.12908&lt;/D&gt;&lt;D xsi:type="xsd:double"&gt;8.746279&lt;/D&gt;&lt;D xsi:type="xsd:double"&gt;1.8988132&lt;/D&gt;&lt;D xsi:type="xsd:double"&gt;-1.2616217&lt;/D&gt;&lt;D xsi:type="xsd:double"&gt;0.15251637&lt;/D&gt;&lt;D xsi:type="xsd:double"&gt;1.5650272&lt;/D&gt;&lt;D xsi:type="xsd:double"&gt;2.4777174&lt;/D&gt;&lt;D xsi:type="xsd:double"&gt;-0.9959042&lt;/D&gt;&lt;D xsi:type="xsd:double"&gt;-1.401931&lt;/D&gt;&lt;D xsi:type="xsd:double"&gt;-3.9858043&lt;/D&gt;&lt;D xsi:type="xsd:double"&gt;-9.071302&lt;/D&gt;&lt;D xsi:type="xsd:double"&gt;-2.9378116&lt;/D&gt;&lt;D xsi:type="xsd:double"&gt;1.8593907&lt;/D&gt;&lt;D xsi:type="xsd:double"&gt;7.6043606&lt;/D&gt;&lt;D xsi:type="xsd:double"&gt;8.31449&lt;/D&gt;&lt;D xsi:type="xsd:double"&gt;12.2746105&lt;/D&gt;&lt;D xsi:type="xsd:double"&gt;15.414894&lt;/D&gt;&lt;D xsi:type="xsd:double"&gt;8.004248&lt;/D&gt;&lt;D xsi:type="xsd:double"&gt;13.4043455&lt;/D&gt;&lt;D xsi:type="xsd:double"&gt;10.5322&lt;/D&gt;&lt;D xsi:type="xsd:double"&gt;18.456114&lt;/D&gt;&lt;D xsi:type="xsd:double"&gt;22.9805&lt;/D&gt;&lt;D xsi:type="xsd:double"&gt;30.212475&lt;/D&gt;&lt;D xsi:type="xsd:double"&gt;27.241337&lt;/D&gt;&lt;D xsi:type="xsd:double"&gt;14.129162&lt;/D&gt;&lt;D xsi:type="xsd:double"&gt;2.1979928&lt;/D&gt;&lt;D xsi:type="xsd:double"&gt;3.0188322&lt;/D&gt;&lt;D xsi:type="xsd:double"&gt;9.013891&lt;/D&gt;&lt;D xsi:type="xsd:double"&gt;9.141803&lt;/D&gt;&lt;D xsi:type="xsd:double"&gt;14.82712&lt;/D&gt;&lt;D xsi:type="xsd:double"&gt;11.971855&lt;/D&gt;&lt;D xsi:type="xsd:double"&gt;13.20752&lt;/D&gt;&lt;D xsi:type="xsd:double"&gt;11.830723&lt;/D&gt;&lt;D xsi:type="xsd:double"&gt;13.106704&lt;/D&gt;&lt;D xsi:type="xsd:double"&gt;12.67283&lt;/D&gt;&lt;D xsi:type="xsd:double"&gt;7.967329&lt;/D&gt;&lt;D xsi:type="xsd:double"&gt;12.460148&lt;/D&gt;&lt;D xsi:type="xsd:double"&gt;29.08386&lt;/D&gt;&lt;D xsi:type="xsd:double"&gt;31.533741&lt;/D&gt;&lt;D xsi:type="xsd:double"&gt;27.789795&lt;/D&gt;&lt;D xsi:type="xsd:double"&gt;23.990786&lt;/D&gt;&lt;D xsi:type="xsd:double"&gt;23.868835&lt;/D&gt;&lt;D xsi:type="xsd:double"&gt;24.705482&lt;/D&gt;&lt;D xsi:type="xsd:double"&gt;16.05221&lt;/D&gt;&lt;D xsi:type="xsd:double"&gt;22.900057&lt;/D&gt;&lt;D xsi:type="xsd:double"&gt;17.918587&lt;/D&gt;&lt;D xsi:type="xsd:double"&gt;16.435455&lt;/D&gt;&lt;D xsi:type="xsd:double"&gt;11.445117&lt;/D&gt;&lt;D xsi:type="xsd:double"&gt;8.708275&lt;/D&gt;&lt;D xsi:type="xsd:double"&gt;10.398865&lt;/D&gt;&lt;D xsi:type="xsd:double"&gt;-3.4199715&lt;/D&gt;&lt;D xsi:type="xsd:double"&gt;-7.870686&lt;/D&gt;&lt;D xsi:type="xsd:double"&gt;-13.7564&lt;/D&gt;&lt;D xsi:type="xsd:double"&gt;-13.49681&lt;/D&gt;&lt;D xsi:type="xsd:double"&gt;-19.518095&lt;/D&gt;&lt;D xsi:type="xsd:double"&gt;-17.48594&lt;/D&gt;&lt;D xsi:type="xsd:double"&gt;-21.577942&lt;/D&gt;&lt;D xsi:type="xsd:double"&gt;-13.209701&lt;/D&gt;&lt;D xsi:type="xsd:double"&gt;-13.682479&lt;/D&gt;&lt;D xsi:type="xsd:double"&gt;-6.4369736&lt;/D&gt;&lt;D xsi:type="xsd:double"&gt;-2.2919357&lt;/D&gt;&lt;D xsi:type="xsd:double"&gt;-4.143983&lt;/D&gt;&lt;D xsi:type="xsd:double"&gt;9.794164&lt;/D&gt;&lt;D xsi:type="xsd:double"&gt;7.5572014&lt;/D&gt;&lt;D xsi:type="xsd:double"&gt;11.59631&lt;/D&gt;&lt;D xsi:type="xsd:double"&gt;9.645796&lt;/D&gt;&lt;D xsi:type="xsd:double"&gt;15.146923&lt;/D&gt;&lt;D xsi:type="xsd:double"&gt;17.155098&lt;/D&gt;&lt;D xsi:type="xsd:double"&gt;11.929393&lt;/D&gt;&lt;D xsi:type="xsd:double"&gt;9.8827&lt;/D&gt;&lt;D xsi:type="xsd:double"&gt;13.499737&lt;/D&gt;&lt;D xsi:type="xsd:double"&gt;7.6983094&lt;/D&gt;&lt;D xsi:type="xsd:double"&gt;10.149277&lt;/D&gt;&lt;D xsi:type="xsd:double"&gt;4.3041587&lt;/D&gt;&lt;D xsi:type="xsd:double"&gt;-2.666849&lt;/D&gt;&lt;D xsi:type="xsd:double"&gt;9.721529&lt;/D&gt;&lt;/FQL&gt;&lt;FQL&gt;&lt;Q&gt;EWG^FG_TOTAL_RETURNC(-10AY,0,AM)&lt;/Q&gt;&lt;R&gt;121&lt;/R&gt;&lt;C&gt;1&lt;/C&gt;&lt;D xsi:type="xsd:double"&gt;3.6194682&lt;/D&gt;&lt;D xsi:type="xsd:double"&gt;-0.032496452&lt;/D&gt;&lt;D xsi:type="xsd:double"&gt;-10.567826&lt;/D&gt;&lt;D xsi:type="xsd:double"&gt;3.6684275&lt;/D&gt;&lt;D xsi:type="xsd:double"&gt;-8.234096&lt;/D&gt;&lt;D xsi:type="xsd:double"&gt;0.29662848&lt;/D&gt;&lt;D xsi:type="xsd:double"&gt;6.321633&lt;/D&gt;&lt;D xsi:type="xsd:double"&gt;-8.831716&lt;/D&gt;&lt;D xsi:type="xsd:double"&gt;8.466827&lt;/D&gt;&lt;D xsi:type="xsd:double"&gt;2.1097064&lt;/D&gt;&lt;D xsi:type="xsd:double"&gt;5.4407716&lt;/D&gt;&lt;D xsi:type="xsd:double"&gt;-2.7759671&lt;/D&gt;&lt;D xsi:type="xsd:double"&gt;-3.1911373&lt;/D&gt;&lt;D xsi:type="xsd:double"&gt;-3.4889877&lt;/D&gt;&lt;D xsi:type="xsd:double"&gt;5.52305&lt;/D&gt;&lt;D xsi:type="xsd:double"&gt;-11.334491&lt;/D&gt;&lt;D xsi:type="xsd:double"&gt;-0.31274557&lt;/D&gt;&lt;D xsi:type="xsd:double"&gt;5.5686235&lt;/D&gt;&lt;D xsi:type="xsd:double"&gt;0.037145615&lt;/D&gt;&lt;D xsi:type="xsd:double"&gt;-7.0553246&lt;/D&gt;&lt;D xsi:type="xsd:double"&gt;-5.713147&lt;/D&gt;&lt;D xsi:type="xsd:double"&gt;4.0677905&lt;/D&gt;&lt;D xsi:type="xsd:double"&gt;2.4022818&lt;/D&gt;&lt;D xsi:type="xsd:double"&gt;2.3061633&lt;/D&gt;&lt;D xsi:type="xsd:double"&gt;1.671207&lt;/D&gt;&lt;D xsi:type="xsd:double"&gt;-8.768415&lt;/D&gt;&lt;D xsi:type="xsd:double"&gt;9.4849825&lt;/D&gt;&lt;D xsi:type="xsd:double"&gt;4.6256423&lt;/D&gt;&lt;D xsi:type="xsd:double"&gt;-1.5736222&lt;/D&gt;&lt;D xsi:type="xsd:double"&gt;-4.1111526&lt;/D&gt;&lt;D xsi:type="xsd:double"&gt;1.4688373&lt;/D&gt;&lt;D xsi:type="xsd:double"&gt;5.1221848&lt;/D&gt;&lt;D xsi:type="xsd:double"&gt;1.340282&lt;/D&gt;&lt;D xsi:type="xsd:double"&gt;2.2410035&lt;/D&gt;&lt;D xsi:type="xsd:double"&gt;2.443409&lt;/D&gt;&lt;D xsi:type="xsd:double"&gt;8.312869&lt;/D&gt;&lt;D xsi:type="xsd:double"&gt;1.2629628&lt;/D&gt;&lt;D xsi:type="xsd:double"&gt;-1.6061544&lt;/D&gt;&lt;D xsi:type="xsd:double"&gt;2.9158354&lt;/D&gt;&lt;D xsi:type="xsd:double"&gt;0.6761193&lt;/D&gt;&lt;D xsi:type="xsd:double"&gt;3.8695216&lt;/D&gt;&lt;D xsi:type="xsd:double"&gt;2.6477814&lt;/D&gt;&lt;D xsi:type="xsd:double"&gt;-1.4097214&lt;/D&gt;&lt;D xsi:type="xsd:double"&gt;4.7053695&lt;/D&gt;&lt;D xsi:type="xsd:double"&gt;-2.4468422&lt;/D&gt;&lt;D xsi:type="xsd:double"&gt;-3.075552&lt;/D&gt;&lt;D xsi:type="xsd:double"&gt;-1.1398613&lt;/D&gt;&lt;D xsi:type="xsd:double"&gt;2.3371816&lt;/D&gt;&lt;D xsi:type="xsd:double"&gt;-1.0962248&lt;/D&gt;&lt;D xsi:type="xsd:double"&gt;-3.355819&lt;/D&gt;&lt;D xsi:type="xsd:double"&gt;-0.26100874&lt;/D&gt;&lt;D xsi:type="xsd:double"&gt;-3.925413&lt;/D&gt;&lt;D xsi:type="xsd:double"&gt;-0.61287284&lt;/D&gt;&lt;D xsi:type="xsd:double"&gt;-5.1044884&lt;/D&gt;&lt;D xsi:type="xsd:double"&gt;-5.7400703&lt;/D&gt;&lt;D xsi:type="xsd:double"&gt;-1.3404846&lt;/D&gt;&lt;D xsi:type="xsd:double"&gt;4.503107&lt;/D&gt;&lt;D xsi:type="xsd:double"&gt;1.4487386&lt;/D&gt;&lt;D xsi:type="xsd:double"&gt;2.3068547&lt;/D&gt;&lt;D xsi:type="xsd:double"&gt;2.5769472&lt;/D&gt;&lt;D xsi:type="xsd:double"&gt;-3.6287487&lt;/D&gt;&lt;D xsi:type="xsd:double"&gt;4.414618</t>
        </r>
      </text>
    </comment>
    <comment ref="A9" authorId="0" shapeId="0" xr:uid="{6EC2E95F-CE98-405F-BAB2-DCDD8CCC3E18}">
      <text>
        <r>
          <rPr>
            <b/>
            <sz val="9"/>
            <color indexed="81"/>
            <rFont val="Tahoma"/>
            <charset val="1"/>
          </rPr>
          <t>&lt;/D&gt;&lt;D xsi:type="xsd:double"&gt;-7.1962953&lt;/D&gt;&lt;D xsi:type="xsd:double"&gt;3.1094074&lt;/D&gt;&lt;D xsi:type="xsd:double"&gt;-1.5636623&lt;/D&gt;&lt;D xsi:type="xsd:double"&gt;9.568834&lt;/D&gt;&lt;D xsi:type="xsd:double"&gt;-0.0690341&lt;/D&gt;&lt;D xsi:type="xsd:double"&gt;1.3816953&lt;/D&gt;&lt;D xsi:type="xsd:double"&gt;0.5792141&lt;/D&gt;&lt;D xsi:type="xsd:double"&gt;-11.8902445&lt;/D&gt;&lt;D xsi:type="xsd:double"&gt;-16.186089&lt;/D&gt;&lt;D xsi:type="xsd:double"&gt;3.9449573&lt;/D&gt;&lt;D xsi:type="xsd:double"&gt;25.50751&lt;/D&gt;&lt;D xsi:type="xsd:double"&gt;0.15466213&lt;/D&gt;&lt;D xsi:type="xsd:double"&gt;3.9020896&lt;/D&gt;&lt;D xsi:type="xsd:double"&gt;1.9119143&lt;/D&gt;&lt;D xsi:type="xsd:double"&gt;-1.3065398&lt;/D&gt;&lt;D xsi:type="xsd:double"&gt;-2.7834356&lt;/D&gt;&lt;D xsi:type="xsd:double"&gt;8.729053&lt;/D&gt;&lt;D xsi:type="xsd:double"&gt;6.039977&lt;/D&gt;&lt;D xsi:type="xsd:double"&gt;0.09199381&lt;/D&gt;&lt;D xsi:type="xsd:double"&gt;-1.715678&lt;/D&gt;&lt;D xsi:type="xsd:double"&gt;6.982541&lt;/D&gt;&lt;D xsi:type="xsd:double"&gt;1.5151501&lt;/D&gt;&lt;D xsi:type="xsd:double"&gt;4.0183783&lt;/D&gt;&lt;D xsi:type="xsd:double"&gt;-3.4363568&lt;/D&gt;&lt;D xsi:type="xsd:double"&gt;0.9590268&lt;/D&gt;&lt;D xsi:type="xsd:double"&gt;1.0938287&lt;/D&gt;&lt;D xsi:type="xsd:double"&gt;-7.801819&lt;/D&gt;&lt;D xsi:type="xsd:double"&gt;6.639898&lt;/D&gt;&lt;D xsi:type="xsd:double"&gt;-6.921518&lt;/D&gt;&lt;D xsi:type="xsd:double"&gt;3.6582708&lt;/D&gt;&lt;D xsi:type="xsd:double"&gt;-3.1789243&lt;/D&gt;&lt;D xsi:type="xsd:double"&gt;-19.043154&lt;/D&gt;&lt;D xsi:type="xsd:double"&gt;6.5662503&lt;/D&gt;&lt;D xsi:type="xsd:double"&gt;-7.8651667&lt;/D&gt;&lt;D xsi:type="xsd:double"&gt;8.300554&lt;/D&gt;&lt;D xsi:type="xsd:double"&gt;-17.541355&lt;/D&gt;&lt;D xsi:type="xsd:double"&gt;7.2207093&lt;/D&gt;&lt;D xsi:type="xsd:double"&gt;-8.979249&lt;/D&gt;&lt;D xsi:type="xsd:double"&gt;-4.7929287&lt;/D&gt;&lt;D xsi:type="xsd:double"&gt;9.042036&lt;/D&gt;&lt;D xsi:type="xsd:double"&gt;12.415957&lt;/D&gt;&lt;D xsi:type="xsd:double"&gt;5.1389813&lt;/D&gt;&lt;D xsi:type="xsd:double"&gt;6.5250397&lt;/D&gt;&lt;D xsi:type="xsd:double"&gt;0.035607815&lt;/D&gt;&lt;D xsi:type="xsd:double"&gt;1.7443895&lt;/D&gt;&lt;D xsi:type="xsd:double"&gt;3.2190323&lt;/D&gt;&lt;D xsi:type="xsd:double"&gt;-3.3559322&lt;/D&gt;&lt;D xsi:type="xsd:double"&gt;-1.2904286&lt;/D&gt;&lt;D xsi:type="xsd:double"&gt;3.066814&lt;/D&gt;&lt;D xsi:type="xsd:double"&gt;-3.5423338&lt;/D&gt;&lt;D xsi:type="xsd:double"&gt;-4.1865587&lt;/D&gt;&lt;D xsi:type="xsd:double"&gt;-0.11498928&lt;/D&gt;&lt;D xsi:type="xsd:double"&gt;10.360706&lt;/D&gt;&lt;D xsi:type="xsd:double"&gt;0.9440899&lt;/D&gt;&lt;D xsi:type="xsd:double"&gt;0.8611798&lt;/D&gt;&lt;D xsi:type="xsd:double"&gt;5.225408&lt;/D&gt;&lt;D xsi:type="xsd:double"&gt;1.7526865&lt;/D&gt;&lt;D xsi:type="xsd:double"&gt;-0.22328496&lt;/D&gt;&lt;D xsi:type="xsd:double"&gt;3.3887506&lt;/D&gt;&lt;/FQL&gt;&lt;FQL&gt;&lt;Q&gt;EWA^FMA_DIV_YLD(NTMA,-10AY,0,AM,"PORTAGG","MEANR")&lt;/Q&gt;&lt;R&gt;121&lt;/R&gt;&lt;C&gt;1&lt;/C&gt;&lt;D xsi:type="xsd:double"&gt;4.79263727370508&lt;/D&gt;&lt;D xsi:type="xsd:double"&gt;4.78954796615276&lt;/D&gt;&lt;D xsi:type="xsd:double"&gt;4.74711363554663&lt;/D&gt;&lt;D xsi:type="xsd:double"&gt;4.71252775946433&lt;/D&gt;&lt;D xsi:type="xsd:double"&gt;5.07058431636786&lt;/D&gt;&lt;D xsi:type="xsd:double"&gt;4.87123368221232&lt;/D&gt;&lt;D xsi:type="xsd:double"&gt;5.02552678633894&lt;/D&gt;&lt;D xsi:type="xsd:double"&gt;5.02625648717392&lt;/D&gt;&lt;D xsi:type="xsd:double"&gt;4.65700931634745&lt;/D&gt;&lt;D xsi:type="xsd:double"&gt;4.58721810112436&lt;/D&gt;&lt;D xsi:type="xsd:double"&gt;4.60312389308295&lt;/D&gt;&lt;D xsi:type="xsd:double"&gt;4.72356288917145&lt;/D&gt;&lt;D xsi:type="xsd:double"&gt;4.9567301006173&lt;/D&gt;&lt;D xsi:type="xsd:double"&gt;4.9785236080569&lt;/D&gt;&lt;D xsi:type="xsd:double"&gt;4.87681021557507&lt;/D&gt;&lt;D xsi:type="xsd:double"&gt;5.51200695998104&lt;/D&gt;&lt;D xsi:type="xsd:double"&gt;5.31522494580806&lt;/D&gt;&lt;D xsi:type="xsd:double"&gt;5.26784682510675&lt;/D&gt;&lt;D xsi:type="xsd:double"&gt;5.27467957117332&lt;/D&gt;&lt;D xsi:type="xsd:double"&gt;5.30514229797943&lt;/D&gt;&lt;D xsi:type="xsd:double"&gt;5.16136970836855&lt;/D&gt;&lt;D xsi:type="xsd:double"&gt;4.8076398435174&lt;/D&gt;&lt;D xsi:type="xsd:double"&gt;4.99780365055437&lt;/D&gt;&lt;D xsi:type="xsd:double"&gt;4.63004258100395&lt;/D&gt;&lt;D xsi:type="xsd:double"&gt;4.56837656751093&lt;/D&gt;&lt;D xsi:type="xsd:double"&gt;4.73075290589268&lt;/D&gt;&lt;D xsi:type="xsd:double"&gt;4.49072669295295&lt;/D&gt;&lt;D xsi:type="xsd:double"&gt;4.54075889062887&lt;/D&gt;&lt;D xsi:type="xsd:double"&gt;4.50948935685191&lt;/D&gt;&lt;D xsi:type="xsd:double"&gt;4.77689300525309&lt;/D&gt;&lt;D xsi:type="xsd:double"&gt;4.62539792419898&lt;/D&gt;&lt;D xsi:type="xsd:double"&gt;4.45836389008903&lt;/D&gt;&lt;D xsi:type="xsd:double"&gt;4.60088321717507&lt;/D&gt;&lt;D xsi:type="xsd:double"&gt;4.54893765787038&lt;/D&gt;&lt;D xsi:type="xsd:double"&gt;4.53296286727773&lt;/D&gt;&lt;D xsi:type="xsd:double"&gt;4.56623868700022&lt;/D&gt;&lt;D xsi:type="xsd:double"&gt;4.70594657682055&lt;/D&gt;&lt;D xsi:type="xsd:double"&gt;4.60448867387774&lt;/D&gt;&lt;D xsi:type="xsd:double"&gt;4.60261092780464&lt;/D&gt;&lt;D xsi:type="xsd:double"&gt;4.60465765039471&lt;/D&gt;&lt;D xsi:type="xsd:double"&gt;4.61602787523283&lt;/D&gt;&lt;D xsi:type="xsd:double"&gt;4.47312837139314&lt;/D&gt;&lt;D xsi:type="xsd:double"&gt;4.53966523965416&lt;/D&gt;&lt;D xsi:type="xsd:double"&gt;4.41591578376079&lt;/D&gt;&lt;D xsi:type="xsd:double"&gt;4.69046795030047&lt;/D&gt;&lt;D xsi:type="xsd:double"&gt;4.63609556990807&lt;/D&gt;&lt;D xsi:type="xsd:double"&gt;4.81356575888658&lt;/D&gt;&lt;D xsi:type="xsd:double"&gt;4.67529411445381&lt;/D&gt;&lt;D xsi:type="xsd:double"&gt;4.7398969323641&lt;/D&gt;&lt;D xsi:type="xsd:double"&gt;4.54970522122001&lt;/D&gt;&lt;D xsi:type="xsd:double"&gt;4.60404750793036&lt;/D&gt;&lt;D xsi:type="xsd:double"&gt;4.75631089406569&lt;/D&gt;&lt;D xsi:type="xsd:double"&gt;4.78868931937573&lt;/D&gt;&lt;D xsi:type="xsd:double"&gt;5.03806542885325&lt;/D&gt;&lt;D xsi:type="xsd:double"&gt;5.33752249254603&lt;/D&gt;&lt;D xsi:type="xsd:double"&gt;5.35555764450583&lt;/D&gt;&lt;D xsi:type="xsd:double"&gt;4.98270894971302&lt;/D&gt;&lt;D xsi:type="xsd:double"&gt;4.89683164539855&lt;/D&gt;&lt;D xsi:type="xsd:double"&gt;4.9467614713689&lt;/D&gt;&lt;D xsi:type="xsd:double"&gt;4.91428340674522&lt;/D&gt;&lt;D xsi:type="xsd:double"&gt;4.81234642085415&lt;/D&gt;&lt;D xsi:type="xsd:double"&gt;4.54968052967786&lt;/D&gt;&lt;D xsi:type="xsd:double"&gt;4.75380971566202&lt;/D&gt;&lt;D xsi:type="xsd:double"&gt;4.5229883117362&lt;/D&gt;&lt;D xsi:type="xsd:double"&gt;4.55438622426741&lt;/D&gt;&lt;D xsi:type="xsd:double"&gt;4.38612967152585&lt;/D&gt;&lt;D xsi:type="xsd:double"&gt;4.33759446766056&lt;/D&gt;&lt;D xsi:type="xsd:double"&gt;4.29153995178835&lt;/D&gt;&lt;D xsi:type="xsd:double"&gt;4.1349093245121&lt;/D&gt;&lt;D xsi:type="xsd:double"&gt;4.61450672757828&lt;/D&gt;&lt;D xsi:type="xsd:double"&gt;4.86620667184179&lt;/D&gt;&lt;D xsi:type="xsd:double"&gt;3.92483229131347&lt;/D&gt;&lt;D xsi:type="xsd:double"&gt;3.34360422616842&lt;/D&gt;&lt;D xsi:type="xsd:double"&gt;3.40914498948037&lt;/D&gt;&lt;D xsi:type="xsd:double"&gt;3.37126778219721&lt;/D&gt;&lt;D xsi:type="xsd:double"&gt;3.50955811925958&lt;/D&gt;&lt;D xsi:type="xsd:double"&gt;3.63492547434455&lt;/D&gt;&lt;D xsi:type="xsd:double"&gt;3.61577427599308&lt;/D&gt;&lt;D xsi:type="xsd:double"&gt;3.42438036489861&lt;/D&gt;&lt;D xsi:type="xsd:double"&gt;3.56746414261983&lt;/D&gt;&lt;D xsi:type="xsd:double"&gt;3.56650770761183&lt;/D&gt;&lt;D xsi:type="xsd:double"&gt;3.91331478468549&lt;/D&gt;&lt;D xsi:type="xsd:double"&gt;3.93613640815748&lt;/D&gt;&lt;D xsi:type="xsd:double"&gt;3.91694573449428&lt;/D&gt;&lt;D xsi:type="xsd:double"&gt;3.82089686941806&lt;/D&gt;&lt;D xsi:type="xsd:double"&gt;4.08177627633348&lt;/D&gt;&lt;D xsi:type="xsd:double"&gt;4.03203289722332&lt;/D&gt;&lt;D xsi:type="xsd:double"&gt;4.01386602730576&lt;/D&gt;&lt;D xsi:type="xsd:double"&gt;4.12334919799914&lt;/D&gt;&lt;D xsi:type="xsd:double"&gt;3.91626239307172&lt;/D&gt;&lt;D xsi:type="xsd:double"&gt;4.03198955908653&lt;/D&gt;&lt;D xsi:type="xsd:double"&gt;3.94759709453073&lt;/D&gt;&lt;D xsi:type="xsd:double"&gt;4.3114491725966&lt;/D&gt;&lt;D xsi:type="xsd:double"&gt;4.30561087042062&lt;/D&gt;&lt;D xsi:type="xsd:double"&gt;4.3143785079963&lt;/D&gt;&lt;D xsi:type="xsd:double"&gt;4.63011506829889&lt;/D&gt;&lt;D xsi:type="xsd:double"&gt;4.68417144904338&lt;/D&gt;&lt;D xsi:type="xsd:double"&gt;5.26845439272083&lt;/D&gt;&lt;D xsi:type="xsd:double"&gt;4.79555472113381&lt;/D&gt;&lt;D xsi:type="xsd:double"&gt;4.89645227579996&lt;/D&gt;&lt;D xsi:type="xsd:double"&gt;4.95200165372644&lt;/D&gt;&lt;D xsi:type="xsd:double"&gt;4.92670943172705&lt;/D&gt;&lt;D xsi:type="xsd:double"&gt;4.43115599394548&lt;/D&gt;&lt;D xsi:type="xsd:double"&gt;4.56581832422176&lt;/D&gt;&lt;D xsi:type="xsd:double"&gt;4.29210351280324&lt;/D&gt;&lt;D xsi:type="xsd:double"&gt;4.43118812202847&lt;/D&gt;&lt;D xsi:type="xsd:double"&gt;4.50458110386338&lt;/D&gt;&lt;D xsi:type="xsd:double"&gt;4.45010543577399&lt;/D&gt;&lt;D xsi:type="xsd:double"&gt;4.46988346804274&lt;/D&gt;&lt;D xsi:type="xsd:double"&gt;4.32104223016525&lt;/D&gt;&lt;D xsi:type="xsd:double"&gt;4.16466087153078&lt;/D&gt;&lt;D xsi:type="xsd:double"&gt;4.17061696921576&lt;/D&gt;&lt;D xsi:type="xsd:double"&gt;4.41220842369113&lt;/D&gt;&lt;D xsi:type="xsd:double"&gt;4.36001214095312&lt;/D&gt;&lt;D xsi:type="xsd:double"&gt;4.24211278943842&lt;/D&gt;&lt;D xsi:type="xsd:double"&gt;4.03722504723455&lt;/D&gt;&lt;D xsi:type="xsd:double"&gt;4.02162171243031&lt;/D&gt;&lt;D xsi:type="xsd:double"&gt;3.95640026446955&lt;/D&gt;&lt;D xsi:type="xsd:double"&gt;3.94404844539709&lt;/D&gt;&lt;D xsi:type="xsd:double"&gt;3.99306379644334&lt;/D&gt;&lt;D xsi:type="xsd:double"&gt;3.95260133666397&lt;/D&gt;&lt;/FQL&gt;&lt;FQL&gt;&lt;Q&gt;ENZL^JULIAN(FMA_DIV_YLD(NTMA,-10AY,0,AM,"PORTAGG","MEANR").DATES)&lt;/Q&gt;&lt;R&gt;121&lt;/R&gt;&lt;C&gt;1&lt;/C&gt;&lt;D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xsi:type="xsd:long"&gt;45446&lt;/D&gt;&lt;/FQL&gt;&lt;FQL&gt;&lt;Q&gt;DDR3512M-FDS^FG_PRICE(0)/MAX(FG_PRICE(0,-1AY))&lt;/Q&gt;&lt;R&gt;1&lt;/R&gt;&lt;C&gt;1&lt;/C&gt;&lt;D xsi:type="xsd:double"&gt;0.923076923076923&lt;/D&gt;&lt;/FQL&gt;&lt;FQL&gt;&lt;Q&gt;PASP-FDS^FG_PRICE(0)/MAX(FG_PRICE(0,-1AY))&lt;/Q&gt;&lt;R&gt;1&lt;/R&gt;&lt;C&gt;1&lt;/C&gt;&lt;D xsi:type="xsd:double"&gt;0.662676056338028&lt;/D&gt;&lt;/FQL&gt;&lt;FQL&gt;&lt;Q&gt;PLATI-FDS^FG_PRICE(0)/MAX(FG_PRICE(0,-1AY))&lt;/Q&gt;&lt;R&gt;1&lt;/R&gt;&lt;C&gt;1&lt;/C&gt;&lt;D xsi:type="xsd:double"&gt;0.932647333956969&lt;/D&gt;&lt;/FQL&gt;&lt;FQL&gt;&lt;Q&gt;W-FDS^FG_PRICE(0)/MAX(FG_PRICE(0,-1AY))&lt;/Q&gt;&lt;R&gt;1&lt;/R&gt;&lt;C&gt;1&lt;/C&gt;&lt;D xsi:type="xsd:double"&gt;0.841170667543571&lt;/D&gt;&lt;/FQL&gt;&lt;FQL&gt;&lt;Q&gt;COPP-FDS^FG_PRICE(0)/MAX(FG_PRICE(0,-1AY))&lt;/Q&gt;&lt;R&gt;1&lt;/R&gt;&lt;C&gt;1&lt;/C&gt;&lt;D xsi:type="xsd:double"&gt;0.916389919906232&lt;/D&gt;&lt;/FQL&gt;&lt;FQL&gt;&lt;Q&gt;EWQ^FG_PRICE_MAVG(0,,,,60)&lt;/Q&gt;&lt;R&gt;1&lt;/R&gt;&lt;C&gt;1&lt;/C&gt;&lt;D xsi:type="xsd:double"&gt;41.1535&lt;/D&gt;&lt;/FQL&gt;&lt;FQL&gt;&lt;Q&gt;EWL^FG_PRICE_MAVG(0,,,,60)&lt;/Q&gt;&lt;R&gt;1&lt;/R&gt;&lt;C&gt;1&lt;/C&gt;&lt;D xsi:type="xsd:double"&gt;47.319168&lt;/D&gt;&lt;/FQL&gt;&lt;FQL&gt;&lt;Q&gt;EWA^FG_PRICE_MAVG(0,,,,60)&lt;/Q&gt;&lt;R&gt;1&lt;/R&gt;&lt;C&gt;1&lt;/C&gt;&lt;D xsi:type="xsd:double"&gt;24.326834&lt;/D&gt;&lt;/FQL&gt;&lt;FQL&gt;&lt;Q&gt;EWJ^FG_COMPANY_NAME&lt;/Q&gt;&lt;R&gt;1&lt;/R&gt;&lt;C&gt;1&lt;/C&gt;&lt;D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xsi:type="xsd:double"&gt;0.9985805&lt;/D&gt;&lt;/FQL&gt;&lt;FQL&gt;&lt;Q&gt;URTH^FG_TOTAL_RETURNC(0,-12AM)&lt;/Q&gt;&lt;R&gt;1&lt;/R&gt;&lt;C&gt;1&lt;/C&gt;&lt;D xsi:type="xsd:double"&gt;23.241997&lt;/D&gt;&lt;/FQL&gt;&lt;FQL&gt;&lt;Q&gt;VWO^PERCENT_CHANGE(FMA_EPS(+1,0,,,,"PORTAGG","MEAN"),FMA_EPS(+1,-1AM,,,,"PORTAGG","MEAN"))&lt;/Q&gt;&lt;R&gt;1&lt;/R&gt;&lt;C&gt;1&lt;/C&gt;&lt;D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xsi:type="xsd:double"&gt;4.3338656&lt;/D&gt;&lt;/FQL&gt;&lt;FQL&gt;&lt;Q&gt;EWN^FG_TOTAL_RETURNC(0,-6AM)&lt;/Q&gt;&lt;R&gt;1&lt;/R&gt;&lt;C&gt;1&lt;/C&gt;&lt;D xsi:type="xsd:double"&gt;25.531721&lt;/D&gt;&lt;/FQL&gt;&lt;FQL&gt;&lt;Q&gt;QQQ^FMA_PCT_ABOVE_MAVG(200,0,,,,"PORTAGG")&lt;/Q&gt;&lt;R&gt;1&lt;/R&gt;&lt;C&gt;1&lt;/C&gt;&lt;D xsi:type="xsd:double"&gt;61.7647058823529&lt;/D&gt;&lt;/FQL&gt;&lt;FQL&gt;&lt;Q&gt;EWL^PERCENT_CHANGE(FMA_EPS(+1,0,,,,"PORTAGG","MEAN"),FMA_EPS(+1,-3AM,,,,"PORTAGG","MEAN"))&lt;/Q&gt;&lt;R&gt;1&lt;/R&gt;&lt;C&gt;1&lt;/C&gt;&lt;D xsi:type="xsd:double"&gt;3.20383247593628&lt;/D&gt;&lt;/FQL&gt;&lt;FQL&gt;&lt;Q&gt;EWG^FG_TOTAL_RETURNC(0,-3AM)&lt;/Q&gt;&lt;R&gt;1&lt;/R&gt;&lt;C&gt;1&lt;/C&gt;&lt;D xsi:type="xsd:double"&gt;4.965925&lt;/D&gt;&lt;/FQL&gt;&lt;FQL&gt;&lt;Q&gt;EWA^P_PRICE(0)/P_PRICE_HIGH_PR(0,,,,,,"PRICE","INTRA","52W")&lt;/Q&gt;&lt;R&gt;1&lt;/R&gt;&lt;C&gt;1&lt;/C&gt;&lt;D xsi:type="xsd:double"&gt;0.99445325&lt;/D&gt;&lt;/FQL&gt;&lt;FQL&gt;&lt;Q&gt;FXI^SIZE(FG_CONSTITUENTS)&lt;/Q&gt;&lt;R&gt;1&lt;/R&gt;&lt;C&gt;1&lt;/C&gt;&lt;D xsi:type="xsd:long"&gt;53&lt;/D&gt;&lt;/FQL&gt;&lt;FQL&gt;&lt;Q&gt;VGK^FMA_COS_DOWN("EPS","1M",+1,0,,,"PORTAGG","MEANR")&lt;/Q&gt;&lt;R&gt;1&lt;/R&gt;&lt;C&gt;1&lt;/C&gt;&lt;D xsi:type="xsd:double"&gt;540&lt;/D&gt;&lt;/FQL&gt;&lt;FQL&gt;&lt;Q&gt;SPY^FMA_COS_UP("EPS","1M",+1,0,,,"PORTAGG","MEANR")&lt;/Q&gt;&lt;R&gt;1&lt;/R&gt;&lt;C&gt;1&lt;/C&gt;&lt;D xsi:type="xsd:double"&gt;205&lt;/D&gt;&lt;/FQL&gt;&lt;FQL&gt;&lt;Q&gt;EWC^SIZE(FG_CONSTITUENTS)&lt;/Q&gt;&lt;R&gt;1&lt;/R&gt;&lt;C&gt;1&lt;/C&gt;&lt;D xsi:type="xsd:long"&gt;88&lt;/D&gt;&lt;/FQL&gt;&lt;FQL&gt;&lt;Q&gt;EWA^FMA_ROE(NTMA,-20AY,NOW,FY,"PORTAGG","MEANR")&lt;/Q&gt;&lt;R&gt;20&lt;/R&gt;&lt;C&gt;1&lt;/C&gt;&lt;D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xsi:type="xsd:double"&gt;0.508205811941024&lt;/D&gt;&lt;/FQL&gt;&lt;FQL&gt;&lt;Q&gt;CAGDPY@JP^EE_ACTUAL_ANNUAL(MED,0)&lt;/Q&gt;&lt;R&gt;1&lt;/R&gt;&lt;C&gt;1&lt;/C&gt;&lt;D xsi:type="xsd:double"&gt;3.61053955442387&lt;/D&gt;&lt;/FQL&gt;&lt;FQL&gt;&lt;Q&gt;CC_AU^FG_COMPANY_NAME&lt;/Q&gt;&lt;R&gt;1&lt;/R&gt;&lt;C&gt;1&lt;/C&gt;&lt;D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xsi:type="xsd:double"&gt;10.42425&lt;/D&gt;&lt;/FQL&gt;&lt;FQL&gt;&lt;Q&gt;USDCHF^FG_PRICE(0)&lt;/Q&gt;&lt;R&gt;1&lt;/R&gt;&lt;C&gt;1&lt;/C&gt;&lt;D xsi:type="xsd:double"&gt;0.89205&lt;/D&gt;&lt;/FQL&gt;&lt;FQL&gt;&lt;Q&gt;USDEUR^FG_PRICE(0)&lt;/Q&gt;&lt;R&gt;1&lt;/R&gt;&lt;C&gt;1&lt;/C&gt;&lt;D xsi:type="xsd:double"&gt;0.9192444&lt;/D&gt;&lt;/FQL&gt;&lt;FQL&gt;&lt;Q&gt;USDAUD^FG_PRICE(0)&lt;/Q&gt;&lt;R&gt;1&lt;/R&gt;&lt;C&gt;1&lt;/C&gt;&lt;D xsi:type="xsd:double"&gt;1.5035332&lt;/D&gt;&lt;/FQL&gt;&lt;FQL&gt;&lt;Q&gt;EWU^FMA_EPS(NTMA,-20AY,0,CY,,"PORTAGG","MEANR")&lt;/Q&gt;&lt;R&gt;20&lt;/R&gt;&lt;C&gt;1&lt;/C&gt;&lt;D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xsi:type="xsd:double"&gt;2.53485794585659&lt;/D&gt;&lt;D xsi:type="xsd:double"&gt;2.03463841720374&lt;/D&gt;&lt;D xsi:type="xsd:double"&gt;2.71427224340632&lt;/D&gt;&lt;D xsi:type="xsd:double"&gt;3.12760121442787&lt;/D&gt;&lt;D xsi:type="xsd:double"&gt;3.0028044332351&lt;/D&gt;&lt;/FQL&gt;&lt;FQL&gt;&lt;Q&gt;EWJ^P_PRICE_RETURNS_PR('52W',2,-10AY,0,AM)&lt;/Q&gt;&lt;R&gt;121&lt;/R&gt;&lt;C&gt;1&lt;/C&gt;&lt;D xsi:type="xsd:double"&gt;12.821424499999999&lt;/D&gt;&lt;D xsi:type="xsd:double"&gt;7.8951716&lt;/D&gt;&lt;D xsi:type="xsd:double"&gt;1.4716983&lt;/D&gt;&lt;D xsi:type="xsd:double"&gt;6.4640045&lt;/D&gt;&lt;D xsi:type="xsd:double"&gt;-0.90414286&lt;/D&gt;&lt;D xsi:type="xsd:double"&gt;-0.58376193&lt;/D&gt;&lt;D xsi:type="xsd:double"&gt;1.0844231&lt;/D&gt;&lt;D xsi:type="xsd:double"&gt;-7.3531985&lt;/D&gt;&lt;D xsi:type="xsd:double"&gt;4.784739&lt;/D&gt;&lt;D xsi:type="xsd:double"&gt;6.3753366&lt;/D&gt;&lt;D xsi:type="xsd:double"&gt;14.57231&lt;/D&gt;&lt;D xsi:type="xsd:double"&gt;16.550266&lt;/D&gt;&lt;D xsi:type="xsd:double"&gt;11.138773&lt;/D&gt;&lt;D xsi:type="xsd:double"&gt;6.325066&lt;/D&gt;&lt;D xsi:type="xsd:double"&gt;10.943258&lt;/D&gt;&lt;D xsi:type="xsd:double"&gt;-2.3050785&lt;/D&gt;&lt;D xsi:type="xsd:double"&gt;4.3571234&lt;/D&gt;&lt;D xsi:type="xsd:double"&gt;7.975018&lt;/D&gt;&lt;D xsi:type="xsd:double"&gt;6.951618&lt;/D&gt;&lt;D xsi:type="xsd:double"&gt;9.74189&lt;/D&gt;&lt;D xsi:type="xsd:double"&gt;-5.6564865&lt;/D&gt;&lt;D xsi:type="xsd:double"&gt;-4.8743067&lt;/D&gt;&lt;D xsi:type="xsd:double"&gt;-12.719261&lt;/D&gt;&lt;D xsi:type="xsd:double"&gt;-8.871627&lt;/D&gt;&lt;D xsi:type="xsd:double"&gt;-7.4344993&lt;/D&gt;&lt;D xsi:type="xsd:double"&gt;-9.013807&lt;/D&gt;&lt;D xsi:type="xsd:double"&gt;-5.063355&lt;/D&gt;&lt;D xsi:type="xsd:double"&gt;10.716879&lt;/D&gt;&lt;D xsi:type="xsd:double"&gt;6.7579865&lt;/D&gt;&lt;D xsi:type="xsd:double"&gt;1.8563747&lt;/D&gt;&lt;D xsi:type="xsd:double"&gt;1.7316461&lt;/D&gt;&lt;D xsi:type="xsd:double"&gt;8.376015&lt;/D&gt;&lt;D xsi:type="xsd:double"&gt;18.668974&lt;/D&gt;&lt;D xsi:type="xsd:double"&gt;13.416958&lt;/D&gt;&lt;D xsi:type="xsd:double"&gt;17.359543&lt;/D&gt;&lt;D xsi:type="xsd:double"&gt;17.187643&lt;/D&gt;&lt;D xsi:type="xsd:double"&gt;17.74534&lt;/D&gt;&lt;D xsi:type="xsd:double"&gt;17.546236&lt;/D&gt;&lt;D xsi:type="xsd:double"&gt;16.389084&lt;/D&gt;&lt;D xsi:type="xsd:double"&gt;10.682476&lt;/D&gt;&lt;D xsi:type="xsd:double"&gt;14.481139&lt;/D&gt;&lt;D xsi:type="xsd:double"&gt;21.68783&lt;/D&gt;&lt;D xsi:type="xsd:double"&gt;20.561337&lt;/D&gt;&lt;D xsi:type="xsd:double"&gt;24.372828&lt;/D&gt;&lt;D xsi:type="xsd:double"&gt;20.878578&lt;/D&gt;&lt;D xsi:type="xsd:double"&gt;19.822777&lt;/D&gt;&lt;D xsi:type="xsd:double"&gt;18.53634&lt;/D&gt;&lt;D xsi:type="xsd:double"&gt;17.246115&lt;/D&gt;&lt;D xsi:type="xsd:double"&gt;12.296427&lt;/D&gt;&lt;D xsi:type="xsd:double"&gt;9.47789&lt;/D&gt;&lt;D xsi:type="xsd:double"&gt;6.960094&lt;/D&gt;&lt;D xsi:type="xsd:double"&gt;6.1887145&lt;/D&gt;&lt;D xsi:type="xsd:double"&gt;7.163441&lt;/D&gt;&lt;D xsi:type="xsd:double"&gt;-4.953432&lt;/D&gt;&lt;D xsi:type="xsd:double"&gt;-7.1484804&lt;/D&gt;&lt;D xsi:type="xsd:double"&gt;-13.866073&lt;/D&gt;&lt;D xsi:type="xsd:double"&gt;-9.89275&lt;/D&gt;&lt;D xsi:type="xsd:double"&gt;-9.377575&lt;/D&gt;&lt;D xsi:type="xsd:double"&gt;-7.1546373&lt;/D&gt;&lt;D xsi:type="xsd:double"&gt;-7.365799&lt;/D&gt;&lt;D xsi:type="xsd:double"&gt;-10.038292&lt;/D&gt;&lt;D xsi:type="xsd:double"&gt;-0.77878237&lt;/D&gt;&lt;D xsi:type="xsd:double"&gt;-6.6014233&lt;/D&gt;&lt;D xsi:type="xsd:double"&gt;-2.2151232&lt;/D&gt;&lt;D xsi:type="xsd:double"&gt;-2.503562&lt;/D&gt;&lt;D xsi:type="xsd:double"&gt;9.339369&lt;/D&gt;&lt;D xsi:type="xsd:double"&gt;14.359474&lt;/D&gt;&lt;D xsi:type="xsd:double"&gt;15.611494&lt;/D&gt;&lt;D xsi:type="xsd:double"&gt;13.6512165&lt;/D&gt;&lt;D xsi:type="xsd:double"&gt;-0.68802834&lt;/D&gt;&lt;D xsi:type="xsd:double"&gt;-9.050333&lt;/D&gt;&lt;D xsi:type="xsd:double"&gt;-6.5392733&lt;/D&gt;&lt;D xsi:type="xsd:double"&gt;8.555722&lt;/D&gt;&lt;D xsi:type="xsd:double"&gt;2.7897954&lt;/D&gt;&lt;D xsi:type="xsd:double"&gt;6.9468856&lt;/D&gt;&lt;D xsi:type="xsd:double"&gt;9.143448&lt;/D&gt;&lt;D xsi:type="xsd:double"&gt;6.3506603&lt;/D&gt;&lt;D xsi:type="xsd:double"&gt;5.267024&lt;/D&gt;&lt;D xsi:type="xsd:double"&gt;11.909019&lt;/D&gt;&lt;D xsi:type="xsd:double"&gt;16.135204&lt;/D&gt;&lt;D xsi:type="xsd:double"&gt;17.58176&lt;/D&gt;&lt;D xsi:type="xsd:double"&gt;29.873264&lt;/D&gt;&lt;D xsi:type="xsd:double"&gt;41.412758&lt;/D&gt;&lt;D xsi:type="xsd:double"&gt;37.164474&lt;/D&gt;&lt;D xsi:type="xsd:double"&gt;25.124132&lt;/D&gt;&lt;D xsi:type="xsd:double"&gt;22.447586&lt;/D&gt;&lt;D xsi:type="xsd:double"&gt;22.517883&lt;/D&gt;&lt;D xsi:type="xsd:double"&gt;25.793434&lt;/D&gt;&lt;D xsi:type="xsd:double"&gt;15.903044&lt;/D&gt;&lt;D xsi:type="xsd:double"&gt;15.75433&lt;/D&gt;&lt;D xsi:type="xsd:double"&gt;3.1801105&lt;/D&gt;&lt;D xsi:type="xsd:double"&gt;0.45466423&lt;/D&gt;&lt;D xsi:type="xsd:double"&gt;-4.59857&lt;/D&gt;&lt;D xsi:type="xsd:double"&gt;-7.635927&lt;/D&gt;&lt;D xsi:type="xsd:double"&gt;-11.302048&lt;/D&gt;&lt;D xsi:type="xsd:double"&gt;-15.7969475&lt;/D&gt;&lt;D xsi:type="xsd:double"&gt;-15.877223&lt;/D&gt;&lt;D xsi:type="xsd:double"&gt;-20.304256&lt;/D&gt;&lt;D xsi:type="xsd:double"&gt;-16.7265&lt;/D&gt;&lt;D xsi:type="xsd:double"&gt;-26.54857&lt;/D&gt;&lt;D xsi:type="xsd:double"&gt;-24.038141&lt;/D&gt;&lt;D xsi:type="xsd:double"&gt;-25.92898&lt;/D&gt;&lt;D xsi:type="xsd:double"&gt;-17.12764&lt;/D&gt;&lt;D xsi:type="xsd:double"&gt;-17.393827&lt;/D&gt;&lt;D xsi:type="xsd:double"&gt;-9.339869&lt;/D&gt;&lt;D xsi:type="xsd:double"&gt;-5.0831437&lt;/D&gt;&lt;D xsi:type="xsd:double"&gt;-2.3120582&lt;/D&gt;&lt;D xsi:type="xsd:double"&gt;6.6867113&lt;/D&gt;&lt;D xsi:type="xsd:double"&gt;11.301827&lt;/D&gt;&lt;D xsi:type="xsd:double"&gt;16.38527&lt;/D&gt;&lt;D xsi:type="xsd:double"&gt;12.047482&lt;/D&gt;&lt;D xsi:type="xsd:double"&gt;21.840168&lt;/D&gt;&lt;D xsi:type="xsd:double"&gt;19.101965&lt;/D&gt;&lt;D xsi:type="xsd:double"&gt;21.42527&lt;/D&gt;&lt;D xsi:type="xsd:double"&gt;15.868652&lt;/D&gt;&lt;D xsi:type="xsd:double"&gt;21.430433&lt;/D&gt;&lt;D xsi:type="xsd:double"&gt;17.480612&lt;/D&gt;&lt;D xsi:type="xsd:double"&gt;27.024948&lt;/D&gt;&lt;D xsi:type="xsd:double"&gt;22.89878&lt;/D&gt;&lt;D xsi:type="xsd:double"&gt;19.520878&lt;/D&gt;&lt;D xsi:type="xsd:double"&gt;12.16948&lt;/D&gt;&lt;/FQL&gt;&lt;FQL&gt;&lt;Q&gt;EWC^FG_TOTAL_RETURNC(-10AY,0,AM)&lt;/Q&gt;&lt;R&gt;121&lt;/R&gt;&lt;C&gt;1&lt;/C&gt;&lt;D xsi:type="xsd:double"&gt;1.0794878&lt;/D&gt;&lt;D xsi:type="xsd:double"&gt;6.0886145&lt;/D&gt;&lt;D xsi:type="xsd:double"&gt;-2.2126675&lt;/D&gt;&lt;D xsi:type="xsd:double"&gt;3.2055378&lt;/D&gt;&lt;D xsi:type="xsd:double"&gt;-7.216811&lt;/D&gt;&lt;D xsi:type="xsd:double"&gt;-3.7085652&lt;/D&gt;&lt;D xsi:type="xsd:double"&gt;-0.20449758&lt;/D&gt;&lt;D xsi:type="xsd:double"&gt;-4.747641&lt;/D&gt;&lt;D xsi:type="xsd:double"&gt;0.3635049&lt;/D&gt;&lt;D xsi:type="xsd:double"&gt;-1.2314379&lt;/D&gt;&lt;D xsi:type="xsd:double"&gt;2.3102283&lt;/D&gt;&lt;D xsi:type="xsd:double"&gt;3.1541228&lt;/D&gt;&lt;D xsi:type="xsd:double"&gt;-3.752607&lt;/D&gt;&lt;D xsi:type="xsd:double"&gt;-3.9230704&lt;/D&gt;&lt;D xsi:type="xsd:double"&gt;-3.8621724&lt;/D&gt;&lt;D xsi:type="xsd:double"&gt;-7.955885&lt;/D&gt;&lt;D xsi:type="xsd:double"&gt;3.2092452&lt;/D&gt;&lt;D xsi:type="xsd:double"&gt;-2.487564&lt;/D&gt;&lt;D xsi:type="xsd:double"&gt;-1.7857134&lt;/D&gt;&lt;D xsi:type="xsd:double"&gt;-9.479719&lt;/D&gt;&lt;D xsi:type="xsd:double"&gt;1.6965628&lt;/D&gt;&lt;D xsi:type="xsd:double"&gt;7.8169703&lt;/D&gt;&lt;D xsi:type="xsd:double"&gt;2.9177666&lt;/D&gt;&lt;D xsi:type="xsd:double"&gt;3.865981&lt;/D&gt;&lt;D xsi:type="xsd:double"&gt;5.004132&lt;/D&gt;&lt;D xsi:type="xsd:double"&gt;-1.8259764&lt;/D&gt;&lt;D xsi:type="xsd:double"&gt;1.5365958&lt;/D&gt;&lt;D xsi:type="xsd:double"&gt;4.2214274&lt;/D&gt;&lt;D xsi:type="xsd:double"&gt;-3.1333566&lt;/D&gt;&lt;D xsi:type="xsd:double"&gt;-1.6568065&lt;/D&gt;&lt;D xsi:type="xsd:double"&gt;5.736065&lt;/D&gt;&lt;D xsi:type="xsd:double"&gt;3.029883&lt;/D&gt;&lt;D xsi:type="xsd:double"&gt;0.7065892&lt;/D&gt;&lt;D xsi:type="xsd:double"&gt;-0.7385552&lt;/D&gt;&lt;D xsi:type="xsd:double"&gt;0.11161566&lt;/D&gt;&lt;D xsi:type="xsd:double"&gt;-2.3039699&lt;/D&gt;&lt;D xsi:type="xsd:double"&gt;0.760746&lt;/D&gt;&lt;D xsi:type="xsd:double"&gt;1.4337301&lt;/D&gt;&lt;D xsi:type="xsd:double"&gt;4.202628&lt;/D&gt;&lt;D xsi:type="xsd:double"&gt;1.5844345&lt;/D&gt;&lt;D xsi:type="xsd:double"&gt;2.6231885&lt;/D&gt;&lt;D xsi:type="xsd:double"&gt;1.3126016&lt;/D&gt;&lt;D xsi:type="xsd:double"&gt;-1.4319837&lt;/D&gt;&lt;D xsi:type="xsd:double"&gt;6.2904835&lt;/D&gt;&lt;D xsi:type="xsd:double"&gt;-6.8226757&lt;/D&gt;&lt;D xsi:type="xsd:double"&gt;-1.8747807&lt;/D&gt;&lt;D xsi:type="xsd:double"&gt;-0.86517334&lt;/D&gt;&lt;D xsi:type="xsd:double"&gt;2.945447&lt;/D&gt;&lt;D xsi:type="xsd:double"&gt;2.2253633&lt;/D&gt;&lt;D xsi:type="xsd:double"&gt;0.23670197&lt;/D&gt;&lt;D xsi:type="xsd:double"&gt;1.9457936&lt;/D&gt;&lt;D xsi:type="xsd:double"&gt;-3.6468983&lt;/D&gt;&lt;D xsi:type="xsd:double"&gt;0.91969967&lt;/D&gt;&lt;D xsi:type="xsd:double"&gt;-5.502987&lt;/D&gt;&lt;D xsi:type="xsd:double"&gt;-3.783375&lt;/D&gt;&lt;D xsi:type="xsd:double"&gt;-3.3819199&lt;/D&gt;&lt;D xsi:type="xsd:double"&gt;10.344828&lt;/D&gt;&lt;D xsi:type="xsd:double"&gt;1.029408&lt;/D&gt;&lt;D xsi:type="xsd:double"&gt;2.43814&lt;/D&gt;&lt;D xsi:type="xsd:double"&gt;0.674963&lt;/D&gt;&lt;D xsi:type="xsd:double"&gt;-1.1997163&lt;/D&gt;&lt;D xsi:type="xsd:double"&gt;4.368317&lt;/D&gt;&lt;D xsi:type="xsd:double"&gt;-4.558009&lt;/D&gt;&lt;D xsi:type="xsd:double"&gt;3.5817623&lt;/D&gt;&lt;D xsi:type="xsd:double"&gt;-1.187557&lt;/D&gt;&lt;D xsi:type="xsd:double"&gt;3.5701632&lt;/D&gt;&lt;D xsi:type="xsd:double"&gt;0.61433315&lt;/D&gt;&lt;D xsi:type="xsd:double"&gt;3.0535579&lt;/D&gt;&lt;D xsi:type="xsd:double"&gt;1.3008714&lt;/D&gt;&lt;D xsi:type="xsd:double"&gt;-10.108667&lt;/D&gt;&lt;D xsi:type="xsd:double"&gt;-19.047619&lt;/D&gt;&lt;D xsi:type="xsd:double"&gt;8.325791&lt;/D&gt;&lt;D xsi:type="xsd:double"&gt;12.531328&lt;/D&gt;&lt;D xsi:type="xsd:double"&gt;-1.730442&lt;/D&gt;&lt;D xsi:type="xsd:double"&gt;7.592523&lt;/D&gt;&lt;D xsi:type="xsd:double"&gt;0.035452843&lt;/D&gt;&lt;D xsi:type="xsd:double"&gt;-2.0205617&lt;/D&gt;&lt;D xsi:type="xsd:double"&gt;2.0622253&lt;/D&gt;&lt;D xsi:type="xsd:double"&gt;11.095357&lt;/D&gt;&lt;D xsi:type="xsd:double"&gt;2.769971&lt;/D&gt;&lt;D xsi:type="xsd:double"&gt;0.723052&lt;/D&gt;&lt;D xsi:type="xsd:double"&gt;3.3083558&lt;/D&gt;&lt;D xsi:type="xsd:double"&gt;4.8338413&lt;/D&gt;&lt;D xsi:type="xsd:double"&gt;4.8703074&lt;/D&gt;&lt;D xsi:type="xsd:double"&gt;5.001378&lt;/D&gt;&lt;D xsi:type="xsd:double"&gt;-1.6753793&lt;/D&gt;&lt;D xsi:type="xsd:double"&gt;0.40172338&lt;/D&gt;&lt;D xsi:type="xsd:double"&gt;1.6270876&lt;/D&gt;&lt;D xsi:type="xsd:double"&gt;-3.2283425&lt;/D&gt;&lt;D xsi:type="xsd:double"&gt;7.5671315&lt;/D&gt;&lt;D xsi:type="xsd:double"&gt;-4.538578&lt;/D&gt;&lt;D xsi:type="xsd:double"&gt;1.6957164&lt;/D&gt;&lt;D xsi:type="xsd:double"&gt;0.9997368&lt;/D&gt;&lt;D xsi:type="xsd:double"&gt;0.3907323&lt;/D&gt;&lt;D xsi:type="xsd:double"&gt;3.5287976&lt;/D&gt;&lt;D xsi:type="xsd:double"&gt;-7.719302&lt;/D&gt;&lt;D xsi:type="xsd:double"&gt;3.6393285&lt;/D&gt;&lt;D xsi:type="xsd:double"&gt;-12.824577&lt;/D&gt;&lt;D xsi:type="xsd:double"&gt;5.2695274&lt;/D&gt;&lt;D xsi:type="xsd:double"&gt;-4.2577686&lt;/D&gt;&lt;D xsi:type="xsd:double"&gt;-4.507208&lt;/D&gt;&lt;D xsi:type="xsd:double"&gt;4.940212&lt;/D&gt;&lt;D xsi:type="xsd:double"&gt;1.6191959&lt;/D&gt;&lt;D xsi:type="xsd:double"&gt;1.0080934&lt;/D&gt;&lt;D xsi:type="xsd:double"&gt;4.119742&lt;/D&gt;&lt;D xsi:type="xsd:double"&gt;-1.3378918&lt;/D&gt;&lt;D xsi:type="xsd:double"&gt;-0.46162605&lt;/D&gt;&lt;D xsi:type="xsd:double"&gt;2.7536273&lt;/D&gt;&lt;D xsi:type="xsd:double"&gt;-2.59521&lt;/D&gt;&lt;D xsi:type="xsd:double"&gt;-0.3032148&lt;/D&gt;&lt;D xsi:type="xsd:double"&gt;2.1713495&lt;/D&gt;&lt;D xsi:type="xsd:double"&gt;-1.5508354&lt;/D&gt;&lt;D xsi:type="xsd:double"&gt;-4.4048967&lt;/D&gt;&lt;D xsi:type="xsd:double"&gt;2.6243567&lt;/D&gt;&lt;D xsi:type="xsd:double"&gt;3.8953185&lt;/D&gt;&lt;D xsi:type="xsd:double"&gt;5.5110097&lt;/D&gt;&lt;D xsi:type="xsd:double"&gt;-0.7148683&lt;/D&gt;&lt;D xsi:type="xsd:double"&gt;3.2124043&lt;/D&gt;&lt;D xsi:type="xsd:double"&gt;2.736783&lt;/D&gt;&lt;D xsi:type="xsd:double"&gt;-0.44398308&lt;/D&gt;&lt;D xsi:type="xsd:double"&gt;-0.341022&lt;/D&gt;&lt;/FQL&gt;&lt;FQL&gt;&lt;Q&gt;ENZL^FMA_DIV_YLD(NTMA,-10AY,0,AM,"PORTAGG","MEANR")&lt;/Q&gt;&lt;R&gt;121&lt;/R&gt;&lt;C&gt;1&lt;/C&gt;&lt;D xsi:type="xsd:double"&gt;4.19909336871741&lt;/D&gt;&lt;D xsi:type="xsd:double"&gt;4.421391511775&lt;/D&gt;&lt;D xsi:type="xsd:double"&gt;4.51210564026304&lt;/D&gt;&lt;D xsi:type="xsd:double"&gt;4.52534921163172&lt;/D&gt;&lt;D xsi:type="xsd:double"&gt;4.6019138364754&lt;/D&gt;&lt;D xsi:type="xsd:double"&gt;4.50105518769339&lt;/D&gt;&lt;D xsi:type="xsd:double"&gt;4.49520848139429&lt;/D&gt;&lt;D xsi:type="xsd:double"&gt;4.44402698624554&lt;/D&gt;&lt;D xsi:type="xsd:double"&gt;4.27268321119821&lt;/D&gt;&lt;D xsi:type="xsd:double"&gt;4.25811120187523&lt;/D&gt;&lt;D xsi:type="xsd:double"&gt;4.41687024886871&lt;/D&gt;&lt;D xsi:type="xsd:double"&gt;4.48472996159863&lt;/D&gt;&lt;D xsi:type="xsd:double"&gt;4.42790179091871&lt;/D&gt;&lt;D xsi:type="xsd:double"&gt;4.66282500205728&lt;/D&gt;&lt;D xsi:type="xsd:double"&gt;4.53760866784798&lt;/D&gt;&lt;D xsi:type="xsd:double"&gt;5.22260074814821&lt;/D&gt;&lt;D xsi:type="xsd:double"&gt;5.21703392815338&lt;/D&gt;&lt;D xsi:type="xsd:double"&gt;4.85205613497846&lt;/D&gt;&lt;D xsi:type="xsd:double"&gt;4.78887374216258&lt;/D&gt;&lt;D xsi:type="xsd:double"&gt;4.78124939874505&lt;/D&gt;&lt;D xsi:type="xsd:double"&gt;4.85472424234688&lt;/D&gt;&lt;D xsi:type="xsd:double"&gt;4.73556904345562&lt;/D&gt;&lt;D xsi:type="xsd:double"&gt;4.55723440636841&lt;/D&gt;&lt;D xsi:type="xsd:double"&gt;4.5315968173533&lt;/D&gt;&lt;D xsi:type="xsd:double"&gt;4.32804141976342&lt;/D&gt;&lt;D xsi:type="xsd:double"&gt;4.36662296823173&lt;/D&gt;&lt;D xsi:type="xsd:double"&gt;4.16684417878478&lt;/D&gt;&lt;D xsi:type="xsd:double"&gt;4.13982194790254&lt;/D&gt;&lt;D xsi:type="xsd:double"&gt;4.41533955966099&lt;/D&gt;&lt;D xsi:type="xsd:double"&gt;4.75554800541407&lt;/D&gt;&lt;D xsi:type="xsd:double"&gt;4.59023619449492&lt;/D&gt;&lt;D xsi:type="xsd:double"&gt;4.55074531002983&lt;/D&gt;&lt;D xsi:type="xsd:double"&gt;4.49045938530885&lt;/D&gt;&lt;D xsi:type="xsd:double"&gt;4.52902105957301&lt;/D&gt;&lt;D xsi:type="xsd:double"&gt;4.50904629879114&lt;/D&gt;&lt;D xsi:type="xsd:double"&gt;4.50055330050299&lt;/D&gt;&lt;D xsi:type="xsd:double"&gt;4.41768608860358&lt;/D&gt;&lt;D xsi:type="xsd:double"&gt;4.39571313255929&lt;/D&gt;&lt;D xsi:type="xsd:double"&gt;4.36176346834037&lt;/D&gt;&lt;D xsi:type="xsd:double"&gt;4.40885177263142&lt;/D&gt;&lt;D xsi:type="xsd:double"&gt;4.41006635553814&lt;/D&gt;&lt;D xsi:type="xsd:double"&gt;4.41546244104551&lt;/D&gt;&lt;D xsi:type="xsd:double"&gt;4.3780035117403&lt;/D&gt;&lt;D xsi:type="xsd:double"&gt;4.17995788421276&lt;/D&gt;&lt;D xsi:type="xsd:double"&gt;4.32044067871976&lt;/D&gt;&lt;D xsi:type="xsd:double"&gt;4.27712882696011&lt;/D&gt;&lt;D xsi:type="xsd:double"&gt;4.27193683380835&lt;/D&gt;&lt;D xsi:type="xsd:double"&gt;4.2158892253854&lt;/D&gt;&lt;D xsi:type="xsd:double"&gt;4.08540400573807&lt;/D&gt;&lt;D xsi:type="xsd:double"&gt;4.00834583120928&lt;/D&gt;&lt;D xsi:type="xsd:double"&gt;4.12179278517095&lt;/D&gt;&lt;D xsi:type="xsd:double"&gt;4.01415009009084&lt;/D&gt;&lt;D xsi:type="xsd:double"&gt;4.05448228840631&lt;/D&gt;&lt;D xsi:type="xsd:double"&gt;4.22447424429425&lt;/D&gt;&lt;D xsi:type="xsd:double"&gt;4.17336817582233&lt;/D&gt;&lt;D xsi:type="xsd:double"&gt;4.19553378891551&lt;/D&gt;&lt;D xsi:type="xsd:double"&gt;4.0675461804921&lt;/D&gt;&lt;D xsi:type="xsd:double"&gt;3.8840174851852&lt;/D&gt;&lt;D xsi:type="xsd:double"&gt;3.76040007602577&lt;/D&gt;&lt;D xsi:type="xsd:double"&gt;3.73616540677345&lt;/D&gt;&lt;D xsi:type="xsd:double"&gt;3.75297748127547&lt;/D&gt;&lt;D xsi:type="xsd:double"&gt;3.50019431866391&lt;/D&gt;&lt;D xsi:type="xsd:double"&gt;3.49445820589229&lt;/D&gt;&lt;D xsi:type="xsd:double"&gt;3.23149163721542&lt;/D&gt;&lt;D xsi:type="xsd:double"&gt;3.34547837244413&lt;/D&gt;&lt;D xsi:type="xsd:double"&gt;3.39226170507879&lt;/D&gt;&lt;D xsi:type="xsd:double"&gt;3.24908407320282&lt;/D&gt;&lt;D xsi:type="xsd:double"&gt;3.14121731349188&lt;/D&gt;&lt;D xsi:type="xsd:double"&gt;3.12358209283689&lt;/D&gt;&lt;D xsi:type="xsd:double"&gt;3.12562822798756&lt;/D&gt;&lt;D xsi:type="xsd:double"&gt;3.11443416822965&lt;/D&gt;&lt;D xsi:type="xsd:double"&gt;2.67390703962505&lt;/D&gt;&lt;D xsi:type="xsd:double"&gt;2.55857496601101&lt;/D&gt;&lt;D xsi:type="xsd:double"&gt;2.4273209580883&lt;/D&gt;&lt;D xsi:type="xsd:double"&gt;2.34660308593456&lt;/D&gt;&lt;D xsi:type="xsd:double"&gt;2.39127378621893&lt;/D&gt;&lt;D xsi:type="xsd:double"&gt;2.42104644279756&lt;/D&gt;&lt;D xsi:type="xsd:double"&gt;2.37901707132661&lt;/D&gt;&lt;D xsi:type="xsd:double"&gt;2.41266385854858&lt;/D&gt;&lt;D xsi:type="xsd:double"&gt;2.36930505215766&lt;/D&gt;&lt;D xsi:type="xsd:double"&gt;2.49316450473801&lt;/D&gt;&lt;D xsi:type="xsd:double"&gt;2.61979497184764&lt;/D&gt;&lt;D xsi:type="xsd:double"&gt;2.61580127295357&lt;/D&gt;&lt;D xsi:type="xsd:double"&gt;2.57561573441649&lt;/D&gt;&lt;D xsi:type="xsd:double"&gt;2.68506159599807&lt;/D&gt;&lt;D xsi:type="xsd:double"&gt;2.60791986834215&lt;/D&gt;&lt;D xsi:type="xsd:double"&gt;2.65232680874998&lt;/D&gt;&lt;D xsi:type="xsd:double"&gt;2.5643717151279&lt;/D&gt;&lt;D xsi:type="xsd:double"&gt;2.64213640915103&lt;/D&gt;&lt;D xsi:type="xsd:double"&gt;2.6617941247068&lt;/D&gt;&lt;D xsi:type="xsd:double"&gt;2.82720640542407&lt;/D&gt;&lt;D xsi:type="xsd:double"&gt;2.78205004239065&lt;/D&gt;&lt;D xsi:type="xsd:double"&gt;2.94815473087788&lt;/D&gt;&lt;D xsi:type="xsd:double"&gt;3.00442008444934&lt;/D&gt;&lt;D xsi:type="xsd:double"&gt;3.08177115588244&lt;/D&gt;&lt;D xsi:type="xsd:double"&gt;3.12433143004608&lt;/D&gt;&lt;D xsi:type="xsd:double"&gt;3.20288648754504&lt;/D&gt;&lt;D xsi:type="xsd:double"&gt;3.29055912694563&lt;/D&gt;&lt;D xsi:type="xsd:double"&gt;3.18824640503185&lt;/D&gt;&lt;D xsi:type="xsd:double"&gt;3.21534241697441&lt;/D&gt;&lt;D xsi:type="xsd:double"&gt;3.40101488601027&lt;/D&gt;&lt;D xsi:type="xsd:double"&gt;3.40173226780716&lt;/D&gt;&lt;D xsi:type="xsd:double"&gt;3.39178111448805&lt;/D&gt;&lt;D xsi:type="xsd:double"&gt;3.40446171201675&lt;/D&gt;&lt;D xsi:type="xsd:double"&gt;3.27393290825689&lt;/D&gt;&lt;D xsi:type="xsd:double"&gt;3.38080363260994&lt;/D&gt;&lt;D xsi:type="xsd:double"&gt;3.39777525684039&lt;/D&gt;&lt;D xsi:type="xsd:double"&gt;3.42547841092884&lt;/D&gt;&lt;D xsi:type="xsd:double"&gt;3.42731316678772&lt;/D&gt;&lt;D xsi:type="xsd:double"&gt;3.41342186523997&lt;/D&gt;&lt;D xsi:type="xsd:double"&gt;3.44364643311656&lt;/D&gt;&lt;D xsi:type="xsd:double"&gt;3.35533166820889&lt;/D&gt;&lt;D xsi:type="xsd:double"&gt;3.42792917623685&lt;/D&gt;&lt;D xsi:type="xsd:double"&gt;3.41733676446774&lt;/D&gt;&lt;D xsi:type="xsd:double"&gt;3.11256196783473&lt;/D&gt;&lt;D xsi:type="xsd:double"&gt;2.99176570643426&lt;/D&gt;&lt;D xsi:type="xsd:double"&gt;2.95338288411805&lt;/D&gt;&lt;D xsi:type="xsd:double"&gt;2.76156752070531&lt;/D&gt;&lt;D xsi:type="xsd:double"&gt;2.7630904069089&lt;/D&gt;&lt;D xsi:type="xsd:double"&gt;2.7725413204421&lt;/D&gt;&lt;D xsi:type="xsd:double"&gt;2.72931241554296&lt;/D&gt;&lt;/FQL&gt;&lt;FQL&gt;&lt;Q&gt;EWI^FMA_PE(LTMA,-10AY,0,AM,"PORTAGG","MEANR")&lt;/Q&gt;&lt;R&gt;121&lt;/R&gt;&lt;C&gt;1&lt;/C&gt;&lt;D xsi:type="xsd:double"&gt;17.3842555223602&lt;/D&gt;&lt;D xsi:type="xsd:double"&gt;17.6402971957018&lt;/D&gt;&lt;D xsi:type="xsd:double"&gt;16.6280917568956&lt;/D&gt;&lt;D xsi:type="xsd:double"&gt;18.1262399627989&lt;/D&gt;&lt;D xsi:type="xsd:double"&gt;17.140126555194&lt;/D&gt;&lt;D xsi:type="xsd:double"&gt;17.2371593406345&lt;/D&gt;&lt;D xsi:type="xsd:double"&gt;19.0348977577156&lt;/D&gt;&lt;D xsi:type="xsd:double"&gt;17.3645043065196&lt;/D&gt;&lt;D xsi:type="xsd:double"&gt;25.6972325038397&lt;/D&gt;&lt;D xsi:type="xsd:double"&gt;44.679315913512&lt;/D&gt;&lt;D xsi:</t>
        </r>
      </text>
    </comment>
    <comment ref="A10" authorId="0" shapeId="0" xr:uid="{EF48903F-F5D0-4D7B-9DD6-F06C8651D8A4}">
      <text>
        <r>
          <rPr>
            <b/>
            <sz val="9"/>
            <color indexed="81"/>
            <rFont val="Tahoma"/>
            <charset val="1"/>
          </rPr>
          <t>type="xsd:double"&gt;41.9068054173272&lt;/D&gt;&lt;D xsi:type="xsd:double"&gt;39.0331098645772&lt;/D&gt;&lt;D xsi:type="xsd:double"&gt;36.1193443230913&lt;/D&gt;&lt;D xsi:type="xsd:double"&gt;32.727855386688&lt;/D&gt;&lt;D xsi:type="xsd:double"&gt;30.945756155748&lt;/D&gt;&lt;D xsi:type="xsd:double"&gt;27.2539900020776&lt;/D&gt;&lt;D xsi:type="xsd:double"&gt;25.0536801603672&lt;/D&gt;&lt;D xsi:type="xsd:double"&gt;22.919586901987&lt;/D&gt;&lt;D xsi:type="xsd:double"&gt;20.6936266018261&lt;/D&gt;&lt;D xsi:type="xsd:double"&gt;17.4816851611465&lt;/D&gt;&lt;D xsi:type="xsd:double"&gt;14.2108707535768&lt;/D&gt;&lt;D xsi:type="xsd:double"&gt;15.4230131530954&lt;/D&gt;&lt;D xsi:type="xsd:double"&gt;15.0864634893354&lt;/D&gt;&lt;D xsi:type="xsd:double"&gt;15.1075203001822&lt;/D&gt;&lt;D xsi:type="xsd:double"&gt;14.9800968068915&lt;/D&gt;&lt;D xsi:type="xsd:double"&gt;14.0465929990076&lt;/D&gt;&lt;D xsi:type="xsd:double"&gt;14.9832031710918&lt;/D&gt;&lt;D xsi:type="xsd:double"&gt;15.0404237848488&lt;/D&gt;&lt;D xsi:type="xsd:double"&gt;14.6973059080549&lt;/D&gt;&lt;D xsi:type="xsd:double"&gt;14.3428184222674&lt;/D&gt;&lt;D xsi:type="xsd:double"&gt;15.0958901321054&lt;/D&gt;&lt;D xsi:type="xsd:double"&gt;28.5649331499547&lt;/D&gt;&lt;D xsi:type="xsd:double"&gt;18.2714231241064&lt;/D&gt;&lt;D xsi:type="xsd:double"&gt;84.6228442685082&lt;/D&gt;&lt;D xsi:type="xsd:double"&gt;77.3793140378908&lt;/D&gt;&lt;D xsi:type="xsd:double"&gt;70.7948878002706&lt;/D&gt;&lt;D xsi:type="xsd:double"&gt;63.0446980150096&lt;/D&gt;&lt;D xsi:type="xsd:double"&gt;56.1107694613191&lt;/D&gt;&lt;D xsi:type="xsd:double"&gt;49.538256012373&lt;/D&gt;&lt;D xsi:type="xsd:double"&gt;41.7325047102013&lt;/D&gt;&lt;D xsi:type="xsd:double"&gt;35.0089495980116&lt;/D&gt;&lt;D xsi:type="xsd:double"&gt;28.0613130186709&lt;/D&gt;&lt;D xsi:type="xsd:double"&gt;21.1889363083839&lt;/D&gt;&lt;D xsi:type="xsd:double"&gt;15.5876928086994&lt;/D&gt;&lt;D xsi:type="xsd:double"&gt;14.7420024440992&lt;/D&gt;&lt;D xsi:type="xsd:double"&gt;14.1777710761566&lt;/D&gt;&lt;D xsi:type="xsd:double"&gt;14.1138103952722&lt;/D&gt;&lt;D xsi:type="xsd:double"&gt;14.2418853683048&lt;/D&gt;&lt;D xsi:type="xsd:double"&gt;13.4935461237499&lt;/D&gt;&lt;D xsi:type="xsd:double"&gt;13.3302544349714&lt;/D&gt;&lt;D xsi:type="xsd:double"&gt;13.1105338644877&lt;/D&gt;&lt;D xsi:type="xsd:double"&gt;12.4123772097124&lt;/D&gt;&lt;D xsi:type="xsd:double"&gt;12.1324381587575&lt;/D&gt;&lt;D xsi:type="xsd:double"&gt;11.463269998317&lt;/D&gt;&lt;D xsi:type="xsd:double"&gt;10.76523469032&lt;/D&gt;&lt;D xsi:type="xsd:double"&gt;10.7065671091417&lt;/D&gt;&lt;D xsi:type="xsd:double"&gt;11.2966659615415&lt;/D&gt;&lt;D xsi:type="xsd:double"&gt;11.3003098441465&lt;/D&gt;&lt;D xsi:type="xsd:double"&gt;11.3501727253494&lt;/D&gt;&lt;D xsi:type="xsd:double"&gt;11.2880846285597&lt;/D&gt;&lt;D xsi:type="xsd:double"&gt;10.9119758510189&lt;/D&gt;&lt;D xsi:type="xsd:double"&gt;11.3090457726126&lt;/D&gt;&lt;D xsi:type="xsd:double"&gt;10.9208370082404&lt;/D&gt;&lt;D xsi:type="xsd:double"&gt;11.2725373409062&lt;/D&gt;&lt;D xsi:type="xsd:double"&gt;11.0771423928189&lt;/D&gt;&lt;D xsi:type="xsd:double"&gt;11.9375588833666&lt;/D&gt;&lt;D xsi:type="xsd:double"&gt;11.8781554697696&lt;/D&gt;&lt;D xsi:type="xsd:double"&gt;12.1428758456743&lt;/D&gt;&lt;D xsi:type="xsd:double"&gt;12.7541360297315&lt;/D&gt;&lt;D xsi:type="xsd:double"&gt;11.2510844006537&lt;/D&gt;&lt;D xsi:type="xsd:double"&gt;11.2064679292408&lt;/D&gt;&lt;D xsi:type="xsd:double"&gt;13.2251001694105&lt;/D&gt;&lt;D xsi:type="xsd:double"&gt;15.7615297031287&lt;/D&gt;&lt;D xsi:type="xsd:double"&gt;17.1867039730776&lt;/D&gt;&lt;D xsi:type="xsd:double"&gt;17.4592235505681&lt;/D&gt;&lt;D xsi:type="xsd:double"&gt;17.7000312946623&lt;/D&gt;&lt;D xsi:type="xsd:double"&gt;18.4853616082562&lt;/D&gt;&lt;D xsi:type="xsd:double"&gt;19.4398028753799&lt;/D&gt;&lt;D xsi:type="xsd:double"&gt;22.3904884468905&lt;/D&gt;&lt;D xsi:type="xsd:double"&gt;23.8815260138818&lt;/D&gt;&lt;D xsi:type="xsd:double"&gt;22.0368687940317&lt;/D&gt;&lt;D xsi:type="xsd:double"&gt;20.1575238448834&lt;/D&gt;&lt;D xsi:type="xsd:double"&gt;19.7126898039372&lt;/D&gt;&lt;D xsi:type="xsd:double"&gt;18.9604536124586&lt;/D&gt;&lt;D xsi:type="xsd:double"&gt;18.585789715606&lt;/D&gt;&lt;D xsi:type="xsd:double"&gt;17.8783812204068&lt;/D&gt;&lt;D xsi:type="xsd:double"&gt;16.4102984506083&lt;/D&gt;&lt;D xsi:type="xsd:double"&gt;15.5697007485226&lt;/D&gt;&lt;D xsi:type="xsd:double"&gt;14.4840342512079&lt;/D&gt;&lt;D xsi:type="xsd:double"&gt;14.1624224917559&lt;/D&gt;&lt;D xsi:type="xsd:double"&gt;12.4356622218491&lt;/D&gt;&lt;D xsi:type="xsd:double"&gt;12.2803954001816&lt;/D&gt;&lt;D xsi:type="xsd:double"&gt;11.7158048150002&lt;/D&gt;&lt;D xsi:type="xsd:double"&gt;10.4791778418614&lt;/D&gt;&lt;D xsi:type="xsd:double"&gt;10.4962650031208&lt;/D&gt;&lt;D xsi:type="xsd:double"&gt;10.2431907474875&lt;/D&gt;&lt;D xsi:type="xsd:double"&gt;10.0217413480455&lt;/D&gt;&lt;D xsi:type="xsd:double"&gt;9.19273108722003&lt;/D&gt;&lt;D xsi:type="xsd:double"&gt;8.92636138424176&lt;/D&gt;&lt;D xsi:type="xsd:double"&gt;8.37128302677465&lt;/D&gt;&lt;D xsi:type="xsd:double"&gt;8.0590757929283&lt;/D&gt;&lt;D xsi:type="xsd:double"&gt;8.25302799110711&lt;/D&gt;&lt;D xsi:type="xsd:double"&gt;7.73738453067721&lt;/D&gt;&lt;D xsi:type="xsd:double"&gt;7.82173870847202&lt;/D&gt;&lt;D xsi:type="xsd:double"&gt;8.17564172653064&lt;/D&gt;&lt;D xsi:type="xsd:double"&gt;8.33123150133039&lt;/D&gt;&lt;D xsi:type="xsd:double"&gt;8.33331269656689&lt;/D&gt;&lt;D xsi:type="xsd:double"&gt;8.34909173838988&lt;/D&gt;&lt;D xsi:type="xsd:double"&gt;8.42722165885998&lt;/D&gt;&lt;D xsi:type="xsd:double"&gt;8.48942055581409&lt;/D&gt;&lt;D xsi:type="xsd:double"&gt;8.30455360663595&lt;/D&gt;&lt;D xsi:type="xsd:double"&gt;8.30077406054835&lt;/D&gt;&lt;D xsi:type="xsd:double"&gt;8.11992920463171&lt;/D&gt;&lt;D xsi:type="xsd:double"&gt;8.18009511957462&lt;/D&gt;&lt;D xsi:type="xsd:double"&gt;8.75509087593699&lt;/D&gt;&lt;D xsi:type="xsd:double"&gt;8.93356817376648&lt;/D&gt;&lt;D xsi:type="xsd:double"&gt;9.10468846140626&lt;/D&gt;&lt;D xsi:type="xsd:double"&gt;9.38175947690287&lt;/D&gt;&lt;D xsi:type="xsd:double"&gt;9.43651631125358&lt;/D&gt;&lt;D xsi:type="xsd:double"&gt;9.50187934405974&lt;/D&gt;&lt;D xsi:type="xsd:double"&gt;9.56797496262135&lt;/D&gt;&lt;/FQL&gt;&lt;FQL&gt;&lt;Q&gt;DDR3512M-FDS^FG_PRICE_CHANGE(0,-1AY)&lt;/Q&gt;&lt;R&gt;1&lt;/R&gt;&lt;C&gt;1&lt;/C&gt;&lt;D xsi:type="xsd:double"&gt;-6.49105036557617&lt;/D&gt;&lt;/FQL&gt;&lt;FQL&gt;&lt;Q&gt;PASP-FDS^FG_PRICE_CHANGE(0,-1AY)&lt;/Q&gt;&lt;R&gt;1&lt;/R&gt;&lt;C&gt;1&lt;/C&gt;&lt;D xsi:type="xsd:double"&gt;-33.7323943661972&lt;/D&gt;&lt;/FQL&gt;&lt;FQL&gt;&lt;Q&gt;PLATI-FDS^FG_PRICE_CHANGE(0,-1AY)&lt;/Q&gt;&lt;R&gt;1&lt;/R&gt;&lt;C&gt;1&lt;/C&gt;&lt;D xsi:type="xsd:double"&gt;-3.48499515972894&lt;/D&gt;&lt;/FQL&gt;&lt;FQL&gt;&lt;Q&gt;W-FDS^FG_PRICE_CHANGE(0,-1AY)&lt;/Q&gt;&lt;R&gt;1&lt;/R&gt;&lt;C&gt;1&lt;/C&gt;&lt;D xsi:type="xsd:double"&gt;1.87176423735562&lt;/D&gt;&lt;/FQL&gt;&lt;FQL&gt;&lt;Q&gt;COPP-FDS^FG_PRICE_CHANGE(0,-1AY)&lt;/Q&gt;&lt;R&gt;1&lt;/R&gt;&lt;C&gt;1&lt;/C&gt;&lt;D xsi:type="xsd:double"&gt;24.5288027608176&lt;/D&gt;&lt;/FQL&gt;&lt;FQL&gt;&lt;Q&gt;EWG^FG_COMPANY_NAME&lt;/Q&gt;&lt;R&gt;1&lt;/R&gt;&lt;C&gt;1&lt;/C&gt;&lt;D xsi:type="xsd:string"&gt;iShares MSCI Germany ETF&lt;/D&gt;&lt;/FQL&gt;&lt;FQL&gt;&lt;Q&gt;ENZL^FMA_ROE(NTMA,-20AY,NOW,FY,"PORTAGG","MEANR")&lt;/Q&gt;&lt;R&gt;20&lt;/R&gt;&lt;C&gt;1&lt;/C&gt;&lt;D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xsi:type="xsd:double"&gt;6.44400181202056&lt;/D&gt;&lt;D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xsi:type="xsd:double"&gt;5.4&lt;/D&gt;&lt;/FQL&gt;&lt;FQL&gt;&lt;Q&gt;CAGDPY@DE^EE_ACTUAL_ANNUAL(MED,+1)&lt;/Q&gt;&lt;R&gt;1&lt;/R&gt;&lt;C&gt;1&lt;/C&gt;&lt;D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xsi:type="xsd:double"&gt;2.86429657487096&lt;/D&gt;&lt;/FQL&gt;&lt;FQL&gt;&lt;Q&gt;EWG^P_PRICE_RETURNS_PR('52W',2,-10AY,0,AM)&lt;/Q&gt;&lt;R&gt;121&lt;/R&gt;&lt;C&gt;1&lt;/C&gt;&lt;D xsi:type="xsd:double"&gt;25.681282&lt;/D&gt;&lt;D xsi:type="xsd:double"&gt;32.593227&lt;/D&gt;&lt;D xsi:type="xsd:double"&gt;9.469736&lt;/D&gt;&lt;D xsi:type="xsd:double"&gt;15.853489&lt;/D&gt;&lt;D xsi:type="xsd:double"&gt;-1.7354786&lt;/D&gt;&lt;D xsi:type="xsd:double"&gt;-5.752474&lt;/D&gt;&lt;D xsi:type="xsd:double"&gt;-1.3443947&lt;/D&gt;&lt;D xsi:type="xsd:double"&gt;-13.152808&lt;/D&gt;&lt;D xsi:type="xsd:double"&gt;-3.6089003&lt;/D&gt;&lt;D xsi:type="xsd:double"&gt;-5.890006&lt;/D&gt;&lt;D xsi:type="xsd:double"&gt;-0.3264308&lt;/D&gt;&lt;D xsi:type="xsd:double"&gt;-2.7208507&lt;/D&gt;&lt;D xsi:type="xsd:double"&gt;-8.83292&lt;/D&gt;&lt;D xsi:type="xsd:double"&gt;-12.257183&lt;/D&gt;&lt;D xsi:type="xsd:double"&gt;3.5297275&lt;/D&gt;&lt;D xsi:type="xsd:double"&gt;-10.846418&lt;/D&gt;&lt;D xsi:type="xsd:double"&gt;-3.8096309&lt;/D&gt;&lt;D xsi:type="xsd:double"&gt;1.2465358&lt;/D&gt;&lt;D xsi:type="xsd:double"&gt;-3.8689137&lt;/D&gt;&lt;D xsi:type="xsd:double"&gt;-2.881813&lt;/D&gt;&lt;D xsi:type="xsd:double"&gt;-17.719095&lt;/D&gt;&lt;D xsi:type="xsd:double"&gt;-15.070605&lt;/D&gt;&lt;D xsi:type="xsd:double"&gt;-16.438711&lt;/D&gt;&lt;D xsi:type="xsd:double"&gt;-12.070769&lt;/D&gt;&lt;D xsi:type="xsd:double"&gt;-7.6544228&lt;/D&gt;&lt;D xsi:type="xsd:double"&gt;-12.705988&lt;/D&gt;&lt;D xsi:type="xsd:double"&gt;-9.397072&lt;/D&gt;&lt;D xsi:type="xsd:double"&gt;6.874752&lt;/D&gt;&lt;D xsi:type="xsd:double"&gt;5.5229545&lt;/D&gt;&lt;D xsi:type="xsd:double"&gt;-3.9027572&lt;/D&gt;&lt;D xsi:type="xsd:double"&gt;-2.7809203&lt;/D&gt;&lt;D xsi:type="xsd:double"&gt;9.956622&lt;/D&gt;&lt;D xsi:type="xsd:double"&gt;18.182278&lt;/D&gt;&lt;D xsi:type="xsd:double"&gt;16.107727&lt;/D&gt;&lt;D xsi:type="xsd:double"&gt;16.154348&lt;/D&gt;&lt;D xsi:type="xsd:double"&gt;23.840487&lt;/D&gt;&lt;D xsi:type="xsd:double"&gt;22.480345&lt;/D&gt;&lt;D xsi:type="xsd:double"&gt;32.095837&lt;/D&gt;&lt;D xsi:type="xsd:double"&gt;25.200676&lt;/D&gt;&lt;D xsi:type="xsd:double"&gt;19.48272&lt;/D&gt;&lt;D xsi:type="xsd:double"&gt;26.090313&lt;/D&gt;&lt;D xsi:type="xsd:double"&gt;34.97807&lt;/D&gt;&lt;D xsi:type="xsd:double"&gt;31.148888&lt;/D&gt;&lt;D xsi:type="xsd:double"&gt;30.192638&lt;/D&gt;&lt;D xsi:type="xsd:double"&gt;25.747227&lt;/D&gt;&lt;D xsi:type="xsd:double"&gt;19.208347&lt;/D&gt;&lt;D xsi:type="xsd:double"&gt;15.038681&lt;/D&gt;&lt;D xsi:type="xsd:double"&gt;10.335505&lt;/D&gt;&lt;D xsi:type="xsd:double"&gt;6.1596513&lt;/D&gt;&lt;D xsi:type="xsd:double"&gt;4.2719007&lt;/D&gt;&lt;D xsi:type="xsd:double"&gt;1.0532022&lt;/D&gt;&lt;D xsi:type="xsd:double"&gt;-3.5655677&lt;/D&gt;&lt;D xsi:type="xsd:double"&gt;-7.698697&lt;/D&gt;&lt;D xsi:type="xsd:double"&gt;-14.695835&lt;/D&gt;&lt;D xsi:type="xsd:double"&gt;-18.442625&lt;/D&gt;&lt;D xsi:type="xsd:double"&gt;-22.36032&lt;/D&gt;&lt;D xsi:type="xsd:double"&gt;-17.67701&lt;/D&gt;&lt;D xsi:type="xsd:double"&gt;-13.834297&lt;/D&gt;&lt;D xsi:type="xsd:double"&gt;-11.162376&lt;/D&gt;&lt;D xsi:type="xsd:double"&gt;-10.6212435&lt;/D&gt;&lt;D xsi:type="xsd:double"&gt;-12.909871&lt;/D&gt;&lt;D xsi:type="xsd:double"&gt;-5.258483&lt;/D&gt;&lt;D xsi:type="xsd:double"&gt;-12.450254&lt;/D&gt;&lt;D xsi:type="xsd:double"&gt;-6.0396376&lt;/D&gt;&lt;D xsi:type="xsd:double"&gt;-7.82271&lt;/D&gt;&lt;D xsi:type="xsd:double"&gt;7.4512005&lt;/D&gt;&lt;D xsi:type="xsd:double"&gt;13.915896&lt;/D&gt;&lt;D xsi:type="xsd:double"&gt;17.059004&lt;/D&gt;&lt;D xsi:type="xsd:double"&gt;12.663674&lt;/D&gt;&lt;D xsi:type="xsd:double"&gt;-2.1498978&lt;/D&gt;&lt;D xsi:type="xsd:double"&gt;-19.837236&lt;/D&gt;&lt;D xsi:type="xsd:double"&gt;-18.768156&lt;/D&gt;&lt;D xsi:type="xsd:double"&gt;5.982816&lt;/D&gt;&lt;D xsi:type="xsd:double"&gt;1.4748335&lt;/D&gt;&lt;D xsi:type="xsd:double"&gt;13.610184&lt;/D&gt;&lt;D xsi:type="xsd:double"&gt;13.644671&lt;/D&gt;&lt;D xsi:type="xsd:double"&gt;12.584066&lt;/D&gt;&lt;D xsi:type="xsd:double"&gt;-0.10813475&lt;/D&gt;&lt;D xsi:type="xsd:double"&gt;8.499122&lt;/D&gt;&lt;D xsi:type="xsd:double"&gt;13.680434&lt;/D&gt;&lt;D xsi:type="xsd:double"&gt;13.475704&lt;/D&gt;&lt;D xsi:type="xsd:double"&gt;24.944569&lt;/D&gt;&lt;D xsi:type="xsd:double"&gt;61.077118&lt;/D&gt;&lt;D xsi:type="xsd:double"&gt;57.3118&lt;/D&gt;&lt;D xsi:type="xsd:double"&gt;32.85301&lt;/D&gt;&lt;D xsi:type="xsd:double"&gt;25.702583&lt;/D&gt;&lt;D xsi:type="xsd:double"&gt;22.142006&lt;/D&gt;&lt;D xsi:type="xsd:double"&gt;20.918476&lt;/D&gt;&lt;D xsi:type="xsd:double"&gt;13.187563&lt;/D&gt;&lt;D xsi:type="xsd:double"&gt;24.289167&lt;/D&gt;&lt;D xsi:type="xsd:double"&gt;6.28742&lt;/D&gt;&lt;D xsi:type="xsd:double"&gt;3.9001465&lt;/D&gt;&lt;D xsi:type="xsd:double"&gt;1.0309815&lt;/D&gt;&lt;D xsi:type="xsd:double"&gt;-17.34298&lt;/D&gt;&lt;D xsi:type="xsd:double"&gt;-17.5363&lt;/D&gt;&lt;D xsi:type="xsd:double"&gt;-25.1562&lt;/D&gt;&lt;D xsi:type="xsd:double"&gt;-22.075064&lt;/D&gt;&lt;D xsi:type="xsd:double"&gt;-33.45752&lt;/D&gt;&lt;D xsi:type="xsd:double"&gt;-29.755037&lt;/D&gt;&lt;D xsi:type="xsd:double"&gt;-36.372&lt;/D&gt;&lt;D xsi:type="xsd:double"&gt;-34.295498&lt;/D&gt;&lt;D xsi:type="xsd:double"&gt;-32.795994&lt;/D&gt;&lt;D xsi:type="xsd:double"&gt;-18.857569&lt;/D&gt;&lt;D xsi:type="xsd:double"&gt;-17.698479&lt;/D&gt;&lt;D xsi:type="xsd:double"&gt;-9.449744&lt;/D&gt;&lt;D xsi:type="xsd:double"&gt;11.889863&lt;/D&gt;&lt;D xsi:type="xsd:double"&gt;6.827128&lt;/D&gt;&lt;D xsi:type="xsd:double"&gt;17.916166&lt;/D&gt;&lt;D xsi:type="xsd:double"&gt;6.797731&lt;/D&gt;&lt;D xsi:type="xsd:double"&gt;27.845383&lt;/D&gt;&lt;D xsi:type="xsd:double"&gt;21.452105&lt;/D&gt;&lt;D xsi:type="xsd:double"&gt;30.233156&lt;/D&gt;&lt;D xsi:type="xsd:double"&gt;31.062614&lt;/D&gt;&lt;D xsi:type="xsd:double"&gt;20.056366&lt;/D&gt;&lt;D xsi:type="xsd:double"&gt;17.861425&lt;/D&gt;&lt;D xsi:type="xsd:double"&gt;16.01981&lt;/D&gt;&lt;D xsi:type="xsd:double"&gt;7.142341&lt;/D&gt;&lt;D xsi:type="xsd:double"&gt;12.700832&lt;/D&gt;&lt;D xsi:type="xsd:double"&gt;13.544297&lt;/D&gt;&lt;D xsi:type="xsd:double"&gt;8.951176&lt;/D&gt;&lt;D xsi:type="xsd:double"&gt;16.554737&lt;/D&gt;&lt;/FQL&gt;&lt;FQL&gt;&lt;Q&gt;EWA^FG_TOTAL_RETURNC(-10AY,0,AM)&lt;/Q&gt;&lt;R&gt;121&lt;/R&gt;&lt;C&gt;1&lt;/C&gt;&lt;D xsi:type="xsd:double"&gt;0.49185753&lt;/D&gt;&lt;D xsi:type="xsd:double"&gt;1.4294267&lt;/D&gt;&lt;D xsi:type="xsd:double"&gt;-0.6028712&lt;/D&gt;&lt;D xsi:type="xsd:double"&gt;3.108418&lt;/D&gt;&lt;D xsi:type="xsd:double"&gt;-11.250008&lt;/D&gt;&lt;D xsi:type="xsd:double"&gt;2.2783756&lt;/D&gt;&lt;D xsi:type="xsd:double"&gt;-5.5083036&lt;/D&gt;&lt;D xsi:type="xsd:double"&gt;-3.5217464&lt;/D&gt;&lt;D xsi:type="xsd:double"&gt;5.4587126&lt;/D&gt;&lt;D xsi:type="xsd:double"&gt;0.2609849&lt;/D&gt;&lt;D xsi:type="xsd:double"&gt;0.60738325&lt;/D&gt;&lt;D xsi:type="xsd:double"&gt;-0.9055674&lt;/D&gt;&lt;D xsi:type="xsd:double"&gt;-6.4839005&lt;/D&gt;&lt;D xsi:type="xsd:double"&gt;-0.912869&lt;/D&gt;&lt;D xsi:type="xsd:double"&gt;-1.2987018&lt;/D&gt;&lt;D xsi:type="xsd:double"&gt;-14.522415&lt;/D&gt;&lt;D xsi:type="xsd:double"&gt;7.6396704&lt;/D&gt;&lt;D xsi:type="xsd:double"&gt;-1.2711883&lt;/D&gt;&lt;D xsi:type="xsd:double"&gt;4.0235996&lt;/D&gt;&lt;D xsi:type="xsd:double"&gt;-5.159366&lt;/D&gt;&lt;D xsi:type="xsd:double"&gt;-3.9127946&lt;/D&gt;&lt;D xsi:type="xsd:double"&gt;10.820234&lt;/D&gt;&lt;D xsi:type="xsd:double"&gt;-1.3123333&lt;/D&gt;&lt;D xsi:type="xsd:double"&gt;3.5638332&lt;/D&gt;&lt;D xsi:type="xsd:double"&gt;2.0030856&lt;/D&gt;&lt;D xsi:type="xsd:double"&gt;-1.0333538&lt;/D&gt;&lt;D xsi:type="xsd:double"&gt;7.378745&lt;/D&gt;&lt;D xsi:type="xsd:double"&gt;-0.5285859&lt;/D&gt;&lt;D xsi:type="xsd:double"&gt;1.014483&lt;/D&gt;&lt;D xsi:type="xsd:double"&gt;-4.830223&lt;/D&gt;&lt;D xsi:type="xsd:double"&gt;4.271364&lt;/D&gt;&lt;D xsi:type="xsd:double"&gt;3.614056&lt;/D&gt;&lt;D xsi:type="xsd:double"&gt;2.1489859&lt;/D&gt;&lt;D xsi:type="xsd:double"&gt;2.4778008&lt;/D&gt;&lt;D xsi:type="xsd:double"&gt;2.281022&lt;/D&gt;&lt;D xsi:type="xsd:double"&gt;-1.4272928&lt;/D&gt;&lt;D xsi:type="xsd:double"&gt;-2.7601838&lt;/D&gt;&lt;D xsi:type="xsd:double"&gt;2.1511674&lt;/D&gt;&lt;D xsi:type="xsd:double"&gt;4.9813747&lt;/D&gt;&lt;D xsi:type="xsd:double"&gt;0.93126297&lt;/D&gt;&lt;D xsi:type="xsd:double"&gt;-2.3725867&lt;/D&gt;&lt;D xsi:type="xsd:double"&gt;3.240335&lt;/D&gt;&lt;D xsi:type="xsd:double"&gt;-1.4821291&lt;/D&gt;&lt;D xsi:type="xsd:double"&gt;7.4493885&lt;/D&gt;&lt;D xsi:type="xsd:double"&gt;-3.1645596&lt;/D&gt;&lt;D xsi:type="xsd:double"&gt;0.3050089&lt;/D&gt;&lt;D xsi:type="xsd:double"&gt;-5.256301&lt;/D&gt;&lt;D xsi:type="xsd:double"&gt;4.2182446&lt;/D&gt;&lt;D xsi:type="xsd:double"&gt;1.5398145&lt;/D&gt;&lt;D xsi:type="xsd:double"&gt;1.5141845&lt;/D&gt;&lt;D xsi:type="xsd:double"&gt;-1.1749387&lt;/D&gt;&lt;D xsi:type="xsd:double"&gt;-3.9189756&lt;/D&gt;&lt;D xsi:type="xsd:double"&gt;-1.5123725&lt;/D&gt;&lt;D xsi:type="xsd:double"&gt;-1.5356004&lt;/D&gt;&lt;D xsi:type="xsd:double"&gt;-3.449905&lt;/D&gt;&lt;D xsi:type="xsd:double"&gt;-0.2075553&lt;/D&gt;&lt;D xsi:type="xsd:double"&gt;6.1131&lt;/D&gt;&lt;D xsi:type="xsd:double"&gt;2.784443&lt;/D&gt;&lt;D xsi:type="xsd:double"&gt;0.5604863&lt;/D&gt;&lt;D xsi:type="xsd:double"&gt;0.4180193&lt;/D&gt;&lt;D xsi:type="xsd:double"&gt;2.1739125&lt;/D&gt;&lt;D xsi:type="xsd:double"&gt;5.230212&lt;/D&gt;&lt;D xsi:type="xsd:double"&gt;-6.760317&lt;/D&gt;&lt;D xsi:type="xsd:double"&gt;4.6610117&lt;/D&gt;&lt;D xsi:type="xsd:double"&gt;-1.8443525&lt;/D&gt;&lt;D xsi:type="xsd:double"&gt;3.5747051&lt;/D&gt;&lt;D xsi:type="xsd:double"&gt;0.2654791&lt;/D&gt;&lt;D xsi:type="xsd:double"&gt;1.8191814&lt;/D&gt;&lt;D xsi:type="xsd:double"&gt;1.149416&lt;/D&gt;&lt;D xsi:type="xsd:double"&gt;-13.548946&lt;/D&gt;&lt;D xsi:type="xsd:double"&gt;-18.705767&lt;/D&gt;&lt;D xsi:type="xsd:double"&gt;2.0522356&lt;/D&gt;&lt;D xsi:type="xsd:double"&gt;23.826933&lt;/D&gt;&lt;D xsi:type="xsd:double"&gt;-0.86479783&lt;/D&gt;&lt;D xsi:type="xsd:double"&gt;3.4760714&lt;/D&gt;&lt;D xsi:type="xsd:double"&gt;-1.2171388&lt;/D&gt;&lt;D xsi:type="xsd:double"&gt;-1.4292777&lt;/D&gt;&lt;D xsi:type="xsd:double"&gt;6.2000036&lt;/D&gt;&lt;D xsi:type="xsd:double"&gt;10.969866&lt;/D&gt;&lt;D xsi:type="xsd:double"&gt;5.6835294&lt;/D&gt;&lt;D xsi:type="xsd:double"&gt;0.44534206&lt;/D&gt;&lt;D xsi:type="xsd:double"&gt;1.3704181&lt;/D&gt;&lt;D xsi:type="xsd:double"&gt;0.35785437&lt;/D&gt;&lt;D xsi:type="xsd:double"&gt;4.833591&lt;/D&gt;&lt;D xsi:type="xsd:double"&gt;3.4769416&lt;/D&gt;&lt;D xsi:type="xsd:double"&gt;-4.457271&lt;/D&gt;&lt;D xsi:type="xsd:double"&gt;2.093029&lt;/D&gt;&lt;D xsi:type="xsd:double"&gt;0.75930357&lt;/D&gt;&lt;D xsi:type="xsd:double"&gt;-5.312741&lt;/D&gt;&lt;D xsi:type="xsd:double"&gt;5.173099&lt;/D&gt;&lt;D xsi:type="xsd:double"&gt;-6.6969395&lt;/D&gt;&lt;D xsi:type="xsd:double"&gt;2.9719949&lt;/D&gt;&lt;D xsi:type="xsd:double"&gt;-5.673468&lt;/D&gt;&lt;D xsi:type="xsd:double"&gt;7.183039&lt;/D&gt;&lt;D xsi:type="xsd:double"&gt;7.226479&lt;/D&gt;&lt;D xsi:type="xsd:double"&gt;-9.299696&lt;/D&gt;&lt;D xsi:type="xsd:double"&gt;3.52844&lt;/D&gt;&lt;D xsi:type="xsd:double"&gt;-13.201785&lt;/D&gt;&lt;D xsi:type="xsd:double"&gt;6.7238927&lt;/D&gt;&lt;D xsi:type="xsd:double"&gt;-4.066128&lt;/D&gt;&lt;D xsi:type="xsd:double"&gt;-4.704237&lt;/D&gt;&lt;D xsi:type="xsd:double"&gt;4.2522073&lt;/D&gt;&lt;D xsi:type="xsd:double"&gt;8.110642&lt;/D&gt;&lt;D xsi:type="xsd:double"&gt;1.6854525&lt;/D&gt;&lt;D xsi:type="xsd:double"&gt;5.5603743&lt;/D&gt;&lt;D xsi:type="xsd:double"&gt;-4.320985&lt;/D&gt;&lt;D xsi:type="xsd:double"&gt;-0.6881714&lt;/D&gt;&lt;D xsi:type="xsd:double"&gt;0.90948343&lt;/D&gt;&lt;D xsi:type="xsd:double"&gt;-2.5750995&lt;/D&gt;&lt;D xsi:type="xsd:double"&gt;-1.6109049&lt;/D&gt;&lt;D xsi:type="xsd:double"&gt;2.5091171&lt;/D&gt;&lt;D xsi:type="xsd:double"&gt;-2.7147233&lt;/D&gt;&lt;D xsi:type="xsd:double"&gt;-2.012813&lt;/D&gt;&lt;D xsi:type="xsd:double"&gt;1.4005542&lt;/D&gt;&lt;D xsi:type="xsd:double"&gt;3.7753344&lt;/D&gt;&lt;D xsi:type="xsd:double"&gt;7.7655673&lt;/D&gt;&lt;D xsi:type="xsd:double"&gt;-0.7142842&lt;/D&gt;&lt;D xsi:type="xsd:double"&gt;3.131616&lt;/D&gt;&lt;D xsi:type="xsd:double"&gt;0.7796407&lt;/D&gt;&lt;D xsi:type="xsd:double"&gt;-0.570029&lt;/D&gt;&lt;D xsi:type="xsd:double"&gt;2.7846098&lt;/D&gt;&lt;/FQL&gt;&lt;FQL&gt;&lt;Q&gt;EWD^FMA_PE(LTMA,-10AY,0,AM,"PORTAGG","MEANR")&lt;/Q&gt;&lt;R&gt;121&lt;/R&gt;&lt;C&gt;1&lt;/C&gt;&lt;D xsi:type="xsd:double"&gt;15.7038340648198&lt;/D&gt;&lt;D xsi:type="xsd:double"&gt;15.9551548654774&lt;/D&gt;&lt;D xsi:type="xsd:double"&gt;15.7423446183984&lt;/D&gt;&lt;D xsi:type="xsd:double"&gt;15.8463473408699&lt;/D&gt;&lt;D xsi:type="xsd:double"&gt;15.7643970916254&lt;/D&gt;&lt;D xsi:type="xsd:double"&gt;16.6676121234999&lt;/D&gt;&lt;D xsi:type="xsd:double"&gt;17.5684259641001&lt;/D&gt;&lt;D xsi:type="xsd:double"&gt;17.4706919785171&lt;/D&gt;&lt;D xsi:type="xsd:double"&gt;19.1066885503061&lt;/D&gt;&lt;D xsi:type="xsd:double"&gt;20.1801148730767&lt;/D&gt;&lt;D xsi:type="xsd:double"&gt;19.9117014151195&lt;/D&gt;&lt;D xsi:type="xsd:double"&gt;19.0581523978349&lt;/D&gt;&lt;D xsi:type="xsd:double"&gt;19.0488071638603&lt;/D&gt;&lt;D xsi:type="xsd:double"&gt;18.3323134174639&lt;/D&gt;&lt;D xsi:type="xsd:double"&gt;18.6125805208541&lt;/D&gt;&lt;D xsi:type="xsd:double"&gt;17.1706881063775&lt;/D&gt;&lt;D xsi:type="xsd:double"&gt;16.8343140076051&lt;/D&gt;&lt;D xsi:type="xsd:double"&gt;17.1558061190872&lt;/D&gt;&lt;D xsi:type="xsd:double"&gt;16.8085658844358&lt;/D&gt;&lt;D xsi:type="xsd:double"&gt;15.3532328583139&lt;/D&gt;&lt;D xsi:type="xsd:double"&gt;14.8066543465371&lt;/D&gt;&lt;D xsi:type="xsd:double"&gt;15.6493999203538&lt;/D&gt;&lt;D xsi:type="xsd:double"&gt;15.5219671225888&lt;/D&gt;&lt;D xsi:type="xsd:double"&gt;15.544650821879&lt;/D&gt;&lt;D xsi:type="xsd:double"&gt;15.4815673266319&lt;/D&gt;&lt;D xsi:type="xsd:double"&gt;15.0969187449019&lt;/D&gt;&lt;D xsi:type="xsd:double"&gt;15.7900628623453&lt;/D&gt;&lt;D xsi:type="xsd:double"&gt;16.1432028682209&lt;/D&gt;&lt;D xsi:type="xsd:double"&gt;16.6505641824621&lt;/D&gt;&lt;D xsi:type="xsd:double"&gt;16.5204798150493&lt;/D&gt;&lt;D xsi:type="xsd:double"&gt;17.5795633653048&lt;/D&gt;&lt;D xsi:type="xsd:double"&gt;18.2264933868151&lt;/D&gt;&lt;D xsi:type="xsd:double"&gt;17.8420638612474&lt;/D&gt;&lt;D xsi:type="xsd:double"&gt;17.4309294857029&lt;/D&gt;&lt;D xsi:type="xsd:double"&gt;17.5530520262479&lt;/D&gt;&lt;D xsi:type="xsd:double"&gt;17.6864132403546&lt;/D&gt;&lt;D xsi:type="xsd:double"&gt;17.6025492907277&lt;/D&gt;&lt;D xsi:type="xsd:double"&gt;17.5991243323785&lt;/D&gt;&lt;D xsi:type="xsd:double"&gt;17.0737358104253&lt;/D&gt;&lt;D xsi:type="xsd:double"&gt;16.8526950114585&lt;/D&gt;&lt;D xsi:type="xsd:double"&gt;17.658160109261&lt;/D&gt;&lt;D xsi:type="xsd:double"&gt;18.5604087738719&lt;/D&gt;&lt;D xsi:type="xsd:double"&gt;17.9012383471871&lt;/D&gt;&lt;D xsi:type="xsd:double"&gt;18.3176032331515&lt;/D&gt;&lt;D xsi:type="xsd:double"&gt;17.7900560321597&lt;/D&gt;&lt;D xsi:type="xsd:double"&gt;16.9323247437526&lt;/D&gt;&lt;D xsi:type="xsd:double"&gt;16.7405454763571&lt;/D&gt;&lt;D xsi:type="xsd:double"&gt;16.7673617804807&lt;/D&gt;&lt;D xsi:type="xsd:double"&gt;16.5733273082505&lt;/D&gt;&lt;D xsi:type="xsd:double"&gt;16.4421454474693&lt;/D&gt;&lt;D xsi:type="xsd:double"&gt;16.5631652193297&lt;/D&gt;&lt;D xsi:type="xsd:double"&gt;16.640424519574&lt;/D&gt;&lt;D xsi:type="xsd:double"&gt;16.4764189521547&lt;/D&gt;&lt;D xsi:type="xsd:double"&gt;15.2849517388662&lt;/D&gt;&lt;D xsi:type="xsd:double"&gt;14.1034029313938&lt;/D&gt;&lt;D xsi:type="xsd:double"&gt;14.0807560582387&lt;/D&gt;&lt;D xsi:type="xsd:double"&gt;16.2933660523589&lt;/D&gt;&lt;D xsi:type="xsd:double"&gt;18.1000646393607&lt;/D&gt;&lt;D xsi:type="xsd:double"&gt;17.9040572479203&lt;/D&gt;&lt;D xsi:type="xsd:double"&gt;17.7480352003298&lt;/D&gt;&lt;D xsi:type="xsd:double"&gt;17.0192495529651&lt;/D&gt;&lt;D xsi:type="xsd:double"&gt;17.1623459427188&lt;/D&gt;&lt;D xsi:type="xsd:double"&gt;15.9765451537695&lt;/D&gt;&lt;D xsi:type="xsd:double"&gt;16.0309891797797&lt;/D&gt;&lt;D xsi:type="xsd:double"&gt;16.0628918239538&lt;/D&gt;&lt;D xsi:type="xsd:double"&gt;17.0305928390471&lt;/D&gt;&lt;D xsi:type="xsd:double"&gt;15.9625765155611&lt;/D&gt;&lt;D xsi:type="xsd:double"&gt;16.3250066093743&lt;/D&gt;&lt;D xsi:type="xsd:double"&gt;14.1428420065839&lt;/D&gt;&lt;D xsi:type="xsd:double"&gt;12.8612082205849&lt;/D&gt;&lt;D xsi:type="xsd:double"&gt;13.2290632053624&lt;/D&gt;&lt;D xsi:type="xsd:double"&gt;14.9041195098915&lt;/D&gt;&lt;D xsi:type="xsd:double"&gt;16.625731638922&lt;/D&gt;&lt;D xsi:type="xsd:double"&gt;17.8996748590622&lt;/D&gt;&lt;D xsi:type="xsd:double"&gt;17.2755624916982&lt;/D&gt;&lt;D xsi:type="xsd:double"&gt;17.2302053557219&lt;/D&gt;&lt;D xsi:type="xsd:double"&gt;18.2389778984803&lt;/D&gt;&lt;D xsi:type="xsd:double"&gt;15.8842784714408&lt;/D&gt;&lt;D xsi:type="xsd:double"&gt;17.112838893059&lt;/D&gt;&lt;D xsi:type="xsd:double"&gt;18.0736634801084&lt;/D&gt;&lt;D xsi:type="xsd:double"&gt;17.8190294693559&lt;/D&gt;&lt;D xsi:type="xsd:double"&gt;17.6643862100718&lt;/D&gt;&lt;D xsi:type="xsd:double"&gt;18.2662530474257&lt;/D&gt;&lt;D xsi:type="xsd:double"&gt;17.5482449007108&lt;/D&gt;&lt;D xsi:type="xsd:double"&gt;17.8751874311757&lt;/D&gt;&lt;D xsi:type="xsd:double"&gt;18.0156589219318&lt;/D&gt;&lt;D xsi:type="xsd:double"&gt;17.5547754756276&lt;/D&gt;&lt;D xsi:type="xsd:double"&gt;17.5730623977127&lt;/D&gt;&lt;D xsi:type="xsd:double"&gt;16.7439854801791&lt;/D&gt;&lt;D xsi:type="xsd:double"&gt;16.6909513095076&lt;/D&gt;&lt;D xsi:type="xsd:double"&gt;16.4050110047295&lt;/D&gt;&lt;D xsi:type="xsd:double"&gt;17.0302507410647&lt;/D&gt;&lt;D xsi:type="xsd:double"&gt;12.2284218628565&lt;/D&gt;&lt;D xsi:type="xsd:double"&gt;11.5184289186643&lt;/D&gt;&lt;D xsi:type="xsd:double"&gt;12.1173085991085&lt;/D&gt;&lt;D xsi:type="xsd:double"&gt;12.0523012138097&lt;/D&gt;&lt;D xsi:type="xsd:double"&gt;13.7105894729703&lt;/D&gt;&lt;D xsi:type="xsd:double"&gt;13.555152564085&lt;/D&gt;&lt;D xsi:type="xsd:double"&gt;14.5614597474848&lt;/D&gt;&lt;D xsi:type="xsd:double"&gt;14.4570454881362&lt;/D&gt;&lt;D xsi:type="xsd:double"&gt;14.7468452830022&lt;/D&gt;&lt;D xsi:type="xsd:double"&gt;13.5867342597877&lt;/D&gt;&lt;D xsi:type="xsd:double"&gt;14.4259697163352&lt;/D&gt;&lt;D xsi:type="xsd:double"&gt;16.055004125026&lt;/D&gt;&lt;D xsi:type="xsd:double"&gt;26.7297061931019&lt;/D&gt;&lt;D xsi:type="xsd:double"&gt;25.4890955266854&lt;/D&gt;&lt;D xsi:type="xsd:double"&gt;24.1311364131465&lt;/D&gt;&lt;D xsi:type="xsd:double"&gt;23.1187847678833&lt;/D&gt;&lt;D xsi:type="xsd:double"&gt;21.8436309108047&lt;/D&gt;&lt;D xsi:type="xsd:double"&gt;20.4534962359055&lt;/D&gt;&lt;D xsi:type="xsd:double"&gt;19.2385300767574&lt;/D&gt;&lt;D xsi:type="xsd:double"&gt;17.8335075563431&lt;/D&gt;&lt;D xsi:type="xsd:double"&gt;16.4254357739133&lt;/D&gt;&lt;D xsi:type="xsd:double"&gt;15.7903817656554&lt;/D&gt;&lt;D xsi:type="xsd:double"&gt;17.7407534734591&lt;/D&gt;&lt;D xsi:type="xsd:double"&gt;17.2805050746453&lt;/D&gt;&lt;D xsi:type="xsd:double"&gt;15.0618962502986&lt;/D&gt;&lt;D xsi:type="xsd:double"&gt;15.8216488062468&lt;/D&gt;&lt;D xsi:type="xsd:double"&gt;15.9011144358011&lt;/D&gt;&lt;D xsi:type="xsd:double"&gt;15.9458543683393&lt;/D&gt;&lt;D xsi:type="xsd:double"&gt;16.1059528832942&lt;/D&gt;&lt;/FQL&gt;&lt;FQL&gt;&lt;Q&gt;DDR3512M-FDS^FG_PRICE_CHANGE(0,-6AM)&lt;/Q&gt;&lt;R&gt;1&lt;/R&gt;&lt;C&gt;1&lt;/C&gt;&lt;D xsi:type="xsd:double"&gt;-4&lt;/D&gt;&lt;/FQL&gt;&lt;FQL&gt;&lt;Q&gt;EWC^FG_COMPANY_NAME&lt;/Q&gt;&lt;R&gt;1&lt;/R&gt;&lt;C&gt;1&lt;/C&gt;&lt;D xsi:type="xsd:string"&gt;iShares MSCI Canada ETF&lt;/D&gt;&lt;/FQL&gt;&lt;FQL&gt;&lt;Q&gt;EWA^JULIAN(FMA_ROE(NTMA,-20AY,NOW,FY,"PORTAGG","MEANR").DATES)&lt;/Q&gt;&lt;R&gt;20&lt;/R&gt;&lt;C&gt;1&lt;/C&gt;&lt;D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xsi:type="xsd:long"&gt;45289&lt;/D&gt;&lt;/FQL&gt;&lt;FQL&gt;&lt;Q&gt;CAGDPY@SE^EE_ACTUAL_ANNUAL(MED,0)&lt;/Q&gt;&lt;R&gt;1&lt;/R&gt;&lt;C&gt;1&lt;/C&gt;&lt;D xsi:type="xsd:double"&gt;6.4686639012956&lt;/D&gt;&lt;/FQL&gt;&lt;FQL&gt;&lt;Q&gt;CAGDPY@DE^EE_ACTUAL_ANNUAL(MED,0)&lt;/Q&gt;&lt;R&gt;1&lt;/R&gt;&lt;C&gt;1&lt;/C&gt;&lt;D xsi:type="xsd:double"&gt;6.09669740069846&lt;/D&gt;&lt;/FQL&gt;&lt;FQL&gt;&lt;Q&gt;USDITL^STD(FG_PRICE_CHANGE(0,-3AY,M))&lt;/Q&gt;&lt;R&gt;1&lt;/R&gt;&lt;C&gt;1&lt;/C&gt;&lt;D xsi:type="xsd:double"&gt;2.17865071558857&lt;/D&gt;&lt;/FQL&gt;&lt;FQL&gt;&lt;Q&gt;USDANG^STD(FG_PRICE_CHANGE(0,-3AY,M))&lt;/Q&gt;&lt;R&gt;1&lt;/R&gt;&lt;C&gt;1&lt;/C&gt;&lt;D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xsi:type="xsd:double"&gt;2.37816350296202&lt;/D&gt;&lt;/FQL&gt;&lt;FQL&gt;&lt;Q&gt;USDJPY^STD(FG_PRICE_CHANGE(0,-3AY,M))&lt;/Q&gt;&lt;R&gt;1&lt;/R&gt;&lt;C&gt;1&lt;/C&gt;&lt;D xsi:type="xsd:double"&gt;3.04350180805915&lt;/D&gt;&lt;/FQL&gt;&lt;FQL&gt;&lt;Q&gt;USDCAD^STD(FG_PRICE_CHANGE(0,-3AY,M))&lt;/Q&gt;&lt;R&gt;1&lt;/R&gt;&lt;C&gt;1&lt;/C&gt;&lt;D xsi:type="xsd:double"&gt;1.82099997018593&lt;/D&gt;&lt;/FQL&gt;&lt;FQL&gt;&lt;Q&gt;USDNZD^STD(FG_PRICE_CHANGE(0,-3AY,M))&lt;/Q&gt;&lt;R&gt;1&lt;/R&gt;&lt;C&gt;1&lt;/C&gt;&lt;D xsi:type="xsd:double"&gt;3.51758480344381&lt;/D&gt;&lt;/FQL&gt;&lt;FQL&gt;&lt;Q&gt;EWJ^FMA_EPS(NTMA,-20AY,0,CY,,"PORTAGG","MEANR")&lt;/Q&gt;&lt;R&gt;20&lt;/R&gt;&lt;C&gt;1&lt;/C&gt;&lt;D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xsi:type="xsd:double"&gt;3.67789542177963&lt;/D&gt;&lt;D xsi:type="xsd:double"&gt;4.61613856769821&lt;/D&gt;&lt;D xsi:type="xsd:double"&gt;4.46089543101883&lt;/D&gt;&lt;D xsi:type="xsd:double"&gt;4.5665392599763&lt;/D&gt;&lt;/FQL&gt;&lt;FQL&gt;&lt;Q&gt;EWC^P_PRICE_RETURNS_PR('52W',2,-10AY,0,AM)&lt;/Q&gt;&lt;R&gt;121&lt;/R&gt;&lt;C&gt;1&lt;/C&gt;&lt;D xsi:type="xsd:double"&gt;14.894426&lt;/D&gt;&lt;D xsi:type="xsd:double"&gt;27.272224&lt;/D&gt;&lt;D xsi:type="xsd:double"&gt;18.943977&lt;/D&gt;&lt;D xsi:type="xsd:double"&gt;20.161772&lt;/D&gt;&lt;D xsi:type="xsd:double"&gt;9.914648&lt;/D&gt;&lt;D xsi:type="xsd:double"&gt;1.77598&lt;/D&gt;&lt;D xsi:type="xsd:double"&gt;4.9914837&lt;/D&gt;&lt;D xsi:type="xsd:double"&gt;-2.2720754&lt;/D&gt;&lt;D xsi:type="xsd:double"&gt;0.20935535&lt;/D&gt;&lt;D xsi:type="xsd:double"&gt;-5.55557&lt;/D&gt;&lt;D xsi:type="xsd:double"&gt;-4.507041&lt;/D&gt;&lt;D xsi:type="xsd:double"&gt;-3.8473308&lt;/D&gt;&lt;D xsi:type="xsd:double"&gt;-8.146638&lt;/D&gt;&lt;D xsi:type="xsd:double"&gt;-17.084145&lt;/D&gt;&lt;D xsi:type="xsd:double"&gt;-18.482803&lt;/D&gt;&lt;D xsi:type="xsd:double"&gt;-27.210014&lt;/D&gt;&lt;D xsi:type="xsd:double"&gt;-19.129223&lt;/D&gt;&lt;D xsi:type="xsd:double"&gt;-18.10376&lt;/D&gt;&lt;D xsi:type="xsd:double"&gt;-19.893826&lt;/D&gt;&lt;D xsi:type="xsd:double"&gt;-23.405462&lt;/D&gt;&lt;D xsi:type="xsd:double"&gt;-23.167294&lt;/D&gt;&lt;D xsi:type="xsd:double"&gt;-17.161304&lt;/D&gt;&lt;D xsi:type="xsd:double"&gt;-14.774817&lt;/D&gt;&lt;D xsi:type="xsd:double"&gt;-14.1866865&lt;/D&gt;&lt;D xsi:type="xsd:double"&gt;-6.3792586&lt;/D&gt;&lt;D xsi:type="xsd:double"&gt;-4.335779&lt;/D&gt;&lt;D xsi:type="xsd:double"&gt;0.9568691&lt;/D&gt;&lt;D xsi:type="xsd:double"&gt;14.403367&lt;/D&gt;&lt;D xsi:type="xsd:double"&gt;7.372844&lt;/D&gt;&lt;D xsi:type="xsd:double"&gt;6.210375&lt;/D&gt;&lt;D xsi:type="xsd:double"&gt;16.580856&lt;/D&gt;&lt;D xsi:type="xsd:double"&gt;32.691944&lt;/D&gt;&lt;D xsi:type="xsd:double"&gt;31.40024&lt;/D&gt;&lt;D xsi:type="xsd:double"&gt;20.973312&lt;/D&gt;&lt;D xsi:type="xsd:double"&gt;17.67485&lt;/D&gt;&lt;D xsi:type="xsd:double"&gt;10.822117&lt;/D&gt;&lt;D xsi:type="xsd:double"&gt;6.2116623&lt;/D&gt;&lt;D xsi:type="xsd:double"&gt;9.738255&lt;/D&gt;&lt;D xsi:type="xsd:double"&gt;12.5300045&lt;/D&gt;&lt;D xsi:type="xsd:double"&gt;9.770155&lt;/D&gt;&lt;D xsi:type="xsd:double"&gt;16.293537&lt;/D&gt;&lt;D xsi:type="xsd:double"&gt;19.804932&lt;/D&gt;&lt;D xsi:type="xsd:double"&gt;11.683142&lt;/D&gt;&lt;D xsi:type="xsd:double"&gt;15.00374&lt;/D&gt;&lt;D xsi:type="xsd:double"&gt;6.60342&lt;/D&gt;&lt;D xsi:type="xsd:double"&gt;5.3831577&lt;/D&gt;&lt;D xsi:type="xsd:double"&gt;4.35493&lt;/D&gt;&lt;D xsi:type="xsd:double"&gt;12.007177&lt;/D&gt;&lt;D xsi:type="xsd:double"&gt;11.560535&lt;/D&gt;&lt;D xsi:type="xsd:double"&gt;10.243988&lt;/D&gt;&lt;D xsi:type="xsd:double"&gt;7.8563213&lt;/D&gt;&lt;D xsi:type="xsd:double"&gt;2.301991&lt;/D&gt;&lt;D xsi:type="xsd:double"&gt;0.46503544&lt;/D&gt;&lt;D xsi:type="xsd:double"&gt;-6.164068&lt;/D&gt;&lt;D xsi:type="xsd:double"&gt;-8.40258&lt;/D&gt;&lt;D xsi:type="xsd:double"&gt;-16.434938&lt;/D&gt;&lt;D xsi:type="xsd:double"&gt;-1.3972402&lt;/D&gt;&lt;D xsi:type="xsd:double"&gt;1.5210867&lt;/D&gt;&lt;D xsi:type="xsd:double"&gt;3.7718534&lt;/D&gt;&lt;D xsi:type="xsd:double"&gt;2.5902152&lt;/D&gt;&lt;D xsi:type="xsd:double"&gt;-0.8470893&lt;/D&gt;&lt;D xsi:type="xsd:double"&gt;4.217577&lt;/D&gt;&lt;D xsi:type="xsd:double"&gt;-3.3464968&lt;/D&gt;&lt;D xsi:type="xsd:double"&gt;3.9047003&lt;/D&gt;&lt;D xsi:type="xsd:double"&gt;1.1324883&lt;/D&gt;&lt;D xsi:type="xsd:double"&gt;11.503208&lt;/D&gt;&lt;D xsi:type="xsd:double"&gt;16.599632&lt;/D&gt;&lt;D xsi:type="xsd:double"&gt;24.36602&lt;/D&gt;&lt;D xsi:type="xsd:double"&gt;14.172864&lt;/D&gt;&lt;D xsi:type="xsd:double"&gt;1.5857697&lt;/D&gt;&lt;D xsi:type="xsd:double"&gt;-19.721199&lt;/D&gt;&lt;D xsi:type="xsd:double"&gt;-13.620377&lt;/D&gt;&lt;D xsi:type="xsd:double"&gt;-1.0145366&lt;/D&gt;&lt;D xsi:type="xsd:double"&gt;-7.364625&lt;/D&gt;&lt;D xsi:type="xsd:double"&gt;4.428613&lt;/D&gt;&lt;D xsi:type="xsd:double"&gt;1.9932866&lt;/D&gt;&lt;D xsi:type="xsd:double"&gt;0.0031113625&lt;/D&gt;&lt;D xsi:type="xsd:double"&gt;-1.452899&lt;/D&gt;&lt;D xsi:type="xsd:double"&gt;8.997655&lt;/D&gt;&lt;D xsi:type="xsd:double"&gt;8.513355&lt;/D&gt;&lt;D xsi:type="xsd:double"&gt;8.394074&lt;/D&gt;&lt;D xsi:type="xsd:double"&gt;21.331894&lt;/D&gt;&lt;D xsi:type="xsd:double"&gt;60.578857&lt;/D&gt;&lt;D xsi:type="xsd:double"&gt;55.456566&lt;/D&gt;&lt;D xsi:type="xsd:double"&gt;48.584152&lt;/D&gt;&lt;D xsi:type="xsd:double"&gt;45.135593&lt;/D&gt;&lt;D xsi:type="xsd:double"&gt;35.43563&lt;/D&gt;&lt;D xsi:type="xsd:double"&gt;36.525787&lt;/D&gt;&lt;D xsi:type="xsd:double"&gt;35.89444&lt;/D&gt;&lt;D xsi:type="xsd:double"&gt;43.173386&lt;/D&gt;&lt;D xsi:type="xsd:double"&gt;23.068882&lt;/D&gt;&lt;D xsi:type="xsd:double"&gt;21.782434&lt;/D&gt;&lt;D xsi:type="xsd:double"&gt;23.34894&lt;/D&gt;&lt;D xsi:type="xsd:double"&gt;20.377445&lt;/D&gt;&lt;D xsi:type="xsd:double"&gt;17.190886&lt;/D&gt;&lt;D xsi:type="xsd:double"&gt;3.1222105&lt;/D&gt;&lt;D xsi:type="xsd:double"&gt;1.7845392&lt;/D&gt;&lt;D xsi:type="xsd:double"&gt;-9.756994&lt;/D&gt;&lt;D xsi:type="xsd:double"&gt;-5.2300453&lt;/D&gt;&lt;D xsi:type="xsd:double"&gt;-10.8607235&lt;/D&gt;&lt;D xsi:type="xsd:double"&gt;-12.038726&lt;/D&gt;&lt;D xsi:type="xsd:double"&gt;-13.730043&lt;/D&gt;&lt;D xsi:type="xsd:double"&gt;-8.651436&lt;/D&gt;&lt;D xsi:type="xsd:double"&gt;-9.2691&lt;/D&gt;&lt;D xsi:type="xsd:double"&gt;-6.466317&lt;/D&gt;&lt;D xsi:type="xsd:double"&gt;-8.07687&lt;/D&gt;&lt;D xsi:type="xsd:double"&gt;-11.619967&lt;/D&gt;&lt;D xsi:type="xsd:double"&gt;-2.2534072&lt;/D&gt;&lt;D xsi:type="xsd:double"&gt;-7.5097027&lt;/D&gt;&lt;D xsi:type="xsd:double"&gt;5.7750583&lt;/D&gt;&lt;D xsi:type="xsd:double"&gt;2.1331072&lt;/D&gt;&lt;D xsi:type="xsd:double"&gt;5.5645823&lt;/D&gt;&lt;D xsi:type="xsd:double"&gt;5.677676&lt;/D&gt;&lt;D xsi:type="xsd:double"&gt;3.345549&lt;/D&gt;&lt;D xsi:type="xsd:double"&gt;5.660343&lt;/D&gt;&lt;D xsi:type="xsd:double"&gt;13.188648&lt;/D&gt;&lt;D xsi:type="xsd:double"&gt;5.2458167&lt;/D&gt;&lt;D xsi:type="xsd:double"&gt;10.099745&lt;/D&gt;&lt;D xsi:type="xsd:double"&gt;13.604605&lt;/D&gt;&lt;D xsi:type="xsd:double"&gt;10.101223&lt;/D&gt;&lt;D xsi:type="xsd:double"&gt;12.649226&lt;/D&gt;&lt;/FQL&gt;&lt;FQL&gt;&lt;Q&gt;ENZL^FG_TOTAL_RETURNC(-10AY,0,AM)&lt;/Q&gt;&lt;R&gt;121&lt;/R&gt;&lt;C&gt;1&lt;/C&gt;&lt;D xsi:type="xsd:double"&gt;-2.8091192&lt;/D&gt;&lt;D xsi:type="xsd:double"&gt;2.927649&lt;/D&gt;&lt;D xsi:type="xsd:double"&gt;-5.4391384&lt;/D&gt;&lt;D xsi:type="xsd:double"&gt;1.860559&lt;/D&gt;&lt;D xsi:type="xsd:double"&gt;-6.031215&lt;/D&gt;&lt;D xsi:type="xsd:double"&gt;2.393341&lt;/D&gt;&lt;D xsi:type="xsd:double"&gt;2.0325184&lt;/D&gt;&lt;D xsi:type="xsd:double"&gt;2.0884871&lt;/D&gt;&lt;D xsi:type="xsd:double"&gt;-1.0556698&lt;/D&gt;&lt;D xsi:type="xsd:double"&gt;1.2443304&lt;/D&gt;&lt;D xsi:type="xsd:double"&gt;1.7521977&lt;/D&gt;&lt;D xsi:type="xsd:double"&gt;-1.9188225&lt;/D&gt;&lt;D xsi:type="xsd:double"&gt;-4.5397463&lt;/D&gt;&lt;D xsi:type="xsd:double"&gt;-6.954372&lt;/D&gt;&lt;D xsi:type="xsd:double"&gt;0.028967857&lt;/D&gt;&lt;D xsi:type="xsd:double"&gt;-9.788585&lt;/D&gt;&lt;D xsi:type="xsd:double"&gt;6.3884377&lt;/D&gt;&lt;D xsi:type="xsd:double"&gt;7.242012&lt;/D&gt;&lt;D xsi:type="xsd:double"&gt;3.7985325&lt;/D&gt;&lt;D xsi:type="xsd:double"&gt;0.03347397&lt;/D&gt;&lt;D xsi:type="xsd:double"&gt;-2.3996115&lt;/D&gt;&lt;D xsi:type="xsd:double"&gt;8.796846&lt;/D&gt;&lt;D xsi:type="xsd:double"&gt;5.9557915&lt;/D&gt;&lt;D xsi:type="xsd:double"&gt;2.5773168&lt;/D&gt;&lt;D xsi:type="xsd:double"&gt;3.1347156&lt;/D&gt;&lt;D xsi:type="xsd:double"&gt;2.5206208&lt;/D&gt;&lt;D xsi:type="xsd:double"&gt;5.798757&lt;/D&gt;&lt;D xsi:type="xsd:double"&gt;5.675912&lt;/D&gt;&lt;D xsi:type="xsd:double"&gt;-7.913083&lt;/D&gt;&lt;D xsi:type="xsd:double"&gt;-5.5654526&lt;/D&gt;&lt;D xsi:type="xsd:double"&gt;0.25931597&lt;/D&gt;&lt;D xsi:type="xsd:double"&gt;-1.0211647&lt;/D&gt;&lt;D xsi:type="xsd:double"&gt;7.2007895&lt;/D&gt;&lt;D xsi:type="xsd:double"&gt;-3.8514435&lt;/D&gt;&lt;D xsi:type="xsd:double"&gt;2.0743966&lt;/D&gt;&lt;D xsi:type="xsd:double"&gt;0.60733557&lt;/D&gt;&lt;D xsi:type="xsd:double"&gt;5.572331&lt;/D&gt;&lt;D xsi:type="xsd:double"&gt;2.3604274&lt;/D&gt;&lt;D xsi:type="xsd:double"&gt;3.9396048&lt;/D&gt;&lt;D xsi:type="xsd:double"&gt;-2.6531935&lt;/D&gt;&lt;D xsi:type="xsd:double"&gt;0.15141964&lt;/D&gt;&lt;D x</t>
        </r>
      </text>
    </comment>
    <comment ref="A11" authorId="0" shapeId="0" xr:uid="{79566A59-56A6-4DB6-848E-82BE833988F1}">
      <text>
        <r>
          <rPr>
            <b/>
            <sz val="9"/>
            <color indexed="81"/>
            <rFont val="Tahoma"/>
            <charset val="1"/>
          </rPr>
          <t>si:type="xsd:double"&gt;-1.2958944&lt;/D&gt;&lt;D xsi:type="xsd:double"&gt;-0.7221043&lt;/D&gt;&lt;D xsi:type="xsd:double"&gt;8.907342&lt;/D&gt;&lt;D xsi:type="xsd:double"&gt;-1.0932326&lt;/D&gt;&lt;D xsi:type="xsd:double"&gt;2.3774743&lt;/D&gt;&lt;D xsi:type="xsd:double"&gt;-0.32593012&lt;/D&gt;&lt;D xsi:type="xsd:double"&gt;-0.6539941&lt;/D&gt;&lt;D xsi:type="xsd:double"&gt;2.7977824&lt;/D&gt;&lt;D xsi:type="xsd:double"&gt;0.54376125&lt;/D&gt;&lt;D xsi:type="xsd:double"&gt;-3.66323&lt;/D&gt;&lt;D xsi:type="xsd:double"&gt;-0.042009354&lt;/D&gt;&lt;D xsi:type="xsd:double"&gt;-2.2488534&lt;/D&gt;&lt;D xsi:type="xsd:double"&gt;0.0860095&lt;/D&gt;&lt;D xsi:type="xsd:double"&gt;2.4633765&lt;/D&gt;&lt;D xsi:type="xsd:double"&gt;-0.862205&lt;/D&gt;&lt;D xsi:type="xsd:double"&gt;4.348767&lt;/D&gt;&lt;D xsi:type="xsd:double"&gt;2.5789142&lt;/D&gt;&lt;D xsi:type="xsd:double"&gt;3.218019&lt;/D&gt;&lt;D xsi:type="xsd:double"&gt;0.11692047&lt;/D&gt;&lt;D xsi:type="xsd:double"&gt;-0.27247667&lt;/D&gt;&lt;D xsi:type="xsd:double"&gt;6.0683966&lt;/D&gt;&lt;D xsi:type="xsd:double"&gt;-1.6436338&lt;/D&gt;&lt;D xsi:type="xsd:double"&gt;4.2726874&lt;/D&gt;&lt;D xsi:type="xsd:double"&gt;-4.3343663&lt;/D&gt;&lt;D xsi:type="xsd:double"&gt;-1.1041284&lt;/D&gt;&lt;D xsi:type="xsd:double"&gt;9.624636&lt;/D&gt;&lt;D xsi:type="xsd:double"&gt;3.2429934&lt;/D&gt;&lt;D xsi:type="xsd:double"&gt;-1.771754&lt;/D&gt;&lt;D xsi:type="xsd:double"&gt;-3.0238688&lt;/D&gt;&lt;D xsi:type="xsd:double"&gt;-18.289566&lt;/D&gt;&lt;D xsi:type="xsd:double"&gt;7.48806&lt;/D&gt;&lt;D xsi:type="xsd:double"&gt;16.390598&lt;/D&gt;&lt;D xsi:type="xsd:double"&gt;4.3094635&lt;/D&gt;&lt;D xsi:type="xsd:double"&gt;2.8719783&lt;/D&gt;&lt;D xsi:type="xsd:double"&gt;-0.60251355&lt;/D&gt;&lt;D xsi:type="xsd:double"&gt;-1.6977608&lt;/D&gt;&lt;D xsi:type="xsd:double"&gt;7.4480534&lt;/D&gt;&lt;D xsi:type="xsd:double"&gt;5.292535&lt;/D&gt;&lt;D xsi:type="xsd:double"&gt;9.210467&lt;/D&gt;&lt;D xsi:type="xsd:double"&gt;-4.9502134&lt;/D&gt;&lt;D xsi:type="xsd:double"&gt;-7.273531&lt;/D&gt;&lt;D xsi:type="xsd:double"&gt;-1.543355&lt;/D&gt;&lt;D xsi:type="xsd:double"&gt;4.9773693&lt;/D&gt;&lt;D xsi:type="xsd:double"&gt;-3.5714269&lt;/D&gt;&lt;D xsi:type="xsd:double"&gt;-0.93138814&lt;/D&gt;&lt;D xsi:type="xsd:double"&gt;0.50406456&lt;/D&gt;&lt;D xsi:type="xsd:double"&gt;4.7888637&lt;/D&gt;&lt;D xsi:type="xsd:double"&gt;-3.7980497&lt;/D&gt;&lt;D xsi:type="xsd:double"&gt;1.7653584&lt;/D&gt;&lt;D xsi:type="xsd:double"&gt;-8.253116&lt;/D&gt;&lt;D xsi:type="xsd:double"&gt;1.4829397&lt;/D&gt;&lt;D xsi:type="xsd:double"&gt;-7.5303373&lt;/D&gt;&lt;D xsi:type="xsd:double"&gt;4.0729046&lt;/D&gt;&lt;D xsi:type="xsd:double"&gt;-1.2687624&lt;/D&gt;&lt;D xsi:type="xsd:double"&gt;-12.144793&lt;/D&gt;&lt;D xsi:type="xsd:double"&gt;0.16480684&lt;/D&gt;&lt;D xsi:type="xsd:double"&gt;-6.1514435&lt;/D&gt;&lt;D xsi:type="xsd:double"&gt;7.8270555&lt;/D&gt;&lt;D xsi:type="xsd:double"&gt;-5.387628&lt;/D&gt;&lt;D xsi:type="xsd:double"&gt;-9.650076&lt;/D&gt;&lt;D xsi:type="xsd:double"&gt;7.3129654&lt;/D&gt;&lt;D xsi:type="xsd:double"&gt;9.863257&lt;/D&gt;&lt;D xsi:type="xsd:double"&gt;2.0430923&lt;/D&gt;&lt;D xsi:type="xsd:double"&gt;3.6668658&lt;/D&gt;&lt;D xsi:type="xsd:double"&gt;-4.8163595&lt;/D&gt;&lt;D xsi:type="xsd:double"&gt;1.5679121&lt;/D&gt;&lt;D xsi:type="xsd:double"&gt;1.2630224&lt;/D&gt;&lt;D xsi:type="xsd:double"&gt;-4.019004&lt;/D&gt;&lt;D xsi:type="xsd:double"&gt;1.3760328&lt;/D&gt;&lt;D xsi:type="xsd:double"&gt;-0.69872737&lt;/D&gt;&lt;D xsi:type="xsd:double"&gt;-7.636589&lt;/D&gt;&lt;D xsi:type="xsd:double"&gt;0.8962512&lt;/D&gt;&lt;D xsi:type="xsd:double"&gt;-1.1769891&lt;/D&gt;&lt;D xsi:type="xsd:double"&gt;4.2471886&lt;/D&gt;&lt;D xsi:type="xsd:double"&gt;5.0296783&lt;/D&gt;&lt;D xsi:type="xsd:double"&gt;-2.1160662&lt;/D&gt;&lt;D xsi:type="xsd:double"&gt;-2.5256872&lt;/D&gt;&lt;D xsi:type="xsd:double"&gt;0.32937527&lt;/D&gt;&lt;D xsi:type="xsd:double"&gt;-0.45961738&lt;/D&gt;&lt;D xsi:type="xsd:double"&gt;4.0017605&lt;/D&gt;&lt;/FQL&gt;&lt;FQL&gt;&lt;Q&gt;EWI^FMA_PE(NTMA,-10AY,0,AM,"PORTAGG","MEANR")&lt;/Q&gt;&lt;R&gt;121&lt;/R&gt;&lt;C&gt;1&lt;/C&gt;&lt;D xsi:type="xsd:double"&gt;14.6365672044194&lt;/D&gt;&lt;D xsi:type="xsd:double"&gt;14.7785325321067&lt;/D&gt;&lt;D xsi:type="xsd:double"&gt;13.0255474340161&lt;/D&gt;&lt;D xsi:type="xsd:double"&gt;14.3492624858678&lt;/D&gt;&lt;D xsi:type="xsd:double"&gt;13.1189122096311&lt;/D&gt;&lt;D xsi:type="xsd:double"&gt;12.6051518287019&lt;/D&gt;&lt;D xsi:type="xsd:double"&gt;13.1702736873067&lt;/D&gt;&lt;D xsi:type="xsd:double"&gt;11.6952527561683&lt;/D&gt;&lt;D xsi:type="xsd:double"&gt;14.2180800873304&lt;/D&gt;&lt;D xsi:type="xsd:double"&gt;15.3976343150635&lt;/D&gt;&lt;D xsi:type="xsd:double"&gt;15.9160308158986&lt;/D&gt;&lt;D xsi:type="xsd:double"&gt;15.4944876182054&lt;/D&gt;&lt;D xsi:type="xsd:double"&gt;15.1761108563383&lt;/D&gt;&lt;D xsi:type="xsd:double"&gt;14.1512706382326&lt;/D&gt;&lt;D xsi:type="xsd:double"&gt;15.6583983833689&lt;/D&gt;&lt;D xsi:type="xsd:double"&gt;14.0801466921182&lt;/D&gt;&lt;D xsi:type="xsd:double"&gt;14.5756388027189&lt;/D&gt;&lt;D xsi:type="xsd:double"&gt;14.9093166439215&lt;/D&gt;&lt;D xsi:type="xsd:double"&gt;14.5402042731772&lt;/D&gt;&lt;D xsi:type="xsd:double"&gt;13.7909564661114&lt;/D&gt;&lt;D xsi:type="xsd:double"&gt;12.3491324875447&lt;/D&gt;&lt;D xsi:type="xsd:double"&gt;13.2250057853165&lt;/D&gt;&lt;D xsi:type="xsd:double"&gt;12.484977175261&lt;/D&gt;&lt;D xsi:type="xsd:double"&gt;12.9328850543761&lt;/D&gt;&lt;D xsi:type="xsd:double"&gt;12.8799849272849&lt;/D&gt;&lt;D xsi:type="xsd:double"&gt;11.2251111500789&lt;/D&gt;&lt;D xsi:type="xsd:double"&gt;12.5622974644577&lt;/D&gt;&lt;D xsi:type="xsd:double"&gt;12.39241904743&lt;/D&gt;&lt;D xsi:type="xsd:double"&gt;11.7952784112654&lt;/D&gt;&lt;D xsi:type="xsd:double"&gt;11.4746380817115&lt;/D&gt;&lt;D xsi:type="xsd:double"&gt;12.5045061244861&lt;/D&gt;&lt;D xsi:type="xsd:double"&gt;13.6750609547641&lt;/D&gt;&lt;D xsi:type="xsd:double"&gt;12.8637925261641&lt;/D&gt;&lt;D xsi:type="xsd:double"&gt;13.2262394783429&lt;/D&gt;&lt;D xsi:type="xsd:double"&gt;13.4144255628441&lt;/D&gt;&lt;D xsi:type="xsd:double"&gt;13.9287063203837&lt;/D&gt;&lt;D xsi:type="xsd:double"&gt;13.1865906963451&lt;/D&gt;&lt;D xsi:type="xsd:double"&gt;13.279554640614&lt;/D&gt;&lt;D xsi:type="xsd:double"&gt;13.5749941714021&lt;/D&gt;&lt;D xsi:type="xsd:double"&gt;13.3021024381754&lt;/D&gt;&lt;D xsi:type="xsd:double"&gt;13.5478535937768&lt;/D&gt;&lt;D xsi:type="xsd:double"&gt;13.6684053876002&lt;/D&gt;&lt;D xsi:type="xsd:double"&gt;13.3992180919304&lt;/D&gt;&lt;D xsi:type="xsd:double"&gt;13.3881803412911&lt;/D&gt;&lt;D xsi:type="xsd:double"&gt;12.5425651271938&lt;/D&gt;&lt;D xsi:type="xsd:double"&gt;12.4588736646292&lt;/D&gt;&lt;D xsi:type="xsd:double"&gt;12.6930713337238&lt;/D&gt;&lt;D xsi:type="xsd:double"&gt;13.2173491316891&lt;/D&gt;&lt;D xsi:type="xsd:double"&gt;11.5580421810788&lt;/D&gt;&lt;D xsi:type="xsd:double"&gt;11.5173811681789&lt;/D&gt;&lt;D xsi:type="xsd:double"&gt;11.3742930257407&lt;/D&gt;&lt;D xsi:type="xsd:double"&gt;10.5702986083704&lt;/D&gt;&lt;D xsi:type="xsd:double"&gt;10.4332237677228&lt;/D&gt;&lt;D xsi:type="xsd:double"&gt;9.83630379217057&lt;/D&gt;&lt;D xsi:type="xsd:double"&gt;9.27876532279796&lt;/D&gt;&lt;D xsi:type="xsd:double"&gt;9.42590620139115&lt;/D&gt;&lt;D xsi:type="xsd:double"&gt;10.1698939468983&lt;/D&gt;&lt;D xsi:type="xsd:double"&gt;10.5620821202444&lt;/D&gt;&lt;D xsi:type="xsd:double"&gt;10.9223291540742&lt;/D&gt;&lt;D xsi:type="xsd:double"&gt;10.7360508609294&lt;/D&gt;&lt;D xsi:type="xsd:double"&gt;9.95188170777262&lt;/D&gt;&lt;D xsi:type="xsd:double"&gt;10.8465089231132&lt;/D&gt;&lt;D xsi:type="xsd:double"&gt;10.1621043270435&lt;/D&gt;&lt;D xsi:type="xsd:double"&gt;10.7323296323406&lt;/D&gt;&lt;D xsi:type="xsd:double"&gt;10.4737335321711&lt;/D&gt;&lt;D xsi:type="xsd:double"&gt;11.3577535583487&lt;/D&gt;&lt;D xsi:type="xsd:double"&gt;11.2133284981736&lt;/D&gt;&lt;D xsi:type="xsd:double"&gt;11.4107038610597&lt;/D&gt;&lt;D xsi:type="xsd:double"&gt;11.6893796259786&lt;/D&gt;&lt;D xsi:type="xsd:double"&gt;10.0320925542642&lt;/D&gt;&lt;D xsi:type="xsd:double"&gt;10.0493984106001&lt;/D&gt;&lt;D xsi:type="xsd:double"&gt;14.52765154231&lt;/D&gt;&lt;D xsi:type="xsd:double"&gt;18.1278794103107&lt;/D&gt;&lt;D xsi:type="xsd:double"&gt;17.9147583545612&lt;/D&gt;&lt;D xsi:type="xsd:double"&gt;16.4852635120823&lt;/D&gt;&lt;D xsi:type="xsd:double"&gt;15.5007221673687&lt;/D&gt;&lt;D xsi:type="xsd:double"&gt;14.7865850668371&lt;/D&gt;&lt;D xsi:type="xsd:double"&gt;14.1688682691179&lt;/D&gt;&lt;D xsi:type="xsd:double"&gt;15.1804070132994&lt;/D&gt;&lt;D xsi:type="xsd:double"&gt;15.0644825724079&lt;/D&gt;&lt;D xsi:type="xsd:double"&gt;14.1684624478274&lt;/D&gt;&lt;D xsi:type="xsd:double"&gt;13.3944684231507&lt;/D&gt;&lt;D xsi:type="xsd:double"&gt;14.0822443841409&lt;/D&gt;&lt;D xsi:type="xsd:double"&gt;13.3881601448983&lt;/D&gt;&lt;D xsi:type="xsd:double"&gt;13.7319688728286&lt;/D&gt;&lt;D xsi:type="xsd:double"&gt;13.3792986847983&lt;/D&gt;&lt;D xsi:type="xsd:double"&gt;12.2381983319551&lt;/D&gt;&lt;D xsi:type="xsd:double"&gt;11.9288059196513&lt;/D&gt;&lt;D xsi:type="xsd:double"&gt;11.5057030202485&lt;/D&gt;&lt;D xsi:type="xsd:double"&gt;11.9087191143198&lt;/D&gt;&lt;D xsi:type="xsd:double"&gt;10.8645616240828&lt;/D&gt;&lt;D xsi:type="xsd:double"&gt;11.2244232659344&lt;/D&gt;&lt;D xsi:type="xsd:double"&gt;10.5799456219617&lt;/D&gt;&lt;D xsi:type="xsd:double"&gt;8.93157367124482&lt;/D&gt;&lt;D xsi:type="xsd:double"&gt;9.54961056372852&lt;/D&gt;&lt;D xsi:type="xsd:double"&gt;9.04181511708551&lt;/D&gt;&lt;D xsi:type="xsd:double"&gt;8.90502898630127&lt;/D&gt;&lt;D xsi:type="xsd:double"&gt;7.53340669504419&lt;/D&gt;&lt;D xsi:type="xsd:double"&gt;7.69335394669742&lt;/D&gt;&lt;D xsi:type="xsd:double"&gt;7.48101413266792&lt;/D&gt;&lt;D xsi:type="xsd:double"&gt;7.32504404353082&lt;/D&gt;&lt;D xsi:type="xsd:double"&gt;8.07487083045603&lt;/D&gt;&lt;D xsi:type="xsd:double"&gt;7.76699669215985&lt;/D&gt;&lt;D xsi:type="xsd:double"&gt;8.05887501862821&lt;/D&gt;&lt;D xsi:type="xsd:double"&gt;8.35092114282594&lt;/D&gt;&lt;D xsi:type="xsd:double"&gt;8.80192288077973&lt;/D&gt;&lt;D xsi:type="xsd:double"&gt;8.57519902882603&lt;/D&gt;&lt;D xsi:type="xsd:double"&gt;8.50871075255758&lt;/D&gt;&lt;D xsi:type="xsd:double"&gt;8.54341026964335&lt;/D&gt;&lt;D xsi:type="xsd:double"&gt;8.55845790543088&lt;/D&gt;&lt;D xsi:type="xsd:double"&gt;8.38897770850312&lt;/D&gt;&lt;D xsi:type="xsd:double"&gt;8.34977154922935&lt;/D&gt;&lt;D xsi:type="xsd:double"&gt;8.08333039251632&lt;/D&gt;&lt;D xsi:type="xsd:double"&gt;8.15308875613882&lt;/D&gt;&lt;D xsi:type="xsd:double"&gt;8.79420836326058&lt;/D&gt;&lt;D xsi:type="xsd:double"&gt;8.9524141174062&lt;/D&gt;&lt;D xsi:type="xsd:double"&gt;9.06068723390809&lt;/D&gt;&lt;D xsi:type="xsd:double"&gt;9.44799723454513&lt;/D&gt;&lt;D xsi:type="xsd:double"&gt;9.58784120035373&lt;/D&gt;&lt;D xsi:type="xsd:double"&gt;9.64022865325371&lt;/D&gt;&lt;D xsi:type="xsd:double"&gt;9.67195311886573&lt;/D&gt;&lt;/FQL&gt;&lt;FQL&gt;&lt;Q&gt;EWN^FMA_PE(LTMA,-10AY,0,AM,"PORTAGG","MEANR")&lt;/Q&gt;&lt;R&gt;121&lt;/R&gt;&lt;C&gt;1&lt;/C&gt;&lt;D xsi:type="xsd:double"&gt;16.8981940971337&lt;/D&gt;&lt;D xsi:type="xsd:double"&gt;16.9181601049196&lt;/D&gt;&lt;D xsi:type="xsd:double"&gt;16.2153988512632&lt;/D&gt;&lt;D xsi:type="xsd:double"&gt;16.8108522847625&lt;/D&gt;&lt;D xsi:type="xsd:double"&gt;16.5893719504103&lt;/D&gt;&lt;D xsi:type="xsd:double"&gt;17.1887162159683&lt;/D&gt;&lt;D xsi:type="xsd:double"&gt;17.9716059754912&lt;/D&gt;&lt;D xsi:type="xsd:double"&gt;17.0691613894852&lt;/D&gt;&lt;D xsi:type="xsd:double"&gt;18.6594701827679&lt;/D&gt;&lt;D xsi:type="xsd:double"&gt;20.134401820915&lt;/D&gt;&lt;D xsi:type="xsd:double"&gt;19.9030492849293&lt;/D&gt;&lt;D xsi:type="xsd:double"&gt;19.455230180398&lt;/D&gt;&lt;D xsi:type="xsd:double"&gt;19.2076391194278&lt;/D&gt;&lt;D xsi:type="xsd:double"&gt;18.7013751645787&lt;/D&gt;&lt;D xsi:type="xsd:double"&gt;19.0522377123093&lt;/D&gt;&lt;D xsi:type="xsd:double"&gt;17.2843428009239&lt;/D&gt;&lt;D xsi:type="xsd:double"&gt;17.012111948691&lt;/D&gt;&lt;D xsi:type="xsd:double"&gt;17.6275897091541&lt;/D&gt;&lt;D xsi:type="xsd:double"&gt;17.5155796876613&lt;/D&gt;&lt;D xsi:type="xsd:double"&gt;16.2753039348147&lt;/D&gt;&lt;D xsi:type="xsd:double"&gt;15.7003699241801&lt;/D&gt;&lt;D xsi:type="xsd:double"&gt;16.4170373863784&lt;/D&gt;&lt;D xsi:type="xsd:double"&gt;16.3036078524645&lt;/D&gt;&lt;D xsi:type="xsd:double"&gt;16.1277999793431&lt;/D&gt;&lt;D xsi:type="xsd:double"&gt;16.2816082427319&lt;/D&gt;&lt;D xsi:type="xsd:double"&gt;15.494577930558&lt;/D&gt;&lt;D xsi:type="xsd:double"&gt;16.0370972234049&lt;/D&gt;&lt;D xsi:type="xsd:double"&gt;16.3388624271031&lt;/D&gt;&lt;D xsi:type="xsd:double"&gt;16.1716124737624&lt;/D&gt;&lt;D xsi:type="xsd:double"&gt;15.3777867010343&lt;/D&gt;&lt;D xsi:type="xsd:double"&gt;15.6373254159972&lt;/D&gt;&lt;D xsi:type="xsd:double"&gt;16.3754897507297&lt;/D&gt;&lt;D xsi:type="xsd:double"&gt;15.9894176299351&lt;/D&gt;&lt;D xsi:type="xsd:double"&gt;16.4393005778272&lt;/D&gt;&lt;D xsi:type="xsd:double"&gt;16.5050118876943&lt;/D&gt;&lt;D xsi:type="xsd:double"&gt;16.8037536270969&lt;/D&gt;&lt;D xsi:type="xsd:double"&gt;16.6917674156495&lt;/D&gt;&lt;D xsi:type="xsd:double"&gt;16.4955876368051&lt;/D&gt;&lt;D xsi:type="xsd:double"&gt;16.7746606403712&lt;/D&gt;&lt;D xsi:type="xsd:double"&gt;16.5689853316563&lt;/D&gt;&lt;D xsi:type="xsd:double"&gt;17.0983079508484&lt;/D&gt;&lt;D xsi:type="xsd:double"&gt;17.5679514505106&lt;/D&gt;&lt;D xsi:type="xsd:double"&gt;17.0825291626894&lt;/D&gt;&lt;D xsi:type="xsd:double"&gt;17.5555633645405&lt;/D&gt;&lt;D xsi:type="xsd:double"&gt;16.5203396120224&lt;/D&gt;&lt;D xsi:type="xsd:double"&gt;16.6279054034877&lt;/D&gt;&lt;D xsi:type="xsd:double"&gt;16.5677178712125&lt;/D&gt;&lt;D xsi:type="xsd:double"&gt;16.566287067404&lt;/D&gt;&lt;D xsi:type="xsd:double"&gt;16.6632934317167&lt;/D&gt;&lt;D xsi:type="xsd:double"&gt;16.5277837591184&lt;/D&gt;&lt;D xsi:type="xsd:double"&gt;16.7952233571464&lt;/D&gt;&lt;D xsi:type="xsd:double"&gt;16.3678982867933&lt;/D&gt;&lt;D xsi:type="xsd:double"&gt;16.072184616543&lt;/D&gt;&lt;D xsi:type="xsd:double"&gt;15.6378510266213&lt;/D&gt;&lt;D xsi:type="xsd:double"&gt;14.8582395450217&lt;/D&gt;&lt;D xsi:type="xsd:double"&gt;14.3128616096014&lt;/D&gt;&lt;D xsi:type="xsd:double"&gt;15.6749380626192&lt;/D&gt;&lt;D xsi:type="xsd:double"&gt;16.1341970608213&lt;/D&gt;&lt;D xsi:type="xsd:double"&gt;16.2521159452987&lt;/D&gt;&lt;D xsi:type="xsd:double"&gt;16.3056850750266&lt;/D&gt;&lt;D xsi:type="xsd:double"&gt;16.1232269949394&lt;/D&gt;&lt;D xsi:type="xsd:double"&gt;16.4936670792521&lt;/D&gt;&lt;D xsi:type="xsd:double"&gt;16.1246332378573&lt;/D&gt;&lt;D xsi:type="xsd:double"&gt;16.9385211372274&lt;/D&gt;&lt;D xsi:type="xsd:double"&gt;16.8626803084222&lt;/D&gt;&lt;D xsi:type="xsd:double"&gt;17.7865934322953&lt;/D&gt;&lt;D xsi:type="xsd:double"&gt;18.3279817042037&lt;/D&gt;&lt;D xsi:type="xsd:double"&gt;18.6694503402951&lt;/D&gt;&lt;D xsi:type="xsd:double"&gt;19.7952589332292&lt;/D&gt;&lt;D xsi:type="xsd:double"&gt;17.2922870556419&lt;/D&gt;&lt;D xsi:type="xsd:double"&gt;17.0274690606496&lt;/D&gt;&lt;D xsi:type="xsd:double"&gt;17.7749830246767&lt;/D&gt;&lt;D xsi:type="xsd:double"&gt;19.3465566793962&lt;/D&gt;&lt;D xsi:type="xsd:double"&gt;20.0133649826402&lt;/D&gt;&lt;D xsi:type="xsd:double"&gt;20.5011688467628&lt;/D&gt;&lt;D xsi:type="xsd:double"&gt;21.0197924715645&lt;/D&gt;&lt;D xsi:type="xsd:double"&gt;22.11179854993&lt;/D&gt;&lt;D xsi:type="xsd:double"&gt;22.9770942906747&lt;/D&gt;&lt;D xsi:type="xsd:double"&gt;25.9897044053461&lt;/D&gt;&lt;D xsi:type="xsd:double"&gt;27.453199957346&lt;/D&gt;&lt;D xsi:type="xsd:double"&gt;28.5542728264823&lt;/D&gt;&lt;D xsi:type="xsd:double"&gt;28.718257066069&lt;/D&gt;&lt;D xsi:type="xsd:double"&gt;28.5871663151963&lt;/D&gt;&lt;D xsi:type="xsd:double"&gt;27.6797896874132&lt;/D&gt;&lt;D xsi:type="xsd:double"&gt;27.0441752376023&lt;/D&gt;&lt;D xsi:type="xsd:double"&gt;26.4300348489043&lt;/D&gt;&lt;D xsi:type="xsd:double"&gt;26.2965092582615&lt;/D&gt;&lt;D xsi:type="xsd:double"&gt;25.910921233497&lt;/D&gt;&lt;D xsi:type="xsd:double"&gt;23.8600768623045&lt;/D&gt;&lt;D xsi:type="xsd:double"&gt;24.8817462422519&lt;/D&gt;&lt;D xsi:type="xsd:double"&gt;22.4095189616785&lt;/D&gt;&lt;D xsi:type="xsd:double"&gt;22.2710366405321&lt;/D&gt;&lt;D xsi:type="xsd:double"&gt;19.9167754286406&lt;/D&gt;&lt;D xsi:type="xsd:double"&gt;18.1190720837917&lt;/D&gt;&lt;D xsi:type="xsd:double"&gt;18.4344313206968&lt;/D&gt;&lt;D xsi:type="xsd:double"&gt;17.9570260467496&lt;/D&gt;&lt;D xsi:type="xsd:double"&gt;18.6759758443453&lt;/D&gt;&lt;D xsi:type="xsd:double"&gt;17.9799602180773&lt;/D&gt;&lt;D xsi:type="xsd:double"&gt;19.6490133056496&lt;/D&gt;&lt;D xsi:type="xsd:double"&gt;18.3432866533354&lt;/D&gt;&lt;D xsi:type="xsd:double"&gt;17.7902465567753&lt;/D&gt;&lt;D xsi:type="xsd:double"&gt;17.4139832729967&lt;/D&gt;&lt;D xsi:type="xsd:double"&gt;18.458886617292&lt;/D&gt;&lt;D xsi:type="xsd:double"&gt;18.7193372067121&lt;/D&gt;&lt;D xsi:type="xsd:double"&gt;19.5095662844833&lt;/D&gt;&lt;D xsi:type="xsd:double"&gt;20.6189247686917&lt;/D&gt;&lt;D xsi:type="xsd:double"&gt;20.2336526473783&lt;/D&gt;&lt;D xsi:type="xsd:double"&gt;19.7760938030766&lt;/D&gt;&lt;D xsi:type="xsd:double"&gt;19.3558628294397&lt;/D&gt;&lt;D xsi:type="xsd:double"&gt;18.9874099683769&lt;/D&gt;&lt;D xsi:type="xsd:double"&gt;18.7272124530946&lt;/D&gt;&lt;D xsi:type="xsd:double"&gt;17.7001598155351&lt;/D&gt;&lt;D xsi:type="xsd:double"&gt;16.5480424009862&lt;/D&gt;&lt;D xsi:type="xsd:double"&gt;16.0818949932615&lt;/D&gt;&lt;D xsi:type="xsd:double"&gt;16.4963170210794&lt;/D&gt;&lt;D xsi:type="xsd:double"&gt;16.2131143432052&lt;/D&gt;&lt;D xsi:type="xsd:double"&gt;17.6012566372721&lt;/D&gt;&lt;D xsi:type="xsd:double"&gt;18.499358604174&lt;/D&gt;&lt;D xsi:type="xsd:double"&gt;18.4023822433287&lt;/D&gt;&lt;D xsi:type="xsd:double"&gt;18.1765488042054&lt;/D&gt;&lt;D xsi:type="xsd:double"&gt;18.2861294103249&lt;/D&gt;&lt;/FQL&gt;&lt;FQL&gt;&lt;Q&gt;DDR3512M-FDS^FG_PRICE_CHANGE(0,-3AM)&lt;/Q&gt;&lt;R&gt;1&lt;/R&gt;&lt;C&gt;1&lt;/C&gt;&lt;D xsi:type="xsd:double"&gt;-0.92318946417197&lt;/D&gt;&lt;/FQL&gt;&lt;FQL&gt;&lt;Q&gt;PASP-FDS^FG_PRICE_CHANGE(0,-3AM)&lt;/Q&gt;&lt;R&gt;1&lt;/R&gt;&lt;C&gt;1&lt;/C&gt;&lt;D xsi:type="xsd:double"&gt;-7.74509803921568&lt;/D&gt;&lt;/FQL&gt;&lt;FQL&gt;&lt;Q&gt;PLATI-FDS^FG_PRICE_CHANGE(0,-3AM)&lt;/Q&gt;&lt;R&gt;1&lt;/R&gt;&lt;C&gt;1&lt;/C&gt;&lt;D xsi:type="xsd:double"&gt;10.7777777777778&lt;/D&gt;&lt;/FQL&gt;&lt;FQL&gt;&lt;Q&gt;W-FDS^FG_PRICE_CHANGE(0,-3AM)&lt;/Q&gt;&lt;R&gt;1&lt;/R&gt;&lt;C&gt;1&lt;/C&gt;&lt;D xsi:type="xsd:double"&gt;22.6858513189448&lt;/D&gt;&lt;/FQL&gt;&lt;FQL&gt;&lt;Q&gt;COPP-FDS^FG_PRICE_CHANGE(0,-3AM)&lt;/Q&gt;&lt;R&gt;1&lt;/R&gt;&lt;C&gt;1&lt;/C&gt;&lt;D xsi:type="xsd:double"&gt;21.198811523059&lt;/D&gt;&lt;/FQL&gt;&lt;FQL&gt;&lt;Q&gt;FC0000GR^FG_PRICE(0)&lt;/Q&gt;&lt;R&gt;1&lt;/R&gt;&lt;C&gt;1&lt;/C&gt;&lt;D xsi:type="xsd:double"&gt;9.810778&lt;/D&gt;&lt;/FQL&gt;&lt;FQL&gt;&lt;Q&gt;EWI^FG_PRICE_MAVG(0,,,,200)&lt;/Q&gt;&lt;R&gt;1&lt;/R&gt;&lt;C&gt;1&lt;/C&gt;&lt;D xsi:type="xsd:double"&gt;34.096&lt;/D&gt;&lt;/FQL&gt;&lt;FQL&gt;&lt;Q&gt;SPY^FG_PRICE_MAVG(0,,,,200)&lt;/Q&gt;&lt;R&gt;1&lt;/R&gt;&lt;C&gt;1&lt;/C&gt;&lt;D xsi:type="xsd:double"&gt;478.06235&lt;/D&gt;&lt;/FQL&gt;&lt;FQL&gt;&lt;Q&gt;EWJ^FG_PRICE_MAVG(0,,,,200)&lt;/Q&gt;&lt;R&gt;1&lt;/R&gt;&lt;C&gt;1&lt;/C&gt;&lt;D xsi:type="xsd:double"&gt;65.01155&lt;/D&gt;&lt;/FQL&gt;&lt;FQL&gt;&lt;Q&gt;ENZL^FG_PRICE_MAVG(0,,,,200)&lt;/Q&gt;&lt;R&gt;1&lt;/R&gt;&lt;C&gt;1&lt;/C&gt;&lt;D xsi:type="xsd:double"&gt;45.328766&lt;/D&gt;&lt;/FQL&gt;&lt;FQL&gt;&lt;Q&gt;EWA^FG_COMPANY_NAME&lt;/Q&gt;&lt;R&gt;1&lt;/R&gt;&lt;C&gt;1&lt;/C&gt;&lt;D xsi:type="xsd:string"&gt;iShares MSCI Australia ETF&lt;/D&gt;&lt;/FQL&gt;&lt;FQL&gt;&lt;Q&gt;SPY^FG_TOTAL_RETURNC(0,-1AM)&lt;/Q&gt;&lt;R&gt;1&lt;/R&gt;&lt;C&gt;1&lt;/C&gt;&lt;D xsi:type="xsd:double"&gt;3.5019398&lt;/D&gt;&lt;/FQL&gt;&lt;FQL&gt;&lt;Q&gt;URTH^FG_TOTAL_RETURNC(0,-6AM)&lt;/Q&gt;&lt;R&gt;1&lt;/R&gt;&lt;C&gt;1&lt;/C&gt;&lt;D xsi:type="xsd:double"&gt;16.733015&lt;/D&gt;&lt;/FQL&gt;&lt;FQL&gt;&lt;Q&gt;VGK^P_PRICE(0)/P_PRICE_LOW_PR(0,,,,,,"PRICE","INTRA","52W")-1&lt;/Q&gt;&lt;R&gt;1&lt;/R&gt;&lt;C&gt;1&lt;/C&gt;&lt;D xsi:type="xsd:double"&gt;0.28350878&lt;/D&gt;&lt;/FQL&gt;&lt;FQL&gt;&lt;Q&gt;EWI^FMA_PCT_ABOVE_MAVG(200,0,,,,"PORTAGG")&lt;/Q&gt;&lt;R&gt;1&lt;/R&gt;&lt;C&gt;1&lt;/C&gt;&lt;D xsi:type="xsd:double"&gt;60&lt;/D&gt;&lt;/FQL&gt;&lt;FQL&gt;&lt;Q&gt;EWN^PERCENT_CHANGE(FMA_EPS(+1,0,,,,"PORTAGG","MEAN"),FMA_EPS(+1,-3AM,,,,"PORTAGG","MEAN"))&lt;/Q&gt;&lt;R&gt;1&lt;/R&gt;&lt;C&gt;1&lt;/C&gt;&lt;D xsi:type="xsd:double"&gt;-0.451285278895094&lt;/D&gt;&lt;/FQL&gt;&lt;FQL&gt;&lt;Q&gt;SPY^FG_TOTAL_RETURNC(0,-3AM)&lt;/Q&gt;&lt;R&gt;1&lt;/R&gt;&lt;C&gt;1&lt;/C&gt;&lt;D xsi:type="xsd:double"&gt;5.2148223&lt;/D&gt;&lt;/FQL&gt;&lt;FQL&gt;&lt;Q&gt;EWU^P_PRICE(0)/P_PRICE_HIGH_PR(0,,,,,,"PRICE","INTRA","52W")&lt;/Q&gt;&lt;R&gt;1&lt;/R&gt;&lt;C&gt;1&lt;/C&gt;&lt;D xsi:type="xsd:double"&gt;0.99007213&lt;/D&gt;&lt;/FQL&gt;&lt;FQL&gt;&lt;Q&gt;EWJ^FG_TOTAL_RETURNC(0,-12AM)&lt;/Q&gt;&lt;R&gt;1&lt;/R&gt;&lt;C&gt;1&lt;/C&gt;&lt;D xsi:type="xsd:double"&gt;12.16948&lt;/D&gt;&lt;/FQL&gt;&lt;FQL&gt;&lt;Q&gt;EWG^PERCENT_CHANGE(FMA_EPS(+1,0,,,,"PORTAGG","MEAN"),FMA_EPS(+1,-1AM,,,,"PORTAGG","MEAN"))&lt;/Q&gt;&lt;R&gt;1&lt;/R&gt;&lt;C&gt;1&lt;/C&gt;&lt;D xsi:type="xsd:double"&gt;2.47677398903858&lt;/D&gt;&lt;/FQL&gt;&lt;FQL&gt;&lt;Q&gt;EWA^FG_TOTAL_RETURNC(0,-1AM)&lt;/Q&gt;&lt;R&gt;1&lt;/R&gt;&lt;C&gt;1&lt;/C&gt;&lt;D xsi:type="xsd:double"&gt;2.7846098&lt;/D&gt;&lt;/FQL&gt;&lt;FQL&gt;&lt;Q&gt;EWI^FMA_COS_DOWN("EPS","1M",+1,0,,,"PORTAGG","MEANR")&lt;/Q&gt;&lt;R&gt;1&lt;/R&gt;&lt;C&gt;1&lt;/C&gt;&lt;D xsi:type="xsd:double"&gt;3&lt;/D&gt;&lt;/FQL&gt;&lt;FQL&gt;&lt;Q&gt;QQQ^FMA_COS_UP("EPS","1M",+1,0,,,"PORTAGG","MEANR")&lt;/Q&gt;&lt;R&gt;1&lt;/R&gt;&lt;C&gt;1&lt;/C&gt;&lt;D xsi:type="xsd:double"&gt;44&lt;/D&gt;&lt;/FQL&gt;&lt;FQL&gt;&lt;Q&gt;EWI^FG_PRICE_MAVG(0,,,,60)&lt;/Q&gt;&lt;R&gt;1&lt;/R&gt;&lt;C&gt;1&lt;/C&gt;&lt;D xsi:type="xsd:double"&gt;37.617832&lt;/D&gt;&lt;/FQL&gt;&lt;FQL&gt;&lt;Q&gt;SPY^FG_PRICE_MAVG(0,,,,60)&lt;/Q&gt;&lt;R&gt;1&lt;/R&gt;&lt;C&gt;1&lt;/C&gt;&lt;D xsi:type="xsd:double"&gt;517.4583&lt;/D&gt;&lt;/FQL&gt;&lt;FQL&gt;&lt;Q&gt;EWJ^FG_PRICE_MAVG(0,,,,60)&lt;/Q&gt;&lt;R&gt;1&lt;/R&gt;&lt;C&gt;1&lt;/C&gt;&lt;D xsi:type="xsd:double"&gt;68.99433&lt;/D&gt;&lt;/FQL&gt;&lt;FQL&gt;&lt;Q&gt;ENZL^FG_PRICE_MAVG(0,,,,60)&lt;/Q&gt;&lt;R&gt;1&lt;/R&gt;&lt;C&gt;1&lt;/C&gt;&lt;D xsi:type="xsd:double"&gt;45.211296&lt;/D&gt;&lt;/FQL&gt;&lt;FQL&gt;&lt;Q&gt;VGK^P_PRICE(0)/P_PRICE_HIGH_PR(0,,,,,,"PRICE","INTRA","52W")&lt;/Q&gt;&lt;R&gt;1&lt;/R&gt;&lt;C&gt;1&lt;/C&gt;&lt;D xsi:type="xsd:double"&gt;0.9999292&lt;/D&gt;&lt;/FQL&gt;&lt;FQL&gt;&lt;Q&gt;EWD^FG_TOTAL_RETURNC(0,-12AM)&lt;/Q&gt;&lt;R&gt;1&lt;/R&gt;&lt;C&gt;1&lt;/C&gt;&lt;D xsi:type="xsd:double"&gt;24.677967&lt;/D&gt;&lt;/FQL&gt;&lt;FQL&gt;&lt;Q&gt;EWN^PERCENT_CHANGE(FMA_EPS(+1,0,,,,"PORTAGG","MEAN"),FMA_EPS(+1,-1AM,,,,"PORTAGG","MEAN"))&lt;/Q&gt;&lt;R&gt;1&lt;/R&gt;&lt;C&gt;1&lt;/C&gt;&lt;D xsi:type="xsd:double"&gt;-1.26707328605682&lt;/D&gt;&lt;/FQL&gt;&lt;FQL&gt;&lt;Q&gt;EWU^FG_TOTAL_RETURNC(0,-6AM)&lt;/Q&gt;&lt;R&gt;1&lt;/R&gt;&lt;C&gt;1&lt;/C&gt;&lt;D xsi:type="xsd:double"&gt;15.216553&lt;/D&gt;&lt;/FQL&gt;&lt;FQL&gt;&lt;Q&gt;EWJ^P_PRICE(0)/P_PRICE_LOW_PR(0,,,,,,"PRICE","INTRA","52W")-1&lt;/Q&gt;&lt;R&gt;1&lt;/R&gt;&lt;C&gt;1&lt;/C&gt;&lt;D xsi:type="xsd:double"&gt;0.21048951&lt;/D&gt;&lt;/FQL&gt;&lt;FQL&gt;&lt;Q&gt;EWG^FMA_PCT_ABOVE_MAVG(200,0,,,,"PORTAGG")&lt;/Q&gt;&lt;R&gt;1&lt;/R&gt;&lt;C&gt;1&lt;/C&gt;&lt;D xsi:type="xsd:double"&gt;75.8620689655172&lt;/D&gt;&lt;/FQL&gt;&lt;FQL&gt;&lt;Q&gt;EWA^PERCENT_CHANGE(FMA_EPS(+1,0,,,,"PORTAGG","MEAN"),FMA_EPS(+1,-3AM,,,,"PORTAGG","MEAN"))&lt;/Q&gt;&lt;R&gt;1&lt;/R&gt;&lt;C&gt;1&lt;/C&gt;&lt;D xsi:type="xsd:double"&gt;-0.154067527698866&lt;/D&gt;&lt;/FQL&gt;&lt;FQL&gt;&lt;Q&gt;EWI^FMA_COS_UP("EPS","1M",+1,0,,,"PORTAGG","MEANR")&lt;/Q&gt;&lt;R&gt;1&lt;/R&gt;&lt;C&gt;1&lt;/C&gt;&lt;D xsi:type="xsd:double"&gt;17&lt;/D&gt;&lt;/FQL&gt;&lt;FQL&gt;&lt;Q&gt;EWU^SIZE(FG_CONSTITUENTS)&lt;/Q&gt;&lt;R&gt;1&lt;/R&gt;&lt;C&gt;1&lt;/C&gt;&lt;D xsi:type="xsd:long"&gt;82&lt;/D&gt;&lt;/FQL&gt;&lt;FQL&gt;&lt;Q&gt;EWA^FMA_COS_DOWN("EPS","1M",+1,0,,,"PORTAGG","MEANR")&lt;/Q&gt;&lt;R&gt;1&lt;/R&gt;&lt;C&gt;1&lt;/C&gt;&lt;D xsi:type="xsd:double"&gt;28&lt;/D&gt;&lt;/FQL&gt;&lt;FQL&gt;&lt;Q&gt;TRYUS10Y-FDS^FG_YIELD_NAME&lt;/Q&gt;&lt;R&gt;1&lt;/R&gt;&lt;C&gt;1&lt;/C&gt;&lt;D xsi:type="xsd:string"&gt;US Benchmark Bond - 10 Year&lt;/D&gt;&lt;/FQL&gt;&lt;FQL&gt;&lt;Q&gt;REFJPTON-FDS^PROPER_NAME(0,,,"SECURITY","NAME")&lt;/Q&gt;&lt;R&gt;1&lt;/R&gt;&lt;C&gt;1&lt;/C&gt;&lt;D xsi:type="xsd:string"&gt;Japan Policy Rate&lt;/D&gt;&lt;/FQL&gt;&lt;FQL&gt;&lt;Q&gt;CAGDPY@NL^EE_ACTUAL_ANNUAL(MED,+1)&lt;/Q&gt;&lt;R&gt;1&lt;/R&gt;&lt;C&gt;1&lt;/C&gt;&lt;D xsi:type="xsd:double"&gt;9.1&lt;/D&gt;&lt;/FQL&gt;&lt;FQL&gt;&lt;Q&gt;CAGDPY@CA^EE_ACTUAL_ANNUAL(MED,+1)&lt;/Q&gt;&lt;R&gt;1&lt;/R&gt;&lt;C&gt;1&lt;/C&gt;&lt;D xsi:type="xsd:double"&gt;-0.35&lt;/D&gt;&lt;/FQL&gt;&lt;FQL&gt;&lt;Q&gt;USDITL^STD(FG_PRICE_CHANGE(0,-1AY,AM))&lt;/Q&gt;&lt;R&gt;1&lt;/R&gt;&lt;C&gt;1&lt;/C&gt;&lt;D xsi:type="xsd:double"&gt;1.82306458726341&lt;/D&gt;&lt;/FQL&gt;&lt;FQL&gt;&lt;Q&gt;USDANG^STD(FG_PRICE_CHANGE(0,-1AY,AM))&lt;/Q&gt;&lt;R&gt;1&lt;/R&gt;&lt;C&gt;1&lt;/C&gt;&lt;D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xsi:type="xsd:double"&gt;1.65098162166173&lt;/D&gt;&lt;/FQL&gt;&lt;FQL&gt;&lt;Q&gt;USDJPY^STD(FG_PRICE_CHANGE(0,-1AY,AM))&lt;/Q&gt;&lt;R&gt;1&lt;/R&gt;&lt;C&gt;1&lt;/C&gt;&lt;D xsi:type="xsd:double"&gt;2.03124856056099&lt;/D&gt;&lt;/FQL&gt;&lt;FQL&gt;&lt;Q&gt;USDCAD^STD(FG_PRICE_CHANGE(0,-1AY,AM))&lt;/Q&gt;&lt;R&gt;1&lt;/R&gt;&lt;C&gt;1&lt;/C&gt;&lt;D xsi:type="xsd:double"&gt;1.00806646685606&lt;/D&gt;&lt;/FQL&gt;&lt;FQL&gt;&lt;Q&gt;USDNZD^STD(FG_PRICE_CHANGE(0,-1AY,AM))&lt;/Q&gt;&lt;R&gt;1&lt;/R&gt;&lt;C&gt;1&lt;/C&gt;&lt;D xsi:type="xsd:double"&gt;2.43401513041847&lt;/D&gt;&lt;/FQL&gt;&lt;FQL&gt;&lt;Q&gt;EWG^FMA_EPS(NTMA,-20AY,0,CY,,"PORTAGG","MEANR")&lt;/Q&gt;&lt;R&gt;20&lt;/R&gt;&lt;C&gt;1&lt;/C&gt;&lt;D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xsi:type="xsd:double"&gt;2.65863143369802&lt;/D&gt;&lt;/FQL&gt;&lt;FQL&gt;&lt;Q&gt;EWA^P_PRICE_RETURNS_PR('52W',2,-10AY,0,AM)&lt;/Q&gt;&lt;R&gt;121&lt;/R&gt;&lt;C&gt;1&lt;/C&gt;&lt;D xsi:type="xsd:double"&gt;16.042948&lt;/D&gt;&lt;D xsi:type="xsd:double"&gt;24.479712&lt;/D&gt;&lt;D xsi:type="xsd:double"&gt;17.283928&lt;/D&gt;&lt;D xsi:type="xsd:double"&gt;16.215492&lt;/D&gt;&lt;D xsi:type="xsd:double"&gt;-1.9675374&lt;/D&gt;&lt;D xsi:type="xsd:double"&gt;-4.8196735&lt;/D&gt;&lt;D xsi:type="xsd:double"&gt;-1.531744&lt;/D&gt;&lt;D xsi:type="xsd:double"&gt;-6.1326084&lt;/D&gt;&lt;D xsi:type="xsd:double"&gt;1.9225836&lt;/D&gt;&lt;D xsi:type="xsd:double"&gt;-5.339426&lt;/D&gt;&lt;D xsi:type="xsd:double"&gt;-6.1255035&lt;/D&gt;&lt;D xsi:type="xsd:double"&gt;-8.876217&lt;/D&gt;&lt;D xsi:type="xsd:double"&gt;-14.881206&lt;/D&gt;&lt;D xsi:type="xsd:double"&gt;-17.159922&lt;/D&gt;&lt;D xsi:type="xsd:double"&gt;-17.739851&lt;/D&gt;&lt;D xsi:type="xsd:double"&gt;-31.9309&lt;/D&gt;&lt;D xsi:type="xsd:double"&gt;-17.291218&lt;/D&gt;&lt;D xsi:type="xsd:double"&gt;-20.161617&lt;/D&gt;&lt;D xsi:type="xsd:double"&gt;-12.89196&lt;/D&gt;&lt;D xsi:type="xsd:double"&gt;-13.599766&lt;/D&gt;&lt;D xsi:type="xsd:double"&gt;-21.787952&lt;/D&gt;&lt;D xsi:type="xsd:double"&gt;-14.942569&lt;/D&gt;&lt;D xsi:type="xsd:double"&gt;-14.64712&lt;/D&gt;&lt;D xsi:type="xsd:double"&gt;-10.797501&lt;/D&gt;&lt;D xsi:type="xsd:double"&gt;-2.7019978&lt;/D&gt;&lt;D xsi:type="xsd:double"&gt;-2.820301&lt;/D&gt;&lt;D xsi:type="xsd:double"&gt;3.1104326&lt;/D&gt;&lt;D xsi:type="xsd:double"&gt;23.031712&lt;/D&gt;&lt;D xsi:type="xsd:double"&gt;15.459145&lt;/D&gt;&lt;D xsi:type="xsd:double"&gt;9.245718&lt;/D&gt;&lt;D xsi:type="xsd:double"&gt;11.562085&lt;/D&gt;&lt;D xsi:type="xsd:double"&gt;21.882343&lt;/D&gt;&lt;D xsi:type="xsd:double"&gt;29.57145&lt;/D&gt;&lt;D xsi:type="xsd:double"&gt;19.817425&lt;/D&gt;&lt;D xsi:type="xsd:double"&gt;24.180162&lt;/D&gt;&lt;D xsi:type="xsd:double"&gt;17.953121&lt;/D&gt;&lt;D xsi:type="xsd:double"&gt;12.676048&lt;/D&gt;&lt;D xsi:type="xsd:double"&gt;16.301691&lt;/D&gt;&lt;D xsi:type="xsd:double"&gt;14.530647&lt;/D&gt;&lt;D xsi:type="xsd:double"&gt;15.373861&lt;/D&gt;&lt;D xsi:type="xsd:double"&gt;11.505318&lt;/D&gt;&lt;D xsi:type="xsd:double"&gt;20.961153&lt;/D&gt;&lt;D xsi:type="xsd:double"&gt;14.2867565&lt;/D&gt;&lt;D xsi:type="xsd:double"&gt;17.89782&lt;/D&gt;&lt;D xsi:type="xsd:double"&gt;12.3521805&lt;/D&gt;&lt;D xsi:type="xsd:double"&gt;9.970009&lt;/D&gt;&lt;D xsi:type="xsd:double"&gt;1.8660784&lt;/D&gt;&lt;D xsi:type="xsd:double"&gt;8.189785&lt;/D&gt;&lt;D xsi:type="xsd:double"&gt;12.462807&lt;/D&gt;&lt;D xsi:type="xsd:double"&gt;11.761522&lt;/D&gt;&lt;D xsi:type="xsd:double"&gt;5.20761&lt;/D&gt;&lt;D xsi:type="xsd:double"&gt;0.15186071&lt;/D&gt;&lt;D xsi:type="xsd:double"&gt;1.0343313&lt;/D&gt;&lt;D xsi:type="xsd:double"&gt;-3.639549&lt;/D&gt;&lt;D xsi:type="xsd:double"&gt;-5.5642366&lt;/D&gt;&lt;D xsi:type="xsd:double"&gt;-11.772644&lt;/D&gt;&lt;D xsi:type="xsd:double"&gt;-3.8908303&lt;/D&gt;&lt;D xsi:type="xsd:double"&gt;-1.5151024&lt;/D&gt;&lt;D xsi:type="xsd:double"&gt;3.3467531&lt;/D&gt;&lt;D xsi:type="xsd:double"&gt;0.7197261&lt;/D&gt;&lt;D xsi:type="xsd:double"&gt;1.3486981&lt;/D&gt;&lt;D xsi:type="xsd:double"&gt;6.495297&lt;/D&gt;&lt;D xsi:type="xsd:double"&gt;-0.8790076&lt;/D&gt;&lt;D xsi:type="xsd:double"&gt;7.972443&lt;/D&gt;&lt;D xsi:type="xsd:double"&gt;7.159722&lt;/D&gt;&lt;D xsi:type="xsd:double"&gt;13.19338&lt;/D&gt;&lt;D xsi:type="xsd:double"&gt;17.549229&lt;/D&gt;&lt;D xsi:type="xsd:double"&gt;19.936598&lt;/D&gt;&lt;D xsi:type="xsd:double"&gt;14.326286&lt;/D&gt;&lt;D xsi:type="xsd:double"&gt;-3.8412094&lt;/D&gt;&lt;D xsi:type="xsd:double"&gt;-22.264153&lt;/D&gt;&lt;D xsi:type="xsd:double"&gt;-20.999062&lt;/D&gt;&lt;D xsi:type="xsd:double"&gt;-3.6462784&lt;/D&gt;&lt;D xsi:type="xsd:double"&gt;-9.802448&lt;/D&gt;&lt;D xsi:type="xsd:double"&gt;0.09995699&lt;/D&gt;&lt;D xsi:type="xsd:double"&gt;-3.7026525&lt;/D&gt;&lt;D xsi:type="xsd:double"&gt;-5.1225004&lt;/D&gt;&lt;D xsi:type="xsd:double"&gt;-2.717656&lt;/D&gt;&lt;D xsi:type="xsd:double"&gt;8.43389&lt;/D&gt;&lt;D xsi:type="xsd:double"&gt;11.754572&lt;/D&gt;&lt;D xsi:type="xsd:double"&gt;11.171031&lt;/D&gt;&lt;D xsi:type="xsd:double"&gt;27.67576&lt;/D&gt;&lt;D xsi:type="xsd:double"&gt;60.643913&lt;/D&gt;&lt;D xsi:type="xsd:double"&gt;65.02213&lt;/D&gt;&lt;D xsi:type="xsd:double"&gt;41.666805&lt;/D&gt;&lt;D xsi:type="xsd:double"&gt;32.90473&lt;/D&gt;&lt;D xsi:type="xsd:double"&gt;31.128347&lt;/D&gt;&lt;D xsi:type="xsd:double"&gt;32.059715&lt;/D&gt;&lt;D xsi:type="xsd:double"&gt;28.482426&lt;/D&gt;&lt;D xsi:type="xsd:double"&gt;27.480148&lt;/D&gt;&lt;D xsi:type="xsd:double"&gt;6.982994&lt;/D&gt;&lt;D xsi:type="xsd:double"&gt;4.2381167&lt;/D&gt;&lt;D xsi:type="xsd:double"&gt;-1.0750234&lt;/D&gt;&lt;D xsi:type="xsd:double"&gt;4.1222334&lt;/D&gt;&lt;D xsi:type="xsd:double"&gt;10.584986&lt;/D&gt;&lt;D xsi:type="xsd:double"&gt;-4.323685&lt;/D&gt;&lt;D xsi:type="xsd:double"&gt;-4.276073&lt;/D&gt;&lt;D xsi:type="xsd:double"&gt;-13.0371685&lt;/D&gt;&lt;D xsi:type="xsd:double"&gt;-9.092599&lt;/D&gt;&lt;D xsi:type="xsd:double"&gt;-13.446212&lt;/D&gt;&lt;D xsi:type="xsd:double"&gt;-12.889981&lt;/D&gt;&lt;D xsi:type="xsd:double"&gt;-13.027495&lt;/D&gt;&lt;D xsi:type="xsd:double"&gt;0.05095005&lt;/D&gt;&lt;D xsi:type="xsd:double"&gt;-1.1990964&lt;/D&gt;&lt;D xsi:type="xsd:double"&gt;10.567617&lt;/D&gt;&lt;D xsi:type="xsd:double"&gt;-1.2996674&lt;/D&gt;&lt;D xsi:type="xsd:double"&gt;-8.584982&lt;/D&gt;&lt;D xsi:type="xsd:double"&gt;0.20714998&lt;/D&gt;&lt;D xsi:type="xsd:double"&gt;-4.2913675&lt;/D&gt;&lt;D xsi:type="xsd:double"&gt;8.489382&lt;/D&gt;&lt;D xsi:type="xsd:double"&gt;3.4651756&lt;/D&gt;&lt;D xsi:type="xsd:double"&gt;5.6728125&lt;/D&gt;&lt;D xsi:type="xsd:double"&gt;8.657324&lt;/D&gt;&lt;D xsi:type="xsd:double"&gt;5.6851625&lt;/D&gt;&lt;D xsi:type="xsd:double"&gt;1.4471173&lt;/D&gt;&lt;D xsi:type="xsd:double"&gt;11.33374&lt;/D&gt;&lt;D xsi:type="xsd:double"&gt;1.1222601&lt;/D&gt;&lt;D xsi:type="xsd:double"&gt;8.998847&lt;/D&gt;&lt;D xsi:type="xsd:double"&gt;10.609829&lt;/D&gt;&lt;D xsi:type="xsd:double"&gt;8.988106&lt;/D&gt;&lt;D xsi:type="xsd:double"&gt;14.983929&lt;/D&gt;&lt;/FQL&gt;&lt;FQL&gt;&lt;Q&gt;ENZL^JULIAN(FG_TOTAL_RETURNC(-10AY,0,AM).DATES)&lt;/Q&gt;&lt;R&gt;121&lt;/R&gt;&lt;C&gt;1&lt;/C&gt;&lt;D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xsi:type="xsd:long"&gt;45449&lt;/D&gt;&lt;/FQL&gt;&lt;FQL&gt;&lt;Q&gt;EWD^FMA_PE(NTMA,-10AY,0,AM,"PORTAGG","MEANR")&lt;/Q&gt;&lt;R&gt;121&lt;/R&gt;&lt;C&gt;1&lt;/C&gt;&lt;D xsi:type="xsd:double"&gt;15.7489028185732&lt;/D&gt;&lt;D xsi:type="xsd:double"&gt;15.8493885641385&lt;/D&gt;&lt;D xsi:type="xsd:double"&gt;14.9907529320838&lt;/D&gt;&lt;D xsi:type="xsd:double"&gt;14.6844678734655&lt;/D&gt;&lt;D xsi:type="xsd:double"&gt;14.2701501472581&lt;/D&gt;&lt;D xsi:type="xsd:double"&gt;15.3032652021327&lt;/D&gt;&lt;D xsi:type="xsd:double"&gt;15.8227990432284&lt;/D&gt;&lt;D xsi:type="xsd:double"&gt;15.5014215287757&lt;/D&gt;&lt;D xsi:type="xsd:double"&gt;16.5417652012629&lt;/D&gt;&lt;D xsi:type="xsd:double"&gt;17.0218257038724&lt;/D&gt;&lt;D xsi:type="xsd:double"&gt;16.9696009432761&lt;/D&gt;&lt;D xsi:type="xsd:double"&gt;15.424406245776&lt;/D&gt;&lt;D xsi:type="xsd:double"&gt;16.029086457872&lt;/D&gt;&lt;D xsi:type="xsd:double"&gt;15.2462042975694&lt;/D&gt;&lt;D xsi:type="xsd:double"&gt;16.2070354771737&lt;/D&gt;&lt;D xsi:type="xsd:double"&gt;14.5337713870876&lt;/D&gt;&lt;D xsi:type="xsd:double"&gt;14.6687743838911&lt;/D&gt;&lt;D xsi:type="xsd:double"&gt;15.7144071239604&lt;/D&gt;&lt;D xsi:type="xsd:double"&gt;15.301358425341&lt;/D&gt;&lt;D xsi:type="xsd:double"&gt;14.3617336722043&lt;/D&gt;&lt;D xsi:type="xsd:double"&gt;14.6405935831534&lt;/D&gt;&lt;D xsi:type="xsd:double"&gt;15.5575452499885&lt;/D&gt;&lt;D xsi:type="xsd:double"&gt;14.886175794796&lt;/D&gt;&lt;D xsi:type="xsd:double"&gt;14.9086535946193&lt;/D&gt;&lt;D xsi:type="xsd:double"&gt;14.7681457438246&lt;/D&gt;&lt;D xsi:type="xsd:double"&gt;14.0508385141247&lt;/D&gt;&lt;D xsi:type="xsd:double"&gt;15.139774064396&lt;/D&gt;&lt;D xsi:type="xsd:double"&gt;15.5770965383007&lt;/D&gt;&lt;D xsi:type="xsd:double"&gt;15.9491859369132&lt;/D&gt;&lt;D xsi:type="xsd:double"&gt;15.466357740438&lt;/D&gt;&lt;D xsi:type="xsd:double"&gt;16.1935183493282&lt;/D&gt;&lt;D xsi:type="xsd:double"&gt;16.4731174412254&lt;/D&gt;&lt;D xsi:type="xsd:double"&gt;16.4094782880774&lt;/D&gt;&lt;D xsi:type="xsd:double"&gt;16.4141229582959&lt;/D&gt;&lt;D xsi:type="xsd:double"&gt;16.9280273050909&lt;/D&gt;&lt;D xsi:type="xsd:double"&gt;17.1834954979713&lt;/D&gt;&lt;D xsi:type="xsd:double"&gt;16.8046638877942&lt;/D&gt;&lt;D xsi:type="xsd:double"&gt;16.629287165864&lt;/D&gt;&lt;D xsi:type="xsd:double"&gt;16.1106291583542&lt;/D&gt;&lt;D xsi:type="xsd:double"&gt;15.8064747332056&lt;/D&gt;&lt;D xsi:type="xsd:double"&gt;16.7172509265841&lt;/D&gt;&lt;D xsi:type="xsd:double"&gt;17.3418774111409&lt;/D&gt;&lt;D xsi:type="xsd:double"&gt;16.3525709932486&lt;/D&gt;&lt;D xsi:type="xsd:double"&gt;16.4954480624898&lt;/D&gt;&lt;D xsi:type="xsd:double"&gt;15.6788726305765&lt;/D&gt;&lt;D xsi:type="xsd:double"&gt;16.0951094515635&lt;/D&gt;&lt;D xsi:type="xsd:double"&gt;15.5328801413881&lt;/D&gt;&lt;D xsi:type="xsd:double"&gt;15.820382466456&lt;/D&gt;&lt;D xsi:type="xsd:double"&gt;15.4592804293338&lt;/D&gt;&lt;D xsi:type="xsd:double"&gt;15.2234576321798&lt;/D&gt;&lt;D xsi:type="xsd:double"&gt;15.5219574529443&lt;/D&gt;&lt;D xsi:type="xsd:double"&gt;15.5991019724891&lt;/D&gt;&lt;D xsi:type="xsd:double"&gt;15.5075391880147&lt;/D&gt;&lt;D xsi:type="xsd:double"&gt;14.424399991514&lt;/D&gt;&lt;D xsi:type="xsd:double"&gt;13.443950659206&lt;/D&gt;&lt;D xsi:type="xsd:double"&gt;13.6203556981464&lt;/D&gt;&lt;D xsi:type="xsd:double"&gt;14.4637236188223&lt;/D&gt;&lt;D xsi:type="xsd:double"&gt;14.8044443809208&lt;/D&gt;&lt;D xsi:type="xsd:double"&gt;15.2068229941098&lt;/D&gt;&lt;D xsi:type="xsd:double"&gt;15.4359035768769&lt;/D&gt;&lt;D xsi:type="xsd:double"&gt;14.3247940776924&lt;/D&gt;&lt;D xsi:type="xsd:double"&gt;15.1272899896748&lt;/D&gt;&lt;D xsi:type="xsd:double"&gt;13.6329846876699&lt;/D&gt;&lt;D xsi:type="xsd:double"&gt;14.172494057507&lt;/D&gt;&lt;D xsi:type="xsd:double"&gt;14.5270133616478&lt;/D&gt;&lt;D xsi:type="xsd:double"&gt;15.9713130597903&lt;/D&gt;&lt;D xsi:type="xsd:double"&gt;15.7983693636667&lt;/D&gt;&lt;D xsi:type="xsd:double"&gt;16.22217594061&lt;/D&gt;&lt;D xsi:type="xsd:double"&gt;16.6129563863909&lt;/D&gt;&lt;D xsi:type="xsd:double"&gt;14.642119785731&lt;/D&gt;&lt;D xsi:type="xsd:double"&gt;14.8690409905832&lt;/D&gt;&lt;D xsi:type="xsd:double"&gt;17.5397040403441&lt;/D&gt;&lt;D xsi:type="xsd:double"&gt;19.9292697952609&lt;/D&gt;&lt;D xsi:type="xsd:double"&gt;19.9727182838326&lt;/D&gt;&lt;D xsi:type="xsd:double"&gt;18.5249664923931&lt;/D&gt;&lt;D xsi:type="xsd:double"&gt;17.9755184660006&lt;/D&gt;&lt;D xsi:type="xsd:double"&gt;18.300873090261&lt;/D&gt;&lt;D xsi:type="xsd:double"&gt;16.5644424474714&lt;/D&gt;&lt;D xsi:type="xsd:double"&gt;17.3840201739702&lt;/D&gt;&lt;D xsi:type="xsd:double"&gt;18.131709669514&lt;/D&gt;</t>
        </r>
      </text>
    </comment>
    <comment ref="A12" authorId="0" shapeId="0" xr:uid="{7231E752-95BA-425B-9F27-96116D4DBDFC}">
      <text>
        <r>
          <rPr>
            <b/>
            <sz val="9"/>
            <color indexed="81"/>
            <rFont val="Tahoma"/>
            <charset val="1"/>
          </rPr>
          <t>&lt;D xsi:type="xsd:double"&gt;18.6360494442655&lt;/D&gt;&lt;D xsi:type="xsd:double"&gt;19.0812398438371&lt;/D&gt;&lt;D xsi:type="xsd:double"&gt;20.4369867026848&lt;/D&gt;&lt;D xsi:type="xsd:double"&gt;18.1207006292915&lt;/D&gt;&lt;D xsi:type="xsd:double"&gt;18.6787386632513&lt;/D&gt;&lt;D xsi:type="xsd:double"&gt;18.6877474442164&lt;/D&gt;&lt;D xsi:type="xsd:double"&gt;18.5422618342233&lt;/D&gt;&lt;D xsi:type="xsd:double"&gt;18.6210487673886&lt;/D&gt;&lt;D xsi:type="xsd:double"&gt;17.5125260884275&lt;/D&gt;&lt;D xsi:type="xsd:double"&gt;18.6146926881126&lt;/D&gt;&lt;D xsi:type="xsd:double"&gt;18.7644094961306&lt;/D&gt;&lt;D xsi:type="xsd:double"&gt;18.7119304859116&lt;/D&gt;&lt;D xsi:type="xsd:double"&gt;16.3173333593777&lt;/D&gt;&lt;D xsi:type="xsd:double"&gt;14.0254634310239&lt;/D&gt;&lt;D xsi:type="xsd:double"&gt;15.0823374308483&lt;/D&gt;&lt;D xsi:type="xsd:double"&gt;13.734253299427&lt;/D&gt;&lt;D xsi:type="xsd:double"&gt;15.9055529444813&lt;/D&gt;&lt;D xsi:type="xsd:double"&gt;14.3943223234205&lt;/D&gt;&lt;D xsi:type="xsd:double"&gt;14.9036843388862&lt;/D&gt;&lt;D xsi:type="xsd:double"&gt;13.817996003274&lt;/D&gt;&lt;D xsi:type="xsd:double"&gt;13.3956586293732&lt;/D&gt;&lt;D xsi:type="xsd:double"&gt;12.6357197291214&lt;/D&gt;&lt;D xsi:type="xsd:double"&gt;13.0437549544767&lt;/D&gt;&lt;D xsi:type="xsd:double"&gt;13.139702249576&lt;/D&gt;&lt;D xsi:type="xsd:double"&gt;14.2905891282012&lt;/D&gt;&lt;D xsi:type="xsd:double"&gt;14.2840780766146&lt;/D&gt;&lt;D xsi:type="xsd:double"&gt;13.4634808127087&lt;/D&gt;&lt;D xsi:type="xsd:double"&gt;13.6681760437012&lt;/D&gt;&lt;D xsi:type="xsd:double"&gt;13.6387887325869&lt;/D&gt;&lt;D xsi:type="xsd:double"&gt;13.1492986440601&lt;/D&gt;&lt;D xsi:type="xsd:double"&gt;13.1148555229454&lt;/D&gt;&lt;D xsi:type="xsd:double"&gt;13.1241143641396&lt;/D&gt;&lt;D xsi:type="xsd:double"&gt;12.8551416679339&lt;/D&gt;&lt;D xsi:type="xsd:double"&gt;12.8331383217583&lt;/D&gt;&lt;D xsi:type="xsd:double"&gt;14.9679351285007&lt;/D&gt;&lt;D xsi:type="xsd:double"&gt;15.2256918589234&lt;/D&gt;&lt;D xsi:type="xsd:double"&gt;15.5941384268243&lt;/D&gt;&lt;D xsi:type="xsd:double"&gt;16.3466654652065&lt;/D&gt;&lt;D xsi:type="xsd:double"&gt;16.2745289819703&lt;/D&gt;&lt;D xsi:type="xsd:double"&gt;16.0629299310315&lt;/D&gt;&lt;D xsi:type="xsd:double"&gt;16.2612283449617&lt;/D&gt;&lt;/FQL&gt;&lt;FQL&gt;&lt;Q&gt;EWQ^FMA_PE(LTMA,-10AY,0,AM,"PORTAGG","MEANR")&lt;/Q&gt;&lt;R&gt;121&lt;/R&gt;&lt;C&gt;1&lt;/C&gt;&lt;D xsi:type="xsd:double"&gt;15.9474939606491&lt;/D&gt;&lt;D xsi:type="xsd:double"&gt;15.7590828940171&lt;/D&gt;&lt;D xsi:type="xsd:double"&gt;15.1645775395697&lt;/D&gt;&lt;D xsi:type="xsd:double"&gt;15.6191410911619&lt;/D&gt;&lt;D xsi:type="xsd:double"&gt;15.0873651749724&lt;/D&gt;&lt;D xsi:type="xsd:double"&gt;14.9301485376472&lt;/D&gt;&lt;D xsi:type="xsd:double"&gt;15.5728654067632&lt;/D&gt;&lt;D xsi:type="xsd:double"&gt;14.4025942206446&lt;/D&gt;&lt;D xsi:type="xsd:double"&gt;16.4637611839354&lt;/D&gt;&lt;D xsi:type="xsd:double"&gt;17.5482075270273&lt;/D&gt;&lt;D xsi:type="xsd:double"&gt;17.5873382159334&lt;/D&gt;&lt;D xsi:type="xsd:double"&gt;17.3915221373284&lt;/D&gt;&lt;D xsi:type="xsd:double"&gt;17.2431034931243&lt;/D&gt;&lt;D xsi:type="xsd:double"&gt;16.7694451447254&lt;/D&gt;&lt;D xsi:type="xsd:double"&gt;17.3310250935154&lt;/D&gt;&lt;D xsi:type="xsd:double"&gt;15.8143877385292&lt;/D&gt;&lt;D xsi:type="xsd:double"&gt;16.0036783659309&lt;/D&gt;&lt;D xsi:type="xsd:double"&gt;16.5999341855677&lt;/D&gt;&lt;D xsi:type="xsd:double"&gt;15.8426349844756&lt;/D&gt;&lt;D xsi:type="xsd:double"&gt;14.8839344853354&lt;/D&gt;&lt;D xsi:type="xsd:double"&gt;14.7644074538864&lt;/D&gt;&lt;D xsi:type="xsd:double"&gt;15.1988117677065&lt;/D&gt;&lt;D xsi:type="xsd:double"&gt;15.0472977061465&lt;/D&gt;&lt;D xsi:type="xsd:double"&gt;15.0393310868305&lt;/D&gt;&lt;D xsi:type="xsd:double"&gt;15.1648856182378&lt;/D&gt;&lt;D xsi:type="xsd:double"&gt;14.5126491652884&lt;/D&gt;&lt;D xsi:type="xsd:double"&gt;14.9545166599993&lt;/D&gt;&lt;D xsi:type="xsd:double"&gt;15.1190771174197&lt;/D&gt;&lt;D xsi:type="xsd:double"&gt;14.9322296508327&lt;/D&gt;&lt;D xsi:type="xsd:double"&gt;14.5633468580625&lt;/D&gt;&lt;D xsi:type="xsd:double"&gt;15.1290589283168&lt;/D&gt;&lt;D xsi:type="xsd:double"&gt;15.9093055254088&lt;/D&gt;&lt;D xsi:type="xsd:double"&gt;15.4605560659017&lt;/D&gt;&lt;D xsi:type="xsd:double"&gt;15.6131524890958&lt;/D&gt;&lt;D xsi:type="xsd:double"&gt;15.6646757597772&lt;/D&gt;&lt;D xsi:type="xsd:double"&gt;15.9135986208447&lt;/D&gt;&lt;D xsi:type="xsd:double"&gt;15.7306997267465&lt;/D&gt;&lt;D xsi:type="xsd:double"&gt;15.5648625961227&lt;/D&gt;&lt;D xsi:type="xsd:double"&gt;15.6458437199166&lt;/D&gt;&lt;D xsi:type="xsd:double"&gt;15.4982057715008&lt;/D&gt;&lt;D xsi:type="xsd:double"&gt;15.9777607850008&lt;/D&gt;&lt;D xsi:type="xsd:double"&gt;16.3487158448947&lt;/D&gt;&lt;D xsi:type="xsd:double"&gt;16.1399886789591&lt;/D&gt;&lt;D xsi:type="xsd:double"&gt;16.4294175874924&lt;/D&gt;&lt;D xsi:type="xsd:double"&gt;15.4856477832838&lt;/D&gt;&lt;D xsi:type="xsd:double"&gt;15.5441096617291&lt;/D&gt;&lt;D xsi:type="xsd:double"&gt;15.4994648367966&lt;/D&gt;&lt;D xsi:type="xsd:double"&gt;15.6045680442604&lt;/D&gt;&lt;D xsi:type="xsd:double"&gt;15.4368377905709&lt;/D&gt;&lt;D xsi:type="xsd:double"&gt;15.2155455631476&lt;/D&gt;&lt;D xsi:type="xsd:double"&gt;15.205276185875&lt;/D&gt;&lt;D xsi:type="xsd:double"&gt;14.73920402008&lt;/D&gt;&lt;D xsi:type="xsd:double"&gt;14.8126744162232&lt;/D&gt;&lt;D xsi:type="xsd:double"&gt;14.1103223879745&lt;/D&gt;&lt;D xsi:type="xsd:double"&gt;13.208512846172&lt;/D&gt;&lt;D xsi:type="xsd:double"&gt;12.936133117115&lt;/D&gt;&lt;D xsi:type="xsd:double"&gt;13.9953819002797&lt;/D&gt;&lt;D xsi:type="xsd:double"&gt;14.5735323145617&lt;/D&gt;&lt;D xsi:type="xsd:double"&gt;14.6151371973519&lt;/D&gt;&lt;D xsi:type="xsd:double"&gt;14.6110879106775&lt;/D&gt;&lt;D xsi:type="xsd:double"&gt;14.3893004193765&lt;/D&gt;&lt;D xsi:type="xsd:double"&gt;14.7436353933473&lt;/D&gt;&lt;D xsi:type="xsd:double"&gt;14.3810341450561&lt;/D&gt;&lt;D xsi:type="xsd:double"&gt;14.9809441678241&lt;/D&gt;&lt;D xsi:type="xsd:double"&gt;14.849826970126&lt;/D&gt;&lt;D xsi:type="xsd:double"&gt;15.9242456709183&lt;/D&gt;&lt;D xsi:type="xsd:double"&gt;16.0703106667647&lt;/D&gt;&lt;D xsi:type="xsd:double"&gt;16.557862947556&lt;/D&gt;&lt;D xsi:type="xsd:double"&gt;16.5388897255689&lt;/D&gt;&lt;D xsi:type="xsd:double"&gt;14.5686394170814&lt;/D&gt;&lt;D xsi:type="xsd:double"&gt;14.5779445196497&lt;/D&gt;&lt;D xsi:type="xsd:double"&gt;15.8366032252104&lt;/D&gt;&lt;D xsi:type="xsd:double"&gt;18.0867626490599&lt;/D&gt;&lt;D xsi:type="xsd:double"&gt;19.2195421299142&lt;/D&gt;&lt;D xsi:type="xsd:double"&gt;21.4347843261131&lt;/D&gt;&lt;D xsi:type="xsd:double"&gt;22.6902141939165&lt;/D&gt;&lt;D xsi:type="xsd:double"&gt;23.6931211658145&lt;/D&gt;&lt;D xsi:type="xsd:double"&gt;24.6521521189606&lt;/D&gt;&lt;D xsi:type="xsd:double"&gt;28.3827797542208&lt;/D&gt;&lt;D xsi:type="xsd:double"&gt;29.0672419154663&lt;/D&gt;&lt;D xsi:type="xsd:double"&gt;28.0506486050575&lt;/D&gt;&lt;D xsi:type="xsd:double"&gt;26.8996785391982&lt;/D&gt;&lt;D xsi:type="xsd:double"&gt;26.1949027232597&lt;/D&gt;&lt;D xsi:type="xsd:double"&gt;25.2625233235209&lt;/D&gt;&lt;D xsi:type="xsd:double"&gt;24.519172669051&lt;/D&gt;&lt;D xsi:type="xsd:double"&gt;23.4046570467629&lt;/D&gt;&lt;D xsi:type="xsd:double"&gt;22.1400117971341&lt;/D&gt;&lt;D xsi:type="xsd:double"&gt;20.965989707165&lt;/D&gt;&lt;D xsi:type="xsd:double"&gt;19.2392704600484&lt;/D&gt;&lt;D xsi:type="xsd:double"&gt;18.9096247688404&lt;/D&gt;&lt;D xsi:type="xsd:double"&gt;17.3647908397252&lt;/D&gt;&lt;D xsi:type="xsd:double"&gt;17.3308326278509&lt;/D&gt;&lt;D xsi:type="xsd:double"&gt;16.2028161271994&lt;/D&gt;&lt;D xsi:type="xsd:double"&gt;15.2349935423945&lt;/D&gt;&lt;D xsi:type="xsd:double"&gt;15.0943418574482&lt;/D&gt;&lt;D xsi:type="xsd:double"&gt;14.5771023304002&lt;/D&gt;&lt;D xsi:type="xsd:double"&gt;14.3998759262406&lt;/D&gt;&lt;D xsi:type="xsd:double"&gt;13.3575260288491&lt;/D&gt;&lt;D xsi:type="xsd:double"&gt;13.2580760296083&lt;/D&gt;&lt;D xsi:type="xsd:double"&gt;12.4087805118645&lt;/D&gt;&lt;D xsi:type="xsd:double"&gt;11.7073688672658&lt;/D&gt;&lt;D xsi:type="xsd:double"&gt;11.9132045729828&lt;/D&gt;&lt;D xsi:type="xsd:double"&gt;12.0667869585885&lt;/D&gt;&lt;D xsi:type="xsd:double"&gt;12.1603476483941&lt;/D&gt;&lt;D xsi:type="xsd:double"&gt;12.8943771422048&lt;/D&gt;&lt;D xsi:type="xsd:double"&gt;12.9458218354754&lt;/D&gt;&lt;D xsi:type="xsd:double"&gt;13.0301886738249&lt;/D&gt;&lt;D xsi:type="xsd:double"&gt;13.1973835243678&lt;/D&gt;&lt;D xsi:type="xsd:double"&gt;13.0826339231839&lt;/D&gt;&lt;D xsi:type="xsd:double"&gt;12.9968909179784&lt;/D&gt;&lt;D xsi:type="xsd:double"&gt;13.2911365449596&lt;/D&gt;&lt;D xsi:type="xsd:double"&gt;13.129369036042&lt;/D&gt;&lt;D xsi:type="xsd:double"&gt;12.8814887999397&lt;/D&gt;&lt;D xsi:type="xsd:double"&gt;12.8335587270889&lt;/D&gt;&lt;D xsi:type="xsd:double"&gt;13.6954232795926&lt;/D&gt;&lt;D xsi:type="xsd:double"&gt;13.8728624499737&lt;/D&gt;&lt;D xsi:type="xsd:double"&gt;14.4530538096979&lt;/D&gt;&lt;D xsi:type="xsd:double"&gt;15.4845681650519&lt;/D&gt;&lt;D xsi:type="xsd:double"&gt;15.4619632592855&lt;/D&gt;&lt;D xsi:type="xsd:double"&gt;15.4028554934731&lt;/D&gt;&lt;D xsi:type="xsd:double"&gt;15.3683036131142&lt;/D&gt;&lt;/FQL&gt;&lt;FQL&gt;&lt;Q&gt;DDR3512M-FDS^FG_PRICE_CHANGE(0,-1AM)&lt;/Q&gt;&lt;R&gt;1&lt;/R&gt;&lt;C&gt;1&lt;/C&gt;&lt;D xsi:type="xsd:double"&gt;-0.799520729417824&lt;/D&gt;&lt;/FQL&gt;&lt;FQL&gt;&lt;Q&gt;PASP-FDS^FG_PRICE_CHANGE(0,-1AM)&lt;/Q&gt;&lt;R&gt;1&lt;/R&gt;&lt;C&gt;1&lt;/C&gt;&lt;D xsi:type="xsd:double"&gt;-3.9795918367347&lt;/D&gt;&lt;/FQL&gt;&lt;FQL&gt;&lt;Q&gt;PLATI-FDS^FG_PRICE_CHANGE(0,-1AM)&lt;/Q&gt;&lt;R&gt;1&lt;/R&gt;&lt;C&gt;1&lt;/C&gt;&lt;D xsi:type="xsd:double"&gt;1.73469387755103&lt;/D&gt;&lt;/FQL&gt;&lt;FQL&gt;&lt;Q&gt;W-FDS^FG_PRICE_CHANGE(0,-1AM)&lt;/Q&gt;&lt;R&gt;1&lt;/R&gt;&lt;C&gt;1&lt;/C&gt;&lt;D xsi:type="xsd:double"&gt;1.1466982997232&lt;/D&gt;&lt;/FQL&gt;&lt;FQL&gt;&lt;Q&gt;COPP-FDS^FG_PRICE_CHANGE(0,-1AM)&lt;/Q&gt;&lt;R&gt;1&lt;/R&gt;&lt;C&gt;1&lt;/C&gt;&lt;D xsi:type="xsd:double"&gt;1.2191174884022&lt;/D&gt;&lt;/FQL&gt;&lt;FQL&gt;&lt;Q&gt;SPY^PERCENT_CHANGE(FMA_EPS(+1,0,,,,"PORTAGG","MEAN"),FMA_EPS(+1,-3AM,,,,"PORTAGG","MEAN"))&lt;/Q&gt;&lt;R&gt;1&lt;/R&gt;&lt;C&gt;1&lt;/C&gt;&lt;D xsi:type="xsd:double"&gt;0.209640418003658&lt;/D&gt;&lt;/FQL&gt;&lt;FQL&gt;&lt;Q&gt;URTH^FG_TOTAL_RETURNC(0,-3AM)&lt;/Q&gt;&lt;R&gt;1&lt;/R&gt;&lt;C&gt;1&lt;/C&gt;&lt;D xsi:type="xsd:double"&gt;4.479182&lt;/D&gt;&lt;/FQL&gt;&lt;FQL&gt;&lt;Q&gt;EWD^FG_ROE(0)&lt;/Q&gt;&lt;R&gt;1&lt;/R&gt;&lt;C&gt;1&lt;/C&gt;&lt;D xsi:type="xsd:double"&gt;17.0261764685124&lt;/D&gt;&lt;/FQL&gt;&lt;FQL&gt;&lt;Q&gt;TRYSE10Y-FDS^PCTCHG(FG_YIELD(0,,,,"YTM"),FG_YIELD(-1AM,,,,"YTM"))&lt;/Q&gt;&lt;R&gt;1&lt;/R&gt;&lt;C&gt;1&lt;/C&gt;&lt;D xsi:type="xsd:double"&gt;-1.734354&lt;/D&gt;&lt;/FQL&gt;&lt;FQL&gt;&lt;Q&gt;TRYDE10Y-FDS^PCTCHG(FG_YIELD(0,,,,"YTM"),FG_YIELD(-1AM,,,,"YTM"))&lt;/Q&gt;&lt;R&gt;1&lt;/R&gt;&lt;C&gt;1&lt;/C&gt;&lt;D xsi:type="xsd:double"&gt;3.643721&lt;/D&gt;&lt;/FQL&gt;&lt;FQL&gt;&lt;Q&gt;TRYFR10Y-FDS^FG_YIELD_NAME&lt;/Q&gt;&lt;R&gt;1&lt;/R&gt;&lt;C&gt;1&lt;/C&gt;&lt;D xsi:type="xsd:string"&gt;France Benchmark Bond - 10 Year&lt;/D&gt;&lt;/FQL&gt;&lt;FQL&gt;&lt;Q&gt;VWO^FMA_EVAL_EBIT(LTMA,NOW,NOW,M,"PORTAGG","MEANR")&lt;/Q&gt;&lt;R&gt;1&lt;/R&gt;&lt;C&gt;1&lt;/C&gt;&lt;D xsi:type="xsd:double"&gt;14.3802570618771&lt;/D&gt;&lt;/FQL&gt;&lt;FQL&gt;&lt;Q&gt;EWI^FG_FCF_YIELD_NTM(0)&lt;/Q&gt;&lt;R&gt;1&lt;/R&gt;&lt;C&gt;1&lt;/C&gt;&lt;D xsi:type="xsd:double"&gt;6.06766900099592&lt;/D&gt;&lt;/FQL&gt;&lt;FQL&gt;&lt;Q&gt;EWN^FMA_PE(NTMA,0,,,"PORTAGG","MEANR")&lt;/Q&gt;&lt;R&gt;1&lt;/R&gt;&lt;C&gt;1&lt;/C&gt;&lt;D xsi:type="xsd:double"&gt;16.2123023575543&lt;/D&gt;&lt;/FQL&gt;&lt;FQL&gt;&lt;Q&gt;SPY^JULIAN(FMA_DIV_YLD(NTMA,NOW,NOW,M,"PORTAGG","MEANR").DATES)&lt;/Q&gt;&lt;R&gt;1&lt;/R&gt;&lt;C&gt;1&lt;/C&gt;&lt;D xsi:type="xsd:long"&gt;45443&lt;/D&gt;&lt;/FQL&gt;&lt;FQL&gt;&lt;Q&gt;EWL^FMA_EVAL_EBITDA(NTMA,0,,,"PORTAGG","MEANR")&lt;/Q&gt;&lt;R&gt;1&lt;/R&gt;&lt;C&gt;1&lt;/C&gt;&lt;D xsi:type="xsd:double"&gt;12.8606577749266&lt;/D&gt;&lt;/FQL&gt;&lt;FQL&gt;&lt;Q&gt;EWG^FMA_DIV_YLD(NTMA,NOW,NOW,M,"PORTAGG","MEANR")&lt;/Q&gt;&lt;R&gt;1&lt;/R&gt;&lt;C&gt;1&lt;/C&gt;&lt;D xsi:type="xsd:double"&gt;3.38058523748159&lt;/D&gt;&lt;/FQL&gt;&lt;FQL&gt;&lt;Q&gt;EWA^FMA_PE(LTM,0,,,"PORTAGG","MEANR")&lt;/Q&gt;&lt;R&gt;1&lt;/R&gt;&lt;C&gt;1&lt;/C&gt;&lt;D xsi:type="xsd:double"&gt;18.9609887303028&lt;/D&gt;&lt;/FQL&gt;&lt;FQL&gt;&lt;Q&gt;DBA^FG_TOTAL_RETURNC(0,-3AM)&lt;/Q&gt;&lt;R&gt;1&lt;/R&gt;&lt;C&gt;1&lt;/C&gt;&lt;D xsi:type="xsd:double"&gt;14.228189&lt;/D&gt;&lt;/FQL&gt;&lt;FQL&gt;&lt;Q&gt;TRYBR10Y-FDS^FG_YIELD(-10AY,0,Y,,"YTM")&lt;/Q&gt;&lt;R&gt;10&lt;/R&gt;&lt;C&gt;1&lt;/C&gt;&lt;D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xsi:type="xsd:double"&gt;-1.3975263&lt;/D&gt;&lt;/FQL&gt;&lt;FQL&gt;&lt;Q&gt;USDJPY^FG_PRICE_CHANGE(0,-6AM)&lt;/Q&gt;&lt;R&gt;1&lt;/R&gt;&lt;C&gt;1&lt;/C&gt;&lt;D xsi:type="xsd:double"&gt;5.9776545&lt;/D&gt;&lt;/FQL&gt;&lt;FQL&gt;&lt;Q&gt;USDCAD^FG_PRICE_CHANGE(0,-6AM)&lt;/Q&gt;&lt;R&gt;1&lt;/R&gt;&lt;C&gt;1&lt;/C&gt;&lt;D xsi:type="xsd:double"&gt;1.0616779&lt;/D&gt;&lt;/FQL&gt;&lt;FQL&gt;&lt;Q&gt;USDNZD^FG_PRICE_CHANGE(0,-6AM)&lt;/Q&gt;&lt;R&gt;1&lt;/R&gt;&lt;C&gt;1&lt;/C&gt;&lt;D xsi:type="xsd:double"&gt;-0.4365027&lt;/D&gt;&lt;/FQL&gt;&lt;FQL&gt;&lt;Q&gt;EWC^FMA_EPS(NTMA,-20AY,0,CY,,"PORTAGG","MEANR")&lt;/Q&gt;&lt;R&gt;20&lt;/R&gt;&lt;C&gt;1&lt;/C&gt;&lt;D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xsi:type="xsd:double"&gt;2.68263358415049&lt;/D&gt;&lt;/FQL&gt;&lt;FQL&gt;&lt;Q&gt;SPY^FMA_PE(LTMA,-10AY,0,AM,"PORTAGG","MEANR")&lt;/Q&gt;&lt;R&gt;121&lt;/R&gt;&lt;C&gt;1&lt;/C&gt;&lt;D xsi:type="xsd:double"&gt;16.3725895879344&lt;/D&gt;&lt;D xsi:type="xsd:double"&gt;16.4996505616026&lt;/D&gt;&lt;D xsi:type="xsd:double"&gt;16.109783710192&lt;/D&gt;&lt;D xsi:type="xsd:double"&gt;16.5414741530062&lt;/D&gt;&lt;D xsi:type="xsd:double"&gt;16.3418688581651&lt;/D&gt;&lt;D xsi:type="xsd:double"&gt;16.8274780786085&lt;/D&gt;&lt;D xsi:type="xsd:double"&gt;17.2264384592387&lt;/D&gt;&lt;D xsi:type="xsd:double"&gt;16.8158619301581&lt;/D&gt;&lt;D xsi:type="xsd:double"&gt;17.2088643291289&lt;/D&gt;&lt;D xsi:type="xsd:double"&gt;17.5375144623393&lt;/D&gt;&lt;D xsi:type="xsd:double"&gt;17.5112328986693&lt;/D&gt;&lt;D xsi:type="xsd:double"&gt;17.4654149839862&lt;/D&gt;&lt;D xsi:type="xsd:double"&gt;17.4590440655969&lt;/D&gt;&lt;D xsi:type="xsd:double"&gt;17.3444156557605&lt;/D&gt;&lt;D xsi:type="xsd:double"&gt;17.4242248474059&lt;/D&gt;&lt;D xsi:type="xsd:double"&gt;16.5216733276677&lt;/D&gt;&lt;D xsi:type="xsd:double"&gt;16.8383360128799&lt;/D&gt;&lt;D xsi:type="xsd:double"&gt;17.5716217957678&lt;/D&gt;&lt;D xsi:type="xsd:double"&gt;17.4949842320588&lt;/D&gt;&lt;D xsi:type="xsd:double"&gt;16.6953523225737&lt;/D&gt;&lt;D xsi:type="xsd:double"&gt;16.2966838906097&lt;/D&gt;&lt;D xsi:type="xsd:double"&gt;16.18819342752&lt;/D&gt;&lt;D xsi:type="xsd:double"&gt;16.4452153070474&lt;/D&gt;&lt;D xsi:type="xsd:double"&gt;16.565182572191&lt;/D&gt;&lt;D xsi:type="xsd:double"&gt;16.8230210079016&lt;/D&gt;&lt;D xsi:type="xsd:double"&gt;16.9294283453795&lt;/D&gt;&lt;D xsi:type="xsd:double"&gt;17.4688495841606&lt;/D&gt;&lt;D xsi:type="xsd:double"&gt;17.67329605525&lt;/D&gt;&lt;D xsi:type="xsd:double"&gt;17.7359099709158&lt;/D&gt;&lt;D xsi:type="xsd:double"&gt;17.2918700891375&lt;/D&gt;&lt;D xsi:type="xsd:double"&gt;18.4025297502104&lt;/D&gt;&lt;D xsi:type="xsd:double"&gt;19.1011250883114&lt;/D&gt;&lt;D xsi:type="xsd:double"&gt;18.9918841820209&lt;/D&gt;&lt;D xsi:type="xsd:double"&gt;19.4820084244639&lt;/D&gt;&lt;D xsi:type="xsd:double"&gt;19.3027827049436&lt;/D&gt;&lt;D xsi:type="xsd:double"&gt;19.2360496087891&lt;/D&gt;&lt;D xsi:type="xsd:double"&gt;19.1931376965346&lt;/D&gt;&lt;D xsi:type="xsd:double"&gt;19.0054089623247&lt;/D&gt;&lt;D xsi:type="xsd:double"&gt;19.1759928307014&lt;/D&gt;&lt;D xsi:type="xsd:double"&gt;19.0256153164578&lt;/D&gt;&lt;D xsi:type="xsd:double"&gt;19.5052224002881&lt;/D&gt;&lt;D xsi:type="xsd:double"&gt;19.6705581888894&lt;/D&gt;&lt;D xsi:type="xsd:double"&gt;19.9061591868864&lt;/D&gt;&lt;D xsi:type="xsd:double"&gt;20.7309814694718&lt;/D&gt;&lt;D xsi:type="xsd:double"&gt;19.8780945760851&lt;/D&gt;&lt;D xsi:type="xsd:double"&gt;19.7599309892462&lt;/D&gt;&lt;D xsi:type="xsd:double"&gt;19.3005112064645&lt;/D&gt;&lt;D xsi:type="xsd:double"&gt;19.0584991730264&lt;/D&gt;&lt;D xsi:type="xsd:double"&gt;18.9821434586938&lt;/D&gt;&lt;D xsi:type="xsd:double"&gt;18.6780670577365&lt;/D&gt;&lt;D xsi:type="xsd:double"&gt;18.6746365139641&lt;/D&gt;&lt;D xsi:type="xsd:double"&gt;18.560949423326&lt;/D&gt;&lt;D xsi:type="xsd:double"&gt;18.4236688674789&lt;/D&gt;&lt;D xsi:type="xsd:double"&gt;17.4493123935792&lt;/D&gt;&lt;D xsi:type="xsd:double"&gt;16.8427092214625&lt;/D&gt;&lt;D xsi:type="xsd:double"&gt;15.6618488826115&lt;/D&gt;&lt;D xsi:type="xsd:double"&gt;16.8263876682493&lt;/D&gt;&lt;D xsi:type="xsd:double"&gt;17.0855494984763&lt;/D&gt;&lt;D xsi:type="xsd:double"&gt;17.2259723789061&lt;/D&gt;&lt;D xsi:type="xsd:double"&gt;17.2974990462543&lt;/D&gt;&lt;D xsi:type="xsd:double"&gt;17.0944070371373&lt;/D&gt;&lt;D xsi:type="xsd:double"&gt;17.5793723721593&lt;/D&gt;&lt;D xsi:type="xsd:double"&gt;17.3270787078878&lt;/D&gt;&lt;D xsi:type="xsd:double"&gt;17.7608297676381&lt;/D&gt;&lt;D xsi:type="xsd:double"&gt;17.7945638470984&lt;/D&gt;&lt;D xsi:type="xsd:double"&gt;18.5623316736305&lt;/D&gt;&lt;D xsi:type="xsd:double"&gt;19.1640072756239&lt;/D&gt;&lt;D xsi:type="xsd:double"&gt;19.9565103845074&lt;/D&gt;&lt;D xsi:type="xsd:double"&gt;20.3542970634785&lt;/D&gt;&lt;D xsi:type="xsd:double"&gt;17.917881165958&lt;/D&gt;&lt;D xsi:type="xsd:double"&gt;17.9087188878082&lt;/D&gt;&lt;D xsi:type="xsd:double"&gt;19.3570062611736&lt;/D&gt;&lt;D xsi:type="xsd:double"&gt;21.0659222525134&lt;/D&gt;&lt;D xsi:type="xsd:double"&gt;21.6632516519355&lt;/D&gt;&lt;D xsi:type="xsd:double"&gt;22.5176827953257&lt;/D&gt;&lt;D xsi:type="xsd:double"&gt;23.3883618434079&lt;/D&gt;&lt;D xsi:type="xsd:double"&gt;23.6363655306121&lt;/D&gt;&lt;D xsi:type="xsd:double"&gt;24.2911665957273&lt;/D&gt;&lt;D xsi:type="xsd:double"&gt;25.9027611350028&lt;/D&gt;&lt;D xsi:type="xsd:double"&gt;27.2531571257546&lt;/D&gt;&lt;D xsi:type="xsd:double"&gt;27.1919831962441&lt;/D&gt;&lt;D xsi:type="xsd:double"&gt;26.216283280056&lt;/D&gt;&lt;D xsi:type="xsd:double"&gt;26.0506430289679&lt;/D&gt;&lt;D xsi:type="xsd:double"&gt;25.4928444846784&lt;/D&gt;&lt;D xsi:type="xsd:double"&gt;25.0640225211116&lt;/D&gt;&lt;D xsi:type="xsd:double"&gt;24.8499779795872&lt;/D&gt;&lt;D xsi:type="xsd:double"&gt;24.138865277313&lt;/D&gt;&lt;D xsi:type="xsd:double"&gt;24.0082796586278&lt;/D&gt;&lt;D xsi:type="xsd:double"&gt;22.9990402125385&lt;/D&gt;&lt;D xsi:type="xsd:double"&gt;23.5697418381932&lt;/D&gt;&lt;D xsi:type="xsd:double"&gt;22.6737167180256&lt;/D&gt;&lt;D xsi:type="xsd:double"&gt;22.857276786331&lt;/D&gt;&lt;D xsi:type="xsd:double"&gt;21.5223124904584&lt;/D&gt;&lt;D xsi:type="xsd:double"&gt;20.6614603521962&lt;/D&gt;&lt;D xsi:type="xsd:double"&gt;20.6170783647452&lt;/D&gt;&lt;D xsi:type="xsd:double"&gt;19.9443096330318&lt;/D&gt;&lt;D xsi:type="xsd:double"&gt;19.6559875882618&lt;/D&gt;&lt;D xsi:type="xsd:double"&gt;18.8007625176396&lt;/D&gt;&lt;D xsi:type="xsd:double"&gt;19.3686056423827&lt;/D&gt;&lt;D xsi:type="xsd:double"&gt;18.4569604685799&lt;/D&gt;&lt;D xsi:type="xsd:double"&gt;17.7395147537825&lt;/D&gt;&lt;D xsi:type="xsd:double"&gt;17.6683217517993&lt;/D&gt;&lt;D xsi:type="xsd:double"&gt;18.0439171602644&lt;/D&gt;&lt;D xsi:type="xsd:double"&gt;17.6768451648335&lt;/D&gt;&lt;D xsi:type="xsd:double"&gt;18.690442986565&lt;/D&gt;&lt;D xsi:type="xsd:double"&gt;18.1120250452954&lt;/D&gt;&lt;D xsi:type="xsd:double"&gt;18.2308694176573&lt;/D&gt;&lt;D xsi:type="xsd:double"&gt;18.2990844229028&lt;/D&gt;&lt;D xsi:type="xsd:double"&gt;18.6246880427449&lt;/D&gt;&lt;D xsi:type="xsd:double"&gt;19.0923942956933&lt;/D&gt;&lt;D xsi:type="xsd:double"&gt;19.378638345783&lt;/D&gt;&lt;D xsi:type="xsd:double"&gt;19.4624196785929&lt;/D&gt;&lt;D xsi:type="xsd:double"&gt;19.1604869966219&lt;/D&gt;&lt;D xsi:type="xsd:double"&gt;19.5364662009899&lt;/D&gt;&lt;D xsi:type="xsd:double"&gt;20.4249935850558&lt;/D&gt;&lt;D xsi:type="xsd:double"&gt;21.3985320951619&lt;/D&gt;&lt;D xsi:type="xsd:double"&gt;22.3285957662434&lt;/D&gt;&lt;D xsi:type="xsd:double"&gt;22.7424166088589&lt;/D&gt;&lt;D xsi:type="xsd:double"&gt;22.6757992917571&lt;/D&gt;&lt;D xsi:type="xsd:double"&gt;22.4790758346946&lt;/D&gt;&lt;D xsi:type="xsd:double"&gt;22.4975063137663&lt;/D&gt;&lt;/FQL&gt;&lt;FQL&gt;&lt;Q&gt;DDR3512M-FDS^FG_PRICE_MAVG(0,,,,30)&lt;/Q&gt;&lt;R&gt;1&lt;/R&gt;&lt;C&gt;1&lt;/C&gt;&lt;D xsi:type="xsd:double"&gt;0.9652785&lt;/D&gt;&lt;/FQL&gt;&lt;FQL&gt;&lt;Q&gt;PASP-FDS^FG_PRICE_MAVG(0,,,,30)&lt;/Q&gt;&lt;R&gt;1&lt;/R&gt;&lt;C&gt;1&lt;/C&gt;&lt;D xsi:type="xsd:double"&gt;977.7&lt;/D&gt;&lt;/FQL&gt;&lt;FQL&gt;&lt;Q&gt;PLATI-FDS^FG_PRICE_MAVG(0,,,,30)&lt;/Q&gt;&lt;R&gt;1&lt;/R&gt;&lt;C&gt;1&lt;/C&gt;&lt;D xsi:type="xsd:double"&gt;1006.5&lt;/D&gt;&lt;/FQL&gt;&lt;FQL&gt;&lt;Q&gt;W-FDS^FG_PRICE_MAVG(0,,,,30)&lt;/Q&gt;&lt;R&gt;1&lt;/R&gt;&lt;C&gt;1&lt;/C&gt;&lt;D xsi:type="xsd:double"&gt;6.4816666&lt;/D&gt;&lt;/FQL&gt;&lt;FQL&gt;&lt;Q&gt;COPP-FDS^FG_PRICE_MAVG(0,,,,30)&lt;/Q&gt;&lt;R&gt;1&lt;/R&gt;&lt;C&gt;1&lt;/C&gt;&lt;D xsi:type="xsd:double"&gt;4.7316666&lt;/D&gt;&lt;/FQL&gt;&lt;FQL&gt;&lt;Q&gt;EWI^FG_PRICE_MAVG(0,,,,30)&lt;/Q&gt;&lt;R&gt;1&lt;/R&gt;&lt;C&gt;1&lt;/C&gt;&lt;D xsi:type="xsd:double"&gt;38.165&lt;/D&gt;&lt;/FQL&gt;&lt;FQL&gt;&lt;Q&gt;SPY^FG_PRICE_MAVG(0,,,,30)&lt;/Q&gt;&lt;R&gt;1&lt;/R&gt;&lt;C&gt;1&lt;/C&gt;&lt;D xsi:type="xsd:double"&gt;521.41864&lt;/D&gt;&lt;/FQL&gt;&lt;FQL&gt;&lt;Q&gt;EWJ^FG_PRICE_MAVG(0,,,,30)&lt;/Q&gt;&lt;R&gt;1&lt;/R&gt;&lt;C&gt;1&lt;/C&gt;&lt;D xsi:type="xsd:double"&gt;68.37666&lt;/D&gt;&lt;/FQL&gt;&lt;FQL&gt;&lt;Q&gt;ENZL^FG_PRICE_MAVG(0,,,,30)&lt;/Q&gt;&lt;R&gt;1&lt;/R&gt;&lt;C&gt;1&lt;/C&gt;&lt;D xsi:type="xsd:double"&gt;45.3765&lt;/D&gt;&lt;/FQL&gt;&lt;FQL&gt;&lt;Q&gt;EWN^FMA_PCT_ABOVE_MAVG(200,0,,,,"PORTAGG")&lt;/Q&gt;&lt;R&gt;1&lt;/R&gt;&lt;C&gt;1&lt;/C&gt;&lt;D xsi:type="xsd:double"&gt;66.0377358490566&lt;/D&gt;&lt;/FQL&gt;&lt;FQL&gt;&lt;Q&gt;EWU^FG_TOTAL_RETURNC(0,-3AM)&lt;/Q&gt;&lt;R&gt;1&lt;/R&gt;&lt;C&gt;1&lt;/C&gt;&lt;D xsi:type="xsd:double"&gt;10.102844&lt;/D&gt;&lt;/FQL&gt;&lt;FQL&gt;&lt;Q&gt;EWC^FG_TOTAL_RETURNC(0,-12AM)&lt;/Q&gt;&lt;R&gt;1&lt;/R&gt;&lt;C&gt;1&lt;/C&gt;&lt;D xsi:type="xsd:double"&gt;12.649226&lt;/D&gt;&lt;/FQL&gt;&lt;FQL&gt;&lt;Q&gt;EWD^SIZE(FG_CONSTITUENTS)&lt;/Q&gt;&lt;R&gt;1&lt;/R&gt;&lt;C&gt;1&lt;/C&gt;&lt;D xsi:type="xsd:long"&gt;45&lt;/D&gt;&lt;/FQL&gt;&lt;FQL&gt;&lt;Q&gt;EWA^FMA_COS_UP("EPS","1M",+1,0,,,"PORTAGG","MEANR")&lt;/Q&gt;&lt;R&gt;1&lt;/R&gt;&lt;C&gt;1&lt;/C&gt;&lt;D xsi:type="xsd:double"&gt;25&lt;/D&gt;&lt;/FQL&gt;&lt;FQL&gt;&lt;Q&gt;CAGDPY@NL^EE_ACTUAL_ANNUAL(MED,0)&lt;/Q&gt;&lt;R&gt;1&lt;/R&gt;&lt;C&gt;1&lt;/C&gt;&lt;D xsi:type="xsd:double"&gt;10.0884806997308&lt;/D&gt;&lt;/FQL&gt;&lt;FQL&gt;&lt;Q&gt;CAGDPY@CA^EE_ACTUAL_ANNUAL(MED,0)&lt;/Q&gt;&lt;R&gt;1&lt;/R&gt;&lt;C&gt;1&lt;/C&gt;&lt;D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xsi:type="xsd:double"&gt;-0.8043289&lt;/D&gt;&lt;/FQL&gt;&lt;FQL&gt;&lt;Q&gt;ENZL^P_PRICE_RETURNS_PR('52W',2,-10AY,0,AM)&lt;/Q&gt;&lt;R&gt;121&lt;/R&gt;&lt;C&gt;1&lt;/C&gt;&lt;D xsi:type="xsd:double"&gt;23.790813&lt;/D&gt;&lt;D xsi:type="xsd:double"&gt;30.837477&lt;/D&gt;&lt;D xsi:type="xsd:double"&gt;19.831562&lt;/D&gt;&lt;D xsi:type="xsd:double"&gt;21.643913&lt;/D&gt;&lt;D xsi:type="xsd:double"&gt;2.8004527&lt;/D&gt;&lt;D xsi:type="xsd:double"&gt;0.42479038&lt;/D&gt;&lt;D xsi:type="xsd:double"&gt;11.394954&lt;/D&gt;&lt;D xsi:type="xsd:double"&gt;10.347891&lt;/D&gt;&lt;D xsi:type="xsd:double"&gt;8.208442&lt;/D&gt;&lt;D xsi:type="xsd:double"&gt;1.0688305&lt;/D&gt;&lt;D xsi:type="xsd:double"&gt;1.400578&lt;/D&gt;&lt;D xsi:type="xsd:double"&gt;-3.4534335&lt;/D&gt;&lt;D xsi:type="xsd:double"&gt;-4.698449&lt;/D&gt;&lt;D xsi:type="xsd:double"&gt;-14.27691&lt;/D&gt;&lt;D xsi:type="xsd:double"&gt;-9.319866&lt;/D&gt;&lt;D xsi:type="xsd:double"&gt;-18.822788&lt;/D&gt;&lt;D xsi:type="xsd:double"&gt;-9.076017&lt;/D&gt;&lt;D xsi:type="xsd:double"&gt;-4.7704697&lt;/D&gt;&lt;D xsi:type="xsd:double"&gt;-3.8832843&lt;/D&gt;&lt;D xsi:type="xsd:double"&gt;-5.0723195&lt;/D&gt;&lt;D xsi:type="xsd:double"&gt;-7.3734403&lt;/D&gt;&lt;D xsi:type="xsd:double"&gt;-2.192074&lt;/D&gt;&lt;D xsi:type="xsd:double"&gt;4.780388&lt;/D&gt;&lt;D xsi:type="xsd:double"&gt;9.583628&lt;/D&gt;&lt;D xsi:type="xsd:double"&gt;18.393528&lt;/D&gt;&lt;D xsi:type="xsd:double"&gt;30.449749&lt;/D&gt;&lt;D xsi:type="xsd:double"&gt;37.337864&lt;/D&gt;&lt;D xsi:type="xsd:double"&gt;61.62647&lt;/D&gt;&lt;D xsi:type="xsd:double"&gt;39.899445&lt;/D&gt;&lt;D xsi:type="xsd:double"&gt;21.719158&lt;/D&gt;&lt;D xsi:type="xsd:double"&gt;18.991375&lt;/D&gt;&lt;D xsi:type="xsd:double"&gt;17.736864&lt;/D&gt;&lt;D xsi:type="xsd:double"&gt;29.317963&lt;/D&gt;&lt;D xsi:type="xsd:double"&gt;14.283979&lt;/D&gt;&lt;D xsi:type="xsd:double"&gt;10.097504&lt;/D&gt;&lt;D xsi:type="xsd:double"&gt;8.216154&lt;/D&gt;&lt;D xsi:type="xsd:double"&gt;10.535299&lt;/D&gt;&lt;D xsi:type="xsd:double"&gt;10.362589&lt;/D&gt;&lt;D xsi:type="xsd:double"&gt;8.658624&lt;/D&gt;&lt;D xsi:type="xsd:double"&gt;-0.12241006&lt;/D&gt;&lt;D xsi:type="xsd:double"&gt;8.624363&lt;/D&gt;&lt;D xsi:type="xsd:double"&gt;13.535463&lt;/D&gt;&lt;D xsi:type="xsd:double"&gt;12.424088&lt;/D&gt;&lt;D xsi:type="xsd:double"&gt;22.885859&lt;/D&gt;&lt;D xsi:type="xsd:double"&gt;14.130629&lt;/D&gt;&lt;D xsi:type="xsd:double"&gt;21.524502&lt;/D&gt;&lt;D xsi:type="xsd:double"&gt;18.666792&lt;/D&gt;&lt;D xsi:type="xsd:double"&gt;18.918526&lt;/D&gt;&lt;D xsi:type="xsd:double"&gt;14.099466&lt;/D&gt;&lt;D xsi:type="xsd:double"&gt;12.074459&lt;/D&gt;&lt;D xsi:type="xsd:double"&gt;3.8766026&lt;/D&gt;&lt;D xsi:type="xsd:double"&gt;6.662929&lt;/D&gt;&lt;D xsi:type="xsd:double"&gt;3.3033967&lt;/D&gt;&lt;D xsi:type="xsd:double"&gt;5.5641413&lt;/D&gt;&lt;D xsi:type="xsd:double"&gt;8.95133&lt;/D&gt;&lt;D xsi:type="xsd:double"&gt;-0.55550337&lt;/D&gt;&lt;D xsi:type="xsd:double"&gt;4.634762&lt;/D&gt;&lt;D xsi:type="xsd:double"&gt;4.8406243&lt;/D&gt;&lt;D xsi:type="xsd:double"&gt;8.302677&lt;/D&gt;&lt;D xsi:type="xsd:double"&gt;9.410763&lt;/D&gt;&lt;D xsi:type="xsd:double"&gt;6.142986&lt;/D&gt;&lt;D xsi:type="xsd:double"&gt;12.430382&lt;/D&gt;&lt;D xsi:type="xsd:double"&gt;14.322734&lt;/D&gt;&lt;D xsi:type="xsd:double"&gt;19.257486&lt;/D&gt;&lt;D xsi:type="xsd:double"&gt;15.398109&lt;/D&gt;&lt;D xsi:type="xsd:double"&gt;15.325284&lt;/D&gt;&lt;D xsi:type="xsd:double"&gt;23.385477&lt;/D&gt;&lt;D xsi:type="xsd:double"&gt;28.49474&lt;/D&gt;&lt;D xsi:type="xsd:double"&gt;20.957958&lt;/D&gt;&lt;D xsi:type="xsd:double"&gt;14.35132&lt;/D&gt;&lt;D xsi:type="xsd:double"&gt;-9.476119&lt;/D&gt;&lt;D xsi:type="xsd:double"&gt;-2.811265&lt;/D&gt;&lt;D xsi:type="xsd:double"&gt;14.342308&lt;/D&gt;&lt;D xsi:type="xsd:double"&gt;11.546648&lt;/D&gt;&lt;D xsi:type="xsd:double"&gt;16.667843&lt;/D&gt;&lt;D xsi:type="xsd:double"&gt;14.080179&lt;/D&gt;&lt;D xsi:type="xsd:double"&gt;14.278197&lt;/D&gt;&lt;D xsi:type="xsd:double"&gt;24.160599&lt;/D&gt;&lt;D xsi:type="xsd:double"&gt;20.438362&lt;/D&gt;&lt;D xsi:type="xsd:double"&gt;26.146984&lt;/D&gt;&lt;D xsi:type="xsd:double"&gt;22.086727&lt;/D&gt;&lt;D xsi:type="xsd:double"&gt;16.334188&lt;/D&gt;&lt;D xsi:type="xsd:double"&gt;40.63649&lt;/D&gt;&lt;D xsi:type="xsd:double"&gt;37.351536&lt;/D&gt;&lt;D xsi:type="xsd:double"&gt;16.183472&lt;/D&gt;&lt;D xsi:type="xsd:double"&gt;8.077097&lt;/D&gt;&lt;D xsi:type="xsd:double"&gt;5.589378&lt;/D&gt;&lt;D xsi:type="xsd:double"&gt;11.862826&lt;/D&gt;&lt;D xsi:type="xsd:double"&gt;8.938253&lt;/D&gt;&lt;D xsi:type="xsd:double"&gt;3.7722826&lt;/D&gt;&lt;D xsi:type="xsd:double"&gt;-10.096699&lt;/D&gt;&lt;D xsi:type="xsd:double"&gt;-16.458082&lt;/D&gt;&lt;D xsi:type="xsd:double"&gt;-18.412853&lt;/D&gt;&lt;D xsi:type="xsd:double"&gt;-7.857114&lt;/D&gt;&lt;D xsi:type="xsd:double"&gt;-8.526337&lt;/D&gt;&lt;D xsi:type="xsd:double"&gt;-23.446&lt;/D&gt;&lt;D xsi:type="xsd:double"&gt;-20.479828&lt;/D&gt;&lt;D xsi:type="xsd:double"&gt;-24.66985&lt;/D&gt;&lt;D xsi:type="xsd:double"&gt;-19.46773&lt;/D&gt;&lt;D xsi:type="xsd:double"&gt;-27.029758&lt;/D&gt;&lt;D xsi:type="xsd:double"&gt;-31.468582&lt;/D&gt;&lt;D xsi:type="xsd:double"&gt;-27.123564&lt;/D&gt;&lt;D xsi:type="xsd:double"&gt;-13.462757999999999&lt;/D&gt;&lt;D xsi:type="xsd:double"&gt;-12.98511&lt;/D&gt;&lt;D xsi:type="xsd:double"&gt;-2.4484336&lt;/D&gt;&lt;D xsi:type="xsd:double"&gt;-10.780674&lt;/D&gt;&lt;D xsi:type="xsd:double"&gt;-8.217293&lt;/D&gt;&lt;D xsi:type="xsd:double"&gt;5.032575&lt;/D&gt;&lt;D xsi:type="xsd:double"&gt;1.3711452&lt;/D&gt;&lt;D xsi:type="xsd:double"&gt;9.501993&lt;/D&gt;&lt;D xsi:type="xsd:double"&gt;-0.4055202&lt;/D&gt;&lt;D xsi:type="xsd:double"&gt;-1.5533149&lt;/D&gt;&lt;D xsi:type="xsd:double"&gt;9.938133&lt;/D&gt;&lt;D xsi:type="xsd:double"&gt;1.24048&lt;/D&gt;&lt;D xsi:type="xsd:double"&gt;-3.9348006&lt;/D&gt;&lt;D xsi:type="xsd:double"&gt;1.0907888&lt;/D&gt;&lt;D xsi:type="xsd:double"&gt;-6.6389027&lt;/D&gt;&lt;D xsi:type="xsd:double"&gt;-4.3920875&lt;/D&gt;&lt;D xsi:type="xsd:double"&gt;-6.4581037&lt;/D&gt;&lt;D xsi:type="xsd:double"&gt;-7.16455&lt;/D&gt;&lt;D xsi:type="xsd:double"&gt;0.5933523&lt;/D&gt;&lt;/FQL&gt;&lt;FQL&gt;&lt;Q&gt;EWI^FMA_DIV_YLD(NTMA,-10AY,0,AM,"PORTAGG","MEANR")&lt;/Q&gt;&lt;R&gt;121&lt;/R&gt;&lt;C&gt;1&lt;/C&gt;&lt;D xsi:type="xsd:double"&gt;3.37685017046477&lt;/D&gt;&lt;D xsi:type="xsd:double"&gt;3.27729158249929&lt;/D&gt;&lt;D xsi:type="xsd:double"&gt;3.72741709519386&lt;/D&gt;&lt;D xsi:type="xsd:double"&gt;3.45705515416657&lt;/D&gt;&lt;D xsi:type="xsd:double"&gt;3.79241257341025&lt;/D&gt;&lt;D xsi:type="xsd:double"&gt;3.97511849904341&lt;/D&gt;&lt;D xsi:type="xsd:double"&gt;3.8071381502552&lt;/D&gt;&lt;D xsi:type="xsd:double"&gt;4.27787159347751&lt;/D&gt;&lt;D xsi:type="xsd:double"&gt;3.73023311296931&lt;/D&gt;&lt;D xsi:type="xsd:double"&gt;3.44645041305917&lt;/D&gt;&lt;D xsi:type="xsd:double"&gt;3.13624753690835&lt;/D&gt;&lt;D xsi:type="xsd:double"&gt;3.25808621717792&lt;/D&gt;&lt;D xsi:type="xsd:double"&gt;3.29556379506172&lt;/D&gt;&lt;D xsi:type="xsd:double"&gt;3.48738058414897&lt;/D&gt;&lt;D xsi:type="xsd:double"&gt;3.10147831905681&lt;/D&gt;&lt;D xsi:type="xsd:double"&gt;3.44948068556542&lt;/D&gt;&lt;D xsi:type="xsd:double"&gt;3.56872787631976&lt;/D&gt;&lt;D xsi:type="xsd:double"&gt;3.56419118153809&lt;/D&gt;&lt;D xsi:type="xsd:double"&gt;3.66096458058875&lt;/D&gt;&lt;D xsi:type="xsd:double"&gt;4.02873742980268&lt;/D&gt;&lt;D xsi:type="xsd:double"&gt;4.68863223580702&lt;/D&gt;&lt;D xsi:type="xsd:double"&gt;4.33356723923275&lt;/D&gt;&lt;D xsi:type="xsd:double"&gt;4.64678992828166&lt;/D&gt;&lt;D xsi:type="xsd:double"&gt;4.51166236039182&lt;/D&gt;&lt;D xsi:type="xsd:double"&gt;4.64968763423363&lt;/D&gt;&lt;D xsi:type="xsd:double"&gt;5.24625344804059&lt;/D&gt;&lt;D xsi:type="xsd:double"&gt;4.79515990107208&lt;/D&gt;&lt;D xsi:type="xsd:double"&gt;4.74665426397216&lt;/D&gt;&lt;D xsi:type="xsd:double"&gt;4.95290977406635&lt;/D&gt;&lt;D xsi:type="xsd:double"&gt;4.99690749768347&lt;/D&gt;&lt;D xsi:type="xsd:double"&gt;4.65357498730662&lt;/D&gt;&lt;D xsi:type="xsd:double"&gt;4.24441022808978&lt;/D&gt;&lt;D xsi:type="xsd:double"&gt;4.48121644792135&lt;/D&gt;&lt;D xsi:type="xsd:double"&gt;4.11059272922524&lt;/D&gt;&lt;D xsi:type="xsd:double"&gt;3.94245592442759&lt;/D&gt;&lt;D xsi:type="xsd:double"&gt;3.76524424297897&lt;/D&gt;&lt;D xsi:type="xsd:double"&gt;3.82273616019694&lt;/D&gt;&lt;D xsi:type="xsd:double"&gt;3.81758879268317&lt;/D&gt;&lt;D xsi:type="xsd:double"&gt;3.71121267419804&lt;/D&gt;&lt;D xsi:type="xsd:double"&gt;3.77732274653986&lt;/D&gt;&lt;D xsi:type="xsd:double"&gt;3.80593599671067&lt;/D&gt;&lt;D xsi:type="xsd:double"&gt;3.74521169387617&lt;/D&gt;&lt;D xsi:type="xsd:double"&gt;3.8865804696557&lt;/D&gt;&lt;D xsi:type="xsd:double"&gt;3.85138490300387&lt;/D&gt;&lt;D xsi:type="xsd:double"&gt;3.97949467898862&lt;/D&gt;&lt;D xsi:type="xsd:double"&gt;4.09572256444426&lt;/D&gt;&lt;D xsi:type="xsd:double"&gt;4.01669623197419&lt;/D&gt;&lt;D xsi:type="xsd:double"&gt;3.83974969635014&lt;/D&gt;&lt;D xsi:type="xsd:double"&gt;4.39470025988848&lt;/D&gt;&lt;D xsi:type="xsd:double"&gt;4.44828036324808&lt;/D&gt;&lt;D xsi:type="xsd:double"&gt;4.44682350857069&lt;/D&gt;&lt;D xsi:type="xsd:double"&gt;4.7203958824868&lt;/D&gt;&lt;D xsi:type="xsd:double"&gt;4.7912200536953&lt;/D&gt;&lt;D xsi:type="xsd:double"&gt;5.07041400310732&lt;/D&gt;&lt;D xsi:type="xsd:double"&gt;5.35506710742545&lt;/D&gt;&lt;D xsi:type="xsd:double"&gt;5.27869322700623&lt;/D&gt;&lt;D xsi:type="xsd:double"&gt;5.00582910694992&lt;/D&gt;&lt;D xsi:type="xsd:double"&gt;4.73950673379375&lt;/D&gt;&lt;D xsi:type="xsd:double"&gt;4.60943346111865&lt;/D&gt;&lt;D xsi:type="xsd:double"&gt;4.71406912353225&lt;/D&gt;&lt;D xsi:type="xsd:double"&gt;5.07246218456008&lt;/D&gt;&lt;D xsi:type="xsd:double"&gt;4.67015501110782&lt;/D&gt;&lt;D xsi:type="xsd:double"&gt;5.01320069262443&lt;/D&gt;&lt;D xsi:type="xsd:double"&gt;4.76433485796438&lt;/D&gt;&lt;D xsi:type="xsd:double"&gt;4.88007232021736&lt;/D&gt;&lt;D xsi:type="xsd:double"&gt;4.54551606994131&lt;/D&gt;&lt;D xsi:type="xsd:double"&gt;4.56643255353449&lt;/D&gt;&lt;D xsi:type="xsd:double"&gt;4.50020485331118&lt;/D&gt;&lt;D xsi:type="xsd:double"&gt;4.44440450391865&lt;/D&gt;&lt;D xsi:type="xsd:double"&gt;5.23624990318193&lt;/D&gt;&lt;D xsi:type="xsd:double"&gt;6.06534180868289&lt;/D&gt;&lt;D xsi:type="xsd:double"&gt;5.14442724002166&lt;/D&gt;&lt;D xsi:type="xsd:double"&gt;4.12937559239682&lt;/D&gt;&lt;D xsi:type="xsd:double"&gt;4.25997797811933&lt;/D&gt;&lt;D xsi:type="xsd:double"&gt;3.97888240463441&lt;/D&gt;&lt;D xsi:type="xsd:double"&gt;4.10458469206802&lt;/D&gt;&lt;D xsi:type="xsd:double"&gt;4.14178744634919&lt;/D&gt;&lt;D xsi:type="xsd:double"&gt;4.20361577338502&lt;/D&gt;&lt;D xsi:type="xsd:double"&gt;3.93680627810488&lt;/D&gt;&lt;D xsi:type="xsd:double"&gt;3.8732190785975&lt;/D&gt;&lt;D xsi:type="xsd:double"&gt;3.94970660278308&lt;/D&gt;&lt;D xsi:type="xsd:double"&gt;4.2113991689531&lt;/D&gt;&lt;D xsi:type="xsd:double"&gt;3.98824273311124&lt;/D&gt;&lt;D xsi:type="xsd:double"&gt;4.19785669652229&lt;/D&gt;&lt;D xsi:type="xsd:double"&gt;4.0578080931421&lt;/D&gt;&lt;D xsi:type="xsd:double"&gt;4.14878577873423&lt;/D&gt;&lt;D xsi:type="xsd:double"&gt;4.31692142612895&lt;/D&gt;&lt;D xsi:type="xsd:double"&gt;4.42179265808709&lt;/D&gt;&lt;D xsi:type="xsd:double"&gt;4.5616248821657&lt;/D&gt;&lt;D xsi:type="xsd:double"&gt;4.28906842877682&lt;/D&gt;&lt;D xsi:type="xsd:double"&gt;4.64717673614344&lt;/D&gt;&lt;D xsi:type="xsd:double"&gt;4.56077866390306&lt;/D&gt;&lt;D xsi:type="xsd:double"&gt;4.8217482873472&lt;/D&gt;&lt;D xsi:type="xsd:double"&gt;5.65037610221175&lt;/D&gt;&lt;D xsi:type="xsd:double"&gt;5.14754347177242&lt;/D&gt;&lt;D xsi:type="xsd:double"&gt;5.25804342280522&lt;/D&gt;&lt;D xsi:type="xsd:double"&gt;5.17708890208122&lt;/D&gt;&lt;D xsi:type="xsd:double"&gt;6.04542909134965&lt;/D&gt;&lt;D xsi:type="xsd:double"&gt;5.79492623663874&lt;/D&gt;&lt;D xsi:type="xsd:double"&gt;5.77651936402317&lt;/D&gt;&lt;D xsi:type="xsd:double"&gt;6.08984572282767&lt;/D&gt;&lt;D xsi:type="xsd:double"&gt;5.54664553856193&lt;/D&gt;&lt;D xsi:type="xsd:double"&gt;5.77239486040487&lt;/D&gt;&lt;D xsi:type="xsd:double"&gt;5.56147232376388&lt;/D&gt;&lt;D xsi:type="xsd:double"&gt;5.45082887664328&lt;/D&gt;&lt;D xsi:type="xsd:double"&gt;5.21307376370124&lt;/D&gt;&lt;D xsi:type="xsd:double"&gt;5.40993204345518&lt;/D&gt;&lt;D xsi:type="xsd:double"&gt;5.39124202011965&lt;/D&gt;&lt;D xsi:type="xsd:double"&gt;5.44885175697762&lt;/D&gt;&lt;D xsi:type="xsd:double"&gt;5.42514213872263&lt;/D&gt;&lt;D xsi:type="xsd:double"&gt;5.46083748857183&lt;/D&gt;&lt;D xsi:type="xsd:double"&gt;5.46322609314487&lt;/D&gt;&lt;D xsi:type="xsd:double"&gt;5.6366160844751&lt;/D&gt;&lt;D xsi:type="xsd:double"&gt;5.59871858261926&lt;/D&gt;&lt;D xsi:type="xsd:double"&gt;5.39697689563884&lt;/D&gt;&lt;D xsi:type="xsd:double"&gt;5.44988772731352&lt;/D&gt;&lt;D xsi:type="xsd:double"&gt;5.46392479438235&lt;/D&gt;&lt;D xsi:type="xsd:double"&gt;5.21522026852899&lt;/D&gt;&lt;D xsi:type="xsd:double"&gt;5.20189858149149&lt;/D&gt;&lt;D xsi:type="xsd:double"&gt;5.26388185418291&lt;/D&gt;&lt;D xsi:type="xsd:double"&gt;5.2741020246094&lt;/D&gt;&lt;/FQL&gt;&lt;FQL&gt;&lt;Q&gt;EWN^FMA_PE(NTMA,-10AY,0,AM,"PORTAGG","MEANR")&lt;/Q&gt;&lt;R&gt;121&lt;/R&gt;&lt;C&gt;1&lt;/C&gt;&lt;D xsi:type="xsd:double"&gt;14.5638007034092&lt;/D&gt;&lt;D xsi:type="xsd:double"&gt;14.7610889154335&lt;/D&gt;&lt;D xsi:type="xsd:double"&gt;13.7672938491803&lt;/D&gt;&lt;D xsi:type="xsd:double"&gt;14.7454045604345&lt;/D&gt;&lt;D xsi:type="xsd:double"&gt;14.4110350440878&lt;/D&gt;&lt;D xsi:type="xsd:double"&gt;14.7452681092564&lt;/D&gt;&lt;D xsi:type="xsd:double"&gt;15.3083943657787&lt;/D&gt;&lt;D xsi:type="xsd:double"&gt;14.3986175476152&lt;/D&gt;&lt;D xsi:type="xsd:double"&gt;15.6776327345079&lt;/D&gt;&lt;D xsi:type="xsd:double"&gt;17.3245758840039&lt;/D&gt;&lt;D xsi:type="xsd:double"&gt;17.2740686236255&lt;/D&gt;&lt;D xsi:type="xsd:double"&gt;16.507194531078&lt;/D&gt;&lt;D xsi:type="xsd:double"&gt;16.4798089120771&lt;/D&gt;&lt;D xsi:type="xsd:double"&gt;15.9443785532139&lt;/D&gt;&lt;D xsi:type="xsd:double"&gt;16.9581770618103&lt;/D&gt;&lt;D xsi:type="xsd:double"&gt;14.6664536541852&lt;/D&gt;&lt;D xsi:type="xsd:double"&gt;14.8923591137928&lt;/D&gt;&lt;D xsi:type="xsd:double"&gt;16.1980271453207&lt;/D&gt;&lt;D xsi:type="xsd:double"&gt;15.7565480733989&lt;/D&gt;&lt;D xsi:type="xsd:double"&gt;14.8893691071441&lt;/D&gt;&lt;D xsi:type="xsd:double"&gt;14.4436773137466&lt;/D&gt;&lt;D xsi:type="xsd:double"&gt;15.1896219004673&lt;/D&gt;&lt;D xsi:type="xsd:double"&gt;15.0053956352897&lt;/D&gt;&lt;D xsi:type="xsd:double"&gt;14.6464936681969&lt;/D&gt;&lt;D xsi:type="xsd:double"&gt;15.09492743841&lt;/D&gt;&lt;D xsi:type="xsd:double"&gt;13.6468133794406&lt;/D&gt;&lt;D xsi:type="xsd:double"&gt;14.6759983798178&lt;/D&gt;&lt;D xsi:type="xsd:double"&gt;15.2310946058434&lt;/D&gt;&lt;D xsi:type="xsd:double"&gt;15.0149543198918&lt;/D&gt;&lt;D xsi:type="xsd:double"&gt;14.2561430437559&lt;/D&gt;&lt;D xsi:type="xsd:double"&gt;14.5247395663142&lt;/D&gt;&lt;D xsi:type="xsd:double"&gt;15.0737025301477&lt;/D&gt;&lt;D xsi:type="xsd:double"&gt;15.0426404438696&lt;/D&gt;&lt;D xsi:type="xsd:double"&gt;15.7205457973389&lt;/D&gt;&lt;D xsi:type="xsd:double"&gt;16.0135779909301&lt;/D&gt;&lt;D xsi:type="xsd:double"&gt;16.7052454776284&lt;/D&gt;&lt;D xsi:type="xsd:double"&gt;16.1935662956684&lt;/D&gt;&lt;D xsi:type="xsd:double"&gt;15.6783623614659&lt;/D&gt;&lt;D xsi:type="xsd:double"&gt;16.0716205213413&lt;/D&gt;&lt;D xsi:type="xsd:double"&gt;15.6007005411514&lt;/D&gt;&lt;D xsi:type="xsd:double"&gt;16.0694216878217&lt;/D&gt;&lt;D xsi:type="xsd:double"&gt;16.3953412568093&lt;/D&gt;&lt;D xsi:type="xsd:double"&gt;15.8821510414958&lt;/D&gt;&lt;D xsi:type="xsd:double"&gt;16.2318082404437&lt;/D&gt;&lt;D xsi:type="xsd:double"&gt;15.3681167290877&lt;/D&gt;&lt;D xsi:type="xsd:double"&gt;15.4640538205607&lt;/D&gt;&lt;D xsi:type="xsd:double"&gt;15.4697508610501&lt;/D&gt;&lt;D xsi:type="xsd:double"&gt;15.6208701701628&lt;/D&gt;&lt;D xsi:type="xsd:double"&gt;15.8838231122788&lt;/D&gt;&lt;D xsi:type="xsd:double"&gt;15.5099934830281&lt;/D&gt;&lt;D xsi:type="xsd:double"&gt;15.9120459558645&lt;/D&gt;&lt;D xsi:type="xsd:double"&gt;15.146453013651&lt;/D&gt;&lt;D xsi:type="xsd:double"&gt;14.6816865275829&lt;/D&gt;&lt;D xsi:type="xsd:double"&gt;14.1880956754777&lt;/D&gt;&lt;D xsi:type="xsd:double"&gt;13.5662780451957&lt;/D&gt;&lt;D xsi:type="xsd:double"&gt;13.120370306583&lt;/D&gt;&lt;D xsi:type="xsd:double"&gt;14.5669976108692&lt;/D&gt;&lt;D xsi:type="xsd:double"&gt;14.8961651936583&lt;/D&gt;&lt;D xsi:type="xsd:double"&gt;15.5548849074364&lt;/D&gt;&lt;D xsi:type="xsd:double"&gt;15.616309987471&lt;/D&gt;&lt;D xsi:type="xsd:double"&gt;15.0235128711191&lt;/D&gt;&lt;D xsi:type="xsd:double"&gt;15.6685502463642&lt;/D&gt;&lt;D xsi:type="xsd:double"&gt;14.9197755495069&lt;/D&gt;&lt;D xsi:type="xsd:double"&gt;15.8988673839042&lt;/D&gt;&lt;D xsi:type="xsd:double"&gt;15.9062926833346&lt;/D&gt;&lt;D xsi:type="xsd:double"&gt;16.6769908103308&lt;/D&gt;&lt;D xsi:type="xsd:double"&gt;16.8759328086306&lt;/D&gt;&lt;D xsi:type="xsd:double"&gt;17.0524196249992&lt;/D&gt;&lt;D xsi:type="xsd:double"&gt;17.8670173135282&lt;/D&gt;&lt;D xsi:type="xsd:double"&gt;15.5422572969224&lt;/D&gt;&lt;D xsi:type="xsd:double"&gt;14.8755494551259&lt;/D&gt;&lt;D xsi:type="xsd:double"&gt;16.9857894362282&lt;/D&gt;&lt;D xsi:type="xsd:double"&gt;19.8781395059142&lt;/D&gt;&lt;D xsi:type="xsd:double"&gt;20.1714367748803&lt;/D&gt;&lt;D xsi:type="xsd:double"&gt;19.823032590876&lt;/D&gt;&lt;D xsi:type="xsd:double"&gt;19.1851884100136&lt;/D&gt;&lt;D xsi:type="xsd:double"&gt;19.4141604079875&lt;/D&gt;&lt;D xsi:type="xsd:double"&gt;19.9455850320724&lt;/D&gt;&lt;D xsi:type="xsd:double"&gt;20.5535144863822&lt;/D&gt;&lt;D xsi:type="xsd:double"&gt;20.8152675457559&lt;/D&gt;&lt;D xsi:type="xsd:double"&gt;21.8421679310469&lt;/D&gt;&lt;D xsi:type="xsd:double"&gt;</t>
        </r>
      </text>
    </comment>
    <comment ref="A13" authorId="0" shapeId="0" xr:uid="{C6944D14-D760-4ACC-BF36-DD2DE1F1044A}">
      <text>
        <r>
          <rPr>
            <b/>
            <sz val="9"/>
            <color indexed="81"/>
            <rFont val="Tahoma"/>
            <charset val="1"/>
          </rPr>
          <t>20.7674517732252&lt;/D&gt;&lt;D xsi:type="xsd:double"&gt;22.8163516652214&lt;/D&gt;&lt;D xsi:type="xsd:double"&gt;21.60821288737&lt;/D&gt;&lt;D xsi:type="xsd:double"&gt;21.3284085323718&lt;/D&gt;&lt;D xsi:type="xsd:double"&gt;21.1614683296834&lt;/D&gt;&lt;D xsi:type="xsd:double"&gt;21.6827918582973&lt;/D&gt;&lt;D xsi:type="xsd:double"&gt;21.9478952210125&lt;/D&gt;&lt;D xsi:type="xsd:double"&gt;20.015720707405&lt;/D&gt;&lt;D xsi:type="xsd:double"&gt;21.5606452541615&lt;/D&gt;&lt;D xsi:type="xsd:double"&gt;19.8996162060553&lt;/D&gt;&lt;D xsi:type="xsd:double"&gt;20.099715371216&lt;/D&gt;&lt;D xsi:type="xsd:double"&gt;18.2609067673293&lt;/D&gt;&lt;D xsi:type="xsd:double"&gt;16.2720875161472&lt;/D&gt;&lt;D xsi:type="xsd:double"&gt;17.7998989647959&lt;/D&gt;&lt;D xsi:type="xsd:double"&gt;16.2547323218642&lt;/D&gt;&lt;D xsi:type="xsd:double"&gt;17.4828154004724&lt;/D&gt;&lt;D xsi:type="xsd:double"&gt;15.7314889780638&lt;/D&gt;&lt;D xsi:type="xsd:double"&gt;17.8448634188039&lt;/D&gt;&lt;D xsi:type="xsd:double"&gt;15.7948672677266&lt;/D&gt;&lt;D xsi:type="xsd:double"&gt;15.051159854905&lt;/D&gt;&lt;D xsi:type="xsd:double"&gt;14.9663822101944&lt;/D&gt;&lt;D xsi:type="xsd:double"&gt;16.2345555698226&lt;/D&gt;&lt;D xsi:type="xsd:double"&gt;16.3380873670115&lt;/D&gt;&lt;D xsi:type="xsd:double"&gt;16.9998820587683&lt;/D&gt;&lt;D xsi:type="xsd:double"&gt;16.6465993376384&lt;/D&gt;&lt;D xsi:type="xsd:double"&gt;16.3025969272609&lt;/D&gt;&lt;D xsi:type="xsd:double"&gt;15.7952981779816&lt;/D&gt;&lt;D xsi:type="xsd:double"&gt;15.6816887339779&lt;/D&gt;&lt;D xsi:type="xsd:double"&gt;15.4755442489686&lt;/D&gt;&lt;D xsi:type="xsd:double"&gt;15.6724653349198&lt;/D&gt;&lt;D xsi:type="xsd:double"&gt;14.6061045005435&lt;/D&gt;&lt;D xsi:type="xsd:double"&gt;13.5073921877881&lt;/D&gt;&lt;D xsi:type="xsd:double"&gt;13.8042879421954&lt;/D&gt;&lt;D xsi:type="xsd:double"&gt;14.7349029488305&lt;/D&gt;&lt;D xsi:type="xsd:double"&gt;14.7152607110854&lt;/D&gt;&lt;D xsi:type="xsd:double"&gt;15.923165403826&lt;/D&gt;&lt;D xsi:type="xsd:double"&gt;16.1305357973455&lt;/D&gt;&lt;D xsi:type="xsd:double"&gt;16.2604361314444&lt;/D&gt;&lt;D xsi:type="xsd:double"&gt;15.8494925890405&lt;/D&gt;&lt;D xsi:type="xsd:double"&gt;16.2123023575543&lt;/D&gt;&lt;/FQL&gt;&lt;FQL&gt;&lt;Q&gt;FXI^FG_TOTAL_RETURNC(0,-12AM)&lt;/Q&gt;&lt;R&gt;1&lt;/R&gt;&lt;C&gt;1&lt;/C&gt;&lt;D xsi:type="xsd:double"&gt;0.27725697&lt;/D&gt;&lt;/FQL&gt;&lt;FQL&gt;&lt;Q&gt;SPY^PERCENT_CHANGE(FMA_EPS(+1,0,,,,"PORTAGG","MEAN"),FMA_EPS(+1,-1AM,,,,"PORTAGG","MEAN"))&lt;/Q&gt;&lt;R&gt;1&lt;/R&gt;&lt;C&gt;1&lt;/C&gt;&lt;D xsi:type="xsd:double"&gt;0.391493222522839&lt;/D&gt;&lt;/FQL&gt;&lt;FQL&gt;&lt;Q&gt;URTH^FG_TOTAL_RETURNC(0,-1AM)&lt;/Q&gt;&lt;R&gt;1&lt;/R&gt;&lt;C&gt;1&lt;/C&gt;&lt;D xsi:type="xsd:double"&gt;3.1291485&lt;/D&gt;&lt;/FQL&gt;&lt;FQL&gt;&lt;Q&gt;VGK^FG_TOTAL_RETURNC(0,-6AM)&lt;/Q&gt;&lt;R&gt;1&lt;/R&gt;&lt;C&gt;1&lt;/C&gt;&lt;D xsi:type="xsd:double"&gt;15.781939&lt;/D&gt;&lt;/FQL&gt;&lt;FQL&gt;&lt;Q&gt;EWD^P_PRICE(0)/P_PRICE_LOW_PR(0,,,,,,"PRICE","INTRA","52W")-1&lt;/Q&gt;&lt;R&gt;1&lt;/R&gt;&lt;C&gt;1&lt;/C&gt;&lt;D xsi:type="xsd:double"&gt;0.38862646&lt;/D&gt;&lt;/FQL&gt;&lt;FQL&gt;&lt;Q&gt;EWA^PERCENT_CHANGE(FMA_EPS(+1,0,,,,"PORTAGG","MEAN"),FMA_EPS(+1,-1AM,,,,"PORTAGG","MEAN"))&lt;/Q&gt;&lt;R&gt;1&lt;/R&gt;&lt;C&gt;1&lt;/C&gt;&lt;D xsi:type="xsd:double"&gt;0.127863968521058&lt;/D&gt;&lt;/FQL&gt;&lt;FQL&gt;&lt;Q&gt;EWU^FMA_COS_DOWN("EPS","1M",+1,0,,,"PORTAGG","MEANR")&lt;/Q&gt;&lt;R&gt;1&lt;/R&gt;&lt;C&gt;1&lt;/C&gt;&lt;D xsi:type="xsd:double"&gt;33&lt;/D&gt;&lt;/FQL&gt;&lt;FQL&gt;&lt;Q&gt;EWN^FG_ROE(0)&lt;/Q&gt;&lt;R&gt;1&lt;/R&gt;&lt;C&gt;1&lt;/C&gt;&lt;D xsi:type="xsd:double"&gt;11.7269876040735&lt;/D&gt;&lt;/FQL&gt;&lt;FQL&gt;&lt;Q&gt;REFEUREFI-FDS^PROPER_NAME(0,,,"SECURITY","NAME")&lt;/Q&gt;&lt;R&gt;1&lt;/R&gt;&lt;C&gt;1&lt;/C&gt;&lt;D xsi:type="xsd:string"&gt;Eurozone Main Refinancing Operations Minimum Bid Rate&lt;/D&gt;&lt;/FQL&gt;&lt;FQL&gt;&lt;Q&gt;EWI^FMA_ROE(NTMA,-20AY,NOW,FY,"PORTAGG","MEANR")&lt;/Q&gt;&lt;R&gt;20&lt;/R&gt;&lt;C&gt;1&lt;/C&gt;&lt;D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xsi:type="xsd:double"&gt;1.211&lt;/D&gt;&lt;/FQL&gt;&lt;FQL&gt;&lt;Q&gt;EWI^FG_PRICE(0)&lt;/Q&gt;&lt;R&gt;1&lt;/R&gt;&lt;C&gt;1&lt;/C&gt;&lt;D xsi:type="xsd:double"&gt;39&lt;/D&gt;&lt;/FQL&gt;&lt;FQL&gt;&lt;Q&gt;ENZL^FG_PRICE(0)&lt;/Q&gt;&lt;R&gt;1&lt;/R&gt;&lt;C&gt;1&lt;/C&gt;&lt;D xsi:type="xsd:double"&gt;47.3&lt;/D&gt;&lt;/FQL&gt;&lt;FQL&gt;&lt;Q&gt;FXI^P_PRICE(0)/P_PRICE_LOW_PR(0,,,,,,"PRICE","INTRA","52W")-1&lt;/Q&gt;&lt;R&gt;1&lt;/R&gt;&lt;C&gt;1&lt;/C&gt;&lt;D xsi:type="xsd:double"&gt;0.30345154&lt;/D&gt;&lt;/FQL&gt;&lt;FQL&gt;&lt;Q&gt;SPY^FMA_PCT_ABOVE_MAVG(200,0,,,,"PORTAGG")&lt;/Q&gt;&lt;R&gt;1&lt;/R&gt;&lt;C&gt;1&lt;/C&gt;&lt;D xsi:type="xsd:double"&gt;68.6626746506986&lt;/D&gt;&lt;/FQL&gt;&lt;FQL&gt;&lt;Q&gt;URTH^PERCENT_CHANGE(FMA_EPS(+1,0,,,,"PORTAGG","MEAN"),FMA_EPS(+1,-3AM,,,,"PORTAGG","MEAN"))&lt;/Q&gt;&lt;R&gt;1&lt;/R&gt;&lt;C&gt;1&lt;/C&gt;&lt;D xsi:type="xsd:double"&gt;0.304068970207798&lt;/D&gt;&lt;/FQL&gt;&lt;FQL&gt;&lt;Q&gt;VGK^FG_TOTAL_RETURNC(0,-3AM)&lt;/Q&gt;&lt;R&gt;1&lt;/R&gt;&lt;C&gt;1&lt;/C&gt;&lt;D xsi:type="xsd:double"&gt;7.4913144&lt;/D&gt;&lt;/FQL&gt;&lt;FQL&gt;&lt;Q&gt;EWD^P_PRICE(0)/P_PRICE_HIGH_PR(0,,,,,,"PRICE","INTRA","52W")&lt;/Q&gt;&lt;R&gt;1&lt;/R&gt;&lt;C&gt;1&lt;/C&gt;&lt;D xsi:type="xsd:double"&gt;0.9990621&lt;/D&gt;&lt;/FQL&gt;&lt;FQL&gt;&lt;Q&gt;EWQ^FG_TOTAL_RETURNC(0,-12AM)&lt;/Q&gt;&lt;R&gt;1&lt;/R&gt;&lt;C&gt;1&lt;/C&gt;&lt;D xsi:type="xsd:double"&gt;15.50392&lt;/D&gt;&lt;/FQL&gt;&lt;FQL&gt;&lt;Q&gt;EWU^FG_TOTAL_RETURNC(0,-1AM)&lt;/Q&gt;&lt;R&gt;1&lt;/R&gt;&lt;C&gt;1&lt;/C&gt;&lt;D xsi:type="xsd:double"&gt;2.3622036&lt;/D&gt;&lt;/FQL&gt;&lt;FQL&gt;&lt;Q&gt;EWC^P_PRICE(0)/P_PRICE_LOW_PR(0,,,,,,"PRICE","INTRA","52W")-1&lt;/Q&gt;&lt;R&gt;1&lt;/R&gt;&lt;C&gt;1&lt;/C&gt;&lt;D xsi:type="xsd:double"&gt;0.20948744&lt;/D&gt;&lt;/FQL&gt;&lt;FQL&gt;&lt;Q&gt;EWA^FMA_PCT_ABOVE_MAVG(200,0,,,,"PORTAGG")&lt;/Q&gt;&lt;R&gt;1&lt;/R&gt;&lt;C&gt;1&lt;/C&gt;&lt;D xsi:type="xsd:double"&gt;61.0169491525424&lt;/D&gt;&lt;/FQL&gt;&lt;FQL&gt;&lt;Q&gt;EWJ^SIZE(FG_CONSTITUENTS)&lt;/Q&gt;&lt;R&gt;1&lt;/R&gt;&lt;C&gt;1&lt;/C&gt;&lt;D xsi:type="xsd:long"&gt;204&lt;/D&gt;&lt;/FQL&gt;&lt;FQL&gt;&lt;Q&gt;EWD^FMA_COS_DOWN("EPS","1M",+1,0,,,"PORTAGG","MEANR")&lt;/Q&gt;&lt;R&gt;1&lt;/R&gt;&lt;C&gt;1&lt;/C&gt;&lt;D xsi:type="xsd:double"&gt;12&lt;/D&gt;&lt;/FQL&gt;&lt;FQL&gt;&lt;Q&gt;EWU^FMA_COS_UP("EPS","1M",+1,0,,,"PORTAGG","MEANR")&lt;/Q&gt;&lt;R&gt;1&lt;/R&gt;&lt;C&gt;1&lt;/C&gt;&lt;D xsi:type="xsd:double"&gt;37&lt;/D&gt;&lt;/FQL&gt;&lt;FQL&gt;&lt;Q&gt;ENZL^SIZE(FG_CONSTITUENTS)&lt;/Q&gt;&lt;R&gt;1&lt;/R&gt;&lt;C&gt;1&lt;/C&gt;&lt;D xsi:type="xsd:long"&gt;14&lt;/D&gt;&lt;/FQL&gt;&lt;FQL&gt;&lt;Q&gt;EWQ^FG_ROE(0)&lt;/Q&gt;&lt;R&gt;1&lt;/R&gt;&lt;C&gt;1&lt;/C&gt;&lt;D xsi:type="xsd:double"&gt;12.8404941601671&lt;/D&gt;&lt;/FQL&gt;&lt;FQL&gt;&lt;Q&gt;CAGDPY@FR^EE_ACTUAL_ANNUAL(MED,+1)&lt;/Q&gt;&lt;R&gt;1&lt;/R&gt;&lt;C&gt;1&lt;/C&gt;&lt;D xsi:type="xsd:double"&gt;-0.5&lt;/D&gt;&lt;/FQL&gt;&lt;FQL&gt;&lt;Q&gt;CAGDPY@AU^EE_ACTUAL_ANNUAL(MED,+1)&lt;/Q&gt;&lt;R&gt;1&lt;/R&gt;&lt;C&gt;1&lt;/C&gt;&lt;D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xsi:type="xsd:double"&gt;0.26658773&lt;/D&gt;&lt;/FQL&gt;&lt;FQL&gt;&lt;Q&gt;USDANG^FG_PRICE_CHANGE(0,-3AM)&lt;/Q&gt;&lt;R&gt;1&lt;/R&gt;&lt;C&gt;1&lt;/C&gt;&lt;D xsi:type="xsd:double"&gt;0&lt;/D&gt;&lt;/FQL&gt;&lt;FQL&gt;&lt;Q&gt;USDGBP^FG_PRICE_CHANGE(0,-3AM)&lt;/Q&gt;&lt;R&gt;1&lt;/R&gt;&lt;C&gt;1&lt;/C&gt;&lt;D xsi:type="xsd:double"&gt;-0.21139383&lt;/D&gt;&lt;/FQL&gt;&lt;FQL&gt;&lt;Q&gt;USDJPY^FG_PRICE_CHANGE(0,-3AM)&lt;/Q&gt;&lt;R&gt;1&lt;/R&gt;&lt;C&gt;1&lt;/C&gt;&lt;D xsi:type="xsd:double"&gt;4.4381976&lt;/D&gt;&lt;/FQL&gt;&lt;FQL&gt;&lt;Q&gt;USDCAD^FG_PRICE_CHANGE(0,-3AM)&lt;/Q&gt;&lt;R&gt;1&lt;/R&gt;&lt;C&gt;1&lt;/C&gt;&lt;D xsi:type="xsd:double"&gt;1.4280915&lt;/D&gt;&lt;/FQL&gt;&lt;FQL&gt;&lt;Q&gt;USDNZD^FG_PRICE_CHANGE(0,-3AM)&lt;/Q&gt;&lt;R&gt;1&lt;/R&gt;&lt;C&gt;1&lt;/C&gt;&lt;D xsi:type="xsd:double"&gt;-0.92151165&lt;/D&gt;&lt;/FQL&gt;&lt;FQL&gt;&lt;Q&gt;EWA^FMA_EPS(NTMA,-20AY,0,CY,,"PORTAGG","MEANR")&lt;/Q&gt;&lt;R&gt;20&lt;/R&gt;&lt;C&gt;1&lt;/C&gt;&lt;D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xsi:type="xsd:long"&gt;45449&lt;/D&gt;&lt;/FQL&gt;&lt;FQL&gt;&lt;Q&gt;EWD^FMA_DIV_YLD(NTMA,-10AY,0,AM,"PORTAGG","MEANR")&lt;/Q&gt;&lt;R&gt;121&lt;/R&gt;&lt;C&gt;1&lt;/C&gt;&lt;D xsi:type="xsd:double"&gt;4.09406340512304&lt;/D&gt;&lt;D xsi:type="xsd:double"&gt;4.05135199817431&lt;/D&gt;&lt;D xsi:type="xsd:double"&gt;4.33264387529218&lt;/D&gt;&lt;D xsi:type="xsd:double"&gt;4.22022047488622&lt;/D&gt;&lt;D xsi:type="xsd:double"&gt;4.32520395790037&lt;/D&gt;&lt;D xsi:type="xsd:double"&gt;4.1720377972067&lt;/D&gt;&lt;D xsi:type="xsd:double"&gt;4.04465724549582&lt;/D&gt;&lt;D xsi:type="xsd:double"&gt;4.120371783392&lt;/D&gt;&lt;D xsi:type="xsd:double"&gt;3.78313223287027&lt;/D&gt;&lt;D xsi:type="xsd:double"&gt;3.67969602860569&lt;/D&gt;&lt;D xsi:type="xsd:double"&gt;3.66071548762236&lt;/D&gt;&lt;D xsi:type="xsd:double"&gt;3.91558363377029&lt;/D&gt;&lt;D xsi:type="xsd:double"&gt;3.89751932998674&lt;/D&gt;&lt;D xsi:type="xsd:double"&gt;4.12585128619082&lt;/D&gt;&lt;D xsi:type="xsd:double"&gt;3.95902380876164&lt;/D&gt;&lt;D xsi:type="xsd:double"&gt;4.40894771797914&lt;/D&gt;&lt;D xsi:type="xsd:double"&gt;4.41556757361527&lt;/D&gt;&lt;D xsi:type="xsd:double"&gt;4.13024308596647&lt;/D&gt;&lt;D xsi:type="xsd:double"&gt;4.21571381315639&lt;/D&gt;&lt;D xsi:type="xsd:double"&gt;4.4980032195956&lt;/D&gt;&lt;D xsi:type="xsd:double"&gt;4.5118476951911&lt;/D&gt;&lt;D xsi:type="xsd:double"&gt;4.27244227416144&lt;/D&gt;&lt;D xsi:type="xsd:double"&gt;4.44636128977966&lt;/D&gt;&lt;D xsi:type="xsd:double"&gt;4.47857212561496&lt;/D&gt;&lt;D xsi:type="xsd:double"&gt;4.45158526643972&lt;/D&gt;&lt;D xsi:type="xsd:double"&gt;4.66445813334824&lt;/D&gt;&lt;D xsi:type="xsd:double"&gt;4.3282773507648&lt;/D&gt;&lt;D xsi:type="xsd:double"&gt;4.20280496315125&lt;/D&gt;&lt;D xsi:type="xsd:double"&gt;4.13969747368061&lt;/D&gt;&lt;D xsi:type="xsd:double"&gt;4.24570555871851&lt;/D&gt;&lt;D xsi:type="xsd:double"&gt;3.98434019888384&lt;/D&gt;&lt;D xsi:type="xsd:double"&gt;3.89032669033731&lt;/D&gt;&lt;D xsi:type="xsd:double"&gt;3.70213469302227&lt;/D&gt;&lt;D xsi:type="xsd:double"&gt;3.65570293636941&lt;/D&gt;&lt;D xsi:type="xsd:double"&gt;3.67325308080832&lt;/D&gt;&lt;D xsi:type="xsd:double"&gt;3.51148492820939&lt;/D&gt;&lt;D xsi:type="xsd:double"&gt;3.57456264341701&lt;/D&gt;&lt;D xsi:type="xsd:double"&gt;3.57597505861438&lt;/D&gt;&lt;D xsi:type="xsd:double"&gt;3.68728274697132&lt;/D&gt;&lt;D xsi:type="xsd:double"&gt;3.7881343069154&lt;/D&gt;&lt;D xsi:type="xsd:double"&gt;3.54281311519734&lt;/D&gt;&lt;D xsi:type="xsd:double"&gt;3.51664632133223&lt;/D&gt;&lt;D xsi:type="xsd:double"&gt;3.7275496563911&lt;/D&gt;&lt;D xsi:type="xsd:double"&gt;3.67701968342481&lt;/D&gt;&lt;D xsi:type="xsd:double"&gt;3.99791703825108&lt;/D&gt;&lt;D xsi:type="xsd:double"&gt;3.90321261106435&lt;/D&gt;&lt;D xsi:type="xsd:double"&gt;4.13997213667804&lt;/D&gt;&lt;D xsi:type="xsd:double"&gt;4.03374338245727&lt;/D&gt;&lt;D xsi:type="xsd:double"&gt;4.10184681972732&lt;/D&gt;&lt;D xsi:type="xsd:double"&gt;4.22013284985084&lt;/D&gt;&lt;D xsi:type="xsd:double"&gt;4.10751615831298&lt;/D&gt;&lt;D xsi:type="xsd:double"&gt;4.08604793910654&lt;/D&gt;&lt;D xsi:type="xsd:double"&gt;4.09447674709715&lt;/D&gt;&lt;D xsi:type="xsd:double"&gt;4.36601366225089&lt;/D&gt;&lt;D xsi:type="xsd:double"&gt;4.67802715468412&lt;/D&gt;&lt;D xsi:type="xsd:double"&gt;4.64469829440776&lt;/D&gt;&lt;D xsi:type="xsd:double"&gt;4.25012451304004&lt;/D&gt;&lt;D xsi:type="xsd:double"&gt;4.16010043948097&lt;/D&gt;&lt;D xsi:type="xsd:double"&gt;4.05990732302421&lt;/D&gt;&lt;D xsi:type="xsd:double"&gt;4.08091225990381&lt;/D&gt;&lt;D xsi:type="xsd:double"&gt;4.35991521415164&lt;/D&gt;&lt;D xsi:type="xsd:double"&gt;4.12903427568524&lt;/D&gt;&lt;D xsi:type="xsd:double"&gt;4.27250770981425&lt;/D&gt;&lt;D xsi:type="xsd:double"&gt;4.09687558975546&lt;/D&gt;&lt;D xsi:type="xsd:double"&gt;4.04028716127548&lt;/D&gt;&lt;D xsi:type="xsd:double"&gt;3.67488957370809&lt;/D&gt;&lt;D xsi:type="xsd:double"&gt;3.68321933956647&lt;/D&gt;&lt;D xsi:type="xsd:double"&gt;3.59918598583783&lt;/D&gt;&lt;D xsi:type="xsd:double"&gt;3.48734204201116&lt;/D&gt;&lt;D xsi:type="xsd:double"&gt;3.92288491098523&lt;/D&gt;&lt;D xsi:type="xsd:double"&gt;3.83886517944245&lt;/D&gt;&lt;D xsi:type="xsd:double"&gt;3.40500705930192&lt;/D&gt;&lt;D xsi:type="xsd:double"&gt;2.89088974891302&lt;/D&gt;&lt;D xsi:type="xsd:double"&gt;2.95943148398001&lt;/D&gt;&lt;D xsi:type="xsd:double"&gt;3.02808858099031&lt;/D&gt;&lt;D xsi:type="xsd:double"&gt;3.04570659621102&lt;/D&gt;&lt;D xsi:type="xsd:double"&gt;3.00295928951031&lt;/D&gt;&lt;D xsi:type="xsd:double"&gt;3.13511673163128&lt;/D&gt;&lt;D xsi:type="xsd:double"&gt;3.01231083922418&lt;/D&gt;&lt;D xsi:type="xsd:double"&gt;3.09031533401139&lt;/D&gt;&lt;D xsi:type="xsd:double"&gt;3.02134928803651&lt;/D&gt;&lt;D xsi:type="xsd:double"&gt;2.93183873284771&lt;/D&gt;&lt;D xsi:type="xsd:double"&gt;2.72689684611412&lt;/D&gt;&lt;D xsi:type="xsd:double"&gt;2.81030964736473&lt;/D&gt;&lt;D xsi:type="xsd:double"&gt;2.67614979047287&lt;/D&gt;&lt;D xsi:type="xsd:double"&gt;2.68642229514348&lt;/D&gt;&lt;D xsi:type="xsd:double"&gt;2.72477959927196&lt;/D&gt;&lt;D xsi:type="xsd:double"&gt;2.72957627045986&lt;/D&gt;&lt;D xsi:type="xsd:double"&gt;2.95858170791204&lt;/D&gt;&lt;D xsi:type="xsd:double"&gt;2.98389108951211&lt;/D&gt;&lt;D xsi:type="xsd:double"&gt;2.96405963732323&lt;/D&gt;&lt;D xsi:type="xsd:double"&gt;2.82626810195418&lt;/D&gt;&lt;D xsi:type="xsd:double"&gt;2.94404820193675&lt;/D&gt;&lt;D xsi:type="xsd:double"&gt;3.37007909247062&lt;/D&gt;&lt;D xsi:type="xsd:double"&gt;3.1430442118514&lt;/D&gt;&lt;D xsi:type="xsd:double"&gt;3.49104252459402&lt;/D&gt;&lt;D xsi:type="xsd:double"&gt;3.24801495679539&lt;/D&gt;&lt;D xsi:type="xsd:double"&gt;3.61509823847197&lt;/D&gt;&lt;D xsi:type="xsd:double"&gt;3.51381921965793&lt;/D&gt;&lt;D xsi:type="xsd:double"&gt;3.74197950647404&lt;/D&gt;&lt;D xsi:type="xsd:double"&gt;3.68979884125056&lt;/D&gt;&lt;D xsi:type="xsd:double"&gt;3.71661084312565&lt;/D&gt;&lt;D xsi:type="xsd:double"&gt;3.6075084460933&lt;/D&gt;&lt;D xsi:type="xsd:double"&gt;3.62237481726857&lt;/D&gt;&lt;D xsi:type="xsd:double"&gt;3.48590338371293&lt;/D&gt;&lt;D xsi:type="xsd:double"&gt;3.49307997460471&lt;/D&gt;&lt;D xsi:type="xsd:double"&gt;3.71913940336648&lt;/D&gt;&lt;D xsi:type="xsd:double"&gt;3.67976019950454&lt;/D&gt;&lt;D xsi:type="xsd:double"&gt;3.72916155530383&lt;/D&gt;&lt;D xsi:type="xsd:double"&gt;3.84823091654336&lt;/D&gt;&lt;D xsi:type="xsd:double"&gt;3.8619696146599&lt;/D&gt;&lt;D xsi:type="xsd:double"&gt;3.91254918435613&lt;/D&gt;&lt;D xsi:type="xsd:double"&gt;3.8191773224062&lt;/D&gt;&lt;D xsi:type="xsd:double"&gt;3.86788117170539&lt;/D&gt;&lt;D xsi:type="xsd:double"&gt;3.0709898692988&lt;/D&gt;&lt;D xsi:type="xsd:double"&gt;3.02048542510454&lt;/D&gt;&lt;D xsi:type="xsd:double"&gt;3.34205804595773&lt;/D&gt;&lt;D xsi:type="xsd:double"&gt;3.28089256702636&lt;/D&gt;&lt;D xsi:type="xsd:double"&gt;3.25116036688711&lt;/D&gt;&lt;D xsi:type="xsd:double"&gt;3.25261256887135&lt;/D&gt;&lt;D xsi:type="xsd:double"&gt;3.17174063606841&lt;/D&gt;&lt;/FQL&gt;&lt;FQL&gt;&lt;Q&gt;EWQ^FMA_PE(NTMA,-10AY,0,AM,"PORTAGG","MEANR")&lt;/Q&gt;&lt;R&gt;121&lt;/R&gt;&lt;C&gt;1&lt;/C&gt;&lt;D xsi:type="xsd:double"&gt;14.4747641538155&lt;/D&gt;&lt;D xsi:type="xsd:double"&gt;14.1361001037127&lt;/D&gt;&lt;D xsi:type="xsd:double"&gt;13.2384572757306&lt;/D&gt;&lt;D xsi:type="xsd:double"&gt;13.9246147685909&lt;/D&gt;&lt;D xsi:type="xsd:double"&gt;13.2491172820745&lt;/D&gt;&lt;D xsi:type="xsd:double"&gt;13.1954757645108&lt;/D&gt;&lt;D xsi:type="xsd:double"&gt;14.0495761080612&lt;/D&gt;&lt;D xsi:type="xsd:double"&gt;13.1749224066077&lt;/D&gt;&lt;D xsi:type="xsd:double"&gt;15.5692861004768&lt;/D&gt;&lt;D xsi:type="xsd:double"&gt;16.3915782567511&lt;/D&gt;&lt;D xsi:type="xsd:double"&gt;16.6561270243133&lt;/D&gt;&lt;D xsi:type="xsd:double"&gt;16.102097162924&lt;/D&gt;&lt;D xsi:type="xsd:double"&gt;15.7766711185196&lt;/D&gt;&lt;D xsi:type="xsd:double"&gt;14.9167558694871&lt;/D&gt;&lt;D xsi:type="xsd:double"&gt;16.01542088169&lt;/D&gt;&lt;D xsi:type="xsd:double"&gt;13.9508657899878&lt;/D&gt;&lt;D xsi:type="xsd:double"&gt;14.5020090919071&lt;/D&gt;&lt;D xsi:type="xsd:double"&gt;15.4299042321563&lt;/D&gt;&lt;D xsi:type="xsd:double"&gt;14.7690731045913&lt;/D&gt;&lt;D xsi:type="xsd:double"&gt;14.0343860313442&lt;/D&gt;&lt;D xsi:type="xsd:double"&gt;13.674557435682&lt;/D&gt;&lt;D xsi:type="xsd:double"&gt;14.5520858214009&lt;/D&gt;&lt;D xsi:type="xsd:double"&gt;14.0146408305509&lt;/D&gt;&lt;D xsi:type="xsd:double"&gt;14.0841129222042&lt;/D&gt;&lt;D xsi:type="xsd:double"&gt;14.3241163098933&lt;/D&gt;&lt;D xsi:type="xsd:double"&gt;13.0801829173337&lt;/D&gt;&lt;D xsi:type="xsd:double"&gt;13.9694280404453&lt;/D&gt;&lt;D xsi:type="xsd:double"&gt;14.2023796402553&lt;/D&gt;&lt;D xsi:type="xsd:double"&gt;13.9176264034469&lt;/D&gt;&lt;D xsi:type="xsd:double"&gt;13.5104488661513&lt;/D&gt;&lt;D xsi:type="xsd:double"&gt;14.0556008929342&lt;/D&gt;&lt;D xsi:type="xsd:double"&gt;14.6675364111617&lt;/D&gt;&lt;D xsi:type="xsd:double"&gt;14.1781641587269&lt;/D&gt;&lt;D xsi:type="xsd:double"&gt;14.4660659584612&lt;/D&gt;&lt;D xsi:type="xsd:double"&gt;14.889330421138&lt;/D&gt;&lt;D xsi:type="xsd:double"&gt;15.6120915263983&lt;/D&gt;&lt;D xsi:type="xsd:double"&gt;15.0305632948924&lt;/D&gt;&lt;D xsi:type="xsd:double"&gt;14.6364846584701&lt;/D&gt;&lt;D xsi:type="xsd:double"&gt;14.7740514540149&lt;/D&gt;&lt;D xsi:type="xsd:double"&gt;14.5439704075174&lt;/D&gt;&lt;D xsi:type="xsd:double"&gt;15.180351903551&lt;/D&gt;&lt;D xsi:type="xsd:double"&gt;15.4116940668438&lt;/D&gt;&lt;D xsi:type="xsd:double"&gt;15.0461109766065&lt;/D&gt;&lt;D xsi:type="xsd:double"&gt;15.2008318915706&lt;/D&gt;&lt;D xsi:type="xsd:double"&gt;14.2977334172507&lt;/D&gt;&lt;D xsi:type="xsd:double"&gt;14.2700110856853&lt;/D&gt;&lt;D xsi:type="xsd:double"&gt;14.3921011635061&lt;/D&gt;&lt;D xsi:type="xsd:double"&gt;14.8102091998853&lt;/D&gt;&lt;D xsi:type="xsd:double"&gt;14.420533342548&lt;/D&gt;&lt;D xsi:type="xsd:double"&gt;14.0533068283025&lt;/D&gt;&lt;D xsi:type="xsd:double"&gt;14.0402460720221&lt;/D&gt;&lt;D xsi:type="xsd:double"&gt;13.3793782805917&lt;/D&gt;&lt;D xsi:type="xsd:double"&gt;13.489985179604&lt;/D&gt;&lt;D xsi:type="xsd:double"&gt;12.7515732991861&lt;/D&gt;&lt;D xsi:type="xsd:double"&gt;12.0029317671789&lt;/D&gt;&lt;D xsi:type="xsd:double"&gt;11.906856111504&lt;/D&gt;&lt;D xsi:type="xsd:double"&gt;13.0723952276586&lt;/D&gt;&lt;D xsi:type="xsd:double"&gt;13.556413201997&lt;/D&gt;&lt;D xsi:type="xsd:double"&gt;13.9049758048223&lt;/D&gt;&lt;D xsi:type="xsd:double"&gt;13.8939249597068&lt;/D&gt;&lt;D xsi:type="xsd:double"&gt;13.3293547698623&lt;/D&gt;&lt;D xsi:type="xsd:double"&gt;14.0000507023583&lt;/D&gt;&lt;D xsi:type="xsd:double"&gt;13.2723045963096&lt;/D&gt;&lt;D xsi:type="xsd:double"&gt;14.085375882445&lt;/D&gt;&lt;D xsi:type="xsd:double"&gt;13.7723280171083&lt;/D&gt;&lt;D xsi:type="xsd:double"&gt;14.7058142900292&lt;/D&gt;&lt;D xsi:type="xsd:double"&gt;14.6659231415424&lt;/D&gt;&lt;D xsi:type="xsd:double"&gt;14.9403686157087&lt;/D&gt;&lt;D xsi:type="xsd:double"&gt;15.0296322472586&lt;/D&gt;&lt;D xsi:type="xsd:double"&gt;13.1389717905573&lt;/D&gt;&lt;D xsi:type="xsd:double"&gt;13.2373406630034&lt;/D&gt;&lt;D xsi:type="xsd:double"&gt;16.1320652925289&lt;/D&gt;&lt;D xsi:type="xsd:double"&gt;19.6296350648839&lt;/D&gt;&lt;D xsi:type="xsd:double"&gt;19.414528416873&lt;/D&gt;&lt;D xsi:type="xsd:double"&gt;19.6163514618251&lt;/D&gt;&lt;D xsi:type="xsd:double"&gt;19.1745322969297&lt;/D&gt;&lt;D xsi:type="xsd:double"&gt;18.3076635637364&lt;/D&gt;&lt;D xsi:type="xsd:double"&gt;17.6705910095861&lt;/D&gt;&lt;D xsi:type="xsd:double"&gt;19.043900371957&lt;/D&gt;&lt;D xsi:type="xsd:double"&gt;18.146855093721&lt;/D&gt;&lt;D xsi:type="xsd:double"&gt;17.9382318263176&lt;/D&gt;&lt;D xsi:type="xsd:double"&gt;17.8495191204849&lt;/D&gt;&lt;D xsi:type="xsd:double"&gt;18.3559453675373&lt;/D&gt;&lt;D xsi:type="xsd:double"&gt;17.8774951734296&lt;/D&gt;&lt;D xsi:type="xsd:double"&gt;17.8811494405902&lt;/D&gt;&lt;D xsi:type="xsd:double"&gt;17.2808569984667&lt;/D&gt;&lt;D xsi:type="xsd:double"&gt;16.8901905741388&lt;/D&gt;&lt;D xsi:type="xsd:double"&gt;16.2899795591675&lt;/D&gt;&lt;D xsi:type="xsd:double"&gt;15.3958106036885&lt;/D&gt;&lt;D xsi:type="xsd:double"&gt;15.9884831395738&lt;/D&gt;&lt;D xsi:type="xsd:double"&gt;15.326028613217&lt;/D&gt;&lt;D xsi:type="xsd:double"&gt;15.9170958632022&lt;/D&gt;&lt;D xsi:type="xsd:double"&gt;14.8151799421668&lt;/D&gt;&lt;D xsi:type="xsd:double"&gt;12.5930133805326&lt;/D&gt;&lt;D xsi:type="xsd:double"&gt;13.0838898195802&lt;/D&gt;&lt;D xsi:type="xsd:double"&gt;12.198652545790999&lt;/D&gt;&lt;D xsi:type="xsd:double"&gt;12.5376957642317&lt;/D&gt;&lt;D xsi:type="xsd:double"&gt;10.9796091632421&lt;/D&gt;&lt;D xsi:type="xsd:double"&gt;11.7139106307556&lt;/D&gt;&lt;D xsi:type="xsd:double"&gt;11.0013673867838&lt;/D&gt;&lt;D xsi:type="xsd:double"&gt;10.5784009246681&lt;/D&gt;&lt;D xsi:type="xsd:double"&gt;11.4254810189932&lt;/D&gt;&lt;D xsi:type="xsd:double"&gt;12.1035663250828&lt;/D&gt;&lt;D xsi:type="xsd:double"&gt;12.5360032563858&lt;/D&gt;&lt;D xsi:type="xsd:double"&gt;13.2109995311614&lt;/D&gt;&lt;D xsi:type="xsd:double"&gt;13.3914413276624&lt;/D&gt;&lt;D xsi:type="xsd:double"&gt;13.3527528258456&lt;/D&gt;&lt;D xsi:type="xsd:double"&gt;13.5474729070507&lt;/D&gt;&lt;D xsi:type="xsd:double"&gt;13.0059012047589&lt;/D&gt;&lt;D xsi:type="xsd:double"&gt;12.6986534360182&lt;/D&gt;&lt;D xsi:type="xsd:double"&gt;13.0453058406158&lt;/D&gt;&lt;D xsi:type="xsd:double"&gt;12.7206676761627&lt;/D&gt;&lt;D xsi:type="xsd:double"&gt;12.3459208018161&lt;/D&gt;&lt;D xsi:type="xsd:double"&gt;12.3909091594146&lt;/D&gt;&lt;D xsi:type="xsd:double"&gt;13.1445972833722&lt;/D&gt;&lt;D xsi:type="xsd:double"&gt;13.2133707013845&lt;/D&gt;&lt;D xsi:type="xsd:double"&gt;13.7157801202703&lt;/D&gt;&lt;D xsi:type="xsd:double"&gt;14.3449743111022&lt;/D&gt;&lt;D xsi:type="xsd:double"&gt;14.473857709249&lt;/D&gt;&lt;D xsi:type="xsd:double"&gt;14.3976715571196&lt;/D&gt;&lt;D xsi:type="xsd:double"&gt;14.3449380417246&lt;/D&gt;&lt;/FQL&gt;&lt;FQL&gt;&lt;Q&gt;QQQ^FMA_PE(LTMA,-10AY,0,AM,"PORTAGG","MEANR")&lt;/Q&gt;&lt;R&gt;121&lt;/R&gt;&lt;C&gt;1&lt;/C&gt;&lt;D xsi:type="xsd:double"&gt;18.999968898549&lt;/D&gt;&lt;D xsi:type="xsd:double"&gt;19.2148765330994&lt;/D&gt;&lt;D xsi:type="xsd:double"&gt;18.8742871160098&lt;/D&gt;&lt;D xsi:type="xsd:double"&gt;19.4893289057431&lt;/D&gt;&lt;D xsi:type="xsd:double"&gt;19.207544443393&lt;/D&gt;&lt;D xsi:type="xsd:double"&gt;19.7547115920766&lt;/D&gt;&lt;D xsi:type="xsd:double"&gt;20.433601547646&lt;/D&gt;&lt;D xsi:type="xsd:double"&gt;19.4755973586892&lt;/D&gt;&lt;D xsi:type="xsd:double"&gt;19.7527433849128&lt;/D&gt;&lt;D xsi:type="xsd:double"&gt;20.7064768364277&lt;/D&gt;&lt;D xsi:type="xsd:double"&gt;20.462771751999&lt;/D&gt;&lt;D xsi:type="xsd:double"&gt;20.2167629141958&lt;/D&gt;&lt;D xsi:type="xsd:double"&gt;20.1724923135089&lt;/D&gt;&lt;D xsi:type="xsd:double"&gt;19.8678274942631&lt;/D&gt;&lt;D xsi:type="xsd:double"&gt;20.2616380920138&lt;/D&gt;&lt;D xsi:type="xsd:double"&gt;19.1647038302447&lt;/D&gt;&lt;D xsi:type="xsd:double"&gt;19.3738318982742&lt;/D&gt;&lt;D xsi:type="xsd:double"&gt;20.5682531037362&lt;/D&gt;&lt;D xsi:type="xsd:double"&gt;20.6064489807126&lt;/D&gt;&lt;D xsi:type="xsd:double"&gt;19.6559890205767&lt;/D&gt;&lt;D xsi:type="xsd:double"&gt;17.6390356083387&lt;/D&gt;&lt;D xsi:type="xsd:double"&gt;18.2516666867713&lt;/D&gt;&lt;D xsi:type="xsd:double"&gt;18.4587786800214&lt;/D&gt;&lt;D xsi:type="xsd:double"&gt;18.3100905546533&lt;/D&gt;&lt;D xsi:type="xsd:double"&gt;18.6444608489622&lt;/D&gt;&lt;D xsi:type="xsd:double"&gt;18.6745288106032&lt;/D&gt;&lt;D xsi:type="xsd:double"&gt;19.5329308689128&lt;/D&gt;&lt;D xsi:type="xsd:double"&gt;19.7127191266926&lt;/D&gt;&lt;D xsi:type="xsd:double"&gt;19.993556141054&lt;/D&gt;&lt;D xsi:type="xsd:double"&gt;19.2478778038632&lt;/D&gt;&lt;D xsi:type="xsd:double"&gt;19.8308154949195&lt;/D&gt;&lt;D xsi:type="xsd:double"&gt;20.8704140811933&lt;/D&gt;&lt;D xsi:type="xsd:double"&gt;21.2633058133932&lt;/D&gt;&lt;D xsi:type="xsd:double"&gt;21.7009042050653&lt;/D&gt;&lt;D xsi:type="xsd:double"&gt;21.6276594475605&lt;/D&gt;&lt;D xsi:type="xsd:double"&gt;21.809418313998&lt;/D&gt;&lt;D xsi:type="xsd:double"&gt;22.0640823928386&lt;/D&gt;&lt;D xsi:type="xsd:double"&gt;21.5350392509214&lt;/D&gt;&lt;D xsi:type="xsd:double"&gt;22.0850486522561&lt;/D&gt;&lt;D xsi:type="xsd:double"&gt;22.2197218368869&lt;/D&gt;&lt;D xsi:type="xsd:double"&gt;22.5497422568063&lt;/D&gt;&lt;D xsi:type="xsd:double"&gt;22.9863770499768&lt;/D&gt;&lt;D xsi:type="xsd:double"&gt;22.941165792152&lt;/D&gt;&lt;D xsi:type="xsd:double"&gt;24.3929807083622&lt;/D&gt;&lt;D xsi:type="xsd:double"&gt;23.7531016491527&lt;/D&gt;&lt;D xsi:type="xsd:double"&gt;24.0949523442985&lt;/D&gt;&lt;D xsi:type="xsd:double"&gt;23.4273999314916&lt;/D&gt;&lt;D xsi:type="xsd:double"&gt;23.265680097237&lt;/D&gt;&lt;D xsi:type="xsd:double"&gt;23.4125973179372&lt;/D&gt;&lt;D xsi:type="xsd:double"&gt;23.1783055904291&lt;/D&gt;&lt;D xsi:type="xsd:double"&gt;23.1769811750161&lt;/D&gt;&lt;D xsi:type="xsd:double"&gt;23.0168395538439&lt;/D&gt;&lt;D xsi:type="xsd:double"&gt;22.7236725992533&lt;/D&gt;&lt;D xsi:type="xsd:double"&gt;21.0958695777467&lt;/D&gt;&lt;D xsi:type="xsd:double"&gt;20.379776961037&lt;/D&gt;&lt;D xsi:type="xsd:double"&gt;19.0476001414982&lt;/D&gt;&lt;D xsi:type="xsd:double"&gt;20.6094373758161&lt;/D&gt;&lt;D xsi:type="xsd:double"&gt;20.8930125188706&lt;/D&gt;&lt;D xsi:type="xsd:double"&gt;21.1868404069312&lt;/D&gt;&lt;D xsi:type="xsd:double"&gt;21.4751200484369&lt;/D&gt;&lt;D xsi:type="xsd:double"&gt;20.9708217676467&lt;/D&gt;&lt;D xsi:type="xsd:double"&gt;21.8802676808185&lt;/D&gt;&lt;D xsi:type="xsd:double"&gt;21.4575100977247&lt;/D&gt;&lt;D xsi:type="xsd:double"&gt;22.1811735954294&lt;/D&gt;&lt;D xsi:type="xsd:double"&gt;22.129203862312&lt;/D&gt;&lt;D xsi:type="xsd:double"&gt;23.2649987853345&lt;/D&gt;&lt;D xsi:type="xsd:double"&gt;24.2058673638671&lt;/D&gt;&lt;D xsi:type="xsd:double"&gt;25.7590519661332&lt;/D&gt;&lt;D xsi:type="xsd:double"&gt;26.7509014263903&lt;/D&gt;&lt;D xsi:type="xsd:double"&gt;23.8037670762906&lt;/D&gt;&lt;D xsi:type="xsd:double"&gt;23.760076331943&lt;/D&gt;&lt;D xsi:type="xsd:double"&gt;25.2840338209872&lt;/D&gt;&lt;D xsi:type="xsd:double"&gt;26.9233321336434&lt;/D&gt;&lt;D xsi:type="xsd:double"&gt;28.4662114753618&lt;/D&gt;&lt;D xsi:type="xsd:double"&gt;29.3522361255594&lt;/D&gt;&lt;D xsi:type="xsd:double"&gt;30.6448883050624&lt;/D&gt;&lt;D xsi:type="xsd:double"&gt;30.7066891687702&lt;/D&gt;&lt;D xsi:type="xsd:double"&gt;32.2838399207601&lt;/D&gt;&lt;D xsi:type="xsd:double"&gt;33.909425848717&lt;/D&gt;&lt;D xsi:type="xsd:double"&gt;34.4188950680234&lt;/D&gt;&lt;D xsi:type="xsd:double"&gt;35.1932530871739&lt;/D&gt;&lt;D xsi:type="xsd:double"&gt;32.7442548639758&lt;/D&gt;&lt;D xsi:type="xsd:double"&gt;32.7571649079355&lt;/D&gt;&lt;D xsi:type="xsd:double"&gt;31.8729286936527&lt;/D&gt;&lt;D xsi:type="xsd:double"&gt;31.4616990484072&lt;/D&gt;&lt;D xsi:type="xsd:double"&gt;32.0381467541868&lt;/D&gt;&lt;D xsi:type="xsd:double"&gt;31.3918843537787&lt;/D&gt;&lt;D xsi:type="xsd:double"&gt;31.8010792817601&lt;/D&gt;&lt;D xsi:type="xsd:double"&gt;30.2777894323665&lt;/D&gt;&lt;D xsi:type="xsd:double"&gt;32.21371251121&lt;/D&gt;&lt;D xsi:type="xsd:double"&gt;31.051757879946&lt;/D&gt;&lt;D xsi:type="xsd:double"&gt;30.7677465524224&lt;/D&gt;&lt;D xsi:type="xsd:double"&gt;27.8003756988071&lt;/D&gt;&lt;D xsi:type="xsd:double"&gt;26.5577278574984&lt;/D&gt;&lt;D xsi:type="xsd:double"&gt;26.658243584339&lt;/D&gt;&lt;D xsi:type="xsd:double"&gt;25.6338636664886&lt;/D&gt;&lt;D xsi:type="xsd:double"&gt;25.2408045206378&lt;/D&gt;&lt;D xsi:type="xsd:double"&gt;24.3604685521213&lt;/D&gt;&lt;D xsi:type="xsd:double"&gt;25.9400740511543&lt;/D&gt;&lt;D xsi:type="xsd:double"&gt;24.3339908109852&lt;/D&gt;&lt;D xsi:type="xsd:double"&gt;23.3711658401755&lt;/D&gt;&lt;D xsi:type="xsd:double"&gt;22.3801722673231&lt;/D&gt;&lt;D xsi:type="xsd:double"&gt;23.1744910504674&lt;/D&gt;&lt;D xsi:type="xsd:double"&gt;22.903823386218&lt;/D&gt;&lt;D xsi:type="xsd:double"&gt;26.0023797947378&lt;/D&gt;&lt;D xsi:type="xsd:double"&gt;25.3059345510486&lt;/D&gt;&lt;D xsi:type="xsd:double"&gt;25.6386052283689&lt;/D&gt;&lt;D xsi:type="xsd:double"&gt;25.6826817498517&lt;/D&gt;&lt;D xsi:type="xsd:double"&gt;26.6116017362477&lt;/D&gt;&lt;D xsi:type="xsd:double"&gt;27.2510071694753&lt;/D&gt;&lt;D xsi:type="xsd:double"&gt;26.5559265578716&lt;/D&gt;&lt;D xsi:type="xsd:double"&gt;26.6635771817956&lt;/D&gt;&lt;D xsi:type="xsd:double"&gt;26.3215665712546&lt;/D&gt;&lt;D xsi:type="xsd:double"&gt;26.4475316644584&lt;/D&gt;&lt;D xsi:type="xsd:double"&gt;27.4195017420035&lt;/D&gt;&lt;D xsi:type="xsd:double"&gt;28.2226101616818&lt;/D&gt;&lt;D xsi:type="xsd:double"&gt;29.8336791191541&lt;/D&gt;&lt;D xsi:type="xsd:double"&gt;30.2413619528499&lt;/D&gt;&lt;D xsi:type="xsd:double"&gt;29.9420841877968&lt;/D&gt;&lt;D xsi:type="xsd:double"&gt;29.6130772993959&lt;/D&gt;&lt;D xsi:type="xsd:double"&gt;29.8125596385434&lt;/D&gt;&lt;/FQL&gt;&lt;FQL&gt;&lt;Q&gt;DDR3512M-FDS^FG_PRICE(0)&lt;/Q&gt;&lt;R&gt;1&lt;/R&gt;&lt;C&gt;1&lt;/C&gt;&lt;D xsi:type="xsd:double"&gt;0.96&lt;/D&gt;&lt;/FQL&gt;&lt;FQL&gt;&lt;Q&gt;PASP-FDS^FG_PRICE(0)&lt;/Q&gt;&lt;R&gt;1&lt;/R&gt;&lt;C&gt;1&lt;/C&gt;&lt;D xsi:type="xsd:double"&gt;941&lt;/D&gt;&lt;/FQL&gt;&lt;FQL&gt;&lt;Q&gt;PLATI-FDS^FG_PRICE(0)&lt;/Q&gt;&lt;R&gt;1&lt;/R&gt;&lt;C&gt;1&lt;/C&gt;&lt;D xsi:type="xsd:double"&gt;997&lt;/D&gt;&lt;/FQL&gt;&lt;FQL&gt;&lt;Q&gt;W-FDS^FG_PRICE(0)&lt;/Q&gt;&lt;R&gt;1&lt;/R&gt;&lt;C&gt;1&lt;/C&gt;&lt;D xsi:type="xsd:double"&gt;6.395&lt;/D&gt;&lt;/FQL&gt;&lt;FQL&gt;&lt;Q&gt;COPP-FDS^FG_PRICE(0)&lt;/Q&gt;&lt;R&gt;1&lt;/R&gt;&lt;C&gt;1&lt;/C&gt;&lt;D xsi:type="xsd:double"&gt;4.691&lt;/D&gt;&lt;/FQL&gt;&lt;FQL&gt;&lt;Q&gt;SPY^FG_PRICE(0)&lt;/Q&gt;&lt;R&gt;1&lt;/R&gt;&lt;C&gt;1&lt;/C&gt;&lt;D xsi:type="xsd:double"&gt;534.66&lt;/D&gt;&lt;/FQL&gt;&lt;FQL&gt;&lt;Q&gt;EWJ^FG_PRICE(0)&lt;/Q&gt;&lt;R&gt;1&lt;/R&gt;&lt;C&gt;1&lt;/C&gt;&lt;D xsi:type="xsd:double"&gt;69.24&lt;/D&gt;&lt;/FQL&gt;&lt;FQL&gt;&lt;Q&gt;EWI^FMA_RBICS_REV_CURRENT(30, LOC, "PORTAGG")&lt;/Q&gt;&lt;R&gt;1&lt;/R&gt;&lt;C&gt;1&lt;/C&gt;&lt;D xsi:type="xsd:double"&gt;37.3007280733583&lt;/D&gt;&lt;/FQL&gt;&lt;FQL&gt;&lt;Q&gt;TRYGB10Y-FDS^FG_YIELD_NAME&lt;/Q&gt;&lt;R&gt;1&lt;/R&gt;&lt;C&gt;1&lt;/C&gt;&lt;D xsi:type="xsd:string"&gt;United Kingdom Benchmark Bond - 10 Year&lt;/D&gt;&lt;/FQL&gt;&lt;FQL&gt;&lt;Q&gt;EWD^FMA_ROE(NTMA,-20AY,NOW,FY,"PORTAGG","MEANR")&lt;/Q&gt;&lt;R&gt;20&lt;/R&gt;&lt;C&gt;1&lt;/C&gt;&lt;D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xsi:type="xsd:double"&gt;13.4117967547049&lt;/D&gt;&lt;D xsi:type="xsd:double"&gt;11.9085678571898&lt;/D&gt;&lt;D xsi:type="xsd:double"&gt;15.3602779627681&lt;/D&gt;&lt;D xsi:type="xsd:double"&gt;14.6915673544296&lt;/D&gt;&lt;D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xsi:type="xsd:double"&gt;8163&lt;/D&gt;&lt;/FQL&gt;&lt;FQL&gt;&lt;Q&gt;EWD^FG_PRICE_MAVG(0,,,,200)&lt;/Q&gt;&lt;R&gt;1&lt;/R&gt;&lt;C&gt;1&lt;/C&gt;&lt;D xsi:type="xsd:double"&gt;37.071674&lt;/D&gt;&lt;/FQL&gt;&lt;FQL&gt;&lt;Q&gt;QQQ^FG_PRICE_MAVG(0,,,,200)&lt;/Q&gt;&lt;R&gt;1&lt;/R&gt;&lt;C&gt;1&lt;/C&gt;&lt;D xsi:type="xsd:double"&gt;407.7942&lt;/D&gt;&lt;/FQL&gt;&lt;FQL&gt;&lt;Q&gt;CAGDPY@FR^EE_ACTUAL_ANNUAL(MED,0)&lt;/Q&gt;&lt;R&gt;1&lt;/R&gt;&lt;C&gt;1&lt;/C&gt;&lt;D xsi:type="xsd:double"&gt;-0.756817157305732&lt;/D&gt;&lt;/FQL&gt;&lt;FQL&gt;&lt;Q&gt;CAGDPY@AU^EE_ACTUAL_ANNUAL(MED,0)&lt;/Q&gt;&lt;R&gt;1&lt;/R&gt;&lt;C&gt;1&lt;/C&gt;&lt;D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xsi:type="xsd:double"&gt;-0.9008527&lt;/D&gt;&lt;/FQL&gt;&lt;FQL&gt;&lt;Q&gt;USDANG^FG_PRICE_CHANGE(0,-1AM)&lt;/Q&gt;&lt;R&gt;1&lt;/R&gt;&lt;C&gt;1&lt;/C&gt;&lt;D xsi:type="xsd:double"&gt;0&lt;/D&gt;&lt;/FQL&gt;&lt;FQL&gt;&lt;Q&gt;USDGBP^FG_PRICE_CHANGE(0,-1AM)&lt;/Q&gt;&lt;R&gt;1&lt;/R&gt;&lt;C&gt;1&lt;/C&gt;&lt;D xsi:typ</t>
        </r>
      </text>
    </comment>
    <comment ref="A14" authorId="0" shapeId="0" xr:uid="{5FF2B0FC-C9B2-4961-83ED-AC02F668364A}">
      <text>
        <r>
          <rPr>
            <b/>
            <sz val="9"/>
            <color indexed="81"/>
            <rFont val="Tahoma"/>
            <charset val="1"/>
          </rPr>
          <t>e="xsd:double"&gt;-1.5188873&lt;/D&gt;&lt;/FQL&gt;&lt;FQL&gt;&lt;Q&gt;USDJPY^FG_PRICE_CHANGE(0,-1AM)&lt;/Q&gt;&lt;R&gt;1&lt;/R&gt;&lt;C&gt;1&lt;/C&gt;&lt;D xsi:type="xsd:double"&gt;1.3413429&lt;/D&gt;&lt;/FQL&gt;&lt;FQL&gt;&lt;Q&gt;USDCAD^FG_PRICE_CHANGE(0,-1AM)&lt;/Q&gt;&lt;R&gt;1&lt;/R&gt;&lt;C&gt;1&lt;/C&gt;&lt;D xsi:type="xsd:double"&gt;0.39550066&lt;/D&gt;&lt;/FQL&gt;&lt;FQL&gt;&lt;Q&gt;USDNZD^FG_PRICE_CHANGE(0,-1AM)&lt;/Q&gt;&lt;R&gt;1&lt;/R&gt;&lt;C&gt;1&lt;/C&gt;&lt;D xsi:type="xsd:double"&gt;-2.8130293&lt;/D&gt;&lt;/FQL&gt;&lt;FQL&gt;&lt;Q&gt;ENZL^FMA_EPS(NTMA,-20AY,0,CY,,"PORTAGG","MEANR")&lt;/Q&gt;&lt;R&gt;20&lt;/R&gt;&lt;C&gt;1&lt;/C&gt;&lt;D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xsi:type="xsd:double"&gt;3.1460762&lt;/D&gt;&lt;D xsi:type="xsd:double"&gt;-1.9130111&lt;/D&gt;&lt;D xsi:type="xsd:double"&gt;-12.387389&lt;/D&gt;&lt;D xsi:type="xsd:double"&gt;5.91259&lt;/D&gt;&lt;D xsi:type="xsd:double"&gt;-8.191747&lt;/D&gt;&lt;D xsi:type="xsd:double"&gt;-5.155319&lt;/D&gt;&lt;D xsi:type="xsd:double"&gt;3.2055736&lt;/D&gt;&lt;D xsi:type="xsd:double"&gt;-12.971247&lt;/D&gt;&lt;D xsi:type="xsd:double"&gt;8.203125&lt;/D&gt;&lt;D xsi:type="xsd:double"&gt;3.6823034&lt;/D&gt;&lt;D xsi:type="xsd:double"&gt;6.4763308&lt;/D&gt;&lt;D xsi:type="xsd:double"&gt;-0.32701492&lt;/D&gt;&lt;D xsi:type="xsd:double"&gt;0.5249381&lt;/D&gt;&lt;D xsi:type="xsd:double"&gt;-5.9434233&lt;/D&gt;&lt;D xsi:type="xsd:double"&gt;9.604526&lt;/D&gt;&lt;D xsi:type="xsd:double"&gt;-7.731962&lt;/D&gt;&lt;D xsi:type="xsd:double"&gt;4.3994427&lt;/D&gt;&lt;D xsi:type="xsd:double"&gt;-2.3411334&lt;/D&gt;&lt;D xsi:type="xsd:double"&gt;-0.5479455&lt;/D&gt;&lt;D xsi:type="xsd:double"&gt;-9.230673&lt;/D&gt;&lt;D xsi:type="xsd:double"&gt;-12.861496&lt;/D&gt;&lt;D xsi:type="xsd:double"&gt;4.366815&lt;/D&gt;&lt;D xsi:type="xsd:double"&gt;-2.0920515&lt;/D&gt;&lt;D xsi:type="xsd:double"&gt;3.7606835&lt;/D&gt;&lt;D xsi:type="xsd:double"&gt;-0.08237362&lt;/D&gt;&lt;D xsi:type="xsd:double"&gt;-12.6672325&lt;/D&gt;&lt;D xsi:type="xsd:double"&gt;6.2135816&lt;/D&gt;&lt;D xsi:type="xsd:double"&gt;5.118835&lt;/D&gt;&lt;D xsi:type="xsd:double"&gt;-4.1739106&lt;/D&gt;&lt;D xsi:type="xsd:double"&gt;-1.8148899&lt;/D&gt;&lt;D xsi:type="xsd:double"&gt;7.4399233&lt;/D&gt;&lt;D xsi:type="xsd:double"&gt;7.8679442&lt;/D&gt;&lt;D xsi:type="xsd:double"&gt;-4.8289776&lt;/D&gt;&lt;D xsi:type="xsd:double"&gt;2.832985&lt;/D&gt;&lt;D xsi:type="xsd:double"&gt;4.6875&lt;/D&gt;&lt;D xsi:type="xsd:double"&gt;10.290659&lt;/D&gt;&lt;D xsi:type="xsd:double"&gt;-0.17806292&lt;/D&gt;&lt;D xsi:type="xsd:double"&gt;2.074349&lt;/D&gt;&lt;D xsi:type="xsd:double"&gt;7.7935934&lt;/D&gt;&lt;D xsi:type="xsd:double"&gt;0.99042654&lt;/D&gt;&lt;D xsi:type="xsd:double"&gt;0.588429&lt;/D&gt;&lt;D xsi:type="xsd:double"&gt;1.4624596&lt;/D&gt;&lt;D xsi:type="xsd:double"&gt;-1.4413774&lt;/D&gt;&lt;D xsi:type="xsd:double"&gt;4.080999&lt;/D&gt;&lt;D xsi:type="xsd:double"&gt;3.2339096&lt;/D&gt;&lt;D xsi:type="xsd:double"&gt;-2.4635077&lt;/D&gt;&lt;D xsi:type="xsd:double"&gt;1.5590906&lt;/D&gt;&lt;D xsi:type="xsd:double"&gt;4.3598413&lt;/D&gt;&lt;D xsi:type="xsd:double"&gt;-10.767878&lt;/D&gt;&lt;D xsi:type="xsd:double"&gt;0.022816658&lt;/D&gt;&lt;D xsi:type="xsd:double"&gt;-2.507621&lt;/D&gt;&lt;D xsi:type="xsd:double"&gt;-4.4490814&lt;/D&gt;&lt;D xsi:type="xsd:double"&gt;-1.4914513&lt;/D&gt;&lt;D xsi:type="xsd:double"&gt;-4.6898127&lt;/D&gt;&lt;D xsi:type="xsd:double"&gt;-2.6733756&lt;/D&gt;&lt;D xsi:type="xsd:double"&gt;0.3908515&lt;/D&gt;&lt;D xsi:type="xsd:double"&gt;5.7831407&lt;/D&gt;&lt;D xsi:type="xsd:double"&gt;3.796506&lt;/D&gt;&lt;D xsi:type="xsd:double"&gt;3.365028&lt;/D&gt;&lt;D xsi:type="xsd:double"&gt;-1.6985118&lt;/D&gt;&lt;D xsi:type="xsd:double"&gt;-3.3117354&lt;/D&gt;&lt;D xsi:type="xsd:double"&gt;8.48825&lt;/D&gt;&lt;D xsi:type="xsd:double"&gt;-5.717331&lt;/D&gt;&lt;D xsi:type="xsd:double"&gt;3.992474&lt;/D&gt;&lt;D xsi:type="xsd:double"&gt;-2.3904383&lt;/D&gt;&lt;D xsi:type="xsd:double"&gt;8.71985&lt;/D&gt;&lt;D xsi:type="xsd:double"&gt;-1.3310552&lt;/D&gt;&lt;D xsi:type="xsd:double"&gt;3.1344056&lt;/D&gt;&lt;D xsi:type="xsd:double"&gt;1.7561555&lt;/D&gt;&lt;D xsi:type="xsd:double"&gt;-12.844336&lt;/D&gt;&lt;D xsi:type="xsd:double"&gt;-20.982487&lt;/D&gt;&lt;D xsi:type="xsd:double"&gt;-2.5060236&lt;/D&gt;&lt;D xsi:type="xsd:double"&gt;23.9743&lt;/D&gt;&lt;D xsi:type="xsd:double"&gt;0.56271553&lt;/D&gt;&lt;D xsi:type="xsd:double"&gt;2.4439096&lt;/D&gt;&lt;D xsi:type="xsd:double"&gt;-0.11731982&lt;/D&gt;&lt;D xsi:type="xsd:double"&gt;-3.367269&lt;/D&gt;&lt;D xsi:type="xsd:double"&gt;3.4035683&lt;/D&gt;&lt;D xsi:type="xsd:double"&gt;14.615989&lt;/D&gt;&lt;D xsi:type="xsd:double"&gt;5.307102&lt;/D&gt;&lt;D xsi:type="xsd:double"&gt;-0.49099922&lt;/D&gt;&lt;D xsi:type="xsd:double"&gt;-0.5921066&lt;/D&gt;&lt;D xsi:type="xsd:double"&gt;5.625415&lt;/D&gt;&lt;D xsi:type="xsd:double"&gt;1.3784528&lt;/D&gt;&lt;D xsi:type="xsd:double"&gt;5.4079056&lt;/D&gt;&lt;D xsi:type="xsd:double"&gt;-4.062766&lt;/D&gt;&lt;D xsi:type="xsd:double"&gt;2.103293&lt;/D&gt;&lt;D xsi:type="xsd:double"&gt;0.30294657&lt;/D&gt;&lt;D xsi:type="xsd:double"&gt;-3.8659036&lt;/D&gt;&lt;D xsi:type="xsd:double"&gt;8.011317&lt;/D&gt;&lt;D xsi:type="xsd:double"&gt;-6.137294&lt;/D&gt;&lt;D xsi:type="xsd:double"&gt;4.441166&lt;/D&gt;&lt;D xsi:type="xsd:double"&gt;-1.5949428&lt;/D&gt;&lt;D xsi:type="xsd:double"&gt;-18.715595&lt;/D&gt;&lt;D xsi:type="xsd:double"&gt;8.577883&lt;/D&gt;&lt;D xsi:type="xsd:double"&gt;-6.444907&lt;/D&gt;&lt;D xsi:type="xsd:double"&gt;6.296301&lt;/D&gt;&lt;D xsi:type="xsd:double"&gt;-17.005747&lt;/D&gt;&lt;D xsi:type="xsd:double"&gt;6.5339684&lt;/D&gt;&lt;D xsi:type="xsd:double"&gt;-7.6360703&lt;/D&gt;&lt;D xsi:type="xsd:double"&gt;-2.682501&lt;/D&gt;&lt;D xsi:type="xsd:double"&gt;12.968826&lt;/D&gt;&lt;D xsi:type="xsd:double"&gt;9.440004&lt;/D&gt;&lt;D xsi:type="xsd:double"&gt;5.5104136&lt;/D&gt;&lt;D xsi:type="xsd:double"&gt;5.6610346&lt;/D&gt;&lt;D xsi:type="xsd:double"&gt;2.6622295&lt;/D&gt;&lt;D xsi:type="xsd:double"&gt;0.09723902&lt;/D&gt;&lt;D xsi:type="xsd:double"&gt;3.6269426&lt;/D&gt;&lt;D xsi:type="xsd:double"&gt;-3.8749993&lt;/D&gt;&lt;D xsi:type="xsd:double"&gt;3.119874&lt;/D&gt;&lt;D xsi:type="xsd:double"&gt;3.7790775&lt;/D&gt;&lt;D xsi:type="xsd:double"&gt;-3.0189872&lt;/D&gt;&lt;D xsi:type="xsd:double"&gt;-3.369701&lt;/D&gt;&lt;D xsi:type="xsd:double"&gt;3.6200643&lt;/D&gt;&lt;D xsi:type="xsd:double"&gt;5.929482&lt;/D&gt;&lt;D xsi:type="xsd:double"&gt;2.9773831&lt;/D&gt;&lt;D xsi:type="xsd:double"&gt;0.7735729&lt;/D&gt;&lt;D xsi:type="xsd:double"&gt;8.001184&lt;/D&gt;&lt;D xsi:type="xsd:double"&gt;1.339519&lt;/D&gt;&lt;D xsi:type="xsd:double"&gt;0.8362651&lt;/D&gt;&lt;D xsi:type="xsd:double"&gt;4.3338656&lt;/D&gt;&lt;/FQL&gt;&lt;FQL&gt;&lt;Q&gt;EWN^FMA_DIV_YLD(NTMA,-10AY,0,AM,"PORTAGG","MEANR")&lt;/Q&gt;&lt;R&gt;121&lt;/R&gt;&lt;C&gt;1&lt;/C&gt;&lt;D xsi:type="xsd:double"&gt;2.78096666639836&lt;/D&gt;&lt;D xsi:type="xsd:double"&gt;2.74809731260379&lt;/D&gt;&lt;D xsi:type="xsd:double"&gt;3.05935856195538&lt;/D&gt;&lt;D xsi:type="xsd:double"&gt;2.93033574002951&lt;/D&gt;&lt;D xsi:type="xsd:double"&gt;3.062542624128&lt;/D&gt;&lt;D xsi:type="xsd:double"&gt;3.09709929471835&lt;/D&gt;&lt;D xsi:type="xsd:double"&gt;2.95784260854013&lt;/D&gt;&lt;D xsi:type="xsd:double"&gt;3.17963508556731&lt;/D&gt;&lt;D xsi:type="xsd:double"&gt;2.88697312488126&lt;/D&gt;&lt;D xsi:type="xsd:double"&gt;2.66217383931863&lt;/D&gt;&lt;D xsi:type="xsd:double"&gt;2.65850642400812&lt;/D&gt;&lt;D xsi:type="xsd:double"&gt;2.81477016250553&lt;/D&gt;&lt;D xsi:type="xsd:double"&gt;2.91415902741765&lt;/D&gt;&lt;D xsi:type="xsd:double"&gt;3.01668689788939&lt;/D&gt;&lt;D xsi:type="xsd:double"&gt;2.96947989063556&lt;/D&gt;&lt;D xsi:type="xsd:double"&gt;3.48373985946937&lt;/D&gt;&lt;D xsi:type="xsd:double"&gt;3.46030882854861&lt;/D&gt;&lt;D xsi:type="xsd:double"&gt;3.15336287019061&lt;/D&gt;&lt;D xsi:type="xsd:double"&gt;3.24592202388408&lt;/D&gt;&lt;D xsi:type="xsd:double"&gt;3.24809814014166&lt;/D&gt;&lt;D xsi:type="xsd:double"&gt;3.43624703398987&lt;/D&gt;&lt;D xsi:type="xsd:double"&gt;3.30689514791493&lt;/D&gt;&lt;D xsi:type="xsd:double"&gt;3.36403182750665&lt;/D&gt;&lt;D xsi:type="xsd:double"&gt;3.44284641611631&lt;/D&gt;&lt;D xsi:type="xsd:double"&gt;3.1542386063695&lt;/D&gt;&lt;D xsi:type="xsd:double"&gt;3.4566595952967&lt;/D&gt;&lt;D xsi:type="xsd:double"&gt;3.19458960729355&lt;/D&gt;&lt;D xsi:type="xsd:double"&gt;3.08812108969689&lt;/D&gt;&lt;D xsi:type="xsd:double"&gt;3.09303575611081&lt;/D&gt;&lt;D xsi:type="xsd:double"&gt;3.22947777603248&lt;/D&gt;&lt;D xsi:type="xsd:double"&gt;3.10770187246542&lt;/D&gt;&lt;D xsi:type="xsd:double"&gt;2.9514950570331&lt;/D&gt;&lt;D xsi:type="xsd:double"&gt;2.96548940111473&lt;/D&gt;&lt;D xsi:type="xsd:double"&gt;2.83080468534165&lt;/D&gt;&lt;D xsi:type="xsd:double"&gt;2.78018539788842&lt;/D&gt;&lt;D xsi:type="xsd:double"&gt;2.68732243535339&lt;/D&gt;&lt;D xsi:type="xsd:double"&gt;2.72639918577232&lt;/D&gt;&lt;D xsi:type="xsd:double"&gt;2.81613196555842&lt;/D&gt;&lt;D xsi:type="xsd:double"&gt;2.75012306960095&lt;/D&gt;&lt;D xsi:type="xsd:double"&gt;2.88366022247003&lt;/D&gt;&lt;D xsi:type="xsd:double"&gt;2.77758071443943&lt;/D&gt;&lt;D xsi:type="xsd:double"&gt;2.74932599688993&lt;/D&gt;&lt;D xsi:type="xsd:double"&gt;2.84686319779724&lt;/D&gt;&lt;D xsi:type="xsd:double"&gt;2.79701804588147&lt;/D&gt;&lt;D xsi:type="xsd:double"&gt;2.96453571955264&lt;/D&gt;&lt;D xsi:type="xsd:double"&gt;2.96678446839798&lt;/D&gt;&lt;D xsi:type="xsd:double"&gt;2.95933927832064&lt;/D&gt;&lt;D xsi:type="xsd:double"&gt;2.93207103567599&lt;/D&gt;&lt;D xsi:type="xsd:double"&gt;2.86591353855686&lt;/D&gt;&lt;D xsi:type="xsd:double"&gt;2.96218341495329&lt;/D&gt;&lt;D xsi:type="xsd:double"&gt;2.84038256548271&lt;/D&gt;&lt;D xsi:type="xsd:double"&gt;3.01700693967862&lt;/D&gt;&lt;D xsi:type="xsd:double"&gt;3.07769270807318&lt;/D&gt;&lt;D xsi:type="xsd:double"&gt;3.20766340682111&lt;/D&gt;&lt;D xsi:type="xsd:double"&gt;3.35803183996333&lt;/D&gt;&lt;D xsi:type="xsd:double"&gt;3.45552055978227&lt;/D&gt;&lt;D xsi:type="xsd:double"&gt;3.16146017149416&lt;/D&gt;&lt;D xsi:type="xsd:double"&gt;3.12135250148404&lt;/D&gt;&lt;D xsi:type="xsd:double"&gt;3.00265218336253&lt;/D&gt;&lt;D xsi:type="xsd:double"&gt;2.9832657303837&lt;/D&gt;&lt;D xsi:type="xsd:double"&gt;3.14730199334919&lt;/D&gt;&lt;D xsi:type="xsd:double"&gt;2.96598196137378&lt;/D&gt;&lt;D xsi:type="xsd:double"&gt;3.06051072742851&lt;/D&gt;&lt;D xsi:type="xsd:double"&gt;2.87614101894872&lt;/D&gt;&lt;D xsi:type="xsd:double"&gt;2.81032375622627&lt;/D&gt;&lt;D xsi:type="xsd:double"&gt;2.66830010805802&lt;/D&gt;&lt;D xsi:type="xsd:double"&gt;2.62939507612684&lt;/D&gt;&lt;D xsi:type="xsd:double"&gt;2.59689479567965&lt;/D&gt;&lt;D xsi:type="xsd:double"&gt;2.52775477233742&lt;/D&gt;&lt;D xsi:type="xsd:double"&gt;2.91618508551387&lt;/D&gt;&lt;D xsi:type="xsd:double"&gt;3.05588396092076&lt;/D&gt;&lt;D xsi:type="xsd:double"&gt;2.72142346644344&lt;/D&gt;&lt;D xsi:type="xsd:double"&gt;2.34175617970438&lt;/D&gt;&lt;D xsi:type="xsd:double"&gt;2.30745283649601&lt;/D&gt;&lt;D xsi:type="xsd:double"&gt;2.36968424557309&lt;/D&gt;&lt;D xsi:type="xsd:double"&gt;2.35778111984221&lt;/D&gt;&lt;D xsi:type="xsd:double"&gt;2.33228202695971&lt;/D&gt;&lt;D xsi:type="xsd:double"&gt;2.24292726580332&lt;/D&gt;&lt;D xsi:type="xsd:double"&gt;2.05513811422638&lt;/D&gt;&lt;D xsi:type="xsd:double"&gt;1.94580449042796&lt;/D&gt;&lt;D xsi:type="xsd:double"&gt;1.94041706196809&lt;/D&gt;&lt;D xsi:type="xsd:double"&gt;2.11093874146747&lt;/D&gt;&lt;D xsi:type="xsd:double"&gt;1.90950687525217&lt;/D&gt;&lt;D xsi:type="xsd:double"&gt;1.9515722007447&lt;/D&gt;&lt;D xsi:type="xsd:double"&gt;2.00071758896601&lt;/D&gt;&lt;D xsi:type="xsd:double"&gt;2.02072573531062&lt;/D&gt;&lt;D xsi:type="xsd:double"&gt;1.92941157811738&lt;/D&gt;&lt;D xsi:type="xsd:double"&gt;1.83825568935758&lt;/D&gt;&lt;D xsi:type="xsd:double"&gt;1.99447185845894&lt;/D&gt;&lt;D xsi:type="xsd:double"&gt;1.84750184152742&lt;/D&gt;&lt;D xsi:type="xsd:double"&gt;2.00763951023225&lt;/D&gt;&lt;D xsi:type="xsd:double"&gt;1.97927175861117&lt;/D&gt;&lt;D xsi:type="xsd:double"&gt;2.23184375197412&lt;/D&gt;&lt;D xsi:type="xsd:double"&gt;2.4978094853736&lt;/D&gt;&lt;D xsi:type="xsd:double"&gt;2.29928733618686&lt;/D&gt;&lt;D xsi:type="xsd:double"&gt;2.55406401291734&lt;/D&gt;&lt;D xsi:type="xsd:double"&gt;2.5199000804981&lt;/D&gt;&lt;D xsi:type="xsd:double"&gt;3.48652182566227&lt;/D&gt;&lt;D xsi:type="xsd:double"&gt;3.10424593651705&lt;/D&gt;&lt;D xsi:type="xsd:double"&gt;3.80214291622077&lt;/D&gt;&lt;D xsi:type="xsd:double"&gt;2.93954986081791&lt;/D&gt;&lt;D xsi:type="xsd:double"&gt;2.94884023564603&lt;/D&gt;&lt;D xsi:type="xsd:double"&gt;2.67139091598077&lt;/D&gt;&lt;D xsi:type="xsd:double"&gt;2.64687927002606&lt;/D&gt;&lt;D xsi:type="xsd:double"&gt;2.55895609599571&lt;/D&gt;&lt;D xsi:type="xsd:double"&gt;2.64003956389339&lt;/D&gt;&lt;D xsi:type="xsd:double"&gt;2.6726122833806&lt;/D&gt;&lt;D xsi:type="xsd:double"&gt;2.68633971153875&lt;/D&gt;&lt;D xsi:type="xsd:double"&gt;2.7007990230482&lt;/D&gt;&lt;D xsi:type="xsd:double"&gt;2.77097587724934&lt;/D&gt;&lt;D xsi:type="xsd:double"&gt;2.72530884733243&lt;/D&gt;&lt;D xsi:type="xsd:double"&gt;2.89511787386477&lt;/D&gt;&lt;D xsi:type="xsd:double"&gt;3.03179518622154&lt;/D&gt;&lt;D xsi:type="xsd:double"&gt;2.99041279818994&lt;/D&gt;&lt;D xsi:type="xsd:double"&gt;2.75629893620809&lt;/D&gt;&lt;D xsi:type="xsd:double"&gt;2.74054586513354&lt;/D&gt;&lt;D xsi:type="xsd:double"&gt;2.5321954212995&lt;/D&gt;&lt;D xsi:type="xsd:double"&gt;2.5705646332927&lt;/D&gt;&lt;D xsi:type="xsd:double"&gt;2.53248348437515&lt;/D&gt;&lt;D xsi:type="xsd:double"&gt;2.52778443824627&lt;/D&gt;&lt;D xsi:type="xsd:double"&gt;2.48428394115969&lt;/D&gt;&lt;/FQL&gt;&lt;FQL&gt;&lt;Q&gt;SPY^FMA_PE(NTMA,-10AY,0,AM,"PORTAGG","MEANR")&lt;/Q&gt;&lt;R&gt;121&lt;/R&gt;&lt;C&gt;1&lt;/C&gt;&lt;D xsi:type="xsd:double"&gt;15.3677559301432&lt;/D&gt;&lt;D xsi:type="xsd:double"&gt;15.5382568404618&lt;/D&gt;&lt;D xsi:type="xsd:double"&gt;14.8024639828465&lt;/D&gt;&lt;D xsi:type="xsd:double"&gt;15.3598336414679&lt;/D&gt;&lt;D xsi:type="xsd:double"&gt;14.9545407878897&lt;/D&gt;&lt;D xsi:type="xsd:double"&gt;15.5875068541066&lt;/D&gt;&lt;D xsi:type="xsd:double"&gt;15.9668267734917&lt;/D&gt;&lt;D xsi:type="xsd:double"&gt;15.5677520517918&lt;/D&gt;&lt;D xsi:type="xsd:double"&gt;16.5339567891051&lt;/D&gt;&lt;D xsi:type="xsd:double"&gt;16.6139555054195&lt;/D&gt;&lt;D xsi:type="xsd:double"&gt;16.5743525650829&lt;/D&gt;&lt;D xsi:type="xsd:double"&gt;16.4510255504177&lt;/D&gt;&lt;D xsi:type="xsd:double"&gt;16.4047314613622&lt;/D&gt;&lt;D xsi:type="xsd:double"&gt;16.1297950931336&lt;/D&gt;&lt;D xsi:type="xsd:double"&gt;16.2636338097094&lt;/D&gt;&lt;D xsi:type="xsd:double"&gt;14.9541919634132&lt;/D&gt;&lt;D xsi:type="xsd:double"&gt;15.4445203551429&lt;/D&gt;&lt;D xsi:type="xsd:double"&gt;16.4665849807477&lt;/D&gt;&lt;D xsi:type="xsd:double"&gt;16.3317084868427&lt;/D&gt;&lt;D xsi:type="xsd:double"&gt;15.5663822314575&lt;/D&gt;&lt;D xsi:type="xsd:double"&gt;15.5099438140132&lt;/D&gt;&lt;D xsi:type="xsd:double"&gt;15.5167363536305&lt;/D&gt;&lt;D xsi:type="xsd:double"&gt;16.5004635460184&lt;/D&gt;&lt;D xsi:type="xsd:double"&gt;16.5226770167304&lt;/D&gt;&lt;D xsi:type="xsd:double"&gt;16.6576656454397&lt;/D&gt;&lt;D xsi:type="xsd:double"&gt;16.4906658332618&lt;/D&gt;&lt;D xsi:type="xsd:double"&gt;17.0063753894613&lt;/D&gt;&lt;D xsi:type="xsd:double"&gt;16.8686440640109&lt;/D&gt;&lt;D xsi:type="xsd:double"&gt;16.570979521747&lt;/D&gt;&lt;D xsi:type="xsd:double"&gt;15.9314009319239&lt;/D&gt;&lt;D xsi:type="xsd:double"&gt;16.7512271055935&lt;/D&gt;&lt;D xsi:type="xsd:double"&gt;17.0525416960878&lt;/D&gt;&lt;D xsi:type="xsd:double"&gt;17.149484591724&lt;/D&gt;&lt;D xsi:type="xsd:double"&gt;17.7196022780858&lt;/D&gt;&lt;D xsi:type="xsd:double"&gt;17.4379531139185&lt;/D&gt;&lt;D xsi:type="xsd:double"&gt;17.5232922034499&lt;/D&gt;&lt;D xsi:type="xsd:double"&gt;17.5797724056676&lt;/D&gt;&lt;D xsi:type="xsd:double"&gt;17.2886060121549&lt;/D&gt;&lt;D xsi:type="xsd:double"&gt;17.6558176903749&lt;/D&gt;&lt;D xsi:type="xsd:double"&gt;17.4243048982447&lt;/D&gt;&lt;D xsi:type="xsd:double"&gt;17.9068193319014&lt;/D&gt;&lt;D xsi:type="xsd:double"&gt;17.9928383732943&lt;/D&gt;&lt;D xsi:type="xsd:double"&gt;18.0829500524271&lt;/D&gt;&lt;D xsi:type="xsd:double"&gt;18.376298371219&lt;/D&gt;&lt;D xsi:type="xsd:double"&gt;16.9738138874377&lt;/D&gt;&lt;D xsi:type="xsd:double"&gt;16.9389203786543&lt;/D&gt;&lt;D xsi:type="xsd:double"&gt;16.0671951139822&lt;/D&gt;&lt;D xsi:type="xsd:double"&gt;16.1223922939324&lt;/D&gt;&lt;D xsi:type="xsd:double"&gt;16.5599791044802&lt;/D&gt;&lt;D xsi:type="xsd:double"&gt;16.3332854999168&lt;/D&gt;&lt;D xsi:type="xsd:double"&gt;16.6175400615129&lt;/D&gt;&lt;D xsi:type="xsd:double"&gt;16.6409180279271&lt;/D&gt;&lt;D xsi:type="xsd:double"&gt;16.5707543037262&lt;/D&gt;&lt;D xsi:type="xsd:double"&gt;15.7393700929676&lt;/D&gt;&lt;D xsi:type="xsd:double"&gt;15.3614677529786&lt;/D&gt;&lt;D xsi:type="xsd:double"&gt;14.6350443624539&lt;/D&gt;&lt;D xsi:type="xsd:double"&gt;15.920160632521&lt;/D&gt;&lt;D xsi:type="xsd:double"&gt;16.1208755182633&lt;/D&gt;&lt;D xsi:type="xsd:double"&gt;16.7576232046103&lt;/D&gt;&lt;D xsi:type="xsd:double"&gt;16.8189287527611&lt;/D&gt;&lt;D xsi:type="xsd:double"&gt;16.1914356083086&lt;/D&gt;&lt;D xsi:type="xsd:double"&gt;17.0111406732017&lt;/D&gt;&lt;D xsi:type="xsd:double"&gt;16.3844244529064&lt;/D&gt;&lt;D xsi:type="xsd:double"&gt;16.8402291195465&lt;/D&gt;&lt;D xsi:type="xsd:double"&gt;16.6653498847481&lt;/D&gt;&lt;D xsi:type="xsd:double"&gt;17.3822125802292&lt;/D&gt;&lt;D xsi:type="xsd:double"&gt;17.718219025576&lt;/D&gt;&lt;D xsi:type="xsd:double"&gt;18.2128193567419&lt;/D&gt;&lt;D xsi:type="xsd:double"&gt;18.776090949182&lt;/D&gt;&lt;D xsi:type="xsd:double"&gt;16.7381398630808&lt;/D&gt;&lt;D xsi:type="xsd:double"&gt;16.7132304067319&lt;/D&gt;&lt;D xsi:type="xsd:double"&gt;20.1276418288706&lt;/D&gt;&lt;D xsi:type="xsd:double"&gt;22.6403510993092&lt;/D&gt;&lt;D xsi:type="xsd:double"&gt;22.1616411381462&lt;/D&gt;&lt;D xsi:type="xsd:double"&gt;22.3249308897899&lt;/D&gt;&lt;D xsi:type="xsd:double"&gt;22.3212655853796&lt;/D&gt;&lt;D xsi:type="xsd:double"&gt;21.3951894437861&lt;/D&gt;&lt;D xsi:type="xsd:double"&gt;21.5189862553245&lt;/D&gt;&lt;D xsi:type="xsd:double"&gt;22.1743846007759&lt;/D&gt;&lt;D xsi:type="xsd:double"&gt;22.2764641781967&lt;/D&gt;&lt;D xsi:type="xsd:double"&gt;22.0662875285021&lt;/D&gt;&lt;D xsi:type="xsd:double"&gt;21.4655747379076&lt;/D&gt;&lt;D xsi:type="xsd:double"&gt;22.2770201552948&lt;/D&gt;&lt;D xsi:type="xsd:double"&gt;21.5920751606643&lt;/D&gt;&lt;D xsi:type="xsd:double"&gt;21.3040721777523&lt;/D&gt;&lt;D xsi:type="xsd:double"&gt;21.5113506863087&lt;/D&gt;&lt;D xsi:type="xsd:double"&gt;21.0495192177776&lt;/D&gt;&lt;D xsi:type="xsd:double"&gt;21.2531059530314&lt;/D&gt;&lt;D xsi:type="xsd:double"&gt;20.2968868245852&lt;/D&gt;&lt;D xsi:type="xsd:double"&gt;21.4617578871406&lt;/D&gt;&lt;D xsi:type="xsd:double"&gt;20.7496826605568&lt;/D&gt;&lt;D xsi:type="xsd:double"&gt;20.9651296111504&lt;/D&gt;&lt;D xsi:type="xsd:double"&gt;19.8383787585873&lt;/D&gt;&lt;D xsi:type="xsd:double"&gt;18.860331896685&lt;/D&gt;&lt;D xsi:type="xsd:double"&gt;19.1566919403355&lt;/D&gt;&lt;D xsi:type="xsd:double"&gt;17.4449372412989&lt;/D&gt;&lt;D xsi:type="xsd:double"&gt;17.257876503485&lt;/D&gt;&lt;D xsi:type="xsd:double"&gt;16.0467893200261&lt;/D&gt;&lt;D xsi:type="xsd:double"&gt;17.4881973032697&lt;/D&gt;&lt;D xsi:type="xsd:double"&gt;16.4345569184578&lt;/D&gt;&lt;D xsi:type="xsd:double"&gt;15.8239212076721&lt;/D&gt;&lt;D xsi:type="xsd:double"&gt;16.3196021842603&lt;/D&gt;&lt;D xsi:type="xsd:double"&gt;17.0306809613762&lt;/D&gt;&lt;D xsi:type="xsd:double"&gt;16.9184497308991&lt;/D&gt;&lt;D xsi:type="xsd:double"&gt;18.1362499987098&lt;/D&gt;&lt;D xsi:type="xsd:double"&gt;17.8011146202462&lt;/D&gt;&lt;D xsi:type="xsd:double"&gt;18.0557897410503&lt;/D&gt;&lt;D xsi:type="xsd:double"&gt;18.0138802144007&lt;/D&gt;&lt;D xsi:type="xsd:double"&gt;18.450382801838&lt;/D&gt;&lt;D xsi:type="xsd:double"&gt;18.9530409942598&lt;/D&gt;&lt;D xsi:type="xsd:double"&gt;19.013549978386&lt;/D&gt;&lt;D xsi:type="xsd:double"&gt;18.6461879151848&lt;/D&gt;&lt;D xsi:type="xsd:double"&gt;17.9198529318191&lt;/D&gt;&lt;D xsi:type="xsd:double"&gt;18.0536477328505&lt;/D&gt;&lt;D xsi:type="xsd:double"&gt;18.6118981382248&lt;/D&gt;&lt;D xsi:type="xsd:double"&gt;19.2062981299927&lt;/D&gt;&lt;D xsi:type="xsd:double"&gt;20.1162833187743&lt;/D&gt;&lt;D xsi:type="xsd:double"&gt;20.4616118484511&lt;/D&gt;&lt;D xsi:type="xsd:double"&gt;20.6906376629156&lt;/D&gt;&lt;D xsi:type="xsd:double"&gt;20.3306496415221&lt;/D&gt;&lt;D xsi:type="xsd:double"&gt;20.4897845686018&lt;/D&gt;&lt;/FQL&gt;&lt;FQL&gt;&lt;Q&gt;EWU^FMA_PE(LTMA,-10AY,0,AM,"PORTAGG","MEANR")&lt;/Q&gt;&lt;R&gt;121&lt;/R&gt;&lt;C&gt;1&lt;/C&gt;&lt;D xsi:type="xsd:double"&gt;14.3969345192513&lt;/D&gt;&lt;D xsi:type="xsd:double"&gt;14.4635631367125&lt;/D&gt;&lt;D xsi:type="xsd:double"&gt;14.1769601682885&lt;/D&gt;&lt;D xsi:type="xsd:double"&gt;14.2715438638989&lt;/D&gt;&lt;D xsi:type="xsd:double"&gt;13.7494172441946&lt;/D&gt;&lt;D xsi:type="xsd:double"&gt;13.7987419118492&lt;/D&gt;&lt;D xsi:type="xsd:double"&gt;14.0599915353285&lt;/D&gt;&lt;D xsi:type="xsd:double"&gt;13.2233747593199&lt;/D&gt;&lt;D xsi:type="xsd:double"&gt;14.496170870605&lt;/D&gt;&lt;D xsi:type="xsd:double"&gt;15.1738676917607&lt;/D&gt;&lt;D xsi:type="xsd:double"&gt;15.2983809188272&lt;/D&gt;&lt;D xsi:type="xsd:double"&gt;15.567199564861&lt;/D&gt;&lt;D xsi:type="xsd:double"&gt;15.5868895374244&lt;/D&gt;&lt;D xsi:type="xsd:double"&gt;15.4150534836668&lt;/D&gt;&lt;D xsi:type="xsd:double"&gt;15.8548628755838&lt;/D&gt;&lt;D xsi:type="xsd:double"&gt;14.7873240569561&lt;/D&gt;&lt;D xsi:type="xsd:double"&gt;15.5008316446823&lt;/D&gt;&lt;D xsi:type="xsd:double"&gt;15.7898109994369&lt;/D&gt;&lt;D xsi:type="xsd:double"&gt;15.7034169706265&lt;/D&gt;&lt;D xsi:type="xsd:double"&gt;15.2325656241574&lt;/D&gt;&lt;D xsi:type="xsd:double"&gt;14.7802774680551&lt;/D&gt;&lt;D xsi:type="xsd:double"&gt;15.5936516191535&lt;/D&gt;&lt;D xsi:type="xsd:double"&gt;15.7362631359518&lt;/D&gt;&lt;D xsi:type="xsd:double"&gt;15.8149554715798&lt;/D&gt;&lt;D xsi:type="xsd:double"&gt;16.0677443045766&lt;/D&gt;&lt;D xsi:type="xsd:double"&gt;16.1021798786269&lt;/D&gt;&lt;D xsi:type="xsd:double"&gt;16.7567999863651&lt;/D&gt;&lt;D xsi:type="xsd:double"&gt;16.986788011071&lt;/D&gt;&lt;D xsi:type="xsd:double"&gt;17.0579435844931&lt;/D&gt;&lt;D xsi:type="xsd:double"&gt;16.2431460224896&lt;/D&gt;&lt;D xsi:type="xsd:double"&gt;16.5292533507918&lt;/D&gt;&lt;D xsi:type="xsd:double"&gt;17.2800960052656&lt;/D&gt;&lt;D xsi:type="xsd:double"&gt;17.0899090721205&lt;/D&gt;&lt;D xsi:type="xsd:double"&gt;17.3269478957678&lt;/D&gt;&lt;D xsi:type="xsd:double"&gt;17.0669524104219&lt;/D&gt;&lt;D xsi:type="xsd:double"&gt;16.8590838583221&lt;/D&gt;&lt;D xsi:type="xsd:double"&gt;16.7481954564889&lt;/D&gt;&lt;D xsi:type="xsd:double"&gt;16.4097831468038&lt;/D&gt;&lt;D xsi:type="xsd:double"&gt;16.468691944279&lt;/D&gt;&lt;D xsi:type="xsd:double"&gt;15.9560469845866&lt;/D&gt;&lt;D xsi:type="xsd:double"&gt;15.8773705031177&lt;/D&gt;&lt;D xsi:type="xsd:double"&gt;15.6247463388617&lt;/D&gt;&lt;D xsi:type="xsd:double"&gt;15.0847218878997&lt;/D&gt;&lt;D xsi:type="xsd:double"&gt;15.5927094309669&lt;/D&gt;&lt;D xsi:type="xsd:double"&gt;14.3665681269989&lt;/D&gt;&lt;D xsi:type="xsd:double"&gt;13.957871777422&lt;/D&gt;&lt;D xsi:type="xsd:double"&gt;13.937546631079&lt;/D&gt;&lt;D xsi:type="xsd:double"&gt;14.0284792862355&lt;/D&gt;&lt;D xsi:type="xsd:double"&gt;14.0159461553589&lt;/D&gt;&lt;D xsi:type="xsd:double"&gt;13.8172160374072&lt;/D&gt;&lt;D xsi:type="xsd:double"&gt;13.8466033808698&lt;/D&gt;&lt;D xsi:type="xsd:double"&gt;13.3445824538655&lt;/D&gt;&lt;D xsi:type="xsd:double"&gt;13.3784612273675&lt;/D&gt;&lt;D xsi:type="xsd:double"&gt;12.8077126575832&lt;/D&gt;&lt;D xsi:type="xsd:double"&gt;12.0852540659142&lt;/D&gt;&lt;D xsi:type="xsd:double"&gt;12.1286869949997&lt;/D&gt;&lt;D xsi:type="xsd:double"&gt;12.7900042031601&lt;/D&gt;&lt;D xsi:type="xsd:double"&gt;12.9512642577182&lt;/D&gt;&lt;D xsi:type="xsd:double"&gt;13.0138519249314&lt;/D&gt;&lt;D xsi:type="xsd:double"&gt;12.9964401895278&lt;/D&gt;&lt;D xsi:type="xsd:double"&gt;12.8966416588691&lt;/D&gt;&lt;D xsi:type="xsd:double"&gt;13.1134573833558&lt;/D&gt;&lt;D xsi:type="xsd:double"&gt;12.7474020583296&lt;/D&gt;&lt;D xsi:type="xsd:double"&gt;12.9633422337543&lt;/D&gt;&lt;D xsi:type="xsd:double"&gt;12.8429168766009&lt;/D&gt;&lt;D xsi:type="xsd:double"&gt;13.451260922366&lt;/D&gt;&lt;D xsi:type="xsd:double"&gt;13.4597012469972&lt;/D&gt;&lt;D xsi:type="xsd:double"&gt;14.1854095814373&lt;/D&gt;&lt;D xsi:type="xsd:double"&gt;14.0294458139227&lt;/D&gt;&lt;D xsi:type="xsd:double"&gt;12.3179855099045&lt;/D&gt;&lt;D xsi:type="xsd:double"&gt;12.4574634299667&lt;/D&gt;&lt;D xsi:type="xsd:double"&gt;13.7221702854966&lt;/D&gt;&lt;D xsi:type="xsd:double"&gt;15.2100237893666&lt;/D&gt;&lt;D xsi:type="xsd:double"&gt;15.4485191224234&lt;/D&gt;&lt;D xsi:type="xsd:double"&gt;15.9763194422671&lt;/D&gt;&lt;D xsi:type="xsd:double"&gt;16.338313497532&lt;/D&gt;&lt;D xsi:type="xsd:double"&gt;16.9642686872574&lt;/D&gt;&lt;D xsi:type="xsd:double"&gt;16.6786553170387&lt;/D&gt;&lt;D xsi:type="xsd:double"&gt;19.3739861459485&lt;/D&gt;&lt;D xsi:type="xsd:double"&gt;20.611267515435&lt;/D&gt;&lt;D xsi:type="xsd:double"&gt;19.2756225642222&lt;/D&gt;&lt;D xsi:type="xsd:double"&gt;18.7493227921013&lt;/D&gt;&lt;D xsi:type="xsd:double"&gt;18.1802612052781&lt;/D&gt;&lt;D xsi:type="xsd:double"&gt;17.5997777733878&lt;/D&gt;&lt;D xsi:type="xsd:double"&gt;17.0557852280271&lt;/D&gt;&lt;D xsi:type="xsd:double"&gt;16.2300225353389&lt;/D&gt;&lt;D xsi:type="xsd:double"&gt;15.3203112436798&lt;/D&gt;&lt;D xsi:type="xsd:double"&gt;14.7353980770434&lt;/D&gt;&lt;D xsi:type="xsd:double"&gt;13.7416580956071&lt;/D&gt;&lt;D xsi:type="xsd:double"&gt;13.4335821302977&lt;/D&gt;&lt;D xsi:type="xsd:double"&gt;12.5495154733579&lt;/D&gt;&lt;D xsi:type="xsd:double"&gt;12.4901183031147&lt;/D&gt;&lt;D xsi:type="xsd:double"&gt;12.6552817760773&lt;/D&gt;&lt;D xsi:type="xsd:double"&gt;12.4091222467952&lt;/D&gt;&lt;D xsi:type="xsd:double"&gt;12.2842271054392&lt;/D&gt;&lt;D xsi:type="xsd:double"&gt;11.8302776616428&lt;/D&gt;&lt;D xsi:type="xsd:double"&gt;11.7312540721383&lt;/D&gt;&lt;D xsi:type="xsd:double"&gt;10.9172235284845&lt;/D&gt;&lt;D xsi:type="xsd:double"&gt;10.8441057802161&lt;/D&gt;&lt;D xsi:type="xsd:double"&gt;10.2378683753501&lt;/D&gt;&lt;D xsi:type="xsd:double"&gt;9.555411054346&lt;/D&gt;&lt;D xsi:type="xsd:double"&gt;9.6052821907449&lt;/D&gt;&lt;D xsi:type="xsd:double"&gt;9.93323700853697&lt;/D&gt;&lt;D xsi:type="xsd:double"&gt;9.92692340886421&lt;/D&gt;&lt;D xsi:type="xsd:double"&gt;9.95453177613569&lt;/D&gt;&lt;D xsi:type="xsd:double"&gt;10.265591002365&lt;/D&gt;&lt;D xsi:type="xsd:double"&gt;10.3240240584735&lt;/D&gt;&lt;D xsi:type="xsd:double"&gt;10.3872361947272&lt;/D&gt;&lt;D xsi:type="xsd:double"&gt;10.309267446148&lt;/D&gt;&lt;D xsi:type="xsd:double"&gt;10.192736196355&lt;/D&gt;&lt;D xsi:type="xsd:double"&gt;10.5596032663597&lt;/D&gt;&lt;D xsi:type="xsd:double"&gt;10.4447091398512&lt;/D&gt;&lt;D xsi:type="xsd:double"&gt;10.4528473905009&lt;/D&gt;&lt;D xsi:type="xsd:double"&gt;10.5462910420722&lt;/D&gt;&lt;D xsi:type="xsd:double"&gt;10.8973761362424&lt;/D&gt;&lt;D xsi:type="xsd:double"&gt;11.3248592426337&lt;/D&gt;&lt;D xsi:type="xsd:double"&gt;11.3295015563721&lt;/D&gt;&lt;D xsi:type="xsd:double"&gt;11.4520065474377&lt;/D&gt;&lt;D xsi:type="xsd:double"&gt;11.5317973540742&lt;/D&gt;&lt;D xsi:type="xsd:double"&gt;11.637159170308&lt;/D&gt;&lt;D xsi:type="xsd:double"&gt;11.7076263306195&lt;/D&gt;&lt;/FQL&gt;&lt;FQL&gt;&lt;Q&gt;WL-FDS^MAX(FG_PRICE(0,-5AY))&lt;/Q&gt;&lt;R&gt;1&lt;/R&gt;&lt;C&gt;1&lt;/C&gt;&lt;D xsi:type="xsd:double"&gt;763.4&lt;/D&gt;&lt;/FQL&gt;&lt;FQL&gt;&lt;Q&gt;BRENT-FDS^MAX(FG_PRICE(0,-5AY))&lt;/Q&gt;&lt;R&gt;1&lt;/R&gt;&lt;C&gt;1&lt;/C&gt;&lt;D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xsi:type="xsd:double"&gt;219.77&lt;/D&gt;&lt;/FQL&gt;&lt;FQL&gt;&lt;Q&gt;EWG^FG_PRICE_MAVG(0,,,,200)&lt;/Q&gt;&lt;R&gt;1&lt;/R&gt;&lt;C&gt;1&lt;/C&gt;&lt;D xsi:type="xsd:double"&gt;29.0728&lt;/D&gt;&lt;/FQL&gt;&lt;FQL&gt;&lt;Q&gt;FXI^P_PRICE(0)/P_PRICE_HIGH_PR(0,,,,,,"PRICE","INTRA","52W")&lt;/Q&gt;&lt;R&gt;1&lt;/R&gt;&lt;C&gt;1&lt;/C&gt;&lt;D xsi:type="xsd:double"&gt;0.8903078&lt;/D&gt;&lt;/FQL&gt;&lt;FQL&gt;&lt;Q&gt;URTH^PERCENT_CHANGE(FMA_EPS(+1,0,,,,"PORTAGG","MEAN"),FMA_EPS(+1,-1AM,,,,"PORTAGG","MEAN"))&lt;/Q&gt;&lt;R&gt;1&lt;/R&gt;&lt;C&gt;1&lt;/C&gt;&lt;D xsi:type="xsd:double"&gt;0.228068989203161&lt;/D&gt;&lt;/FQL&gt;&lt;FQL&gt;&lt;Q&gt;VGK^FG_TOTAL_RETURNC(0,-1AM)&lt;/Q&gt;&lt;R&gt;1&lt;/R&gt;&lt;C&gt;1&lt;/C&gt;&lt;D xsi:type="xsd:double"&gt;4.9606323&lt;/D&gt;&lt;/FQL&gt;&lt;FQL&gt;&lt;Q&gt;EWD^FG_TOTAL_RETURNC(0,-6AM)&lt;/Q&gt;&lt;R&gt;1&lt;/R&gt;&lt;C&gt;1&lt;/C&gt;&lt;D xsi:type="xsd:double"&gt;18.165695&lt;/D&gt;&lt;/FQL&gt;&lt;FQL&gt;&lt;Q&gt;EWQ^P_PRICE(0)/P_PRICE_LOW_PR(0,,,,,,"PRICE","INTRA","52W")-1&lt;/Q&gt;&lt;R&gt;1&lt;/R&gt;&lt;C&gt;1&lt;/C&gt;&lt;D xsi:type="xsd:double"&gt;0.2525252&lt;/D&gt;&lt;/FQL&gt;&lt;FQL&gt;&lt;Q&gt;EWU^PERCENT_CHANGE(FMA_EPS(+1,0,,,,"PORTAGG","MEAN"),FMA_EPS(+1,-3AM,,,,"PORTAGG","MEAN"))&lt;/Q&gt;&lt;R&gt;1&lt;/R&gt;&lt;C&gt;1&lt;/C&gt;&lt;D xsi:type="xsd:double"&gt;3.72854339135107&lt;/D&gt;&lt;/FQL&gt;&lt;FQL&gt;&lt;Q&gt;URTH^FMA_COS_DOWN("EPS","1M",+1,0,,,"PORTAGG","MEANR")&lt;/Q&gt;&lt;R&gt;1&lt;/R&gt;&lt;C&gt;1&lt;/C&gt;&lt;D xsi:type="xsd:double"&gt;471&lt;/D&gt;&lt;/FQL&gt;&lt;FQL&gt;&lt;Q&gt;REFJPTON-FDS^(SUBARRAY(NOT_NA(NO_REPEAT_F(FG_YIELD(NOW,-10AY,D))),0,1)-SUBARRAY(NOT_NA(NO_REPEAT_F(FG_YIELD(NOW,-10AY,D))),1,1))*100&lt;/Q&gt;&lt;R&gt;1&lt;/R&gt;&lt;C&gt;1&lt;/C&gt;&lt;D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xsi:type="xsd:double"&gt;10&lt;/D&gt;&lt;/FQL&gt;&lt;FQL&gt;&lt;Q&gt;EWI^FMA_EVAL_EBIT(LTMA,NOW,NOW,M,"PORTAGG","MEANR")&lt;/Q&gt;&lt;R&gt;1&lt;/R&gt;&lt;C&gt;1&lt;/C&gt;&lt;D xsi:type="xsd:double"&gt;10.8518583483408&lt;/D&gt;&lt;/FQL&gt;&lt;FQL&gt;&lt;Q&gt;SPY^FMA_DIV_YLD(NTMA,NOW,NOW,M,"PORTAGG","MEANR")&lt;/Q&gt;&lt;R&gt;1&lt;/R&gt;&lt;C&gt;1&lt;/C&gt;&lt;D xsi:type="xsd:double"&gt;1.45391594357288&lt;/D&gt;&lt;/FQL&gt;&lt;FQL&gt;&lt;Q&gt;ENZL^FMA_PE(LTM,0,,,"PORTAGG","MEANR")&lt;/Q&gt;&lt;R&gt;1&lt;/R&gt;&lt;C&gt;1&lt;/C&gt;&lt;D xsi:type="xsd:double"&gt;33.0948725827124&lt;/D&gt;&lt;/FQL&gt;&lt;FQL&gt;&lt;Q&gt;EWJ^P_PRICE(0)/P_PRICE_HIGH_PR(0,,,USD,,,"PRICE","INTRA","52W")&lt;/Q&gt;&lt;R&gt;1&lt;/R&gt;&lt;C&gt;1&lt;/C&gt;&lt;D xsi:type="xsd:double"&gt;0.9607992&lt;/D&gt;&lt;/FQL&gt;&lt;FQL&gt;&lt;Q&gt;GLD^FG_TOTAL_RETURNC(0,-6AM)&lt;/Q&gt;&lt;R&gt;1&lt;/R&gt;&lt;C&gt;1&lt;/C&gt;&lt;D xsi:type="xsd:double"&gt;16.817497&lt;/D&gt;&lt;/FQL&gt;&lt;FQL&gt;&lt;Q&gt;EWJ^JULIAN(FMA_DIV_YLD(NTMA,NOW,NOW,M,"PORTAGG","MEANR").DATES)&lt;/Q&gt;&lt;R&gt;1&lt;/R&gt;&lt;C&gt;1&lt;/C&gt;&lt;D xsi:type="xsd:long"&gt;45443&lt;/D&gt;&lt;/FQL&gt;&lt;FQL&gt;&lt;Q&gt;ENZL^JULIAN(FMA_DIV_YLD(NTMA,NOW,NOW,M,"PORTAGG","MEANR").DATES)&lt;/Q&gt;&lt;R&gt;1&lt;/R&gt;&lt;C&gt;1&lt;/C&gt;&lt;D xsi:type="xsd:long"&gt;45443&lt;/D&gt;&lt;/FQL&gt;&lt;FQL&gt;&lt;Q&gt;GLD^FG_TOTAL_RETURNC(0,-3AM)&lt;/Q&gt;&lt;R&gt;1&lt;/R&gt;&lt;C&gt;1&lt;/C&gt;&lt;D xsi:type="xsd:double"&gt;10.371709&lt;/D&gt;&lt;/FQL&gt;&lt;FQL&gt;&lt;Q&gt;TRYUS10Y-FDS^FG_YIELD(0,,,,"YTM")&lt;/Q&gt;&lt;R&gt;1&lt;/R&gt;&lt;C&gt;1&lt;/C&gt;&lt;D xsi:type="xsd:double"&gt;4.2861&lt;/D&gt;&lt;/FQL&gt;&lt;FQL&gt;&lt;Q&gt;EWD^FMA_EVAL_EBIT(LTMA,NOW,NOW,M,"PORTAGG","MEANR")&lt;/Q&gt;&lt;R&gt;1&lt;/R&gt;&lt;C&gt;1&lt;/C&gt;&lt;D xsi:type="xsd:double"&gt;15.9881022680904&lt;/D&gt;&lt;/FQL&gt;&lt;FQL&gt;&lt;Q&gt;TRYPH10Y-FDS^FG_YIELD(-10AY,0,Y,,"YTM")&lt;/Q&gt;&lt;R&gt;10&lt;/R&gt;&lt;C&gt;1&lt;/C&gt;&lt;D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xsi:type="xsd:double"&gt;6.0028777&lt;/D&gt;&lt;/FQL&gt;&lt;FQL&gt;&lt;Q&gt;EWI^PERCENT_CHANGE(FMA_EPS(+1,0,,,,"PORTAGG","MEAN"),FMA_EPS(+1,-1AM,,,,"PORTAGG","MEAN"))&lt;/Q&gt;&lt;R&gt;1&lt;/R&gt;&lt;C&gt;1&lt;/C&gt;&lt;D xsi:type="xsd:double"&gt;2.56930266821107&lt;/D&gt;&lt;/FQL&gt;&lt;FQL&gt;&lt;Q&gt;EWL^FMA_PCT_ABOVE_MAVG(200,0,,,,"PORTAGG")&lt;/Q&gt;&lt;R&gt;1&lt;/R&gt;&lt;C&gt;1&lt;/C&gt;&lt;D xsi:type="xsd:double"&gt;64.4444444444444&lt;/D&gt;&lt;/FQL&gt;&lt;FQL&gt;&lt;Q&gt;TRYDE10Y-FDS^PCTCHG(FG_YIELD(0,,,,"YTM"),FG_YIELD(-3AM,,,,"YTM"))&lt;/Q&gt;&lt;R&gt;1&lt;/R&gt;&lt;C&gt;1&lt;/C&gt;&lt;D xsi:type="xsd:double"&gt;9.918418&lt;/D&gt;&lt;/FQL&gt;&lt;FQL&gt;&lt;Q&gt;TRYAU10Y-FDS^FG_YIELD(0,,,,"YTM")&lt;/Q&gt;&lt;R&gt;1&lt;/R&gt;&lt;C&gt;1&lt;/C&gt;&lt;D xsi:type="xsd:double"&gt;4.228&lt;/D&gt;&lt;/FQL&gt;&lt;FQL&gt;&lt;Q&gt;TRYCA10Y-FDS^PCTCHG(FG_YIELD(0,,,,"YTM"),FG_YIELD(-3AM,,,,"YTM"))&lt;/Q&gt;&lt;R&gt;1&lt;/R&gt;&lt;C&gt;1&lt;/C&gt;&lt;D xsi:type="xsd:double"&gt;1.268781&lt;/D&gt;&lt;/FQL&gt;&lt;FQL&gt;&lt;Q&gt;TRYNZ10Y-FDS^FG_YIELD(0,,,,"YTM")&lt;/Q&gt;&lt;R&gt;1&lt;/R&gt;&lt;C&gt;1&lt;/C&gt;&lt;D xsi:type="xsd:double"&gt;4.6397&lt;/D&gt;&lt;/FQL&gt;&lt;FQL&gt;&lt;Q&gt;EWI^FMA_EVAL_EBITDA(NTMA,0,,,"PORTAGG","MEANR")&lt;/Q&gt;&lt;R&gt;1&lt;/R&gt;&lt;C&gt;1&lt;/C&gt;&lt;D xsi:type="xsd:double"&gt;6.84898902689307&lt;/D&gt;&lt;/FQL&gt;&lt;FQL&gt;&lt;Q&gt;SPY^FMA_PE(NTMA,0,,,"PORTAGG","MEANR")&lt;/Q&gt;&lt;R&gt;1&lt;/R&gt;&lt;C&gt;1&lt;/C&gt;&lt;D xsi:type="xsd:double"&gt;20.4897845686018&lt;/D&gt;&lt;/FQL&gt;&lt;FQL&gt;&lt;Q&gt;CC_US^IMF_IFS_RCPI_Q(0)&lt;/Q&gt;&lt;R&gt;1&lt;/R&gt;&lt;C&gt;1&lt;/C&gt;&lt;D xsi:type="xsd:double"&gt;3.209516&lt;/D&gt;&lt;/FQL&gt;&lt;FQL&gt;&lt;Q&gt;TLT^P_PRICE(0)/P_PRICE_HIGH_PR(0,,,USD,,,"PRICE","INTRA","52W")&lt;/Q&gt;&lt;R&gt;1&lt;/R&gt;&lt;C&gt;1&lt;/C&gt;&lt;D xsi:type="xsd:double"&gt;0.89668113&lt;/D&gt;&lt;/FQL&gt;&lt;FQL&gt;&lt;Q&gt;SPY^FG_TOTAL_RETURNC(0,-6AM)&lt;/Q&gt;&lt;R&gt;1&lt;/R&gt;&lt;C&gt;1&lt;/C&gt;&lt;D xsi:type="xsd:double"&gt;18.416477&lt;/D&gt;&lt;/FQL&gt;&lt;FQL&gt;&lt;Q&gt;TRYTR7Y-FDS^FG_YIELD(-10AY,0,Y,,"YTM")&lt;/Q&gt;&lt;R&gt;10&lt;/R&gt;&lt;C&gt;1&lt;/C&gt;&lt;D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xsi:type="xsd:double"&gt;21.984322&lt;/D&gt;&lt;/FQL&gt;&lt;FQL&gt;&lt;Q&gt;REFJPTON-FDS^FG_YIELD(NOW,,,0)&lt;/Q&gt;&lt;R&gt;1&lt;/R&gt;&lt;C&gt;1&lt;/C&gt;&lt;D xsi:type="xsd:double"&gt;0.1&lt;/D&gt;&lt;/FQL&gt;&lt;FQL&gt;&lt;Q&gt;EWG^FG_FCF_YIELD_NTM(0)&lt;/Q&gt;&lt;R&gt;1&lt;/R&gt;&lt;C&gt;1&lt;/C&gt;&lt;D xsi:type="xsd:double"&gt;5.81318736053519&lt;/D&gt;&lt;/FQL&gt;&lt;FQL&gt;&lt;Q&gt;CC_CA^IMF_IFS_RCPI_Q(0)&lt;/Q&gt;&lt;R&gt;1&lt;/R&gt;&lt;C&gt;1&lt;/C&gt;&lt;D xsi:type="xsd:double"&gt;2.8466706&lt;/D&gt;&lt;/FQL&gt;&lt;FQL&gt;&lt;Q&gt;EWQ^FMA_EVAL_EBIT(LTMA,NOW,NOW,M,"PORTAGG","MEANR")&lt;/Q&gt;&lt;R&gt;1&lt;/R&gt;&lt;C&gt;1&lt;/C&gt;&lt;D xsi:type="xsd:double"&gt;13.2732210485283&lt;/D&gt;&lt;/FQL&gt;&lt;FQL&gt;&lt;Q&gt;EWD^FG_TOTAL_RETURNC(0,-3AM)&lt;/Q&gt;&lt;R&gt;1&lt;/R&gt;&lt;C&gt;1&lt;/C&gt;&lt;D xsi:type="xsd:double"&gt;6.4451694&lt;/D&gt;&lt;/FQL&gt;&lt;FQL&gt;&lt;Q&gt;VGK^FMA_COS_UP("EPS","1M",+1,0,,,"PORTAGG","MEANR")&lt;/Q&gt;&lt;R&gt;1&lt;/R&gt;&lt;C&gt;1&lt;/C&gt;&lt;D xsi:type="xsd:double"&gt;466&lt;/D&gt;&lt;/FQL&gt;&lt;FQL&gt;&lt;Q&gt;REFEUREFI-FDS^(SUBARRAY(NOT_NA(NO_REPEAT_F(FG_YIELD(NOW,-10AY,D))),0,1)-SUBARRAY(NOT_NA(NO_REPEAT_F(FG_YIELD(NOW,-10AY,D))),1,1))*100&lt;/Q&gt;&lt;R&gt;1&lt;/R&gt;&lt;C&gt;1&lt;/C&gt;&lt;D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xsi:type="xsd:double"&gt;25&lt;/D&gt;&lt;/FQL&gt;&lt;FQL&gt;&lt;Q&gt;TRYCA10Y-FDS^PCTCHG(FG_YIELD(0,,,,"YTM"),FG_YIELD(-1AM,,,,"YTM"))&lt;/Q&gt;&lt;R&gt;1&lt;/R&gt;&lt;C&gt;1&lt;/C&gt;&lt;D xsi:type="xsd:double"&gt;-6.254842&lt;/D&gt;&lt;/FQL&gt;&lt;FQL&gt;&lt;Q&gt;TRYNZ10Y-FDS^FG_YIELD_NAME&lt;/Q&gt;&lt;R&gt;1&lt;/R&gt;&lt;C&gt;1&lt;/C&gt;&lt;D xsi:type="xsd:string"&gt;New Zealand Benchmark Bond - 10 Year&lt;/D&gt;&lt;/FQL&gt;&lt;FQL&gt;&lt;Q&gt;EWI^FMA_DIV_YLD(NTMA,NOW,NOW,M,"PORTAGG","MEANR")&lt;/Q&gt;&lt;R&gt;1&lt;/R&gt;&lt;C&gt;1&lt;/C&gt;&lt;D xsi:type="xsd:double"&gt;5.24661167333255&lt;/D&gt;&lt;/FQL&gt;&lt;FQL&gt;&lt;Q&gt;EWG^FMA_EVAL_EBIT(LTMA,NOW,NOW,M,"PORTAGG","MEANR")&lt;/Q&gt;&lt;R&gt;1&lt;/R&gt;&lt;C&gt;1&lt;/C&gt;&lt;D xsi:type="xsd:double"&gt;13.3890041970805&lt;/D&gt;&lt;/FQL&gt;&lt;FQL&gt;&lt;Q&gt;EWD^FMA_EVAL_EBITDA(NTMA,0,,,"PORTAGG","MEANR")&lt;/Q&gt;&lt;R&gt;1&lt;/R&gt;&lt;C&gt;1&lt;/C&gt;&lt;D xsi:type="xsd:double"&gt;11.1798070055144&lt;/D&gt;&lt;/FQL&gt;&lt;FQL&gt;&lt;Q&gt;EWG^FMA_PE(NTMA,0,,,"PORTAGG","MEANR")&lt;/Q&gt;&lt;R&gt;1&lt;/R&gt;&lt;C&gt;1&lt;/C&gt;&lt;D xsi:type="xsd:double"&gt;11.9874865224613&lt;/D&gt;&lt;/FQL&gt;&lt;FQL&gt;&lt;Q&gt;EWC^FG_FCF_YIELD_NTM(0)&lt;/Q&gt;&lt;R&gt;1&lt;/R&gt;&lt;C&gt;1&lt;/C&gt;&lt;D xsi:type="xsd:double"&gt;5.11319296639173&lt;/D&gt;&lt;/FQL&gt;&lt;FQL&gt;&lt;Q&gt;EWJ^FMA_DIV_YLD(NTMA,NOW,NOW,M,"PORTAGG","MEANR")&lt;/Q&gt;&lt;R&gt;1&lt;/R&gt;&lt;C&gt;1&lt;/C&gt;&lt;D xsi:type="xsd:double"&gt;2.22796624506812&lt;/D&gt;&lt;/FQL&gt;&lt;FQL&gt;&lt;Q&gt;EWD^PERCENT_CHANGE(FMA_EPS(+1,0,,,,"PORTAGG","MEAN"),FMA_EPS(+1,-3AM,,,,"PORTAGG","MEAN"))&lt;/Q&gt;&lt;R&gt;1&lt;/R&gt;&lt;C&gt;1&lt;/C&gt;&lt;D xsi:type="xsd:double"&gt;4.89882765428755&lt;/D&gt;&lt;/FQL&gt;&lt;FQL&gt;&lt;Q&gt;EWD^FMA_RBICS_REV_CURRENT(30, LOC, "PORTAGG")&lt;/Q&gt;&lt;R&gt;1&lt;/R&gt;&lt;C&gt;1&lt;/C&gt;&lt;D xsi:type="xsd:double"&gt;26.1566900370565&lt;/D&gt;&lt;/FQL&gt;&lt;FQL&gt;&lt;Q&gt;TRYAU10Y-FDS^PCTCHG(FG_YIELD(0,,,,"YTM"),FG_YIELD(-3AM,,,,"YTM"))&lt;/Q&gt;&lt;R&gt;1&lt;/R&gt;&lt;C&gt;1&lt;/C&gt;&lt;D xsi:type="xsd:double"&gt;5.4364076&lt;/D&gt;&lt;/FQL&gt;&lt;FQL&gt;&lt;Q&gt;CC_IT^IMF_IFS_RCPI_Q(0)&lt;/Q&gt;&lt;R&gt;1&lt;/R&gt;&lt;C&gt;1&lt;/C&gt;&lt;D xsi:type="xsd:double"&gt;0.92385906&lt;/D&gt;&lt;/FQL&gt;&lt;FQL&gt;&lt;Q&gt;EWI^FMA_PE(NTMA,0,,,"PORTAGG","MEANR")&lt;/Q&gt;&lt;R&gt;1&lt;/R&gt;&lt;C&gt;1&lt;/C&gt;&lt;D xsi:type="xsd:double"&gt;9.67195311886573&lt;/D&gt;&lt;/FQL&gt;&lt;FQL&gt;&lt;Q&gt;SPY^FMA_PE(LTM,0,,,"PORTAGG","MEANR")&lt;/Q&gt;&lt;R&gt;1&lt;/R&gt;&lt;C&gt;1&lt;/C&gt;&lt;D xsi:type="xsd:double"&gt;25.4493924958873&lt;/D&gt;&lt;/FQL&gt;&lt;FQL&gt;&lt;Q&gt;VGK^P_PRICE(0)/P_PRICE_HIGH_PR(0,,,USD,,,"PRICE","INTRA","52W")&lt;/Q&gt;&lt;R&gt;1&lt;/R&gt;&lt;C&gt;1&lt;/C&gt;&lt;D xsi:type="xsd:double"&gt;0.9999292&lt;/D&gt;&lt;/FQL&gt;&lt;FQL&gt;&lt;Q&gt;GLD^FG_TOTAL_RETURNC(0,-1AM)&lt;/Q&gt;&lt;R&gt;1&lt;/R&gt;&lt;C&gt;1&lt;/C&gt;&lt;D xsi:type="xsd:double"&gt;1.9656062&lt;/D&gt;&lt;/FQL&gt;&lt;FQL&gt;&lt;Q&gt;EWI^SIZE(FG_CONSTITUENTS)&lt;/Q&gt;&lt;R&gt;1&lt;/R&gt;&lt;C&gt;1&lt;/C&gt;&lt;D xsi:type="xsd:long"&gt;26&lt;/D&gt;&lt;/FQL&gt;&lt;FQL&gt;&lt;Q&gt;EWN^FMA_RBICS_REV_CURRENT(30, LOC, "PORTAGG")&lt;/Q&gt;&lt;R&gt;1&lt;/R&gt;&lt;C&gt;1&lt;/C&gt;&lt;D xsi:type="xsd:double"&gt;25.3332048466313&lt;/D&gt;&lt;/FQL&gt;&lt;FQL&gt;&lt;Q&gt;TRYAU10Y-FDS^PCTCHG(FG_YIELD(0,,,,"YTM"),FG_YIELD(-1AM,,,,"YTM"))&lt;/Q&gt;&lt;R&gt;1&lt;/R&gt;&lt;C&gt;1&lt;/C&gt;&lt;D xsi:type="xsd:double"&gt;-3.5363843&lt;/D&gt;&lt;/FQL&gt;&lt;FQL&gt;&lt;Q&gt;CC_SE^IMF_IFS_RCPI_Q(0)&lt;/Q&gt;&lt;R&gt;1&lt;/R&gt;&lt;C&gt;1&lt;/C&gt;&lt;D xsi:type="xsd:double"&gt;4.6701536&lt;/D&gt;&lt;/FQL&gt;&lt;FQL&gt;&lt;Q&gt;EWI^FMA_PE(LTM,0,,,"PORTAGG","MEANR")&lt;/Q&gt;&lt;R&gt;1&lt;/R&gt;&lt;C&gt;1&lt;/C&gt;&lt;D xsi:type="xsd:double"&gt;10.2315729914237&lt;/D&gt;&lt;/FQL&gt;&lt;FQL&gt;&lt;Q&gt;QQQ^FMA_EVAL_EBIT(LTMA,NOW,NOW,M,"PORTAGG","MEANR")&lt;/Q&gt;&lt;R&gt;1&lt;/R&gt;&lt;C&gt;1&lt;/C&gt;&lt;D xsi:type="xsd:double"&gt;24.3336238130634&lt;/D&gt;&lt;/FQL&gt;&lt;FQL&gt;&lt;Q&gt;EWG^FMA_EVAL_EBITDA(NTMA,0,,,"PORTAGG","MEANR")&lt;/Q&gt;&lt;R&gt;1&lt;/R&gt;&lt;C&gt;1&lt;/C&gt;&lt;D xsi:type="xsd:double"&gt;8.37863549607452&lt;/D&gt;&lt;/FQL&gt;&lt;FQL&gt;&lt;Q&gt;REFCATARG-FDS^PROPER_NAME(0,,,"SECURITY","NAME")&lt;/Q&gt;&lt;R&gt;1&lt;/R&gt;&lt;C&gt;1&lt;/C&gt;&lt;D xsi:type="xsd:string"&gt;Canada Target Rate&lt;/D&gt;&lt;/FQL&gt;&lt;FQL&gt;&lt;Q&gt;QQQ^FG_FCF_YIELD_NTM(0)&lt;/Q&gt;&lt;R&gt;1&lt;/R&gt;&lt;C&gt;1&lt;/C&gt;&lt;D xsi:type="xsd:double"&gt;3.60789539079114&lt;/D&gt;&lt;/FQL&gt;&lt;FQL&gt;&lt;Q&gt;FXI^FG_TOTAL_RETURNC(0,-6AM)&lt;/Q&gt;&lt;R&gt;1&lt;/R&gt;&lt;C&gt;1&lt;/C&gt;&lt;D xsi:type="xsd:double"&gt;16.538298&lt;/D&gt;&lt;/FQL&gt;&lt;FQL&gt;&lt;Q&gt;SPY^FMA_RBICS_REV_CURRENT(30, LOC, "PORTAGG")&lt;/Q&gt;&lt;R&gt;1&lt;/R&gt;&lt;C&gt;1&lt;/C&gt;&lt;D xsi:type="xsd:double"&gt;12.3968672783065&lt;/D&gt;&lt;/FQL&gt;&lt;FQL&gt;&lt;Q&gt;REFCATARG-FDS^(SUBARRAY(NOT_NA(NO_REPEAT_F(FG_YIELD(NOW,-10AY,D))),0,1)-SUBARRAY(NOT_NA(NO_REPEAT_F(FG_YIELD(NOW,-10AY,D))),1,1))*100&lt;/Q&gt;&lt;R&gt;1&lt;/R&gt;&lt;C&gt;1&lt;/C&gt;&lt;D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xsi:type="xsd:double"&gt;-25&lt;/D&gt;&lt;/FQL&gt;&lt;FQL&gt;&lt;Q&gt;TRYNZ10Y-FDS^PCTCHG(FG_YIELD(0,,,,"YTM"),FG_YIELD(-1AM,,,,"YTM"))&lt;/Q&gt;&lt;R&gt;1&lt;/R&gt;&lt;C&gt;1&lt;/C&gt;&lt;D xsi:type="xsd:double"&gt;-2.707177&lt;/D&gt;&lt;/FQL&gt;&lt;FQL&gt;&lt;Q&gt;CC_FR^IMF_IFS_RCPI_Q(0)&lt;/Q&gt;&lt;R&gt;1&lt;/R&gt;&lt;C&gt;1&lt;/C&gt;&lt;D xsi:type="xsd:double"&gt;2.79402&lt;/D&gt;&lt;/FQL&gt;&lt;FQL&gt;&lt;Q&gt;EWI^JULIAN(FMA_DIV_YLD(NTMA,NOW,NOW,M,"PORTAGG","MEANR").DATES)&lt;/Q&gt;&lt;R&gt;1&lt;/R&gt;&lt;C&gt;1&lt;/C&gt;&lt;D xsi:type="xsd:long"&gt;45443&lt;/D&gt;&lt;/FQL&gt;&lt;FQL&gt;&lt;Q&gt;QQQ^FMA_EVAL_EBITDA(NTMA,0,,,"PORTAGG","MEANR")&lt;/Q&gt;&lt;R&gt;1&lt;/R&gt;&lt;C&gt;1&lt;/C&gt;&lt;D xsi:type="xsd:double"&gt;16.4798542330272&lt;/D&gt;&lt;/FQL&gt;&lt;FQL&gt;&lt;Q&gt;SPY^P_PRICE(0)/P_PRICE_HIGH_PR(0,,,USD,,,"PRICE","INTRA","52W")&lt;/Q&gt;&lt;R&gt;1&lt;/R&gt;&lt;C&gt;1&lt;/C&gt;&lt;D xsi:type="xsd:double"&gt;0.9985805&lt;/D&gt;&lt;/FQL&gt;&lt;FQL&gt;&lt;Q&gt;QQQ^FMA_DIV_YLD(NTMA,NOW,NOW,M,"PORTAGG","MEANR")&lt;/Q&gt;&lt;R&gt;1&lt;/R&gt;&lt;C&gt;1&lt;/C&gt;&lt;D xsi:type="xsd:double"&gt;0.896391194359673&lt;/D&gt;&lt;/FQL&gt;&lt;FQL&gt;&lt;Q&gt;EWN^FG_TOTAL_RETURNC(0,-3AM)&lt;/Q&gt;&lt;R&gt;1&lt;/R&gt;&lt;C&gt;1&lt;/C&gt;&lt;D xsi:type="xsd:double"&gt;8.090342&lt;/D&gt;&lt;/FQL&gt;&lt;FQL&gt;&lt;Q&gt;EWD^FMA_COS_UP("EPS","1M",+1,0,,,"PORTAGG","MEANR")&lt;/Q&gt;&lt;R&gt;1&lt;/R&gt;&lt;C&gt;1&lt;/C&gt;&lt;D xsi:type="xsd:double"&gt;16&lt;/D&gt;&lt;/FQL&gt;&lt;FQL&gt;&lt;Q&gt;EWU^FMA_RBICS_REV_CURRENT(30, LOC, "PORTAGG")&lt;/Q&gt;&lt;R&gt;1&lt;/R&gt;&lt;C&gt;1&lt;/C&gt;&lt;D xsi:type="xsd:</t>
        </r>
      </text>
    </comment>
    <comment ref="A15" authorId="0" shapeId="0" xr:uid="{861B1F82-863A-40D6-B290-707E2FA44367}">
      <text>
        <r>
          <rPr>
            <b/>
            <sz val="9"/>
            <color indexed="81"/>
            <rFont val="Tahoma"/>
            <charset val="1"/>
          </rPr>
          <t>double"&gt;19.3898803393085&lt;/D&gt;&lt;/FQL&gt;&lt;FQL&gt;&lt;Q&gt;ENZL^P_PRICE(0)/P_PRICE_LOW_PR(0,,,,,,"PRICE","INTRA","52W")-1&lt;/Q&gt;&lt;R&gt;1&lt;/R&gt;&lt;C&gt;1&lt;/C&gt;&lt;D xsi:type="xsd:double"&gt;0.15281212&lt;/D&gt;&lt;/FQL&gt;&lt;FQL&gt;&lt;Q&gt;SPY^FG_FCF_YIELD_NTM(0)&lt;/Q&gt;&lt;R&gt;1&lt;/R&gt;&lt;C&gt;1&lt;/C&gt;&lt;D xsi:type="xsd:double"&gt;4.17614259905682&lt;/D&gt;&lt;/FQL&gt;&lt;FQL&gt;&lt;Q&gt;EWG^FG_TOTAL_RETURNC(0,-1AM)&lt;/Q&gt;&lt;R&gt;1&lt;/R&gt;&lt;C&gt;1&lt;/C&gt;&lt;D xsi:type="xsd:double"&gt;3.3887506&lt;/D&gt;&lt;/FQL&gt;&lt;FQL&gt;&lt;Q&gt;EWN^SIZE(FG_CONSTITUENTS)&lt;/Q&gt;&lt;R&gt;1&lt;/R&gt;&lt;C&gt;1&lt;/C&gt;&lt;D xsi:type="xsd:long"&gt;53&lt;/D&gt;&lt;/FQL&gt;&lt;FQL&gt;&lt;Q&gt;REFAUCASH-FDS^FG_YIELD(NOW,,,0)&lt;/Q&gt;&lt;R&gt;1&lt;/R&gt;&lt;C&gt;1&lt;/C&gt;&lt;D xsi:type="xsd:double"&gt;4.35&lt;/D&gt;&lt;/FQL&gt;&lt;FQL&gt;&lt;Q&gt;EWN^FG_TOTAL_RETURNC(0,-1AM)&lt;/Q&gt;&lt;R&gt;1&lt;/R&gt;&lt;C&gt;1&lt;/C&gt;&lt;D xsi:type="xsd:double"&gt;6.0435176&lt;/D&gt;&lt;/FQL&gt;&lt;FQL&gt;&lt;Q&gt;EWN^FMA_COS_UP("EPS","1M",+1,0,,,"PORTAGG","MEANR")&lt;/Q&gt;&lt;R&gt;1&lt;/R&gt;&lt;C&gt;1&lt;/C&gt;&lt;D xsi:type="xsd:double"&gt;13&lt;/D&gt;&lt;/FQL&gt;&lt;FQL&gt;&lt;Q&gt;EWC^FMA_RBICS_REV_CURRENT(30, LOC, "PORTAGG")&lt;/Q&gt;&lt;R&gt;1&lt;/R&gt;&lt;C&gt;1&lt;/C&gt;&lt;D xsi:type="xsd:double"&gt;39.7998235576266&lt;/D&gt;&lt;/FQL&gt;&lt;FQL&gt;&lt;Q&gt;REFAUCASH-FDS^PROPER_NAME(0,,,"SECURITY","NAME")&lt;/Q&gt;&lt;R&gt;1&lt;/R&gt;&lt;C&gt;1&lt;/C&gt;&lt;D xsi:type="xsd:string"&gt;Australia Target Cash Rate&lt;/D&gt;&lt;/FQL&gt;&lt;FQL&gt;&lt;Q&gt;TRYIT10Y-FDS^FG_YIELD(0,,,,"YTM")&lt;/Q&gt;&lt;R&gt;1&lt;/R&gt;&lt;C&gt;1&lt;/C&gt;&lt;D xsi:type="xsd:double"&gt;3.879&lt;/D&gt;&lt;/FQL&gt;&lt;FQL&gt;&lt;Q&gt;CC_GB^IMF_IFS_RCPI_Q(0)&lt;/Q&gt;&lt;R&gt;1&lt;/R&gt;&lt;C&gt;1&lt;/C&gt;&lt;D xsi:type="xsd:double"&gt;3.9194994&lt;/D&gt;&lt;/FQL&gt;&lt;FQL&gt;&lt;Q&gt;EWD^FG_FCF_YIELD_NTM(0)&lt;/Q&gt;&lt;R&gt;1&lt;/R&gt;&lt;C&gt;1&lt;/C&gt;&lt;D xsi:type="xsd:double"&gt;4.95695345569571&lt;/D&gt;&lt;/FQL&gt;&lt;FQL&gt;&lt;Q&gt;QQQ^FMA_PE(NTMA,0,,,"PORTAGG","MEANR")&lt;/Q&gt;&lt;R&gt;1&lt;/R&gt;&lt;C&gt;1&lt;/C&gt;&lt;D xsi:type="xsd:double"&gt;26.3530110316244&lt;/D&gt;&lt;/FQL&gt;&lt;FQL&gt;&lt;Q&gt;EWG^FMA_PE(LTM,0,,,"PORTAGG","MEANR")&lt;/Q&gt;&lt;R&gt;1&lt;/R&gt;&lt;C&gt;1&lt;/C&gt;&lt;D xsi:type="xsd:double"&gt;16.4888519903574&lt;/D&gt;&lt;/FQL&gt;&lt;FQL&gt;&lt;Q&gt;TLT^FG_TOTAL_RETURNC(0,-6AM)&lt;/Q&gt;&lt;R&gt;1&lt;/R&gt;&lt;C&gt;1&lt;/C&gt;&lt;D xsi:type="xsd:double"&gt;-0.85000396&lt;/D&gt;&lt;/FQL&gt;&lt;FQL&gt;&lt;Q&gt;TRYSE10Y-FDS^FG_YIELD_NAME&lt;/Q&gt;&lt;R&gt;1&lt;/R&gt;&lt;C&gt;1&lt;/C&gt;&lt;D xsi:type="xsd:string"&gt;Sweden Benchmark Bond - 10 Year&lt;/D&gt;&lt;/FQL&gt;&lt;FQL&gt;&lt;Q&gt;VWO^P_PRICE(0)/P_PRICE_HIGH_PR(0,,,USD,,,"PRICE","INTRA","52W")&lt;/Q&gt;&lt;R&gt;1&lt;/R&gt;&lt;C&gt;1&lt;/C&gt;&lt;D xsi:type="xsd:double"&gt;0.9691789&lt;/D&gt;&lt;/FQL&gt;&lt;FQL&gt;&lt;Q&gt;REFFFUND-FDS^FG_YIELD(NOW,,,0)&lt;/Q&gt;&lt;R&gt;1&lt;/R&gt;&lt;C&gt;1&lt;/C&gt;&lt;D xsi:type="xsd:double"&gt;5.5&lt;/D&gt;&lt;/FQL&gt;&lt;FQL&gt;&lt;Q&gt;EWG^PERCENT_CHANGE(FMA_EPS(+1,0,,,,"PORTAGG","MEAN"),FMA_EPS(+1,-3AM,,,,"PORTAGG","MEAN"))&lt;/Q&gt;&lt;R&gt;1&lt;/R&gt;&lt;C&gt;1&lt;/C&gt;&lt;D xsi:type="xsd:double"&gt;1.99877313098716&lt;/D&gt;&lt;/FQL&gt;&lt;FQL&gt;&lt;Q&gt;EWD^FMA_DIV_YLD(NTMA,NOW,NOW,M,"PORTAGG","MEANR")&lt;/Q&gt;&lt;R&gt;1&lt;/R&gt;&lt;C&gt;1&lt;/C&gt;&lt;D xsi:type="xsd:double"&gt;3.19182312279385&lt;/D&gt;&lt;/FQL&gt;&lt;FQL&gt;&lt;Q&gt;QQQ^FMA_PE(LTM,0,,,"PORTAGG","MEANR")&lt;/Q&gt;&lt;R&gt;1&lt;/R&gt;&lt;C&gt;1&lt;/C&gt;&lt;D xsi:type="xsd:double"&gt;34.1351563698287&lt;/D&gt;&lt;/FQL&gt;&lt;FQL&gt;&lt;Q&gt;EWG^JULIAN(FMA_DIV_YLD(NTMA,NOW,NOW,M,"PORTAGG","MEANR").DATES)&lt;/Q&gt;&lt;R&gt;1&lt;/R&gt;&lt;C&gt;1&lt;/C&gt;&lt;D xsi:type="xsd:long"&gt;45443&lt;/D&gt;&lt;/FQL&gt;&lt;FQL&gt;&lt;Q&gt;TLT^FG_TOTAL_RETURNC(0,-3AM)&lt;/Q&gt;&lt;R&gt;1&lt;/R&gt;&lt;C&gt;1&lt;/C&gt;&lt;D xsi:type="xsd:double"&gt;-1.9006908&lt;/D&gt;&lt;/FQL&gt;&lt;FQL&gt;&lt;Q&gt;EWQ^P_PRICE(0)/P_PRICE_HIGH_PR(0,,,,,,"PRICE","INTRA","52W")&lt;/Q&gt;&lt;R&gt;1&lt;/R&gt;&lt;C&gt;1&lt;/C&gt;&lt;D xsi:type="xsd:double"&gt;0.9896714&lt;/D&gt;&lt;/FQL&gt;&lt;FQL&gt;&lt;Q&gt;EWA^FMA_RBICS_REV_CURRENT(30, LOC, "PORTAGG")&lt;/Q&gt;&lt;R&gt;1&lt;/R&gt;&lt;C&gt;1&lt;/C&gt;&lt;D xsi:type="xsd:double"&gt;41.3569255279872&lt;/D&gt;&lt;/FQL&gt;&lt;FQL&gt;&lt;Q&gt;REFNZOCR-FDS^PROPER_NAME(0,,,"SECURITY","NAME")&lt;/Q&gt;&lt;R&gt;1&lt;/R&gt;&lt;C&gt;1&lt;/C&gt;&lt;D xsi:type="xsd:string"&gt;New Zealand Official Cash Rate&lt;/D&gt;&lt;/FQL&gt;&lt;FQL&gt;&lt;Q&gt;EWD^FMA_PE(NTMA,0,,,"PORTAGG","MEANR")&lt;/Q&gt;&lt;R&gt;1&lt;/R&gt;&lt;C&gt;1&lt;/C&gt;&lt;D xsi:type="xsd:double"&gt;16.2612283449617&lt;/D&gt;&lt;/FQL&gt;&lt;FQL&gt;&lt;Q&gt;QQQ^JULIAN(FMA_DIV_YLD(NTMA,NOW,NOW,M,"PORTAGG","MEANR").DATES)&lt;/Q&gt;&lt;R&gt;1&lt;/R&gt;&lt;C&gt;1&lt;/C&gt;&lt;D xsi:type="xsd:long"&gt;45443&lt;/D&gt;&lt;/FQL&gt;&lt;FQL&gt;&lt;Q&gt;EWC^FMA_EVAL_EBIT(LTMA,NOW,NOW,M,"PORTAGG","MEANR")&lt;/Q&gt;&lt;R&gt;1&lt;/R&gt;&lt;C&gt;1&lt;/C&gt;&lt;D xsi:type="xsd:double"&gt;16.2526747821198&lt;/D&gt;&lt;/FQL&gt;&lt;FQL&gt;&lt;Q&gt;TLT^FG_TOTAL_RETURNC(0,-1AM)&lt;/Q&gt;&lt;R&gt;1&lt;/R&gt;&lt;C&gt;1&lt;/C&gt;&lt;D xsi:type="xsd:double"&gt;3.6963224&lt;/D&gt;&lt;/FQL&gt;&lt;FQL&gt;&lt;Q&gt;USO^P_PRICE(0)/P_PRICE_HIGH_PR(0,,,USD,,,"PRICE","INTRA","52W")&lt;/Q&gt;&lt;R&gt;1&lt;/R&gt;&lt;C&gt;1&lt;/C&gt;&lt;D xsi:type="xsd:double"&gt;0.87831193&lt;/D&gt;&lt;/FQL&gt;&lt;FQL&gt;&lt;Q&gt;TRYNL10Y-FDS^FG_YIELD(0,,,,"YTM")&lt;/Q&gt;&lt;R&gt;1&lt;/R&gt;&lt;C&gt;1&lt;/C&gt;&lt;D xsi:type="xsd:double"&gt;2.856&lt;/D&gt;&lt;/FQL&gt;&lt;FQL&gt;&lt;Q&gt;EWU^FMA_EVAL_EBITDA(NTMA,0,,,"PORTAGG","MEANR")&lt;/Q&gt;&lt;R&gt;1&lt;/R&gt;&lt;C&gt;1&lt;/C&gt;&lt;D xsi:type="xsd:double"&gt;7.53542688120755&lt;/D&gt;&lt;/FQL&gt;&lt;FQL&gt;&lt;Q&gt;ENZL^FMA_DIV_YLD(NTMA,NOW,NOW,M,"PORTAGG","MEANR")&lt;/Q&gt;&lt;R&gt;1&lt;/R&gt;&lt;C&gt;1&lt;/C&gt;&lt;D xsi:type="xsd:double"&gt;2.70122124532592&lt;/D&gt;&lt;/FQL&gt;&lt;FQL&gt;&lt;Q&gt;CC_DE^IMF_IFS_RCPI_Q(0)&lt;/Q&gt;&lt;R&gt;1&lt;/R&gt;&lt;C&gt;1&lt;/C&gt;&lt;D xsi:type="xsd:double"&gt;2.5173564&lt;/D&gt;&lt;/FQL&gt;&lt;FQL&gt;&lt;Q&gt;USO^FG_TOTAL_RETURNC(0,-6AM)&lt;/Q&gt;&lt;R&gt;1&lt;/R&gt;&lt;C&gt;1&lt;/C&gt;&lt;D xsi:type="xsd:double"&gt;13.125383&lt;/D&gt;&lt;/FQL&gt;&lt;FQL&gt;&lt;Q&gt;EWQ^FG_TOTAL_RETURNC(0,-3AM)&lt;/Q&gt;&lt;R&gt;1&lt;/R&gt;&lt;C&gt;1&lt;/C&gt;&lt;D xsi:type="xsd:double"&gt;4.0730715&lt;/D&gt;&lt;/FQL&gt;&lt;FQL&gt;&lt;Q&gt;EWC^P_PRICE(0)/P_PRICE_HIGH_PR(0,,,,,,"PRICE","INTRA","52W")&lt;/Q&gt;&lt;R&gt;1&lt;/R&gt;&lt;C&gt;1&lt;/C&gt;&lt;D xsi:type="xsd:double"&gt;0.98013425&lt;/D&gt;&lt;/FQL&gt;&lt;FQL&gt;&lt;Q&gt;QQQ^SIZE(FG_CONSTITUENTS)&lt;/Q&gt;&lt;R&gt;1&lt;/R&gt;&lt;C&gt;1&lt;/C&gt;&lt;D xsi:type="xsd:long"&gt;102&lt;/D&gt;&lt;/FQL&gt;&lt;FQL&gt;&lt;Q&gt;EWU^FMA_EVAL_EBIT(LTMA,NOW,NOW,M,"PORTAGG","MEANR")&lt;/Q&gt;&lt;R&gt;1&lt;/R&gt;&lt;C&gt;1&lt;/C&gt;&lt;D xsi:type="xsd:double"&gt;10.5864678116422&lt;/D&gt;&lt;/FQL&gt;&lt;FQL&gt;&lt;Q&gt;EWC^FMA_EVAL_EBITDA(NTMA,0,,,"PORTAGG","MEANR")&lt;/Q&gt;&lt;R&gt;1&lt;/R&gt;&lt;C&gt;1&lt;/C&gt;&lt;D xsi:type="xsd:double"&gt;9.69422145675073&lt;/D&gt;&lt;/FQL&gt;&lt;FQL&gt;&lt;Q&gt;EWN^FMA_EVAL_EBIT(LTMA,NOW,NOW,M,"PORTAGG","MEANR")&lt;/Q&gt;&lt;R&gt;1&lt;/R&gt;&lt;C&gt;1&lt;/C&gt;&lt;D xsi:type="xsd:double"&gt;21.8192755017014&lt;/D&gt;&lt;/FQL&gt;&lt;FQL&gt;&lt;Q&gt;DBA^FG_TOTAL_RETURNC(0,-1AM)&lt;/Q&gt;&lt;R&gt;1&lt;/R&gt;&lt;C&gt;1&lt;/C&gt;&lt;D xsi:type="xsd:double"&gt;7.359123&lt;/D&gt;&lt;/FQL&gt;&lt;FQL&gt;&lt;Q&gt;EWD^FG_PRICE_MAVG(0,,,,60)&lt;/Q&gt;&lt;R&gt;1&lt;/R&gt;&lt;C&gt;1&lt;/C&gt;&lt;D xsi:type="xsd:double"&gt;40.308918&lt;/D&gt;&lt;/FQL&gt;&lt;FQL&gt;&lt;Q&gt;EWC^FG_TOTAL_RETURNC(0,-6AM)&lt;/Q&gt;&lt;R&gt;1&lt;/R&gt;&lt;C&gt;1&lt;/C&gt;&lt;D xsi:type="xsd:double"&gt;10.210705&lt;/D&gt;&lt;/FQL&gt;&lt;FQL&gt;&lt;Q&gt;ENZL^FMA_RBICS_REV_CURRENT(30, LOC, "PORTAGG")&lt;/Q&gt;&lt;R&gt;1&lt;/R&gt;&lt;C&gt;1&lt;/C&gt;&lt;D xsi:type="xsd:double"&gt;14.3512586842186&lt;/D&gt;&lt;/FQL&gt;&lt;FQL&gt;&lt;Q&gt;REFSEREPO-FDS^(SUBARRAY(NOT_NA(NO_REPEAT_F(FG_YIELD(NOW,-10AY,D))),0,1)-SUBARRAY(NOT_NA(NO_REPEAT_F(FG_YIELD(NOW,-10AY,D))),1,1))*100&lt;/Q&gt;&lt;R&gt;1&lt;/R&gt;&lt;C&gt;1&lt;/C&gt;&lt;D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xsi:type="xsd:double"&gt;-25&lt;/D&gt;&lt;/FQL&gt;&lt;FQL&gt;&lt;Q&gt;TRYIT10Y-FDS^PCTCHG(FG_YIELD(0,,,,"YTM"),FG_YIELD(-3AM,,,,"YTM"))&lt;/Q&gt;&lt;R&gt;1&lt;/R&gt;&lt;C&gt;1&lt;/C&gt;&lt;D xsi:type="xsd:double"&gt;5.9836025&lt;/D&gt;&lt;/FQL&gt;&lt;FQL&gt;&lt;Q&gt;EWC^FG_TOTAL_RETURNC(0,-1AM)&lt;/Q&gt;&lt;R&gt;1&lt;/R&gt;&lt;C&gt;1&lt;/C&gt;&lt;D xsi:type="xsd:double"&gt;-0.341022&lt;/D&gt;&lt;/FQL&gt;&lt;FQL&gt;&lt;Q&gt;QQQ^FMA_COS_DOWN("EPS","1M",+1,0,,,"PORTAGG","MEANR")&lt;/Q&gt;&lt;R&gt;1&lt;/R&gt;&lt;C&gt;1&lt;/C&gt;&lt;D xsi:type="xsd:double"&gt;28&lt;/D&gt;&lt;/FQL&gt;&lt;FQL&gt;&lt;Q&gt;EWC^FMA_DIV_YLD(NTMA,NOW,NOW,M,"PORTAGG","MEANR")&lt;/Q&gt;&lt;R&gt;1&lt;/R&gt;&lt;C&gt;1&lt;/C&gt;&lt;D xsi:type="xsd:double"&gt;3.26075896237099&lt;/D&gt;&lt;/FQL&gt;&lt;FQL&gt;&lt;Q&gt;EWA^FG_TOTAL_RETURNC(0,-6AM)&lt;/Q&gt;&lt;R&gt;1&lt;/R&gt;&lt;C&gt;1&lt;/C&gt;&lt;D xsi:type="xsd:double"&gt;13.651919&lt;/D&gt;&lt;/FQL&gt;&lt;FQL&gt;&lt;Q&gt;EWL^FMA_COS_DOWN("EPS","1M",+1,0,,,"PORTAGG","MEANR")&lt;/Q&gt;&lt;R&gt;1&lt;/R&gt;&lt;C&gt;1&lt;/C&gt;&lt;D xsi:type="xsd:double"&gt;10&lt;/D&gt;&lt;/FQL&gt;&lt;FQL&gt;&lt;Q&gt;QQQ^FG_ROE(0)&lt;/Q&gt;&lt;R&gt;1&lt;/R&gt;&lt;C&gt;1&lt;/C&gt;&lt;D xsi:type="xsd:double"&gt;22.7176127158801&lt;/D&gt;&lt;/FQL&gt;&lt;FQL&gt;&lt;Q&gt;TRYSE10Y-FDS^PCTCHG(FG_YIELD(0,,,,"YTM"),FG_YIELD(-3AM,,,,"YTM"))&lt;/Q&gt;&lt;R&gt;1&lt;/R&gt;&lt;C&gt;1&lt;/C&gt;&lt;D xsi:type="xsd:double"&gt;-1.06474&lt;/D&gt;&lt;/FQL&gt;&lt;FQL&gt;&lt;Q&gt;TRYFR10Y-FDS^FG_YIELD(0,,,,"YTM")&lt;/Q&gt;&lt;R&gt;1&lt;/R&gt;&lt;C&gt;1&lt;/C&gt;&lt;D xsi:type="xsd:double"&gt;3.042&lt;/D&gt;&lt;/FQL&gt;&lt;FQL&gt;&lt;Q&gt;CC_NZ^IMF_IFS_RCPI_Q(0)&lt;/Q&gt;&lt;R&gt;1&lt;/R&gt;&lt;C&gt;1&lt;/C&gt;&lt;D xsi:type="xsd:double"&gt;4.022989&lt;/D&gt;&lt;/FQL&gt;&lt;FQL&gt;&lt;Q&gt;EWA^FMA_EVAL_EBIT(LTMA,NOW,NOW,M,"PORTAGG","MEANR")&lt;/Q&gt;&lt;R&gt;1&lt;/R&gt;&lt;C&gt;1&lt;/C&gt;&lt;D xsi:type="xsd:double"&gt;12.4410798879827&lt;/D&gt;&lt;/FQL&gt;&lt;FQL&gt;&lt;Q&gt;USO^FG_TOTAL_RETURNC(0,-1AM)&lt;/Q&gt;&lt;R&gt;1&lt;/R&gt;&lt;C&gt;1&lt;/C&gt;&lt;D xsi:type="xsd:double"&gt;-3.1720877&lt;/D&gt;&lt;/FQL&gt;&lt;FQL&gt;&lt;Q&gt;EWQ^FG_PRICE_MAVG(0,,,,30)&lt;/Q&gt;&lt;R&gt;1&lt;/R&gt;&lt;C&gt;1&lt;/C&gt;&lt;D xsi:type="xsd:double"&gt;41.494667&lt;/D&gt;&lt;/FQL&gt;&lt;FQL&gt;&lt;Q&gt;URTH^P_PRICE(0)/P_PRICE_LOW_PR(0,,,,,,"PRICE","INTRA","52W")-1&lt;/Q&gt;&lt;R&gt;1&lt;/R&gt;&lt;C&gt;1&lt;/C&gt;&lt;D xsi:type="xsd:double"&gt;0.28727114&lt;/D&gt;&lt;/FQL&gt;&lt;FQL&gt;&lt;Q&gt;EWI^FG_ROE(0)&lt;/Q&gt;&lt;R&gt;1&lt;/R&gt;&lt;C&gt;1&lt;/C&gt;&lt;D xsi:type="xsd:double"&gt;13.9554886736945&lt;/D&gt;&lt;/FQL&gt;&lt;FQL&gt;&lt;Q&gt;TRYIT10Y-FDS^PCTCHG(FG_YIELD(0,,,,"YTM"),FG_YIELD(-1AM,,,,"YTM"))&lt;/Q&gt;&lt;R&gt;1&lt;/R&gt;&lt;C&gt;1&lt;/C&gt;&lt;D xsi:type="xsd:double"&gt;3.3022592&lt;/D&gt;&lt;/FQL&gt;&lt;FQL&gt;&lt;Q&gt;TRYNL10Y-FDS^FG_YIELD_NAME&lt;/Q&gt;&lt;R&gt;1&lt;/R&gt;&lt;C&gt;1&lt;/C&gt;&lt;D xsi:type="xsd:string"&gt;Netherlands Benchmark Bond - 10 Year&lt;/D&gt;&lt;/FQL&gt;&lt;FQL&gt;&lt;Q&gt;CC_AU^IMF_IFS_RCPI_Q(0)&lt;/Q&gt;&lt;R&gt;1&lt;/R&gt;&lt;C&gt;1&lt;/C&gt;&lt;D xsi:type="xsd:double"&gt;3.61991&lt;/D&gt;&lt;/FQL&gt;&lt;FQL&gt;&lt;Q&gt;EWN^FMA_EVAL_EBITDA(NTMA,0,,,"PORTAGG","MEANR")&lt;/Q&gt;&lt;R&gt;1&lt;/R&gt;&lt;C&gt;1&lt;/C&gt;&lt;D xsi:type="xsd:double"&gt;12.4254415235409&lt;/D&gt;&lt;/FQL&gt;&lt;FQL&gt;&lt;Q&gt;EWU^FMA_PE(NTMA,0,,,"PORTAGG","MEANR")&lt;/Q&gt;&lt;R&gt;1&lt;/R&gt;&lt;C&gt;1&lt;/C&gt;&lt;D xsi:type="xsd:double"&gt;11.6365834404623&lt;/D&gt;&lt;/FQL&gt;&lt;FQL&gt;&lt;Q&gt;EWC^FMA_PE(NTMA,0,,,"PORTAGG","MEANR")&lt;/Q&gt;&lt;R&gt;1&lt;/R&gt;&lt;C&gt;1&lt;/C&gt;&lt;D xsi:type="xsd:double"&gt;14.073631654769&lt;/D&gt;&lt;/FQL&gt;&lt;FQL&gt;&lt;Q&gt;USO^FG_TOTAL_RETURNC(0,-3AM)&lt;/Q&gt;&lt;R&gt;1&lt;/R&gt;&lt;C&gt;1&lt;/C&gt;&lt;D xsi:type="xsd:double"&gt;-1.4527738&lt;/D&gt;&lt;/FQL&gt;&lt;FQL&gt;&lt;Q&gt;EWN^FG_FCF_YIELD_NTM(0)&lt;/Q&gt;&lt;R&gt;1&lt;/R&gt;&lt;C&gt;1&lt;/C&gt;&lt;D xsi:type="xsd:double"&gt;3.64877383828759&lt;/D&gt;&lt;/FQL&gt;&lt;FQL&gt;&lt;Q&gt;EWN^JULIAN(FMA_DIV_YLD(NTMA,NOW,NOW,M,"PORTAGG","MEANR").DATES)&lt;/Q&gt;&lt;R&gt;1&lt;/R&gt;&lt;C&gt;1&lt;/C&gt;&lt;D xsi:type="xsd:long"&gt;45443&lt;/D&gt;&lt;/FQL&gt;&lt;FQL&gt;&lt;Q&gt;EWQ^FG_PRICE(0)&lt;/Q&gt;&lt;R&gt;1&lt;/R&gt;&lt;C&gt;1&lt;/C&gt;&lt;D xsi:type="xsd:double"&gt;42.16&lt;/D&gt;&lt;/FQL&gt;&lt;FQL&gt;&lt;Q&gt;EWL^SIZE(FG_CONSTITUENTS)&lt;/Q&gt;&lt;R&gt;1&lt;/R&gt;&lt;C&gt;1&lt;/C&gt;&lt;D xsi:type="xsd:long"&gt;46&lt;/D&gt;&lt;/FQL&gt;&lt;FQL&gt;&lt;Q&gt;SPY^FG_ROE(0)&lt;/Q&gt;&lt;R&gt;1&lt;/R&gt;&lt;C&gt;1&lt;/C&gt;&lt;D xsi:type="xsd:double"&gt;18.426413068303&lt;/D&gt;&lt;/FQL&gt;&lt;FQL&gt;&lt;Q&gt;EWC^FMA_PE(LTM,0,,,"PORTAGG","MEANR")&lt;/Q&gt;&lt;R&gt;1&lt;/R&gt;&lt;C&gt;1&lt;/C&gt;&lt;D xsi:type="xsd:double"&gt;16.9962256599889&lt;/D&gt;&lt;/FQL&gt;&lt;FQL&gt;&lt;Q&gt;EWU^FMA_PE(LTM,0,,,"PORTAGG","MEANR")&lt;/Q&gt;&lt;R&gt;1&lt;/R&gt;&lt;C&gt;1&lt;/C&gt;&lt;D xsi:type="xsd:double"&gt;12.8854582604256&lt;/D&gt;&lt;/FQL&gt;&lt;FQL&gt;&lt;Q&gt;VWO^FG_PE_NTM(0,,,90,0)&lt;/Q&gt;&lt;R&gt;1&lt;/R&gt;&lt;C&gt;1&lt;/C&gt;&lt;D xsi:type="xsd:double"&gt;12.7458146650358&lt;/D&gt;&lt;/FQL&gt;&lt;FQL&gt;&lt;Q&gt;EWL^FMA_EVAL_EBIT(LTMA,NOW,NOW,M,"PORTAGG","MEANR")&lt;/Q&gt;&lt;R&gt;1&lt;/R&gt;&lt;C&gt;1&lt;/C&gt;&lt;D xsi:type="xsd:double"&gt;16.5943928309281&lt;/D&gt;&lt;/FQL&gt;&lt;FQL&gt;&lt;Q&gt;TRYUS10Y-FDS^PCTCHG(FG_YIELD(0,,,,"YTM"),FG_YIELD(-1AM,,,,"YTM"))&lt;/Q&gt;&lt;R&gt;1&lt;/R&gt;&lt;C&gt;1&lt;/C&gt;&lt;D xsi:type="xsd:double"&gt;-4.5178165&lt;/D&gt;&lt;/FQL&gt;&lt;FQL&gt;&lt;Q&gt;EWL^FG_FCF_YIELD_NTM(0)&lt;/Q&gt;&lt;R&gt;1&lt;/R&gt;&lt;C&gt;1&lt;/C&gt;&lt;D xsi:type="xsd:double"&gt;4.88415053609182&lt;/D&gt;&lt;/FQL&gt;&lt;FQL&gt;&lt;Q&gt;GLD^P_PRICE(0)/P_PRICE_HIGH_PR(0,,,USD,,,"PRICE","INTRA","52W")&lt;/Q&gt;&lt;R&gt;1&lt;/R&gt;&lt;C&gt;1&lt;/C&gt;&lt;D xsi:type="xsd:double"&gt;0.972392&lt;/D&gt;&lt;/FQL&gt;&lt;FQL&gt;&lt;Q&gt;URTH^P_PRICE(0)/P_PRICE_HIGH_PR(0,,,,,,"PRICE","INTRA","52W")&lt;/Q&gt;&lt;R&gt;1&lt;/R&gt;&lt;C&gt;1&lt;/C&gt;&lt;D xsi:type="xsd:double"&gt;0.99884987&lt;/D&gt;&lt;/FQL&gt;&lt;FQL&gt;&lt;Q&gt;DBA^FG_TOTAL_RETURNC(0,-6AM)&lt;/Q&gt;&lt;R&gt;1&lt;/R&gt;&lt;C&gt;1&lt;/C&gt;&lt;D xsi:type="xsd:double"&gt;23.88178&lt;/D&gt;&lt;/FQL&gt;&lt;FQL&gt;&lt;Q&gt;QQQ^FG_PRICE_MAVG(0,,,,60)&lt;/Q&gt;&lt;R&gt;1&lt;/R&gt;&lt;C&gt;1&lt;/C&gt;&lt;D xsi:type="xsd:double"&gt;441.40717&lt;/D&gt;&lt;/FQL&gt;&lt;FQL&gt;&lt;Q&gt;EWL^FG_ROE(0)&lt;/Q&gt;&lt;R&gt;1&lt;/R&gt;&lt;C&gt;1&lt;/C&gt;&lt;D xsi:type="xsd:double"&gt;24.0995421225309&lt;/D&gt;&lt;/FQL&gt;&lt;FQL&gt;&lt;Q&gt;TRYNL10Y-FDS^PCTCHG(FG_YIELD(0,,,,"YTM"),FG_YIELD(-3AM,,,,"YTM"))&lt;/Q&gt;&lt;R&gt;1&lt;/R&gt;&lt;C&gt;1&lt;/C&gt;&lt;D xsi:type="xsd:double"&gt;8.140853&lt;/D&gt;&lt;/FQL&gt;&lt;FQL&gt;&lt;Q&gt;VWO^FMA_EVAL_EBITDA(NTMA,0,,,"PORTAGG","MEANR")&lt;/Q&gt;&lt;R&gt;1&lt;/R&gt;&lt;C&gt;1&lt;/C&gt;&lt;D xsi:type="xsd:double"&gt;8.9048656348805&lt;/D&gt;&lt;/FQL&gt;&lt;FQL&gt;&lt;Q&gt;UUP^FG_TOTAL_RETURNC(0,-1AM)&lt;/Q&gt;&lt;R&gt;1&lt;/R&gt;&lt;C&gt;1&lt;/C&gt;&lt;D xsi:type="xsd:double"&gt;-0.5230129&lt;/D&gt;&lt;/FQL&gt;&lt;FQL&gt;&lt;Q&gt;URTH^FMA_PCT_ABOVE_MAVG(200,0,,,,"PORTAGG")&lt;/Q&gt;&lt;R&gt;1&lt;/R&gt;&lt;C&gt;1&lt;/C&gt;&lt;D xsi:type="xsd:double"&gt;70.2513966480447&lt;/D&gt;&lt;/FQL&gt;&lt;FQL&gt;&lt;Q&gt;QQQ^FG_TOTAL_RETURNC(0,-12AM)&lt;/Q&gt;&lt;R&gt;1&lt;/R&gt;&lt;C&gt;1&lt;/C&gt;&lt;D xsi:type="xsd:double"&gt;31.454826&lt;/D&gt;&lt;/FQL&gt;&lt;FQL&gt;&lt;Q&gt;EWA^FG_TOTAL_RETURNC(0,-3AM)&lt;/Q&gt;&lt;R&gt;1&lt;/R&gt;&lt;C&gt;1&lt;/C&gt;&lt;D xsi:type="xsd:double"&gt;2.995479&lt;/D&gt;&lt;/FQL&gt;&lt;FQL&gt;&lt;Q&gt;EWG^FG_ROE(0)&lt;/Q&gt;&lt;R&gt;1&lt;/R&gt;&lt;C&gt;1&lt;/C&gt;&lt;D xsi:type="xsd:double"&gt;9.51739743238735&lt;/D&gt;&lt;/FQL&gt;&lt;FQL&gt;&lt;Q&gt;TRYNL10Y-FDS^PCTCHG(FG_YIELD(0,,,,"YTM"),FG_YIELD(-1AM,,,,"YTM"))&lt;/Q&gt;&lt;R&gt;1&lt;/R&gt;&lt;C&gt;1&lt;/C&gt;&lt;D xsi:type="xsd:double"&gt;3.4033258&lt;/D&gt;&lt;/FQL&gt;&lt;FQL&gt;&lt;Q&gt;VWO^FG_FCF_YIELD_NTM(0)&lt;/Q&gt;&lt;R&gt;1&lt;/R&gt;&lt;C&gt;1&lt;/C&gt;&lt;D xsi:type="xsd:double"&gt;5.38071052006143&lt;/D&gt;&lt;/FQL&gt;&lt;FQL&gt;&lt;Q&gt;EWN^FMA_DIV_YLD(NTMA,NOW,NOW,M,"PORTAGG","MEANR")&lt;/Q&gt;&lt;R&gt;1&lt;/R&gt;&lt;C&gt;1&lt;/C&gt;&lt;D xsi:type="xsd:double"&gt;2.51422504808819&lt;/D&gt;&lt;/FQL&gt;&lt;FQL&gt;&lt;Q&gt;EWU^JULIAN(FMA_DIV_YLD(NTMA,NOW,NOW,M,"PORTAGG","MEANR").DATES)&lt;/Q&gt;&lt;R&gt;1&lt;/R&gt;&lt;C&gt;1&lt;/C&gt;&lt;D xsi:type="xsd:long"&gt;45443&lt;/D&gt;&lt;/FQL&gt;&lt;FQL&gt;&lt;Q&gt;EWA^FMA_EVAL_EBITDA(NTMA,0,,,"PORTAGG","MEANR")&lt;/Q&gt;&lt;R&gt;1&lt;/R&gt;&lt;C&gt;1&lt;/C&gt;&lt;D xsi:type="xsd:double"&gt;8.63537923296095&lt;/D&gt;&lt;/FQL&gt;&lt;FQL&gt;&lt;Q&gt;DBA^P_PRICE(0)/P_PRICE_HIGH_PR(0,,,USD,,,"PRICE","INTRA","52W")&lt;/Q&gt;&lt;R&gt;1&lt;/R&gt;&lt;C&gt;1&lt;/C&gt;&lt;D xsi:type="xsd:double"&gt;0.95959413&lt;/D&gt;&lt;/FQL&gt;&lt;FQL&gt;&lt;Q&gt;TRYFR10Y-FDS^PCTCHG(FG_YIELD(0,,,,"YTM"),FG_YIELD(-1AM,,,,"YTM"))&lt;/Q&gt;&lt;R&gt;1&lt;/R&gt;&lt;C&gt;1&lt;/C&gt;&lt;D xsi:type="xsd:double"&gt;3.0487857&lt;/D&gt;&lt;/FQL&gt;&lt;FQL&gt;&lt;Q&gt;EWL^FG_PRICE_MAVG(0,,,,30)&lt;/Q&gt;&lt;R&gt;1&lt;/R&gt;&lt;C&gt;1&lt;/C&gt;&lt;D xsi:type="xsd:double"&gt;47.82733&lt;/D&gt;&lt;/FQL&gt;&lt;FQL&gt;&lt;Q&gt;VWO^P_PRICE(0)/P_PRICE_LOW_PR(0,,,,,,"PRICE","INTRA","52W")-1&lt;/Q&gt;&lt;R&gt;1&lt;/R&gt;&lt;C&gt;1&lt;/C&gt;&lt;D xsi:type="xsd:double"&gt;0.16352952&lt;/D&gt;&lt;/FQL&gt;&lt;FQL&gt;&lt;Q&gt;QQQ^P_PRICE(0)/P_PRICE_HIGH_PR(0,,,,,,"PRICE","INTRA","52W")&lt;/Q&gt;&lt;R&gt;1&lt;/R&gt;&lt;C&gt;1&lt;/C&gt;&lt;D xsi:type="xsd:double"&gt;0.99748135&lt;/D&gt;&lt;/FQL&gt;&lt;FQL&gt;&lt;Q&gt;TRYFR10Y-FDS^PCTCHG(FG_YIELD(0,,,,"YTM"),FG_YIELD(-3AM,,,,"YTM"))&lt;/Q&gt;&lt;R&gt;1&lt;/R&gt;&lt;C&gt;1&lt;/C&gt;&lt;D xsi:type="xsd:double"&gt;9.071353&lt;/D&gt;&lt;/FQL&gt;&lt;FQL&gt;&lt;Q&gt;VWO^FMA_DIV_YLD(NTMA,NOW,NOW,M,"PORTAGG","MEANR")&lt;/Q&gt;&lt;R&gt;1&lt;/R&gt;&lt;C&gt;1&lt;/C&gt;&lt;D xsi:type="xsd:double"&gt;3.06492878676021&lt;/D&gt;&lt;/FQL&gt;&lt;FQL&gt;&lt;Q&gt;EWN^FMA_PE(LTM,0,,,"PORTAGG","MEANR")&lt;/Q&gt;&lt;R&gt;1&lt;/R&gt;&lt;C&gt;1&lt;/C&gt;&lt;D xsi:type="xsd:double"&gt;20.508284221118&lt;/D&gt;&lt;/FQL&gt;&lt;FQL&gt;&lt;Q&gt;ENZL^FG_TOTAL_RETURNC(0,-12AM)&lt;/Q&gt;&lt;R&gt;1&lt;/R&gt;&lt;C&gt;1&lt;/C&gt;&lt;D xsi:type="xsd:double"&gt;0.5933523&lt;/D&gt;&lt;/FQL&gt;&lt;FQL&gt;&lt;Q&gt;EWC^FMA_COS_DOWN("EPS","1M",+1,0,,,"PORTAGG","MEANR")&lt;/Q&gt;&lt;R&gt;1&lt;/R&gt;&lt;C&gt;1&lt;/C&gt;&lt;D xsi:type="xsd:double"&gt;34&lt;/D&gt;&lt;/FQL&gt;&lt;FQL&gt;&lt;Q&gt;EWA^FG_FCF_YIELD_NTM(0)&lt;/Q&gt;&lt;R&gt;1&lt;/R&gt;&lt;C&gt;1&lt;/C&gt;&lt;D xsi:type="xsd:double"&gt;5.10846333901549&lt;/D&gt;&lt;/FQL&gt;&lt;FQL&gt;&lt;Q&gt;VWO^FG_PE(0)&lt;/Q&gt;&lt;R&gt;1&lt;/R&gt;&lt;C&gt;1&lt;/C&gt;&lt;D xsi:type="xsd:double"&gt;14.3836045216878&lt;/D&gt;&lt;/FQL&gt;&lt;FQL&gt;&lt;Q&gt;EWL^FG_PRICE(0)&lt;/Q&gt;&lt;R&gt;1&lt;/R&gt;&lt;C&gt;1&lt;/C&gt;&lt;D xsi:type="xsd:double"&gt;50.63&lt;/D&gt;&lt;/FQL&gt;&lt;FQL&gt;&lt;Q&gt;PASP-FDS^FG_PRICE_CHANGE(0,-6AM)&lt;/Q&gt;&lt;R&gt;1&lt;/R&gt;&lt;C&gt;1&lt;/C&gt;&lt;D xsi:type="xsd:double"&gt;-2.48704663212436&lt;/D&gt;&lt;/FQL&gt;&lt;FQL&gt;&lt;Q&gt;EWG^FG_PRICE_MAVG(0,,,,60)&lt;/Q&gt;&lt;R&gt;1&lt;/R&gt;&lt;C&gt;1&lt;/C&gt;&lt;D xsi:type="xsd:double"&gt;31.418&lt;/D&gt;&lt;/FQL&gt;&lt;FQL&gt;&lt;Q&gt;VWO^FMA_PCT_ABOVE_MAVG(200,0,,,,"PORTAGG")&lt;/Q&gt;&lt;R&gt;1&lt;/R&gt;&lt;C&gt;1&lt;/C&gt;&lt;D xsi:type="xsd:double"&gt;46.87432867884&lt;/D&gt;&lt;/FQL&gt;&lt;FQL&gt;&lt;Q&gt;EWU^FG_TOTAL_RETURNC(0,-12AM)&lt;/Q&gt;&lt;R&gt;1&lt;/R&gt;&lt;C&gt;1&lt;/C&gt;&lt;D xsi:type="xsd:double"&gt;16.231955&lt;/D&gt;&lt;/FQL&gt;&lt;FQL&gt;&lt;Q&gt;ENZL^FG_TOTAL_RETURNC(0,-6AM)&lt;/Q&gt;&lt;R&gt;1&lt;/R&gt;&lt;C&gt;1&lt;/C&gt;&lt;D xsi:type="xsd:double"&gt;4.0834665&lt;/D&gt;&lt;/FQL&gt;&lt;FQL&gt;&lt;Q&gt;EWC^FMA_COS_UP("EPS","1M",+1,0,,,"PORTAGG","MEANR")&lt;/Q&gt;&lt;R&gt;1&lt;/R&gt;&lt;C&gt;1&lt;/C&gt;&lt;D xsi:type="xsd:double"&gt;40&lt;/D&gt;&lt;/FQL&gt;&lt;FQL&gt;&lt;Q&gt;TRYCH10Y-FDS^FG_YIELD(0,,,,"YTM")&lt;/Q&gt;&lt;R&gt;1&lt;/R&gt;&lt;C&gt;1&lt;/C&gt;&lt;D xsi:type="xsd:double"&gt;0.809&lt;/D&gt;&lt;/FQL&gt;&lt;FQL&gt;&lt;Q&gt;VWO^JULIAN(FMA_DIV_YLD(NTMA,NOW,NOW,M,"PORTAGG","MEANR").DATES)&lt;/Q&gt;&lt;R&gt;1&lt;/R&gt;&lt;C&gt;1&lt;/C&gt;&lt;D xsi:type="xsd:long"&gt;45412&lt;/D&gt;&lt;/FQL&gt;&lt;FQL&gt;&lt;Q&gt;EWQ^FMA_EVAL_EBITDA(NTMA,0,,,"PORTAGG","MEANR")&lt;/Q&gt;&lt;R&gt;1&lt;/R&gt;&lt;C&gt;1&lt;/C&gt;&lt;D xsi:type="xsd:double"&gt;9.37007297055535&lt;/D&gt;&lt;/FQL&gt;&lt;FQL&gt;&lt;Q&gt;EWL^FMA_DIV_YLD(NTMA,NOW,NOW,M,"PORTAGG","MEANR")&lt;/Q&gt;&lt;R&gt;1&lt;/R&gt;&lt;C&gt;1&lt;/C&gt;&lt;D xsi:type="xsd:double"&gt;3.19699536639889&lt;/D&gt;&lt;/FQL&gt;&lt;FQL&gt;&lt;Q&gt;EWA^FMA_DIV_YLD(NTMA,NOW,NOW,M,"PORTAGG","MEANR")&lt;/Q&gt;&lt;R&gt;1&lt;/R&gt;&lt;C&gt;1&lt;/C&gt;&lt;D xsi:type="xsd:double"&gt;3.99280646326719&lt;/D&gt;&lt;/FQL&gt;&lt;FQL&gt;&lt;Q&gt;QQQ^P_PRICE(0)/P_PRICE_HIGH_PR(0,,,USD,,,"PRICE","INTRA","52W")&lt;/Q&gt;&lt;R&gt;1&lt;/R&gt;&lt;C&gt;1&lt;/C&gt;&lt;D xsi:type="xsd:double"&gt;0.99748135&lt;/D&gt;&lt;/FQL&gt;&lt;FQL&gt;&lt;Q&gt;TRYCH10Y-FDS^FG_YIELD_NAME&lt;/Q&gt;&lt;R&gt;1&lt;/R&gt;&lt;C&gt;1&lt;/C&gt;&lt;D xsi:type="xsd:string"&gt;Treasury - Switzerland Benchmark Bond 10Y&lt;/D&gt;&lt;/FQL&gt;&lt;FQL&gt;&lt;Q&gt;VGK^FMA_EVAL_EBIT(LTMA,NOW,NOW,M,"PORTAGG","MEANR")&lt;/Q&gt;&lt;R&gt;1&lt;/R&gt;&lt;C&gt;1&lt;/C&gt;&lt;D xsi:type="xsd:double"&gt;13.2006102704795&lt;/D&gt;&lt;/FQL&gt;&lt;FQL&gt;&lt;Q&gt;EWQ^FG_FCF_YIELD_NTM(0)&lt;/Q&gt;&lt;R&gt;1&lt;/R&gt;&lt;C&gt;1&lt;/C&gt;&lt;D xsi:type="xsd:double"&gt;5.64938414745813&lt;/D&gt;&lt;/FQL&gt;&lt;FQL&gt;&lt;Q&gt;EWL^FMA_PE(NTMA,0,,,"PORTAGG","MEANR")&lt;/Q&gt;&lt;R&gt;1&lt;/R&gt;&lt;C&gt;1&lt;/C&gt;&lt;D xsi:type="xsd:double"&gt;17.2609570230609&lt;/D&gt;&lt;/FQL&gt;&lt;FQL&gt;&lt;Q&gt;REFGBBANK-FDS^(SUBARRAY(NOT_NA(NO_REPEAT_F(FG_YIELD(NOW,-10AY,D))),0,1)-SUBARRAY(NOT_NA(NO_REPEAT_F(FG_YIELD(NOW,-10AY,D))),1,1))*100&lt;/Q&gt;&lt;R&gt;1&lt;/R&gt;&lt;C&gt;1&lt;/C&gt;&lt;D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xsi:type="xsd:double"&gt;25&lt;/D&gt;&lt;/FQL&gt;&lt;FQL&gt;&lt;Q&gt;VGK^FMA_EVAL_EBITDA(NTMA,0,,,"PORTAGG","MEANR")&lt;/Q&gt;&lt;R&gt;1&lt;/R&gt;&lt;C&gt;1&lt;/C&gt;&lt;D xsi:type="xsd:double"&gt;8.84150042753743&lt;/D&gt;&lt;/FQL&gt;&lt;FQL&gt;&lt;Q&gt;EWQ^FMA_DIV_YLD(NTMA,NOW,NOW,M,"PORTAGG","MEANR")&lt;/Q&gt;&lt;R&gt;1&lt;/R&gt;&lt;C&gt;1&lt;/C&gt;&lt;D xsi:type="xsd:double"&gt;3.15898101192403&lt;/D&gt;&lt;/FQL&gt;&lt;FQL&gt;&lt;Q&gt;EWL^FMA_PE(LTM,0,,,"PORTAGG","MEANR")&lt;/Q&gt;&lt;R&gt;1&lt;/R&gt;&lt;C&gt;1&lt;/C&gt;&lt;D xsi:type="xsd:double"&gt;16.514449221451&lt;/D&gt;&lt;/FQL&gt;&lt;FQL&gt;&lt;Q&gt;EWA^FMA_PE(NTMA,0,,,"PORTAGG","MEANR")&lt;/Q&gt;&lt;R&gt;1&lt;/R&gt;&lt;C&gt;1&lt;/C&gt;&lt;D xsi:type="xsd:double"&gt;16.6996332258166&lt;/D&gt;&lt;/FQL&gt;&lt;FQL&gt;&lt;Q&gt;PLATI-FDS^FG_PRICE_CHANGE(0,-6AM)&lt;/Q&gt;&lt;R&gt;1&lt;/R&gt;&lt;C&gt;1&lt;/C&gt;&lt;D xsi:type="xsd:double"&gt;9.80176211453745&lt;/D&gt;&lt;/FQL&gt;&lt;FQL&gt;&lt;Q&gt;EWA^FG_PRICE_MAVG(0,,,,30)&lt;/Q&gt;&lt;R&gt;1&lt;/R&gt;&lt;C&gt;1&lt;/C&gt;&lt;D xsi:type="xsd:double"&gt;24.483334&lt;/D&gt;&lt;/FQL&gt;&lt;FQL&gt;&lt;Q&gt;VGK^FG_TOTAL_RETURNC(0,-12AM)&lt;/Q&gt;&lt;R&gt;1&lt;/R&gt;&lt;C&gt;1&lt;/C&gt;&lt;D xsi:type="xsd:double"&gt;19.105934&lt;/D&gt;&lt;/FQL&gt;&lt;FQL&gt;&lt;Q&gt;EWU^P_PRICE(0)/P_PRICE_LOW_PR(0,,,,,,"PRICE","INTRA","52W")-1&lt;/Q&gt;&lt;R&gt;1&lt;/R&gt;&lt;C&gt;1&lt;/C&gt;&lt;D xsi:type="xsd:double"&gt;0.20769751&lt;/D&gt;&lt;/FQL&gt;&lt;FQL&gt;&lt;Q&gt;EWA^SIZE(FG_CONSTITUENTS)&lt;/Q&gt;&lt;R&gt;1&lt;/R&gt;&lt;C&gt;1&lt;/C&gt;&lt;D xsi:type="xsd:long"&gt;59&lt;/D&gt;&lt;/FQL&gt;&lt;FQL&gt;&lt;Q&gt;TRYGB10Y-FDS^PCTCHG(FG_YIELD(0,,,,"YTM"),FG_YIELD(-3AM,,,,"YTM"))&lt;/Q&gt;&lt;R&gt;1&lt;/R&gt;&lt;C&gt;1&lt;/C&gt;&lt;D xsi:type="xsd:double"&gt;2.3204756&lt;/D&gt;&lt;/FQL&gt;&lt;FQL&gt;&lt;Q&gt;TRYJP10Y-FDS^FG_YIELD(0,,,,"YTM")&lt;/Q&gt;&lt;R&gt;1&lt;/R&gt;&lt;C&gt;1&lt;/C&gt;&lt;D xsi:type="xsd:double"&gt;0.9659&lt;/D&gt;&lt;/FQL&gt;&lt;FQL&gt;&lt;Q&gt;EWA^FG_PRICE(0)&lt;/Q&gt;&lt;R&gt;1&lt;/R&gt;&lt;C&gt;1&lt;/C&gt;&lt;D xsi:type="xsd:double"&gt;25.1&lt;/D&gt;&lt;/FQL&gt;&lt;FQL&gt;&lt;Q&gt;FXI^FMA_COS_DOWN("EPS","1M",+1,0,,,"PORTAGG","MEANR")&lt;/Q&gt;&lt;R&gt;1&lt;/R&gt;&lt;C&gt;1&lt;/C&gt;&lt;D xsi:type="xsd:double"&gt;17&lt;/D&gt;&lt;/FQL&gt;&lt;FQL&gt;&lt;Q&gt;ENZL^FMA_COS_DOWN("EPS","1M",+1,0,,,"PORTAGG","MEANR")&lt;/Q&gt;&lt;R&gt;1&lt;/R&gt;&lt;C&gt;1&lt;/C&gt;&lt;D xsi:type="xsd:double"&gt;8&lt;/D&gt;&lt;/FQL&gt;&lt;FQL&gt;&lt;Q&gt;REFGBBANK-FDS^FG_YIELD(NOW,,,0)&lt;/Q&gt;&lt;R&gt;1&lt;/R&gt;&lt;C&gt;1&lt;/C&gt;&lt;D xsi:type="xsd:double"&gt;5.25&lt;/D&gt;&lt;/FQL&gt;&lt;FQL&gt;&lt;Q&gt;VGK^FG_FCF_YIELD_NTM(0)&lt;/Q&gt;&lt;R&gt;1&lt;/R&gt;&lt;C&gt;1&lt;/C&gt;&lt;D xsi:type="xsd:double"&gt;5.34893335581801&lt;/D&gt;&lt;/FQL&gt;&lt;FQL&gt;&lt;Q&gt;EWQ^FMA_PE(NTMA,0,,,"PORTAGG","MEANR")&lt;/Q&gt;&lt;R&gt;1&lt;/R&gt;&lt;C&gt;1&lt;/C&gt;&lt;D xsi:type="xsd:double"&gt;14.3449380417246&lt;/D&gt;&lt;/FQL&gt;&lt;FQL&gt;&lt;Q&gt;EWL^JULIAN(FMA_DIV_YLD(NTMA,NOW,NOW,M,"PORTAGG","MEANR").DATES)&lt;/Q&gt;&lt;R&gt;1&lt;/R&gt;&lt;C&gt;1&lt;/C&gt;&lt;D xsi:type="xsd:long"&gt;45443&lt;/D&gt;&lt;/FQL&gt;&lt;FQL&gt;&lt;Q&gt;EWA^JULIAN(FMA_DIV_YLD(NTMA,NOW,NOW,M,"PORTAGG","MEANR").DATES)&lt;/Q&gt;&lt;R&gt;1&lt;/R&gt;&lt;C&gt;1&lt;/C&gt;&lt;D xsi:type="xsd:long"&gt;45443&lt;/D&gt;&lt;/FQL&gt;&lt;FQL&gt;&lt;Q&gt;VGK^PERCENT_CHANGE(FMA_EPS(+1,0,,,,"PORTAGG","MEAN"),FMA_EPS(+1,-3AM,,,,"PORTAGG","MEAN"))&lt;/Q&gt;&lt;R&gt;1&lt;/R&gt;&lt;C&gt;1&lt;/C&gt;&lt;D xsi:type="xsd:double"&gt;-1.87723316345765&lt;/D&gt;&lt;/FQL&gt;&lt;FQL&gt;&lt;Q&gt;EWU^PERCENT_CHANGE(FMA_EPS(+1,0,,,,"PORTAGG","MEAN"),FMA_EPS(+1,-1AM,,,,"PORTAGG","MEAN"))&lt;/Q&gt;&lt;R&gt;1&lt;/R&gt;&lt;C&gt;1&lt;/C&gt;&lt;D xsi:type="xsd:double"&gt;1.21252155867851&lt;/D&gt;&lt;/FQL&gt;&lt;FQL&gt;&lt;Q&gt;ENZL^FMA_COS_UP("EPS","1M",+1,0,,,"PORTAGG","MEANR")&lt;/Q&gt;&lt;R&gt;1&lt;/R&gt;&lt;C&gt;1&lt;/C&gt;&lt;D xsi:type="xsd:double"&gt;5&lt;/D&gt;&lt;/FQL&gt;&lt;FQL&gt;&lt;Q&gt;TRYCH10Y-FDS^PCTCHG(FG_YIELD(0,,,,"YTM"),FG_YIELD(-1AM,,,,"YTM"))&lt;/Q&gt;&lt;R&gt;1&lt;/R&gt;&lt;C&gt;1&lt;/C&gt;&lt;D xsi:type="xsd:double"&gt;15.078237&lt;/D&gt;&lt;/FQL&gt;&lt;FQL&gt;&lt;Q&gt;EWQ^FMA_PE(LTM,0,,,"PORTAGG","MEANR")&lt;/Q&gt;&lt;R&gt;1&lt;/R&gt;&lt;C&gt;1&lt;/C&gt;&lt;D xsi:type="xsd:double"&gt;16.5789705076071&lt;/D&gt;&lt;/FQL&gt;&lt;FQL&gt;&lt;Q&gt;EWJ^FMA_EVAL_EBIT(LTMA,NOW,NOW,M,"PORTAGG","MEANR")&lt;/Q&gt;&lt;R&gt;1&lt;/R&gt;&lt;C&gt;1&lt;/C&gt;&lt;D xsi:type="xsd:double"&gt;17.7777094132742&lt;/D&gt;&lt;/FQL&gt;&lt;FQL&gt;&lt;Q&gt;ENZL^FMA_EVAL_EBIT(LTMA,NOW,NOW,M,"PORTAGG","MEANR")&lt;/Q&gt;&lt;R&gt;1&lt;/R&gt;&lt;C&gt;1&lt;/C&gt;&lt;D xsi:type="xsd:double"&gt;20.7796575161614&lt;/D&gt;&lt;/FQL&gt;&lt;FQL&gt;&lt;Q&gt;UUP^P_PRICE(0)/P_PRICE_HIGH_PR(0,,,USD,,,"PRICE","INTRA","52W")&lt;/Q&gt;&lt;R&gt;1&lt;/R&gt;&lt;C&gt;1&lt;/C&gt;&lt;D xsi:type="xsd:double"&gt;0.9457981&lt;/D&gt;&lt;/FQL&gt;&lt;FQL&gt;&lt;Q&gt;REFCHMPR-FDS^FG_YIELD(NOW,,,0)&lt;/Q&gt;&lt;R&gt;1&lt;/R&gt;&lt;C&gt;1&lt;/C&gt;&lt;D xsi:type="xsd:double"&gt;1.5&lt;/D&gt;&lt;/FQL&gt;&lt;FQL&gt;&lt;Q&gt;VGK^FG_PE(0)&lt;/Q&gt;&lt;R&gt;1&lt;/R&gt;&lt;C&gt;1&lt;/C&gt;&lt;D xsi:type="xsd:double"&gt;12.9337346409367&lt;/D&gt;&lt;/FQL&gt;&lt;FQL&gt;&lt;Q&gt;EWQ^JULIAN(FMA_DIV_YLD(NTMA,NOW,NOW,M,"PORTAGG","MEANR").DATES)&lt;/Q&gt;&lt;R&gt;1&lt;/R&gt;&lt;C&gt;1&lt;/C&gt;&lt;D xsi:type="xsd:long"&gt;45443&lt;/D&gt;&lt;/FQL&gt;&lt;FQL&gt;&lt;Q&gt;EWJ^FMA_EVAL_EBITDA(NTMA,0,,,"PORTAGG","MEANR")&lt;/Q&gt;&lt;R&gt;1&lt;/R&gt;&lt;C&gt;1&lt;/C&gt;&lt;D xsi:type="xsd:double"&gt;10.565756137114&lt;/D&gt;&lt;/FQL&gt;&lt;FQL&gt;&lt;Q&gt;ENZL^FG_FCF_YIELD_NTM(0)&lt;/Q&gt;&lt;R&gt;1&lt;/R&gt;&lt;C&gt;1&lt;/C&gt;&lt;D xsi:type="xsd:double"&gt;0.0655483598423677&lt;/D&gt;&lt;/FQL&gt;&lt;FQL&gt;&lt;Q&gt;W-FDS^FG_PRICE_CHANGE(0,-6AM)&lt;/Q&gt;&lt;R&gt;1&lt;/R&gt;&lt;C&gt;1&lt;/C&gt;&lt;D xsi:type="xsd:double"&gt;3.85708485586682&lt;/D&gt;&lt;/FQL&gt;&lt;FQL&gt;&lt;Q&gt;VGK^FMA_PCT_ABOVE_MAVG(200,0,,,,"PORTAGG")&lt;/Q&gt;&lt;R&gt;1&lt;/R&gt;&lt;C&gt;1&lt;/C&gt;&lt;D xsi:type="xsd:double"&gt;67.3015873015873&lt;/D&gt;&lt;/FQL&gt;&lt;FQL&gt;&lt;Q&gt;EWL^FG_TOTAL_RETURNC(0,-12AM)&lt;/Q&gt;&lt;R&gt;1&lt;/R&gt;&lt;C&gt;1&lt;/C&gt;&lt;D xsi:type="xsd:double"&gt;9.721529&lt;/D&gt;&lt;/FQL&gt;&lt;FQL&gt;&lt;Q&gt;FXI^FMA_COS_UP("EPS","1M",+1,0,,,"PORTAGG","MEANR")&lt;/Q&gt;&lt;R&gt;1&lt;/R&gt;&lt;C&gt;1&lt;/C&gt;&lt;D xsi:type="xsd:double"&gt;22&lt;/D&gt;&lt;/FQL&gt;&lt;FQL&gt;&lt;Q&gt;ENZL^FMA_EVAL_EBITDA(NTMA,0,,,"PORTAGG","MEANR")&lt;/Q&gt;&lt;R&gt;1&lt;/R&gt;&lt;C&gt;1&lt;/C&gt;&lt;D xsi:type="xsd:double"&gt;11.7519452171894&lt;/D&gt;&lt;/FQL&gt;&lt;FQL&gt;&lt;Q&gt;UUP^FG_TOTAL_RETURNC(0,-6AM)&lt;/Q&gt;&lt;R&gt;1&lt;/R&gt;&lt;C&gt;1&lt;/C&gt;&lt;D xsi:type="xsd:double"&gt;2.8515935&lt;/D&gt;&lt;/FQL&gt;&lt;FQL&gt;&lt;Q&gt;EWJ^FG_FCF_YIELD_NTM(0)&lt;/Q&gt;&lt;R&gt;1&lt;/R&gt;&lt;C&gt;1&lt;/C&gt;&lt;D xsi:type="xsd:double"&gt;3.82729278396591&lt;/D&gt;&lt;/FQL&gt;&lt;FQL&gt;&lt;Q&gt;UUP^FG_TOTAL_RETURNC(0,-3AM)&lt;/Q&gt;&lt;R&gt;1&lt;/R&gt;&lt;C&gt;1&lt;/C&gt;&lt;D xsi:type="xsd:double"&gt;2.2214293&lt;/D&gt;&lt;/FQL&gt;&lt;FQL&gt;&lt;Q&gt;TRYJP10Y-FDS^PCTCHG(FG_YIELD(0,,,,"YTM"),FG_YIELD(-3AM,,,,"YTM"))&lt;/Q&gt;&lt;R&gt;1&lt;/R&gt;&lt;C&gt;1&lt;/C&gt;&lt;D xsi:type="xsd:double"&gt;36.138126&lt;/D&gt;&lt;/FQL&gt;&lt;FQL&gt;&lt;Q&gt;TRYCA10Y-FDS^FG_YIELD(0,,,,"YTM")&lt;/Q&gt;&lt;R&gt;1&lt;/R&gt;&lt;C&gt;1&lt;/C&gt;&lt;D xsi:type="xsd:double"&gt;3.3842&lt;/D&gt;&lt;/FQL&gt;&lt;FQL&gt;&lt;Q&gt;TRYCA10Y-FDS^FG_YIELD_NAME&lt;/Q&gt;&lt;R&gt;1&lt;/R&gt;&lt;C&gt;1&lt;/C&gt;&lt;D xsi:type="xsd:string"&gt;Canada Benchmark Bond - 10 Year&lt;/D&gt;&lt;/FQL&gt;&lt;FQL&gt;&lt;Q&gt;REFCHMPR-FDS^PROPER_NAME(0,,,"SECURITY","NAME")&lt;/Q&gt;&lt;R&gt;1&lt;/R&gt;&lt;C&gt;1&lt;/C&gt;&lt;D xsi:type="xsd:string"&gt;Swiss Policy Rate - Sight Deposit Rate&lt;/D&gt;&lt;/FQL&gt;&lt;FQL&gt;&lt;Q&gt;VGK^JULIAN(FMA_DIV_YLD(NTMA,NOW,NOW,M,"PORTAGG","MEANR").DATES)&lt;/Q&gt;&lt;R&gt;1&lt;/R&gt;&lt;C&gt;1&lt;/C&gt;&lt;D xsi:type="xsd:long"&gt;45412&lt;/D&gt;&lt;/FQL&gt;&lt;FQL&gt;&lt;Q&gt;COPP-FDS^FG_PRICE_CHANGE(0,-6AM)&lt;/Q&gt;&lt;R&gt;1&lt;/R&gt;&lt;C&gt;1&lt;/C&gt;&lt;D xsi:type="xsd:double"&gt;26.2209067671196&lt;/D&gt;&lt;/FQL&gt;&lt;FQL&gt;&lt;Q&gt;EWI^PERCENT_CHANGE(FMA_EPS(+1,0,,,,"PORTAGG","MEAN"),FMA_EPS(+1,-3AM,,,,"PORTAGG","MEAN"))&lt;/Q&gt;&lt;R&gt;1&lt;/R&gt;&lt;C&gt;1&lt;/C&gt;&lt;D xsi:type="xsd:double"&gt;1.99941359207195&lt;/D&gt;&lt;/FQL&gt;&lt;FQL&gt;&lt;Q&gt;EWL^PERCENT_CHANGE(FMA_EPS(+1,0,,,,"PORTAGG","MEAN"),FMA_EPS(+1,-1AM,,,,"PORTAGG","MEAN"))&lt;/Q&gt;&lt;R&gt;1&lt;/R&gt;&lt;C&gt;1&lt;/C&gt;&lt;D xsi:type="xsd:double"&gt;2.77380313586041&lt;/D&gt;&lt;/FQL&gt;&lt;FQL&gt;&lt;Q&gt;TRYJP10Y-FDS^PCTCHG(FG_YIELD(0,,,,"YTM"),FG_YIELD(-1AM,,,,"YTM"))&lt;/Q&gt;&lt;R&gt;1&lt;/R&gt;&lt;C&gt;1&lt;/C&gt;&lt;D xsi:type="xsd:double"&gt;7.1912136&lt;/D&gt;&lt;/FQL&gt;&lt;FQL&gt;&lt;Q&gt;EWJ^FMA_PE(LTM,0,,,"PORTAGG","MEANR")&lt;/Q&gt;&lt;R&gt;1&lt;/R&gt;&lt;C&gt;1&lt;/C&gt;&lt;D xsi:type="xsd:double"&gt;16.2229909610497&lt;/D&gt;&lt;/FQL&gt;&lt;FQL&gt;&lt;Q&gt;ENZL^FMA_PE(NTMA,0,,,"PORTAGG","MEANR")&lt;/Q&gt;&lt;R&gt;1&lt;/R&gt;&lt;C&gt;1&lt;/C&gt;&lt;D xsi:type="xsd:double"&gt;24.3289399276116&lt;/D&gt;&lt;/FQL&gt;&lt;FQL&gt;&lt;Q&gt;DUMMY^ECON_DATE(45329,,, 'MM/YYYY')&lt;/Q&gt;&lt;R&gt;1&lt;/R&gt;&lt;C&gt;1&lt;/C&gt;&lt;D xsi:type="xsd:string"&gt;02/2024&lt;/D&gt;&lt;/FQL&gt;&lt;FQL&gt;&lt;Q&gt;DUMMY^ECON_DATE(45419,,, 'MM/YYYY')&lt;/Q&gt;&lt;R&gt;1&lt;/R&gt;&lt;C&gt;1&lt;/C&gt;&lt;D xsi:type="xsd:string"&gt;05/2024&lt;/D&gt;&lt;/FQL&gt;&lt;FQL&gt;&lt;Q&gt;DUMMY^ECON_EXPR_DATA('FDS_ECON[NTCPMIMFGSA@NZ]',05/2024,,Q)&lt;/Q&gt;&lt;R&gt;1&lt;/R&gt;&lt;C&gt;1&lt;/C&gt;&lt;D xsi:type="xsd:double"&gt;47.799873&lt;/D&gt;&lt;/FQL&gt;&lt;FQL&gt;&lt;Q&gt;DUMMY^ECON_EXPR_DATA('FDS_ECON[NTCPMIMFGSA@NZ]',02/2024,,Q)&lt;/Q&gt;&lt;R&gt;1&lt;/R&gt;&lt;C&gt;1&lt;/C&gt;&lt;D xsi:type="xsd:double"&gt;44.485504&lt;/D&gt;&lt;/FQL&gt;&lt;FQL&gt;&lt;Q&gt;DUMMY^ECON_EXPR_DATA('FDS_ECON[NTCPMIMFGSA@AU]',05/2024,,Q)&lt;/Q&gt;&lt;R&gt;1&lt;/R&gt;&lt;C&gt;1&lt;/C&gt;&lt;D xsi:type="xsd:double"&gt;48.39547&lt;/D&gt;&lt;/FQL&gt;&lt;FQL&gt;&lt;Q&gt;DUMMY^ECON_EXPR_DATA('FDS_ECON[NTCPMIMFGSA@AU]',02/2024,,Q)&lt;/Q&gt;&lt;R&gt;1&lt;/R&gt;&lt;C&gt;1&lt;/C&gt;&lt;D xsi:type="xsd:double"&gt;47.862293&lt;/D&gt;&lt;/FQL&gt;&lt;FQL&gt;&lt;Q&gt;DUMMY^ECON_EXPR_DATA('FDS_ECON[NTCPMIMFGSA@CA]',05/2024,,Q)&lt;/Q&gt;&lt;R&gt;1&lt;/R&gt;&lt;C&gt;1&lt;/C&gt;&lt;D xsi:type="xsd:double"&gt;49.30091&lt;/D&gt;&lt;/FQL&gt;&lt;FQL&gt;&lt;Q&gt;DUMMY^ECON_EXPR_DATA('FDS_ECON[NTCPMIMFGSA@CA]',02/2024,,Q)&lt;/Q&gt;&lt;R&gt;1&lt;/R&gt;&lt;C&gt;1&lt;/C&gt;&lt;D xsi:type="xsd:double"&gt;47.255585&lt;/D&gt;&lt;/FQL&gt;&lt;FQL&gt;&lt;Q&gt;DUMMY^ECON_EXPR_DATA('FDS_ECON[NTCPMIMFGSA@DE]',05/2024,,Q)&lt;/Q&gt;&lt;R&gt;1&lt;/R&gt;&lt;C&gt;1&lt;/C&gt;&lt;D xsi:type="xsd:double"&gt;43.319096&lt;/D&gt;&lt;/FQL&gt;&lt;FQL&gt;&lt;Q&gt;DUMMY^ECON_EXPR_DATA('FDS_ECON[NTCPMIMFGSA@DE]',02/2024,,Q)&lt;/Q&gt;&lt;R&gt;1&lt;/R&gt;&lt;C&gt;1&lt;/C&gt;&lt;D xsi:type="xsd:double"&gt;42.238945&lt;/D&gt;&lt;/FQL&gt;&lt;FQL&gt;&lt;Q&gt;DUMMY^ECON_EXPR_DATA('FDS_ECON[NTCPMIMFGSA@JP]',05/2024,,Q)&lt;/Q&gt;&lt;R&gt;1&lt;/R&gt;&lt;C&gt;1&lt;/C&gt;&lt;D xsi:type="xsd:double"&gt;47.808857&lt;/D&gt;&lt;/FQL&gt;&lt;FQL&gt;&lt;Q&gt;DUMMY^ECON_EXPR_DATA('FDS_ECON[NTCPMIMFGSA@JP]',02/2024,,Q)&lt;/Q&gt;&lt;R&gt;1&lt;/R&gt;&lt;C&gt;1&lt;/C&gt;&lt;D xsi:type="xsd:double"&gt;48.31877&lt;/D&gt;&lt;/FQL&gt;&lt;FQL&gt;&lt;Q&gt;DUMMY^ECON_EXPR_DATA('FDS_ECON[NTCPMIMFGSA@CH]',05/2024,,Q)&lt;/Q&gt;&lt;R&gt;1&lt;/R&gt;&lt;C&gt;1&lt;/C&gt;&lt;D xsi:type="xsd:double"&gt;44.08605&lt;/D&gt;&lt;/FQL&gt;&lt;FQL&gt;&lt;Q&gt;DUMMY^ECON_EXPR_DATA('FDS_ECON[NTCPMIMFGSA@CH]',02/2024,,Q)&lt;/Q&gt;&lt;R&gt;1&lt;/R&gt;&lt;C&gt;1&lt;/C&gt;&lt;D xsi:type="xsd:double"&gt;41.921543&lt;/D&gt;&lt;/FQL&gt;&lt;FQL&gt;&lt;Q&gt;DUMMY^ECON_EXPR_DATA('FDS_ECON[NTCPMIMFGSA@GB]',05/2024,,Q)&lt;/Q&gt;&lt;R&gt;1&lt;/R&gt;&lt;C&gt;1&lt;/C&gt;&lt;D xsi:type="xsd:double"&gt;48.24796&lt;/D&gt;&lt;/FQL&gt;&lt;FQL&gt;&lt;Q&gt;DUMMY^ECON_EXPR_DATA('FDS_ECON[NTCPMIMFGSA@GB]',02/2024,,Q)&lt;/Q&gt;&lt;R&gt;1&lt;/R&gt;&lt;C&gt;1&lt;/C&gt;&lt;D xsi:type="xsd:double"&gt;46.0587&lt;/D&gt;&lt;/FQL&gt;&lt;FQL&gt;&lt;Q&gt;DUMMY^ECON_EXPR_DATA('FDS_ECON[NTCPMIMFGMESA@US]',05/2024,,Q)&lt;/Q&gt;&lt;R&gt;1&lt;/R&gt;&lt;C&gt;1&lt;/C&gt;&lt;D xsi:type="xsd:double"&gt;51.582687&lt;/D&gt;&lt;/FQL&gt;&lt;FQL&gt;&lt;Q&gt;DUMMY^ECON_EXPR_DATA('FDS_ECON[NTCPMIMFGMESA@US]',02/2024,,Q)&lt;/Q&gt;&lt;R&gt;1&lt;/R&gt;&lt;C&gt;1&lt;/C&gt;&lt;D xsi:type="xsd:double"&gt;49.098827&lt;/D&gt;&lt;/FQL&gt;&lt;FQL&gt;&lt;Q&gt;DUMMY^ECON_EXPR_DATA('FDS_ECON[NTCPMIMFGSA@FR]',05/2024,,Q)&lt;/Q&gt;&lt;R&gt;1&lt;/R&gt;&lt;C&gt;1&lt;/C&gt;&lt;D xsi:type="xsd:double"&gt;45.498753&lt;/D&gt;&lt;/FQL&gt;&lt;FQL&gt;&lt;Q&gt;DUMMY^ECON_EXPR_DATA('FDS_ECON[NTCPMIMFGSA@FR]',02/2024,,Q)&lt;/Q&gt;&lt;R&gt;1&lt;/R&gt;&lt;C&gt;1&lt;/C&gt;&lt;D xsi:type="xsd:double"&gt;42.573967&lt;/D&gt;&lt;/FQL&gt;&lt;FQL&gt;&lt;Q&gt;DUMMY^ECON_EXPR_DATA('FDS_ECON[NTCPMIMFGSA@NL]',05/2024,,Q)&lt;/Q&gt;&lt;R&gt;1&lt;/R&gt;&lt;C&gt;1&lt;/C&gt;&lt;D xsi:type="xsd:double"&gt;49.325874&lt;/D&gt;&lt;/FQL&gt;&lt;FQL&gt;&lt;Q&gt;DUMMY^ECON_EXPR_DATA('FDS_ECON[NTCPMIMFGSA@NL]',02/2024,,Q)&lt;/Q&gt;&lt;R&gt;1&lt;/R&gt;&lt;C&gt;1&lt;/C&gt;&lt;D xsi:type="xsd:double"&gt;44.495136&lt;/D&gt;&lt;/FQL&gt;&lt;FQL&gt;&lt;Q&gt;DUMMY^ECON_EXPR_DATA('FDS_ECON[]',05/2024,,Q)&lt;/Q&gt;&lt;R&gt;0&lt;/R&gt;&lt;C&gt;0&lt;/C&gt;&lt;/FQL&gt;&lt;FQL&gt;&lt;Q&gt;DUMMY^ECON_EXPR_DATA('FDS_ECON[]',02/2024,,Q)&lt;/Q&gt;&lt;R&gt;0&lt;/R&gt;&lt;C&gt;0&lt;/C&gt;&lt;/FQL&gt;&lt;FQL&gt;&lt;Q&gt;DUMMY^ECON_EXPR_DATA('FDS_ECON[NTCPMIMFGSA@IT]',05/2024,,Q)&lt;/Q&gt;&lt;R&gt;1&lt;/R&gt;&lt;C&gt;1&lt;/C&gt;&lt;D xsi:type="xsd:double"&gt;49.208153&lt;/D&gt;&lt;/FQL&gt;&lt;FQL&gt;&lt;Q&gt;DUMMY^ECON_EXPR_DATA('FDS_ECON[NTCPMIMFGSA@IT]',02/2024,,Q)&lt;/Q&gt;&lt;R&gt;1&lt;/R&gt;&lt;C&gt;1&lt;/C&gt;&lt;D xsi:type="xsd:double"&gt;44.859455&lt;/D&gt;&lt;/FQL&gt;&lt;FQL&gt;&lt;Q&gt;DUMMY^ECON_EXPR_DATA('FDS_ECON[PMIDMMANHE]',05/2024,,Q)&lt;/Q&gt;&lt;R&gt;1&lt;/R&gt;&lt;C&gt;1&lt;/C&gt;&lt;D xsi:type="xsd:double"&gt;49.135414&lt;/D&gt;&lt;/FQL&gt;&lt;FQL&gt;&lt;Q&gt;DUMMY^ECON_EXPR_DATA('FDS_ECON[PMIDMMANHE]',02/2024,,Q)&lt;/Q&gt;&lt;R&gt;1&lt;/R&gt;&lt;C&gt;1&lt;/C&gt;&lt;D xsi:type="xsd:double"&gt;47.377968&lt;/D&gt;&lt;/FQL&gt;&lt;FQL&gt;&lt;Q&gt;DUMMY^ECON_EXPR_DATA('FDS_ECON[NTCPMIMFGSA@EME]',05/2024,,Q)&lt;/Q&gt;&lt;R&gt;1&lt;/R&gt;&lt;C&gt;1&lt;/C&gt;&lt;D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<sst xmlns="http://schemas.openxmlformats.org/spreadsheetml/2006/main" count="2053" uniqueCount="915">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</sst>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4.8804807910590879E-2</v>
      </c>
      <c r="O13" s="55">
        <f>N13*(1+N9)</f>
        <v>5.1733096385226336E-2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3.9293668804141521E-2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4.2861000000000003E-2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-6.1951920894091211E-3</v>
      </c>
      <c r="O21" s="57">
        <f>O13-O16</f>
        <v>6.7330963852263379E-3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5.9438079105908759E-3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5</v>
      </c>
      <c r="E9" s="58">
        <f t="shared" si="0"/>
        <v>5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5</v>
      </c>
      <c r="E10" s="58">
        <f t="shared" si="0"/>
        <v>5</v>
      </c>
      <c r="H10" s="56" t="s">
        <v>904</v>
      </c>
      <c r="I10" s="57">
        <f>Timing!M22</f>
        <v>1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3</v>
      </c>
      <c r="E12" s="58">
        <f t="shared" si="0"/>
        <v>3</v>
      </c>
    </row>
    <row r="13" spans="3:9" x14ac:dyDescent="0.35">
      <c r="C13" s="56" t="s">
        <v>890</v>
      </c>
      <c r="D13">
        <f>'Asset class'!S8</f>
        <v>3</v>
      </c>
      <c r="E13" s="58">
        <f t="shared" si="0"/>
        <v>3</v>
      </c>
    </row>
    <row r="14" spans="3:9" ht="15" thickBot="1" x14ac:dyDescent="0.4">
      <c r="C14" s="12" t="s">
        <v>457</v>
      </c>
      <c r="D14">
        <f>'Asset class'!S9</f>
        <v>9</v>
      </c>
      <c r="E14" s="14">
        <f t="shared" si="0"/>
        <v>9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3</v>
      </c>
      <c r="E16" s="14">
        <f t="shared" si="0"/>
        <v>3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0.40674603174603174</v>
      </c>
      <c r="D23" s="170"/>
      <c r="E23" s="171">
        <f>'Momnetum ranking'!I22</f>
        <v>0.2857142857142857</v>
      </c>
    </row>
    <row r="24" spans="2:15" x14ac:dyDescent="0.35">
      <c r="B24" s="56" t="s">
        <v>51</v>
      </c>
      <c r="C24" s="9">
        <f>'Momnetum ranking'!H10</f>
        <v>0.43137254901960786</v>
      </c>
      <c r="D24" s="9"/>
      <c r="E24" s="57">
        <f>'Momnetum ranking'!I10</f>
        <v>0.27450980392156865</v>
      </c>
    </row>
    <row r="25" spans="2:15" x14ac:dyDescent="0.35">
      <c r="B25" s="56" t="s">
        <v>895</v>
      </c>
      <c r="C25" s="9">
        <f>'Momnetum ranking'!H23</f>
        <v>0.41509433962264153</v>
      </c>
      <c r="D25" s="9"/>
      <c r="E25" s="57">
        <f>'Momnetum ranking'!I23</f>
        <v>0.32075471698113206</v>
      </c>
    </row>
    <row r="26" spans="2:15" x14ac:dyDescent="0.35">
      <c r="B26" s="56" t="s">
        <v>46</v>
      </c>
      <c r="C26" s="9">
        <f>'Momnetum ranking'!H21</f>
        <v>0.53431372549019607</v>
      </c>
      <c r="D26" s="9"/>
      <c r="E26" s="57">
        <f>'Momnetum ranking'!I21</f>
        <v>0.40196078431372551</v>
      </c>
    </row>
    <row r="27" spans="2:15" ht="15" thickBot="1" x14ac:dyDescent="0.4">
      <c r="B27" s="12" t="s">
        <v>536</v>
      </c>
      <c r="C27" s="172">
        <f>'Momnetum ranking'!H18</f>
        <v>0.36377829820452773</v>
      </c>
      <c r="D27" s="172"/>
      <c r="E27" s="59">
        <f>'Momnetum ranking'!I18</f>
        <v>0.42154566744730682</v>
      </c>
    </row>
    <row r="28" spans="2:15" x14ac:dyDescent="0.35">
      <c r="B28" s="62" t="s">
        <v>6</v>
      </c>
      <c r="C28" s="170">
        <f>'Momnetum ranking'!H19</f>
        <v>0.17928870292887028</v>
      </c>
      <c r="D28" s="170"/>
      <c r="E28" s="171">
        <f>'Momnetum ranking'!I19</f>
        <v>0.3382845188284519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-5.7767369242779087E-2</v>
      </c>
      <c r="F35" s="5">
        <f>'Momnetum ranking'!K18</f>
        <v>0.67301587301587307</v>
      </c>
      <c r="G35" s="9">
        <f>'Momnetum ranking'!Q18</f>
        <v>0.99992919999999996</v>
      </c>
      <c r="H35" s="3">
        <f>'Momnetum ranking'!O18</f>
        <v>7.4913144000000003</v>
      </c>
      <c r="K35">
        <f>_xlfn.RANK.EQ(E35,$E$35:$E$39)</f>
        <v>4</v>
      </c>
      <c r="L35">
        <f>_xlfn.RANK.EQ(F35,$F$35:$F$39)</f>
        <v>4</v>
      </c>
      <c r="M35">
        <f>_xlfn.RANK.EQ(G35,$G$35:$G$39)</f>
        <v>1</v>
      </c>
      <c r="N35">
        <f>_xlfn.RANK.EQ(H35,$H$35:$H$39)</f>
        <v>1</v>
      </c>
      <c r="O35" s="58">
        <f>MEDIAN(K35:N35)</f>
        <v>2.5</v>
      </c>
    </row>
    <row r="36" spans="3:15" x14ac:dyDescent="0.35">
      <c r="C36" s="56" t="s">
        <v>749</v>
      </c>
      <c r="E36" s="9">
        <f>'Momnetum ranking'!J19</f>
        <v>-0.15899581589958162</v>
      </c>
      <c r="F36" s="5">
        <f>'Momnetum ranking'!K19</f>
        <v>0.46874328678839999</v>
      </c>
      <c r="G36" s="9">
        <f>'Momnetum ranking'!Q19</f>
        <v>0.96917889999999995</v>
      </c>
      <c r="H36" s="3">
        <f>'Momnetum ranking'!O19</f>
        <v>4.7810079999999999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3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0.12247738343771747</v>
      </c>
      <c r="F37" s="5">
        <f>'Momnetum ranking'!K20</f>
        <v>0.70251396648044706</v>
      </c>
      <c r="G37" s="9">
        <f>'Momnetum ranking'!Q20</f>
        <v>0.99884987000000003</v>
      </c>
      <c r="H37" s="3">
        <f>'Momnetum ranking'!O20</f>
        <v>4.4791819999999998</v>
      </c>
      <c r="K37">
        <f t="shared" si="1"/>
        <v>2</v>
      </c>
      <c r="L37">
        <f t="shared" si="2"/>
        <v>2</v>
      </c>
      <c r="M37">
        <f t="shared" si="3"/>
        <v>2</v>
      </c>
      <c r="N37">
        <f t="shared" si="4"/>
        <v>4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0.13235294117647056</v>
      </c>
      <c r="F38" s="5">
        <f>'Momnetum ranking'!K21</f>
        <v>0.73529411764705899</v>
      </c>
      <c r="G38" s="9">
        <f>'Momnetum ranking'!Q21</f>
        <v>0.96079919999999996</v>
      </c>
      <c r="H38" s="3">
        <f>'Momnetum ranking'!O21</f>
        <v>-2.9844522000000002</v>
      </c>
      <c r="K38">
        <f t="shared" si="1"/>
        <v>1</v>
      </c>
      <c r="L38">
        <f t="shared" si="2"/>
        <v>1</v>
      </c>
      <c r="M38">
        <f t="shared" si="3"/>
        <v>5</v>
      </c>
      <c r="N38">
        <f t="shared" si="4"/>
        <v>5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0.12103174603174605</v>
      </c>
      <c r="F39" s="17">
        <f>'Momnetum ranking'!K22</f>
        <v>0.68662674650698607</v>
      </c>
      <c r="G39" s="172">
        <f>'Momnetum ranking'!Q22</f>
        <v>0.99858049999999998</v>
      </c>
      <c r="H39" s="175">
        <f>'Momnetum ranking'!O22</f>
        <v>5.2148222999999998</v>
      </c>
      <c r="I39" s="13"/>
      <c r="J39" s="13"/>
      <c r="K39" s="13">
        <f t="shared" si="1"/>
        <v>3</v>
      </c>
      <c r="L39" s="13">
        <f t="shared" si="2"/>
        <v>3</v>
      </c>
      <c r="M39" s="13">
        <f t="shared" si="3"/>
        <v>3</v>
      </c>
      <c r="N39" s="13">
        <f t="shared" si="4"/>
        <v>2</v>
      </c>
      <c r="O39" s="14">
        <f t="shared" si="5"/>
        <v>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6.8891049999999995E-2</v>
      </c>
      <c r="F3" s="3" cm="1">
        <f t="array" ref="F3">_xll.FDS(C3,"FG_TOTAL_RETURNC(0,-3AM)")</f>
        <v>4.7810079999999999</v>
      </c>
      <c r="G3" s="3" cm="1">
        <f t="array" ref="G3">_xll.FDS(C3,"FG_TOTAL_RETURNC(0,-6AM)")</f>
        <v>10.705149</v>
      </c>
      <c r="H3" s="9" cm="1">
        <f t="array" ref="H3">_xll.FDS(C3,"P_PRICE(0)/P_PRICE_HIGH_PR(0,,,USD,,,""PRICE"",""INTRA"",""52W"")")</f>
        <v>0.96917889999999995</v>
      </c>
      <c r="K3" s="4">
        <f>_xlfn.RANK.EQ(H3,H$3:H$12)</f>
        <v>5</v>
      </c>
      <c r="L3" s="4">
        <f>_xlfn.RANK.EQ(F3,F$3:F$12)</f>
        <v>6</v>
      </c>
      <c r="M3" s="4">
        <f>_xlfn.RANK.EQ(G3,G$3:G$12)</f>
        <v>8</v>
      </c>
      <c r="N3" s="4"/>
      <c r="P3" s="3">
        <f t="shared" ref="P3:P12" si="0">SUMPRODUCT($K$2:$M$2,K3:M3)</f>
        <v>6.27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3.5019398000000002</v>
      </c>
      <c r="F4" s="3" cm="1">
        <f t="array" ref="F4">_xll.FDS(C4,"FG_TOTAL_RETURNC(0,-3AM)")</f>
        <v>5.2148222999999998</v>
      </c>
      <c r="G4" s="3" cm="1">
        <f t="array" ref="G4">_xll.FDS(C4,"FG_TOTAL_RETURNC(0,-6AM)")</f>
        <v>18.416477</v>
      </c>
      <c r="H4" s="9" cm="1">
        <f t="array" ref="H4">_xll.FDS(C4,"P_PRICE(0)/P_PRICE_HIGH_PR(0,,,USD,,,""PRICE"",""INTRA"",""52W"")")</f>
        <v>0.99858049999999998</v>
      </c>
      <c r="I4" s="177"/>
      <c r="K4" s="4">
        <f t="shared" ref="K4:K12" si="3">_xlfn.RANK.EQ(H4,H$3:H$12)</f>
        <v>2</v>
      </c>
      <c r="L4" s="4">
        <f t="shared" ref="L4:M12" si="4">_xlfn.RANK.EQ(F4,F$3:F$12)</f>
        <v>5</v>
      </c>
      <c r="M4" s="4">
        <f t="shared" si="4"/>
        <v>3</v>
      </c>
      <c r="N4" s="4"/>
      <c r="P4" s="3">
        <f t="shared" si="0"/>
        <v>3.3</v>
      </c>
      <c r="Q4">
        <f t="shared" si="1"/>
        <v>0</v>
      </c>
      <c r="S4" s="3">
        <f t="shared" ref="S4:S12" si="5">11-_xlfn.RANK.EQ(P4,$P$3:$P$12)</f>
        <v>5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1.9656062000000001</v>
      </c>
      <c r="F5" s="3" cm="1">
        <f t="array" ref="F5">_xll.FDS(C5,"FG_TOTAL_RETURNC(0,-3AM)")</f>
        <v>10.371708999999999</v>
      </c>
      <c r="G5" s="3" cm="1">
        <f t="array" ref="G5">_xll.FDS(C5,"FG_TOTAL_RETURNC(0,-6AM)")</f>
        <v>16.817496999999999</v>
      </c>
      <c r="H5" s="9" cm="1">
        <f t="array" ref="H5">_xll.FDS(C5,"P_PRICE(0)/P_PRICE_HIGH_PR(0,,,USD,,,""PRICE"",""INTRA"",""52W"")")</f>
        <v>0.97239200000000003</v>
      </c>
      <c r="I5" s="177"/>
      <c r="K5" s="4">
        <f t="shared" si="3"/>
        <v>4</v>
      </c>
      <c r="L5" s="4">
        <f t="shared" si="4"/>
        <v>2</v>
      </c>
      <c r="M5" s="4">
        <f t="shared" si="4"/>
        <v>4</v>
      </c>
      <c r="N5" s="4"/>
      <c r="P5" s="3">
        <f t="shared" si="0"/>
        <v>3.3</v>
      </c>
      <c r="Q5">
        <f t="shared" si="1"/>
        <v>0</v>
      </c>
      <c r="S5" s="3">
        <f t="shared" si="5"/>
        <v>5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-0.5230129</v>
      </c>
      <c r="F6" s="3" cm="1">
        <f t="array" ref="F6">_xll.FDS(C6,"FG_TOTAL_RETURNC(0,-3AM)")</f>
        <v>2.2214293000000001</v>
      </c>
      <c r="G6" s="3" cm="1">
        <f t="array" ref="G6">_xll.FDS(C6,"FG_TOTAL_RETURNC(0,-6AM)")</f>
        <v>2.8515934999999999</v>
      </c>
      <c r="H6" s="9" cm="1">
        <f t="array" ref="H6">_xll.FDS(C6,"P_PRICE(0)/P_PRICE_HIGH_PR(0,,,USD,,,""PRICE"",""INTRA"",""52W"")")</f>
        <v>0.94579809999999997</v>
      </c>
      <c r="I6" s="177"/>
      <c r="K6" s="4">
        <f t="shared" si="3"/>
        <v>8</v>
      </c>
      <c r="L6" s="4">
        <f t="shared" si="4"/>
        <v>7</v>
      </c>
      <c r="M6" s="4">
        <f t="shared" si="4"/>
        <v>9</v>
      </c>
      <c r="N6" s="4"/>
      <c r="P6" s="3">
        <f t="shared" si="0"/>
        <v>7.92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5.2515625999999997</v>
      </c>
      <c r="F7" s="3" cm="1">
        <f t="array" ref="F7">_xll.FDS(C7,"FG_TOTAL_RETURNC(0,-3AM)")</f>
        <v>5.7401895999999999</v>
      </c>
      <c r="G7" s="3" cm="1">
        <f t="array" ref="G7">_xll.FDS(C7,"FG_TOTAL_RETURNC(0,-6AM)")</f>
        <v>20.800530999999999</v>
      </c>
      <c r="H7" s="9" cm="1">
        <f t="array" ref="H7">_xll.FDS(C7,"P_PRICE(0)/P_PRICE_HIGH_PR(0,,,USD,,,""PRICE"",""INTRA"",""52W"")")</f>
        <v>0.99748135000000004</v>
      </c>
      <c r="I7" s="1"/>
      <c r="K7" s="4">
        <f t="shared" si="3"/>
        <v>3</v>
      </c>
      <c r="L7" s="4">
        <f t="shared" si="4"/>
        <v>4</v>
      </c>
      <c r="M7" s="4">
        <f t="shared" si="4"/>
        <v>2</v>
      </c>
      <c r="N7" s="4"/>
      <c r="P7" s="3">
        <f t="shared" si="0"/>
        <v>2.97</v>
      </c>
      <c r="Q7">
        <f t="shared" si="1"/>
        <v>0</v>
      </c>
      <c r="S7" s="3">
        <f t="shared" si="5"/>
        <v>3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7.3591230000000003</v>
      </c>
      <c r="F8" s="3" cm="1">
        <f t="array" ref="F8">_xll.FDS(C8,"FG_TOTAL_RETURNC(0,-3AM)")</f>
        <v>14.228189</v>
      </c>
      <c r="G8" s="3" cm="1">
        <f t="array" ref="G8">_xll.FDS(C8,"FG_TOTAL_RETURNC(0,-6AM)")</f>
        <v>23.881779999999999</v>
      </c>
      <c r="H8" s="9" cm="1">
        <f t="array" ref="H8">_xll.FDS(C8,"P_PRICE(0)/P_PRICE_HIGH_PR(0,,,USD,,,""PRICE"",""INTRA"",""52W"")")</f>
        <v>0.95959413000000005</v>
      </c>
      <c r="I8" s="1"/>
      <c r="K8" s="4">
        <f t="shared" si="3"/>
        <v>7</v>
      </c>
      <c r="L8" s="4">
        <f t="shared" si="4"/>
        <v>1</v>
      </c>
      <c r="M8" s="4">
        <f t="shared" si="4"/>
        <v>1</v>
      </c>
      <c r="N8" s="4"/>
      <c r="P8" s="3">
        <f t="shared" si="0"/>
        <v>2.97</v>
      </c>
      <c r="Q8">
        <f t="shared" si="1"/>
        <v>0</v>
      </c>
      <c r="S8" s="3">
        <f t="shared" si="5"/>
        <v>3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-3.1720877000000001</v>
      </c>
      <c r="F9" s="3" cm="1">
        <f t="array" ref="F9">_xll.FDS(C9,"FG_TOTAL_RETURNC(0,-3AM)")</f>
        <v>-1.4527737999999999</v>
      </c>
      <c r="G9" s="3" cm="1">
        <f t="array" ref="G9">_xll.FDS(C9,"FG_TOTAL_RETURNC(0,-6AM)")</f>
        <v>13.125382999999999</v>
      </c>
      <c r="H9" s="9" cm="1">
        <f t="array" ref="H9">_xll.FDS(C9,"P_PRICE(0)/P_PRICE_HIGH_PR(0,,,USD,,,""PRICE"",""INTRA"",""52W"")")</f>
        <v>0.87831192999999996</v>
      </c>
      <c r="I9" s="1"/>
      <c r="K9" s="4">
        <f t="shared" si="3"/>
        <v>10</v>
      </c>
      <c r="L9" s="4">
        <f t="shared" si="4"/>
        <v>8</v>
      </c>
      <c r="M9" s="4">
        <f t="shared" si="4"/>
        <v>6</v>
      </c>
      <c r="N9" s="4"/>
      <c r="P9" s="3">
        <f t="shared" si="0"/>
        <v>7.92</v>
      </c>
      <c r="Q9">
        <f t="shared" si="1"/>
        <v>0</v>
      </c>
      <c r="S9" s="3">
        <f t="shared" si="5"/>
        <v>9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3.6963224000000001</v>
      </c>
      <c r="F10" s="3" cm="1">
        <f t="array" ref="F10">_xll.FDS(C10,"FG_TOTAL_RETURNC(0,-3AM)")</f>
        <v>-1.9006908</v>
      </c>
      <c r="G10" s="3" cm="1">
        <f t="array" ref="G10">_xll.FDS(C10,"FG_TOTAL_RETURNC(0,-6AM)")</f>
        <v>-0.85000396</v>
      </c>
      <c r="H10" s="9" cm="1">
        <f t="array" ref="H10">_xll.FDS(C10,"P_PRICE(0)/P_PRICE_HIGH_PR(0,,,USD,,,""PRICE"",""INTRA"",""52W"")")</f>
        <v>0.89668113000000005</v>
      </c>
      <c r="K10" s="4">
        <f t="shared" si="3"/>
        <v>9</v>
      </c>
      <c r="L10" s="4">
        <f t="shared" si="4"/>
        <v>9</v>
      </c>
      <c r="M10" s="4">
        <f t="shared" si="4"/>
        <v>10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4.9606323000000003</v>
      </c>
      <c r="F11" s="3" cm="1">
        <f t="array" ref="F11">_xll.FDS(C11,"FG_TOTAL_RETURNC(0,-3AM)")</f>
        <v>7.4913144000000003</v>
      </c>
      <c r="G11" s="3" cm="1">
        <f t="array" ref="G11">_xll.FDS(C11,"FG_TOTAL_RETURNC(0,-6AM)")</f>
        <v>15.781938999999999</v>
      </c>
      <c r="H11" s="9" cm="1">
        <f t="array" ref="H11">_xll.FDS(C11,"P_PRICE(0)/P_PRICE_HIGH_PR(0,,,USD,,,""PRICE"",""INTRA"",""52W"")")</f>
        <v>0.99992919999999996</v>
      </c>
      <c r="K11" s="4">
        <f t="shared" si="3"/>
        <v>1</v>
      </c>
      <c r="L11" s="4">
        <f t="shared" si="4"/>
        <v>3</v>
      </c>
      <c r="M11" s="4">
        <f t="shared" si="4"/>
        <v>5</v>
      </c>
      <c r="P11" s="3">
        <f t="shared" si="0"/>
        <v>2.97</v>
      </c>
      <c r="Q11">
        <f t="shared" si="1"/>
        <v>0</v>
      </c>
      <c r="S11" s="3">
        <f t="shared" si="5"/>
        <v>3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-0.61719420000000003</v>
      </c>
      <c r="F12" s="3" cm="1">
        <f t="array" ref="F12">_xll.FDS(C12,"FG_TOTAL_RETURNC(0,-3AM)")</f>
        <v>-2.9844522000000002</v>
      </c>
      <c r="G12" s="3" cm="1">
        <f t="array" ref="G12">_xll.FDS(C12,"FG_TOTAL_RETURNC(0,-6AM)")</f>
        <v>12.040747</v>
      </c>
      <c r="H12" s="9" cm="1">
        <f t="array" ref="H12">_xll.FDS(C12,"P_PRICE(0)/P_PRICE_HIGH_PR(0,,,USD,,,""PRICE"",""INTRA"",""52W"")")</f>
        <v>0.96079919999999996</v>
      </c>
      <c r="K12" s="4">
        <f t="shared" si="3"/>
        <v>6</v>
      </c>
      <c r="L12" s="4">
        <f t="shared" si="4"/>
        <v>10</v>
      </c>
      <c r="M12" s="4">
        <f t="shared" si="4"/>
        <v>7</v>
      </c>
      <c r="P12" s="3">
        <f t="shared" si="0"/>
        <v>7.59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83.26666666666668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71.399999999999991</v>
      </c>
      <c r="J6" s="120">
        <f ca="1">VLOOKUP(B6,'Momnetum ranking'!$A$3:$AJ$15,36,FALSE)</f>
        <v>71.399999999999991</v>
      </c>
      <c r="K6" s="163">
        <f>VLOOKUP(B6,'Momnetum ranking'!$A$3:$H$15,8,FALSE)</f>
        <v>0.47826086956521741</v>
      </c>
      <c r="L6" s="120">
        <f>VLOOKUP(B6,'Currency- 2'!$A$3:$U$15,21,FALSE)</f>
        <v>42.8</v>
      </c>
      <c r="M6" s="162">
        <f t="shared" ref="M6:M18" ca="1" si="1">D6*$D$2 + E6*$E$2 + F6*$F$2 + I6*$I$2 + J6*$J$2 + L6*$L$2</f>
        <v>72.097502000000006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57.099999999999994</v>
      </c>
      <c r="E7" s="121">
        <f>VLOOKUP(B7,'Quality - 2'!$B$2:$S$14,18,FALSE)</f>
        <v>64.2</v>
      </c>
      <c r="F7" s="159">
        <f>VLOOKUP(B7,Safety!$B$4:$R$16,17,FALSE)</f>
        <v>78.5</v>
      </c>
      <c r="G7" s="180">
        <f t="shared" si="0"/>
        <v>66.600000000000009</v>
      </c>
      <c r="H7" s="125" cm="1">
        <f t="array" ref="H7">_xlfn.PERCENTRANK.EXC(_xlfn._xlws.FILTER($G$6:G$18, ISNUMBER($G$6:G$18)),G7)*100</f>
        <v>85.7</v>
      </c>
      <c r="I7" s="159">
        <f>VLOOKUP(B7,'LIQIDITY 2'!$A$3:$X$15,24,FALSE)</f>
        <v>7.1</v>
      </c>
      <c r="J7" s="121">
        <f ca="1">VLOOKUP(B7,'Momnetum ranking'!$A$3:$AJ$15,36,FALSE)</f>
        <v>14.2</v>
      </c>
      <c r="K7" s="161">
        <f>VLOOKUP(B7,'Momnetum ranking'!$A$3:$H$15,8,FALSE)</f>
        <v>0.53431372549019607</v>
      </c>
      <c r="L7" s="121">
        <f>VLOOKUP(B7,'Currency- 2'!$A$3:$U$15,21,FALSE)</f>
        <v>7.1</v>
      </c>
      <c r="M7" s="160">
        <f t="shared" ca="1" si="1"/>
        <v>27.788001999999999</v>
      </c>
      <c r="N7" s="121" cm="1">
        <f t="array" aca="1" ref="N7" ca="1">_xlfn.PERCENTRANK.EXC(_xlfn._xlws.FILTER($M$6:M$18, ISNUMBER($M$6:M$18)),M7)*100</f>
        <v>7.1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57.099999999999994</v>
      </c>
      <c r="G8" s="180">
        <f t="shared" si="0"/>
        <v>49.933333333333337</v>
      </c>
      <c r="H8" s="125" cm="1">
        <f t="array" ref="H8">_xlfn.PERCENTRANK.EXC(_xlfn._xlws.FILTER($G$6:G$18, ISNUMBER($G$6:G$18)),G8)*100</f>
        <v>50</v>
      </c>
      <c r="I8" s="159">
        <f>VLOOKUP(B8,'LIQIDITY 2'!$A$3:$X$15,24,FALSE)</f>
        <v>42.8</v>
      </c>
      <c r="J8" s="121">
        <f ca="1">VLOOKUP(B8,'Momnetum ranking'!$A$3:$AJ$15,36,FALSE)</f>
        <v>78.5</v>
      </c>
      <c r="K8" s="161">
        <f>VLOOKUP(B8,'Momnetum ranking'!$A$3:$H$15,8,FALSE)</f>
        <v>0.43137254901960786</v>
      </c>
      <c r="L8" s="121">
        <f>VLOOKUP(B8,'Currency- 2'!$A$3:$U$15,21,FALSE)</f>
        <v>57.099999999999994</v>
      </c>
      <c r="M8" s="160">
        <f t="shared" ca="1" si="1"/>
        <v>60.648502000000001</v>
      </c>
      <c r="N8" s="121" cm="1">
        <f t="array" aca="1" ref="N8" ca="1">_xlfn.PERCENTRANK.EXC(_xlfn._xlws.FILTER($M$6:M$18, ISNUMBER($M$6:M$18)),M8)*100</f>
        <v>78.5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21.4</v>
      </c>
      <c r="E9" s="121">
        <f>VLOOKUP(B9,'Quality - 2'!$B$2:$S$14,18,FALSE)</f>
        <v>92.800000000000011</v>
      </c>
      <c r="F9" s="159">
        <f>VLOOKUP(B9,Safety!$B$4:$R$16,17,FALSE)</f>
        <v>50</v>
      </c>
      <c r="G9" s="180">
        <f t="shared" si="0"/>
        <v>54.733333333333334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42.8</v>
      </c>
      <c r="J9" s="121">
        <f ca="1">VLOOKUP(B9,'Momnetum ranking'!$A$3:$AJ$15,36,FALSE)</f>
        <v>64.2</v>
      </c>
      <c r="K9" s="161">
        <f>VLOOKUP(B9,'Momnetum ranking'!$A$3:$H$15,8,FALSE)</f>
        <v>0.40674603174603174</v>
      </c>
      <c r="L9" s="121">
        <f>VLOOKUP(B9,'Currency- 2'!$A$3:$U$15,21,FALSE)</f>
        <v>57.099999999999994</v>
      </c>
      <c r="M9" s="160">
        <f t="shared" ca="1" si="1"/>
        <v>56.368358000000008</v>
      </c>
      <c r="N9" s="121" cm="1">
        <f t="array" aca="1" ref="N9" ca="1">_xlfn.PERCENTRANK.EXC(_xlfn._xlws.FILTER($M$6:M$18, ISNUMBER($M$6:M$18)),M9)*100</f>
        <v>64.2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71.399999999999991</v>
      </c>
      <c r="E10" s="121">
        <f>VLOOKUP(B10,'Quality - 2'!$B$2:$S$14,18,FALSE)</f>
        <v>28.499999999999996</v>
      </c>
      <c r="F10" s="159">
        <f>VLOOKUP(B10,Safety!$B$4:$R$16,17,FALSE)</f>
        <v>28.499999999999996</v>
      </c>
      <c r="G10" s="180">
        <f t="shared" si="0"/>
        <v>42.8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7.1</v>
      </c>
      <c r="J10" s="121">
        <f ca="1">VLOOKUP(B10,'Momnetum ranking'!$A$3:$AJ$15,36,FALSE)</f>
        <v>28.499999999999996</v>
      </c>
      <c r="K10" s="161">
        <f>VLOOKUP(B10,'Momnetum ranking'!$A$3:$H$15,8,FALSE)</f>
        <v>0.51724137931034486</v>
      </c>
      <c r="L10" s="121">
        <f>VLOOKUP(B10,'Currency- 2'!$A$3:$U$15,21,FALSE)</f>
        <v>85.7</v>
      </c>
      <c r="M10" s="160">
        <f t="shared" ca="1" si="1"/>
        <v>34.228715999999999</v>
      </c>
      <c r="N10" s="121" cm="1">
        <f t="array" aca="1" ref="N10" ca="1">_xlfn.PERCENTRANK.EXC(_xlfn._xlws.FILTER($M$6:M$18, ISNUMBER($M$6:M$18)),M10)*100</f>
        <v>21.4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50</v>
      </c>
      <c r="F11" s="159">
        <f>VLOOKUP(B11,Safety!$B$4:$R$16,17,FALSE)</f>
        <v>21.4</v>
      </c>
      <c r="G11" s="180">
        <f t="shared" si="0"/>
        <v>52.366666666666667</v>
      </c>
      <c r="H11" s="125" cm="1">
        <f t="array" ref="H11">_xlfn.PERCENTRANK.EXC(_xlfn._xlws.FILTER($G$6:G$18, ISNUMBER($G$6:G$18)),G11)*100</f>
        <v>57.099999999999994</v>
      </c>
      <c r="I11" s="159">
        <f>VLOOKUP(B11,'LIQIDITY 2'!$A$3:$X$15,24,FALSE)</f>
        <v>42.8</v>
      </c>
      <c r="J11" s="121">
        <f ca="1">VLOOKUP(B11,'Momnetum ranking'!$A$3:$AJ$15,36,FALSE)</f>
        <v>50</v>
      </c>
      <c r="K11" s="161">
        <f>VLOOKUP(B11,'Momnetum ranking'!$A$3:$H$15,8,FALSE)</f>
        <v>0.45121951219512196</v>
      </c>
      <c r="L11" s="121">
        <f>VLOOKUP(B11,'Currency- 2'!$A$3:$U$15,21,FALSE)</f>
        <v>78.5</v>
      </c>
      <c r="M11" s="160">
        <f t="shared" ca="1" si="1"/>
        <v>52.118428999999999</v>
      </c>
      <c r="N11" s="121" cm="1">
        <f t="array" aca="1" ref="N11" ca="1">_xlfn.PERCENTRANK.EXC(_xlfn._xlws.FILTER($M$6:M$18, ISNUMBER($M$6:M$18)),M11)*100</f>
        <v>57.099999999999994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57.099999999999994</v>
      </c>
      <c r="F12" s="159">
        <f>VLOOKUP(B12,Safety!$B$4:$R$16,17,FALSE)</f>
        <v>71.399999999999991</v>
      </c>
      <c r="G12" s="180">
        <f t="shared" si="0"/>
        <v>57.099999999999994</v>
      </c>
      <c r="H12" s="125" cm="1">
        <f t="array" ref="H12">_xlfn.PERCENTRANK.EXC(_xlfn._xlws.FILTER($G$6:G$18, ISNUMBER($G$6:G$18)),G12)*100</f>
        <v>71.399999999999991</v>
      </c>
      <c r="I12" s="159">
        <f>VLOOKUP(B12,'LIQIDITY 2'!$A$3:$X$15,24,FALSE)</f>
        <v>85.7</v>
      </c>
      <c r="J12" s="121">
        <f ca="1">VLOOKUP(B12,'Momnetum ranking'!$A$3:$AJ$15,36,FALSE)</f>
        <v>21.4</v>
      </c>
      <c r="K12" s="161">
        <f>VLOOKUP(B12,'Momnetum ranking'!$A$3:$H$15,8,FALSE)</f>
        <v>0.45454545454545453</v>
      </c>
      <c r="L12" s="121">
        <f>VLOOKUP(B12,'Currency- 2'!$A$3:$U$15,21,FALSE)</f>
        <v>21.4</v>
      </c>
      <c r="M12" s="160">
        <f t="shared" ca="1" si="1"/>
        <v>44.968287000000004</v>
      </c>
      <c r="N12" s="121" cm="1">
        <f t="array" aca="1" ref="N12" ca="1">_xlfn.PERCENTRANK.EXC(_xlfn._xlws.FILTER($M$6:M$18, ISNUMBER($M$6:M$18)),M12)*100</f>
        <v>50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28.499999999999996</v>
      </c>
      <c r="E13" s="121">
        <f>VLOOKUP(B13,'Quality - 2'!$B$2:$S$14,18,FALSE)</f>
        <v>7.1</v>
      </c>
      <c r="F13" s="159">
        <f>VLOOKUP(B13,Safety!$B$4:$R$16,17,FALSE)</f>
        <v>42.8</v>
      </c>
      <c r="G13" s="180">
        <f t="shared" si="0"/>
        <v>26.133333333333333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42.8</v>
      </c>
      <c r="J13" s="121">
        <f ca="1">VLOOKUP(B13,'Momnetum ranking'!$A$3:$AJ$15,36,FALSE)</f>
        <v>42.8</v>
      </c>
      <c r="K13" s="161">
        <f>VLOOKUP(B13,'Momnetum ranking'!$A$3:$H$15,8,FALSE)</f>
        <v>0.42372881355932202</v>
      </c>
      <c r="L13" s="121">
        <f>VLOOKUP(B13,'Currency- 2'!$A$3:$U$15,21,FALSE)</f>
        <v>50</v>
      </c>
      <c r="M13" s="160">
        <f t="shared" ca="1" si="1"/>
        <v>38.519216</v>
      </c>
      <c r="N13" s="121" cm="1">
        <f t="array" aca="1" ref="N13" ca="1">_xlfn.PERCENTRANK.EXC(_xlfn._xlws.FILTER($M$6:M$18, ISNUMBER($M$6:M$18)),M13)*100</f>
        <v>35.699999999999996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85.7</v>
      </c>
      <c r="G14" s="180">
        <f t="shared" si="0"/>
        <v>38.06666666666667</v>
      </c>
      <c r="H14" s="125" cm="1">
        <f t="array" ref="H14">_xlfn.PERCENTRANK.EXC(_xlfn._xlws.FILTER($G$6:G$18, ISNUMBER($G$6:G$18)),G14)*100</f>
        <v>35.699999999999996</v>
      </c>
      <c r="I14" s="159">
        <f>VLOOKUP(B14,'LIQIDITY 2'!$A$3:$X$15,24,FALSE)</f>
        <v>71.399999999999991</v>
      </c>
      <c r="J14" s="121">
        <f ca="1">VLOOKUP(B14,'Momnetum ranking'!$A$3:$AJ$15,36,FALSE)</f>
        <v>7.1</v>
      </c>
      <c r="K14" s="161">
        <f>VLOOKUP(B14,'Momnetum ranking'!$A$3:$H$15,8,FALSE)</f>
        <v>0.35714285714285715</v>
      </c>
      <c r="L14" s="121">
        <f>VLOOKUP(B14,'Currency- 2'!$A$3:$U$15,21,FALSE)</f>
        <v>28.499999999999996</v>
      </c>
      <c r="M14" s="160">
        <f t="shared" ca="1" si="1"/>
        <v>31.388857999999999</v>
      </c>
      <c r="N14" s="121" cm="1">
        <f t="array" aca="1" ref="N14" ca="1">_xlfn.PERCENTRANK.EXC(_xlfn._xlws.FILTER($M$6:M$18, ISNUMBER($M$6:M$18)),M14)*100</f>
        <v>14.2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50</v>
      </c>
      <c r="E15" s="121">
        <f>VLOOKUP(B15,'Quality - 2'!$B$2:$S$14,18,FALSE)</f>
        <v>71.399999999999991</v>
      </c>
      <c r="F15" s="159">
        <f>VLOOKUP(B15,Safety!$B$4:$R$16,17,FALSE)</f>
        <v>64.2</v>
      </c>
      <c r="G15" s="180">
        <f t="shared" si="0"/>
        <v>61.866666666666667</v>
      </c>
      <c r="H15" s="125" cm="1">
        <f t="array" ref="H15">_xlfn.PERCENTRANK.EXC(_xlfn._xlws.FILTER($G$6:G$18, ISNUMBER($G$6:G$18)),G15)*100</f>
        <v>78.5</v>
      </c>
      <c r="I15" s="159">
        <f>VLOOKUP(B15,'LIQIDITY 2'!$A$3:$X$15,24,FALSE)</f>
        <v>7.1</v>
      </c>
      <c r="J15" s="121">
        <f ca="1">VLOOKUP(B15,'Momnetum ranking'!$A$3:$AJ$15,36,FALSE)</f>
        <v>35.699999999999996</v>
      </c>
      <c r="K15" s="161">
        <f>VLOOKUP(B15,'Momnetum ranking'!$A$3:$H$15,8,FALSE)</f>
        <v>0.421875</v>
      </c>
      <c r="L15" s="121">
        <f>VLOOKUP(B15,'Currency- 2'!$A$3:$U$15,21,FALSE)</f>
        <v>14.2</v>
      </c>
      <c r="M15" s="160">
        <f t="shared" ca="1" si="1"/>
        <v>35.678144000000003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35.699999999999996</v>
      </c>
      <c r="G16" s="180">
        <f t="shared" si="0"/>
        <v>33.299999999999997</v>
      </c>
      <c r="H16" s="125" cm="1">
        <f t="array" ref="H16">_xlfn.PERCENTRANK.EXC(_xlfn._xlws.FILTER($G$6:G$18, ISNUMBER($G$6:G$18)),G16)*100</f>
        <v>14.2</v>
      </c>
      <c r="I16" s="159">
        <f>VLOOKUP(B16,'LIQIDITY 2'!$A$3:$X$15,24,FALSE)</f>
        <v>7.1</v>
      </c>
      <c r="J16" s="121">
        <f ca="1">VLOOKUP(B16,'Momnetum ranking'!$A$3:$AJ$15,36,FALSE)</f>
        <v>92.800000000000011</v>
      </c>
      <c r="K16" s="161">
        <f>VLOOKUP(B16,'Momnetum ranking'!$A$3:$H$15,8,FALSE)</f>
        <v>0.24528301886792453</v>
      </c>
      <c r="L16" s="121">
        <f>VLOOKUP(B16,'Currency- 2'!$A$3:$U$15,21,FALSE)</f>
        <v>92.800000000000011</v>
      </c>
      <c r="M16" s="160">
        <f t="shared" ca="1" si="1"/>
        <v>57.809001000000002</v>
      </c>
      <c r="N16" s="121" cm="1">
        <f t="array" aca="1" ref="N16" ca="1">_xlfn.PERCENTRANK.EXC(_xlfn._xlws.FILTER($M$6:M$18, ISNUMBER($M$6:M$18)),M16)*100</f>
        <v>71.399999999999991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42.8</v>
      </c>
      <c r="F17" s="159">
        <f>VLOOKUP(B17,Safety!$B$4:$R$16,17,FALSE)</f>
        <v>7.1</v>
      </c>
      <c r="G17" s="180">
        <f t="shared" si="0"/>
        <v>38.033333333333346</v>
      </c>
      <c r="H17" s="125" cm="1">
        <f t="array" ref="H17">_xlfn.PERCENTRANK.EXC(_xlfn._xlws.FILTER($G$6:G$18, ISNUMBER($G$6:G$18)),G17)*100</f>
        <v>21.4</v>
      </c>
      <c r="I17" s="159">
        <f>VLOOKUP(B17,'LIQIDITY 2'!$A$3:$X$15,24,FALSE)</f>
        <v>92.800000000000011</v>
      </c>
      <c r="J17" s="121">
        <f ca="1">VLOOKUP(B17,'Momnetum ranking'!$A$3:$AJ$15,36,FALSE)</f>
        <v>85.7</v>
      </c>
      <c r="K17" s="161">
        <f>VLOOKUP(B17,'Momnetum ranking'!$A$3:$H$15,8,FALSE)</f>
        <v>0.35555555555555557</v>
      </c>
      <c r="L17" s="121">
        <f>VLOOKUP(B17,'Currency- 2'!$A$3:$U$15,21,FALSE)</f>
        <v>35.699999999999996</v>
      </c>
      <c r="M17" s="160">
        <f t="shared" ca="1" si="1"/>
        <v>67.818859000000003</v>
      </c>
      <c r="N17" s="121" cm="1">
        <f t="array" aca="1" ref="N17" ca="1">_xlfn.PERCENTRANK.EXC(_xlfn._xlws.FILTER($M$6:M$18, ISNUMBER($M$6:M$18)),M17)*100</f>
        <v>85.7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14.2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7.1</v>
      </c>
      <c r="J18" s="122">
        <f ca="1">VLOOKUP(B18,'Momnetum ranking'!$A$3:$AJ$15,36,FALSE)</f>
        <v>57.099999999999994</v>
      </c>
      <c r="K18" s="165">
        <f>VLOOKUP(B18,'Momnetum ranking'!$A$3:$H$15,8,FALSE)</f>
        <v>0.65384615384615385</v>
      </c>
      <c r="L18" s="122">
        <f>VLOOKUP(B18,'Currency- 2'!$A$3:$U$15,21,FALSE)</f>
        <v>71.399999999999991</v>
      </c>
      <c r="M18" s="164">
        <f t="shared" ca="1" si="1"/>
        <v>42.808858999999998</v>
      </c>
      <c r="N18" s="122" cm="1">
        <f t="array" aca="1" ref="N18" ca="1">_xlfn.PERCENTRANK.EXC(_xlfn._xlws.FILTER($M$6:M$18, ISNUMBER($M$6:M$18)),M18)*100</f>
        <v>42.8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7</v>
      </c>
      <c r="S3" s="148">
        <f ca="1">COUNTIF(S9:S17,"&gt;0")</f>
        <v>7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0.18093158996018877</v>
      </c>
      <c r="F9">
        <f ca="1">VLOOKUP(B9,OUTPUT_COUNTRY!$B$6:$N$18, 9, FALSE)</f>
        <v>7.1</v>
      </c>
      <c r="G9" s="47">
        <f>IFERROR(VLOOKUP(B9,OUTPUT_COUNTRY!$B$6:$N$18, 7, FALSE),0)</f>
        <v>35.699999999999996</v>
      </c>
      <c r="H9">
        <f>VLOOKUP(B9,OUTPUT_COUNTRY!$B$6:$N$18, 8, FALSE)</f>
        <v>71.399999999999991</v>
      </c>
      <c r="I9">
        <f>VLOOKUP(B9,OUTPUT_COUNTRY!$B$6:$N$18, 11, FALSE)</f>
        <v>28.499999999999996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5.5269508227945972</v>
      </c>
      <c r="O9" s="136">
        <f>N9/$N$22</f>
        <v>0.24042901338791442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2.4042901338791445E-2</v>
      </c>
      <c r="S9" s="156">
        <f t="shared" ref="S9:S21" ca="1" si="5">IFERROR(IF(R9&gt;=$R$6, R9/SUMIF($R$9:$R$17,"&gt;="&amp;$R$6), ""),"")</f>
        <v>3.5992057866126831E-2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0.19344891594540506</v>
      </c>
      <c r="F10">
        <f ca="1">VLOOKUP(B10,OUTPUT_COUNTRY!$B$6:$N$18, 9, FALSE)</f>
        <v>42.8</v>
      </c>
      <c r="G10" s="47">
        <f>IFERROR(VLOOKUP(B10,OUTPUT_COUNTRY!$B$6:$N$18, 7, FALSE),0)</f>
        <v>7.1</v>
      </c>
      <c r="H10">
        <f>VLOOKUP(B10,OUTPUT_COUNTRY!$B$6:$N$18, 8, FALSE)</f>
        <v>42.8</v>
      </c>
      <c r="I10">
        <f>VLOOKUP(B10,OUTPUT_COUNTRY!$B$6:$N$18, 11, FALSE)</f>
        <v>50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0.16706091553608374</v>
      </c>
      <c r="F11">
        <f ca="1">VLOOKUP(B11,OUTPUT_COUNTRY!$B$6:$N$18, 9, FALSE)</f>
        <v>21.4</v>
      </c>
      <c r="G11" s="47">
        <f>IFERROR(VLOOKUP(B11,OUTPUT_COUNTRY!$B$6:$N$18, 7, FALSE),0)</f>
        <v>71.399999999999991</v>
      </c>
      <c r="H11">
        <f>VLOOKUP(B11,OUTPUT_COUNTRY!$B$6:$N$18, 8, FALSE)</f>
        <v>85.7</v>
      </c>
      <c r="I11">
        <f>VLOOKUP(B11,OUTPUT_COUNTRY!$B$6:$N$18, 11, FALSE)</f>
        <v>21.4</v>
      </c>
      <c r="J11" s="47">
        <f t="shared" ca="1" si="0"/>
        <v>0</v>
      </c>
      <c r="K11" s="136">
        <f t="shared" ca="1" si="6"/>
        <v>0</v>
      </c>
      <c r="L11">
        <f t="shared" si="1"/>
        <v>5.9858405348198183</v>
      </c>
      <c r="M11" s="136">
        <f t="shared" si="7"/>
        <v>0.23730071442395076</v>
      </c>
      <c r="N11">
        <f t="shared" si="2"/>
        <v>5.9858405348198183</v>
      </c>
      <c r="O11" s="136">
        <f t="shared" si="8"/>
        <v>0.26039126821042097</v>
      </c>
      <c r="P11">
        <f t="shared" si="3"/>
        <v>0</v>
      </c>
      <c r="Q11" s="136">
        <f t="shared" si="9"/>
        <v>0</v>
      </c>
      <c r="R11" s="156">
        <f t="shared" ca="1" si="4"/>
        <v>9.7229341148227316E-2</v>
      </c>
      <c r="S11" s="156">
        <f t="shared" ca="1" si="5"/>
        <v>0.14555165466849149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0.22189462069839133</v>
      </c>
      <c r="F12">
        <f ca="1">VLOOKUP(B12,OUTPUT_COUNTRY!$B$6:$N$18, 9, FALSE)</f>
        <v>28.499999999999996</v>
      </c>
      <c r="G12" s="47">
        <f>IFERROR(VLOOKUP(B12,OUTPUT_COUNTRY!$B$6:$N$18, 7, FALSE),0)</f>
        <v>42.8</v>
      </c>
      <c r="H12">
        <f>VLOOKUP(B12,OUTPUT_COUNTRY!$B$6:$N$18, 8, FALSE)</f>
        <v>7.1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4.5066437250826503</v>
      </c>
      <c r="Q12" s="136">
        <f t="shared" si="9"/>
        <v>0.23472058739233359</v>
      </c>
      <c r="R12" s="156">
        <f t="shared" ca="1" si="4"/>
        <v>2.3472058739233359E-2</v>
      </c>
      <c r="S12" s="156">
        <f t="shared" ca="1" si="5"/>
        <v>3.5137510422528759E-2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0.13890074179748929</v>
      </c>
      <c r="F13">
        <f ca="1">VLOOKUP(B13,OUTPUT_COUNTRY!$B$6:$N$18, 9, FALSE)</f>
        <v>14.2</v>
      </c>
      <c r="G13" s="47">
        <f>IFERROR(VLOOKUP(B13,OUTPUT_COUNTRY!$B$6:$N$18, 7, FALSE),0)</f>
        <v>85.7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7.1993855976518306</v>
      </c>
      <c r="M13" s="136">
        <f t="shared" si="7"/>
        <v>0.28541010001826028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8.5623030005478079E-2</v>
      </c>
      <c r="S13" s="156">
        <f t="shared" ca="1" si="5"/>
        <v>0.12817708675026282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0.13848358478619061</v>
      </c>
      <c r="F14">
        <f ca="1">VLOOKUP(B14,OUTPUT_COUNTRY!$B$6:$N$18, 9, FALSE)</f>
        <v>71.399999999999991</v>
      </c>
      <c r="G14" s="47">
        <f>IFERROR(VLOOKUP(B14,OUTPUT_COUNTRY!$B$6:$N$18, 7, FALSE),0)</f>
        <v>92.800000000000011</v>
      </c>
      <c r="H14">
        <f>VLOOKUP(B14,OUTPUT_COUNTRY!$B$6:$N$18, 8, FALSE)</f>
        <v>71.399999999999991</v>
      </c>
      <c r="I14">
        <f>VLOOKUP(B14,OUTPUT_COUNTRY!$B$6:$N$18, 11, FALSE)</f>
        <v>42.8</v>
      </c>
      <c r="J14" s="47">
        <f t="shared" ca="1" si="0"/>
        <v>7.221072458110708</v>
      </c>
      <c r="K14" s="136">
        <f t="shared" ca="1" si="6"/>
        <v>0.33606655837668831</v>
      </c>
      <c r="L14">
        <f t="shared" si="1"/>
        <v>7.221072458110708</v>
      </c>
      <c r="M14" s="136">
        <f t="shared" si="7"/>
        <v>0.2862698468575835</v>
      </c>
      <c r="N14">
        <f t="shared" si="2"/>
        <v>7.221072458110708</v>
      </c>
      <c r="O14" s="136">
        <f t="shared" si="8"/>
        <v>0.31412534367880363</v>
      </c>
      <c r="P14">
        <f t="shared" si="3"/>
        <v>0</v>
      </c>
      <c r="Q14" s="136">
        <f t="shared" si="9"/>
        <v>0</v>
      </c>
      <c r="R14" s="156">
        <f t="shared" ca="1" si="4"/>
        <v>0.28532676761349957</v>
      </c>
      <c r="S14" s="156">
        <f t="shared" ca="1" si="5"/>
        <v>0.4271322077976889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0.17742224263712608</v>
      </c>
      <c r="F15">
        <f ca="1">VLOOKUP(B15,OUTPUT_COUNTRY!$B$6:$N$18, 9, FALSE)</f>
        <v>50</v>
      </c>
      <c r="G15" s="47">
        <f>IFERROR(VLOOKUP(B15,OUTPUT_COUNTRY!$B$6:$N$18, 7, FALSE),0)</f>
        <v>57.099999999999994</v>
      </c>
      <c r="H15">
        <f>VLOOKUP(B15,OUTPUT_COUNTRY!$B$6:$N$18, 8, FALSE)</f>
        <v>42.8</v>
      </c>
      <c r="I15">
        <f>VLOOKUP(B15,OUTPUT_COUNTRY!$B$6:$N$18, 11, FALSE)</f>
        <v>78.5</v>
      </c>
      <c r="J15" s="47">
        <f t="shared" ca="1" si="0"/>
        <v>0</v>
      </c>
      <c r="K15" s="136">
        <f t="shared" ca="1" si="6"/>
        <v>0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5.6362718965584042</v>
      </c>
      <c r="Q15" s="136">
        <f t="shared" si="9"/>
        <v>0.29355527771142553</v>
      </c>
      <c r="R15" s="156">
        <f t="shared" ca="1" si="4"/>
        <v>2.9355527771142555E-2</v>
      </c>
      <c r="S15" s="156">
        <f t="shared" ca="1" si="5"/>
        <v>4.3945023079430316E-2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0.18925330146503025</v>
      </c>
      <c r="F16">
        <f ca="1">VLOOKUP(B16,OUTPUT_COUNTRY!$B$6:$N$18, 9, FALSE)</f>
        <v>78.5</v>
      </c>
      <c r="G16" s="47">
        <f>IFERROR(VLOOKUP(B16,OUTPUT_COUNTRY!$B$6:$N$18, 7, FALSE),0)</f>
        <v>50</v>
      </c>
      <c r="H16">
        <f>VLOOKUP(B16,OUTPUT_COUNTRY!$B$6:$N$18, 8, FALSE)</f>
        <v>42.8</v>
      </c>
      <c r="I16">
        <f>VLOOKUP(B16,OUTPUT_COUNTRY!$B$6:$N$18, 11, FALSE)</f>
        <v>57.099999999999994</v>
      </c>
      <c r="J16" s="47">
        <f t="shared" ca="1" si="0"/>
        <v>5.2839236740331188</v>
      </c>
      <c r="K16" s="136">
        <f t="shared" ca="1" si="6"/>
        <v>0.24591223175761021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0.1229561158788051</v>
      </c>
      <c r="S16" s="156">
        <f t="shared" ca="1" si="5"/>
        <v>0.18406445941547092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0.14236013651249993</v>
      </c>
      <c r="F17">
        <f ca="1">VLOOKUP(B17,OUTPUT_COUNTRY!$B$6:$N$18, 9, FALSE)</f>
        <v>64.2</v>
      </c>
      <c r="G17" s="47">
        <f>IFERROR(VLOOKUP(B17,OUTPUT_COUNTRY!$B$6:$N$18, 7, FALSE),0)</f>
        <v>64.2</v>
      </c>
      <c r="H17">
        <f>VLOOKUP(B17,OUTPUT_COUNTRY!$B$6:$N$18, 8, FALSE)</f>
        <v>42.8</v>
      </c>
      <c r="I17">
        <f>VLOOKUP(B17,OUTPUT_COUNTRY!$B$6:$N$18, 11, FALSE)</f>
        <v>57.099999999999994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 t="str">
        <f t="shared" ca="1" si="4"/>
        <v/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0.2075374926894212</v>
      </c>
      <c r="F18">
        <f ca="1">VLOOKUP(B18,OUTPUT_COUNTRY!$B$6:$N$18, 9, FALSE)</f>
        <v>35.699999999999996</v>
      </c>
      <c r="G18" s="47">
        <f>IFERROR(VLOOKUP(B18,OUTPUT_COUNTRY!$B$6:$N$18, 7, FALSE),0)</f>
        <v>78.5</v>
      </c>
      <c r="H18">
        <f>VLOOKUP(B18,OUTPUT_COUNTRY!$B$6:$N$18, 8, FALSE)</f>
        <v>7.1</v>
      </c>
      <c r="I18">
        <f>VLOOKUP(B18,OUTPUT_COUNTRY!$B$6:$N$18, 11, FALSE)</f>
        <v>14.2</v>
      </c>
      <c r="J18" s="47">
        <f t="shared" ca="1" si="0"/>
        <v>0</v>
      </c>
      <c r="K18" s="136">
        <f t="shared" ca="1" si="6"/>
        <v>0</v>
      </c>
      <c r="L18">
        <f t="shared" si="1"/>
        <v>4.8184064818422705</v>
      </c>
      <c r="M18" s="136">
        <f t="shared" si="7"/>
        <v>0.19101933870020546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5.7305801610061637E-2</v>
      </c>
      <c r="S18" s="156">
        <f t="shared" ca="1" si="5"/>
        <v>8.5786390691806588E-2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0.2115046371969713</v>
      </c>
      <c r="F19">
        <f ca="1">VLOOKUP(B19,OUTPUT_COUNTRY!$B$6:$N$18, 9, FALSE)</f>
        <v>92.800000000000011</v>
      </c>
      <c r="G19" s="47">
        <f>IFERROR(VLOOKUP(B19,OUTPUT_COUNTRY!$B$6:$N$18, 7, FALSE),0)</f>
        <v>14.2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4.7280287243476087</v>
      </c>
      <c r="K19" s="136">
        <f t="shared" ca="1" si="6"/>
        <v>0.22004104660560994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4.7280287243476087</v>
      </c>
      <c r="Q19" s="136">
        <f t="shared" si="9"/>
        <v>0.24625103449160354</v>
      </c>
      <c r="R19" s="156">
        <f t="shared" ca="1" si="4"/>
        <v>0.13464562675196534</v>
      </c>
      <c r="S19" s="156">
        <f t="shared" ca="1" si="5"/>
        <v>0.20156357675763154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0.23507254951406931</v>
      </c>
      <c r="F20">
        <f ca="1">VLOOKUP(B20,OUTPUT_COUNTRY!$B$6:$N$18, 9, FALSE)</f>
        <v>85.7</v>
      </c>
      <c r="G20" s="47">
        <f>IFERROR(VLOOKUP(B20,OUTPUT_COUNTRY!$B$6:$N$18, 7, FALSE),0)</f>
        <v>21.4</v>
      </c>
      <c r="H20">
        <f>VLOOKUP(B20,OUTPUT_COUNTRY!$B$6:$N$18, 8, FALSE)</f>
        <v>92.800000000000011</v>
      </c>
      <c r="I20">
        <f>VLOOKUP(B20,OUTPUT_COUNTRY!$B$6:$N$18, 11, FALSE)</f>
        <v>35.699999999999996</v>
      </c>
      <c r="J20" s="47">
        <f t="shared" ca="1" si="0"/>
        <v>4.2540058465658879</v>
      </c>
      <c r="K20" s="136">
        <f t="shared" ca="1" si="6"/>
        <v>0.19798016326009149</v>
      </c>
      <c r="L20">
        <f t="shared" si="1"/>
        <v>0</v>
      </c>
      <c r="M20" s="136">
        <f t="shared" si="7"/>
        <v>0</v>
      </c>
      <c r="N20">
        <f t="shared" si="2"/>
        <v>4.2540058465658879</v>
      </c>
      <c r="O20" s="136">
        <f t="shared" si="8"/>
        <v>0.18505437472286096</v>
      </c>
      <c r="P20">
        <f t="shared" si="3"/>
        <v>0</v>
      </c>
      <c r="Q20" s="136">
        <f t="shared" si="9"/>
        <v>0</v>
      </c>
      <c r="R20" s="156">
        <f t="shared" ca="1" si="4"/>
        <v>0.11749551910233184</v>
      </c>
      <c r="S20" s="156">
        <f t="shared" ca="1" si="5"/>
        <v>0.17588998361519337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0.23099534097884039</v>
      </c>
      <c r="F21" s="13">
        <f ca="1">VLOOKUP(B21,OUTPUT_COUNTRY!$B$6:$N$18, 9, FALSE)</f>
        <v>57.099999999999994</v>
      </c>
      <c r="G21" s="138">
        <f>IFERROR(VLOOKUP(B21,OUTPUT_COUNTRY!$B$6:$N$18, 7, FALSE),0)</f>
        <v>21.4</v>
      </c>
      <c r="H21" s="13">
        <f>VLOOKUP(B21,OUTPUT_COUNTRY!$B$6:$N$18, 8, FALSE)</f>
        <v>7.1</v>
      </c>
      <c r="I21" s="13">
        <f>VLOOKUP(B21,OUTPUT_COUNTRY!$B$6:$N$18, 11, FALSE)</f>
        <v>71.399999999999991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4.3290916421193186</v>
      </c>
      <c r="Q21" s="137">
        <f t="shared" si="9"/>
        <v>0.22547310040463717</v>
      </c>
      <c r="R21" s="157">
        <f t="shared" ca="1" si="4"/>
        <v>2.2547310040463717E-2</v>
      </c>
      <c r="S21" s="157">
        <f t="shared" ca="1" si="5"/>
        <v>3.3753167983621782E-2</v>
      </c>
    </row>
    <row r="22" spans="2:21" x14ac:dyDescent="0.35">
      <c r="J22" s="47">
        <f ca="1">SUM(J9:J21)</f>
        <v>21.487030703057325</v>
      </c>
      <c r="K22" s="169"/>
      <c r="L22">
        <f>SUM(L9:L21)</f>
        <v>25.224705072424626</v>
      </c>
      <c r="N22">
        <f>SUM(N9:N21)</f>
        <v>22.987869662291011</v>
      </c>
      <c r="P22">
        <f>SUM(P9:P21)</f>
        <v>19.200035988107985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+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-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--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-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++</v>
      </c>
      <c r="J10" s="121" t="str">
        <f ca="1">IF(VLOOKUP(C10,OUTPUT_COUNTRY!$B$6:$N$18,9,FALSE)&gt;75,"++",(IF(VLOOKUP(C10,OUTPUT_COUNTRY!$B$6:$N$18,9,FALSE)&gt;50,"+",(IF(VLOOKUP(C10,OUTPUT_COUNTRY!$B$6:$N$18,9,FALSE)&gt;25,"-","--")))))</f>
        <v>--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</v>
      </c>
      <c r="J11" s="121" t="str">
        <f ca="1">IF(VLOOKUP(C11,OUTPUT_COUNTRY!$B$6:$N$18,9,FALSE)&gt;75,"++",(IF(VLOOKUP(C11,OUTPUT_COUNTRY!$B$6:$N$18,9,FALSE)&gt;50,"+",(IF(VLOOKUP(C11,OUTPUT_COUNTRY!$B$6:$N$18,9,FALSE)&gt;25,"-","--")))))</f>
        <v>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</v>
      </c>
      <c r="I12" s="159" t="str">
        <f>IF(VLOOKUP(C12,OUTPUT_COUNTRY!$B$6:$N$18,8,FALSE)&gt;75,"++",(IF(VLOOKUP(C12,OUTPUT_COUNTRY!$B$6:$N$18,8,FALSE)&gt;50,"+",(IF(VLOOKUP(C12,OUTPUT_COUNTRY!$B$6:$N$18,8,FALSE)&gt;25,"-","--")))))</f>
        <v>+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++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45443</v>
      </c>
      <c r="G3" s="4" cm="1">
        <f t="array" ref="G3">_xll.FDS(D3,"FMA_PE(LTM,0,,,""PORTAGG"",""MEANR"")")</f>
        <v>33.094872582712398</v>
      </c>
      <c r="H3" s="4" cm="1">
        <f t="array" ref="H3">_xll.FDS(D3,"FMA_PE(NTMA,0,,,""PORTAGG"",""MEANR"")")</f>
        <v>24.3289399276116</v>
      </c>
      <c r="I3" cm="1">
        <f t="array" ref="I3">_xll.FDS(D3,"FMA_DIV_YLD(NTMA,NOW,NOW,M,""PORTAGG"",""MEANR"")")</f>
        <v>2.7012212453259199</v>
      </c>
      <c r="J3" s="52" cm="1">
        <f t="array" ref="J3">IFERROR(_xll.FDS(D3,"FG_FCF_YIELD_NTM(0)"),(1/G3*100))</f>
        <v>6.5548359842367704E-2</v>
      </c>
      <c r="K3" s="3" cm="1">
        <f t="array" ref="K3">_xll.FDS(D3,"FMA_EVAL_EBITDA(NTMA,0,,,""PORTAGG"",""MEANR"")")</f>
        <v>11.7519452171894</v>
      </c>
      <c r="L3" cm="1">
        <f t="array" ref="L3">_xll.FDS(D3,"FMA_EVAL_EBIT(LTMA,NOW,NOW,M,""PORTAGG"",""MEANR"")")</f>
        <v>20.7796575161614</v>
      </c>
      <c r="M3">
        <f>HLOOKUP(D3,'Index ROE'!$A$1:$N$25,25,FALSE)</f>
        <v>6.5791075391831502</v>
      </c>
      <c r="N3">
        <f>VLOOKUP(A3,'LIQIDITY 2'!$A$3:$E$16,5,FALSE)</f>
        <v>4.6397000000000004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-1.9384787546740805</v>
      </c>
      <c r="R3" s="52">
        <f t="shared" ref="R3:R11" si="1">J3-N3</f>
        <v>-4.5741516401576323</v>
      </c>
      <c r="S3">
        <f t="shared" ref="S3:S11" si="2">M3-N3</f>
        <v>1.9394075391831498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45443</v>
      </c>
      <c r="G4" s="4" cm="1">
        <f t="array" ref="G4">_xll.FDS(D4,"FMA_PE(LTM,0,,,""PORTAGG"",""MEANR"")")</f>
        <v>18.960988730302802</v>
      </c>
      <c r="H4" s="4" cm="1">
        <f t="array" ref="H4">_xll.FDS(D4,"FMA_PE(NTMA,0,,,""PORTAGG"",""MEANR"")")</f>
        <v>16.699633225816601</v>
      </c>
      <c r="I4" cm="1">
        <f t="array" ref="I4">_xll.FDS(D4,"FMA_DIV_YLD(NTMA,NOW,NOW,M,""PORTAGG"",""MEANR"")")</f>
        <v>3.9928064632671898</v>
      </c>
      <c r="J4" s="52" cm="1">
        <f t="array" ref="J4">IFERROR(_xll.FDS(D4,"FG_FCF_YIELD_NTM(0)"),(1/G4*100))</f>
        <v>5.1084633390154899</v>
      </c>
      <c r="K4" s="3" cm="1">
        <f t="array" ref="K4">_xll.FDS(D4,"FMA_EVAL_EBITDA(NTMA,0,,,""PORTAGG"",""MEANR"")")</f>
        <v>8.6353792329609504</v>
      </c>
      <c r="L4" cm="1">
        <f t="array" ref="L4">_xll.FDS(D4,"FMA_EVAL_EBIT(LTMA,NOW,NOW,M,""PORTAGG"",""MEANR"")")</f>
        <v>12.441079887982699</v>
      </c>
      <c r="M4">
        <f>HLOOKUP(D4,'Index ROE'!$A$1:$N$25,25,FALSE)</f>
        <v>13.226137995013501</v>
      </c>
      <c r="N4">
        <f>VLOOKUP(A4,'LIQIDITY 2'!$A$3:$E$16,5,FALSE)</f>
        <v>4.2279999999999998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-0.23519353673280996</v>
      </c>
      <c r="R4" s="52">
        <f t="shared" si="1"/>
        <v>0.88046333901549012</v>
      </c>
      <c r="S4">
        <f t="shared" si="2"/>
        <v>8.9981379950135008</v>
      </c>
      <c r="T4">
        <f t="shared" si="3"/>
        <v>9.6062279950135014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35.699999999999996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33.954999999999998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45443</v>
      </c>
      <c r="G5" s="4" cm="1">
        <f t="array" ref="G5">_xll.FDS(D5,"FMA_PE(LTM,0,,,""PORTAGG"",""MEANR"")")</f>
        <v>16.996225659988902</v>
      </c>
      <c r="H5" s="4" cm="1">
        <f t="array" ref="H5">_xll.FDS(D5,"FMA_PE(NTMA,0,,,""PORTAGG"",""MEANR"")")</f>
        <v>14.073631654769001</v>
      </c>
      <c r="I5" cm="1">
        <f t="array" ref="I5">_xll.FDS(D5,"FMA_DIV_YLD(NTMA,NOW,NOW,M,""PORTAGG"",""MEANR"")")</f>
        <v>3.2607589623709901</v>
      </c>
      <c r="J5" s="52" cm="1">
        <f t="array" ref="J5">IFERROR(_xll.FDS(D5,"FG_FCF_YIELD_NTM(0)"),(1/G5*100))</f>
        <v>5.1131929663917299</v>
      </c>
      <c r="K5" s="3" cm="1">
        <f t="array" ref="K5">_xll.FDS(D5,"FMA_EVAL_EBITDA(NTMA,0,,,""PORTAGG"",""MEANR"")")</f>
        <v>9.6942214567507303</v>
      </c>
      <c r="L5" cm="1">
        <f t="array" ref="L5">_xll.FDS(D5,"FMA_EVAL_EBIT(LTMA,NOW,NOW,M,""PORTAGG"",""MEANR"")")</f>
        <v>16.252674782119801</v>
      </c>
      <c r="M5">
        <f>HLOOKUP(D5,'Index ROE'!$A$1:$N$25,25,FALSE)</f>
        <v>13.147116166704</v>
      </c>
      <c r="N5">
        <f>VLOOKUP(A5,'LIQIDITY 2'!$A$3:$E$16,5,FALSE)</f>
        <v>3.3841999999999999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-0.12344103762900982</v>
      </c>
      <c r="R5" s="52">
        <f t="shared" si="1"/>
        <v>1.7289929663917301</v>
      </c>
      <c r="S5">
        <f t="shared" si="2"/>
        <v>9.7629161667040005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50.360000000000007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45443</v>
      </c>
      <c r="G6" s="4" cm="1">
        <f t="array" ref="G6">_xll.FDS(D6,"FMA_PE(LTM,0,,,""PORTAGG"",""MEANR"")")</f>
        <v>16.4888519903574</v>
      </c>
      <c r="H6" s="4" cm="1">
        <f t="array" ref="H6">_xll.FDS(D6,"FMA_PE(NTMA,0,,,""PORTAGG"",""MEANR"")")</f>
        <v>11.9874865224613</v>
      </c>
      <c r="I6" cm="1">
        <f t="array" ref="I6">_xll.FDS(D6,"FMA_DIV_YLD(NTMA,NOW,NOW,M,""PORTAGG"",""MEANR"")")</f>
        <v>3.3805852374815899</v>
      </c>
      <c r="J6" s="52" cm="1">
        <f t="array" ref="J6">IFERROR(_xll.FDS(D6,"FG_FCF_YIELD_NTM(0)"),(1/G6*100))</f>
        <v>5.8131873605351903</v>
      </c>
      <c r="K6" s="3" cm="1">
        <f t="array" ref="K6">_xll.FDS(D6,"FMA_EVAL_EBITDA(NTMA,0,,,""PORTAGG"",""MEANR"")")</f>
        <v>8.3786354960745193</v>
      </c>
      <c r="L6" cm="1">
        <f t="array" ref="L6">_xll.FDS(D6,"FMA_EVAL_EBIT(LTMA,NOW,NOW,M,""PORTAGG"",""MEANR"")")</f>
        <v>13.389004197080499</v>
      </c>
      <c r="M6">
        <f>HLOOKUP(D6,'Index ROE'!$A$1:$N$25,25,FALSE)</f>
        <v>11.9489916743573</v>
      </c>
      <c r="N6">
        <f>VLOOKUP(A6,'LIQIDITY 2'!$A$3:$E$16,5,FALSE)</f>
        <v>2.56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0.82058523748158985</v>
      </c>
      <c r="R6" s="52">
        <f t="shared" si="1"/>
        <v>3.2531873605351902</v>
      </c>
      <c r="S6">
        <f t="shared" si="2"/>
        <v>9.3889916743572996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64.3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65.349999999999994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45443</v>
      </c>
      <c r="G7" s="4" cm="1">
        <f t="array" ref="G7">_xll.FDS(D7,"FMA_PE(LTM,0,,,""PORTAGG"",""MEANR"")")</f>
        <v>16.2229909610497</v>
      </c>
      <c r="H7" s="4" cm="1">
        <f t="array" ref="H7">_xll.FDS(D7,"FMA_PE(NTMA,0,,,""PORTAGG"",""MEANR"")")</f>
        <v>15.7529227384706</v>
      </c>
      <c r="I7" cm="1">
        <f t="array" ref="I7">_xll.FDS(D7,"FMA_DIV_YLD(NTMA,NOW,NOW,M,""PORTAGG"",""MEANR"")")</f>
        <v>2.2279662450681199</v>
      </c>
      <c r="J7" s="52" cm="1">
        <f t="array" ref="J7">IFERROR(_xll.FDS(D7,"FG_FCF_YIELD_NTM(0)"),(1/G7*100))</f>
        <v>3.8272927839659099</v>
      </c>
      <c r="K7" s="3" cm="1">
        <f t="array" ref="K7">_xll.FDS(D7,"FMA_EVAL_EBITDA(NTMA,0,,,""PORTAGG"",""MEANR"")")</f>
        <v>10.565756137114001</v>
      </c>
      <c r="L7" cm="1">
        <f t="array" ref="L7">_xll.FDS(D7,"FMA_EVAL_EBIT(LTMA,NOW,NOW,M,""PORTAGG"",""MEANR"")")</f>
        <v>17.777709413274199</v>
      </c>
      <c r="M7">
        <f>HLOOKUP(D7,'Index ROE'!$A$1:$N$25,25,FALSE)</f>
        <v>9.2993760884677794</v>
      </c>
      <c r="N7">
        <f>VLOOKUP(A7,'LIQIDITY 2'!$A$3:$E$16,5,FALSE)</f>
        <v>0.96589999999999998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1.2620662450681199</v>
      </c>
      <c r="R7" s="52">
        <f t="shared" si="1"/>
        <v>2.8613927839659099</v>
      </c>
      <c r="S7">
        <f t="shared" si="2"/>
        <v>8.3334760884677799</v>
      </c>
      <c r="T7">
        <f t="shared" si="3"/>
        <v>6.7762198884677796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71.500000000000014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58.565000000000012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45443</v>
      </c>
      <c r="G8" s="4" cm="1">
        <f t="array" ref="G8">_xll.FDS(D8,"FMA_PE(LTM,0,,,""PORTAGG"",""MEANR"")")</f>
        <v>16.514449221450999</v>
      </c>
      <c r="H8" s="4" cm="1">
        <f t="array" ref="H8">_xll.FDS(D8,"FMA_PE(NTMA,0,,,""PORTAGG"",""MEANR"")")</f>
        <v>17.2609570230609</v>
      </c>
      <c r="I8" cm="1">
        <f t="array" ref="I8">_xll.FDS(D8,"FMA_DIV_YLD(NTMA,NOW,NOW,M,""PORTAGG"",""MEANR"")")</f>
        <v>3.1969953663988901</v>
      </c>
      <c r="J8" s="52" cm="1">
        <f t="array" ref="J8">IFERROR(_xll.FDS(D8,"FG_FCF_YIELD_NTM(0)"),(1/G8*100))</f>
        <v>4.8841505360918198</v>
      </c>
      <c r="K8" s="3" cm="1">
        <f t="array" ref="K8">_xll.FDS(D8,"FMA_EVAL_EBITDA(NTMA,0,,,""PORTAGG"",""MEANR"")")</f>
        <v>12.860657774926599</v>
      </c>
      <c r="L8" cm="1">
        <f t="array" ref="L8">_xll.FDS(D8,"FMA_EVAL_EBIT(LTMA,NOW,NOW,M,""PORTAGG"",""MEANR"")")</f>
        <v>16.594392830928101</v>
      </c>
      <c r="M8">
        <f>HLOOKUP(D8,'Index ROE'!$A$1:$N$25,25,FALSE)</f>
        <v>19.299686812780902</v>
      </c>
      <c r="N8">
        <f>VLOOKUP(A8,'LIQIDITY 2'!$A$3:$E$16,5,FALSE)</f>
        <v>0.80900000000000005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2.38799536639889</v>
      </c>
      <c r="R8" s="52">
        <f t="shared" si="1"/>
        <v>4.0751505360918197</v>
      </c>
      <c r="S8">
        <f t="shared" si="2"/>
        <v>18.490686812780901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57.2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66.430000000000007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45443</v>
      </c>
      <c r="G9" s="4" cm="1">
        <f t="array" ref="G9">_xll.FDS(D9,"FMA_PE(LTM,0,,,""PORTAGG"",""MEANR"")")</f>
        <v>12.885458260425599</v>
      </c>
      <c r="H9" s="4" cm="1">
        <f t="array" ref="H9">_xll.FDS(D9,"FMA_PE(NTMA,0,,,""PORTAGG"",""MEANR"")")</f>
        <v>11.636583440462299</v>
      </c>
      <c r="I9" cm="1">
        <f t="array" ref="I9">_xll.FDS(D9,"FMA_DIV_YLD(NTMA,NOW,NOW,M,""PORTAGG"",""MEANR"")")</f>
        <v>3.86617068653733</v>
      </c>
      <c r="J9" s="52" cm="1">
        <f t="array" ref="J9">IFERROR(_xll.FDS(D9,"FG_FCF_YIELD_NTM(0)"),(1/G9*100))</f>
        <v>6.0967519507783496</v>
      </c>
      <c r="K9" s="3" cm="1">
        <f t="array" ref="K9">_xll.FDS(D9,"FMA_EVAL_EBITDA(NTMA,0,,,""PORTAGG"",""MEANR"")")</f>
        <v>7.5354268812075498</v>
      </c>
      <c r="L9" cm="1">
        <f t="array" ref="L9">_xll.FDS(D9,"FMA_EVAL_EBIT(LTMA,NOW,NOW,M,""PORTAGG"",""MEANR"")")</f>
        <v>10.5864678116422</v>
      </c>
      <c r="M9">
        <f>HLOOKUP(D9,'Index ROE'!$A$1:$N$25,25,FALSE)</f>
        <v>14.720728882990199</v>
      </c>
      <c r="N9">
        <f>VLOOKUP(A9,'LIQIDITY 2'!$A$3:$E$16,5,FALSE)</f>
        <v>4.1890000000000001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-0.32282931346267008</v>
      </c>
      <c r="R9" s="52">
        <f t="shared" si="1"/>
        <v>1.9077519507783496</v>
      </c>
      <c r="S9">
        <f t="shared" si="2"/>
        <v>10.531728882990199</v>
      </c>
      <c r="T9">
        <f t="shared" si="3"/>
        <v>10.8012294829902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70.025000000000006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34.135156369828699</v>
      </c>
      <c r="H10" s="4" cm="1">
        <f t="array" ref="H10">_xll.FDS(D10,"FMA_PE(NTMA,0,,,""PORTAGG"",""MEANR"")")</f>
        <v>26.353011031624401</v>
      </c>
      <c r="I10" cm="1">
        <f t="array" ref="I10">_xll.FDS(D10,"FMA_DIV_YLD(NTMA,NOW,NOW,M,""PORTAGG"",""MEANR"")")</f>
        <v>0.89639119435967296</v>
      </c>
      <c r="J10" s="52" cm="1">
        <f t="array" ref="J10">IFERROR(_xll.FDS(D10,"FG_FCF_YIELD_NTM(0)"),(1/G10*100))</f>
        <v>3.60789539079114</v>
      </c>
      <c r="K10" s="3" cm="1">
        <f t="array" ref="K10">_xll.FDS(D10,"FMA_EVAL_EBITDA(NTMA,0,,,""PORTAGG"",""MEANR"")")</f>
        <v>16.479854233027201</v>
      </c>
      <c r="L10" cm="1">
        <f t="array" ref="L10">_xll.FDS(D10,"FMA_EVAL_EBIT(LTMA,NOW,NOW,M,""PORTAGG"",""MEANR"")")</f>
        <v>24.333623813063401</v>
      </c>
      <c r="M10">
        <f>HLOOKUP(D10,'Index ROE'!$A$1:$N$25,25,FALSE)</f>
        <v>25.319915596617101</v>
      </c>
      <c r="N10">
        <f>VLOOKUP(A10,'LIQIDITY 2'!$A$3:$E$16,5,FALSE)</f>
        <v>4.2861000000000002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-3.3897088056403275</v>
      </c>
      <c r="R10" s="52">
        <f t="shared" si="1"/>
        <v>-0.67820460920886028</v>
      </c>
      <c r="S10">
        <f t="shared" si="2"/>
        <v>21.033815596617099</v>
      </c>
      <c r="T10">
        <f t="shared" si="3"/>
        <v>22.1103995966171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45443</v>
      </c>
      <c r="G11" s="4" cm="1">
        <f t="array" ref="G11">_xll.FDS(D11,"FMA_PE(LTM,0,,,""PORTAGG"",""MEANR"")")</f>
        <v>25.449392495887299</v>
      </c>
      <c r="H11" s="4" cm="1">
        <f t="array" ref="H11">_xll.FDS(D11,"FMA_PE(NTMA,0,,,""PORTAGG"",""MEANR"")")</f>
        <v>20.489784568601799</v>
      </c>
      <c r="I11" cm="1">
        <f t="array" ref="I11">_xll.FDS(D11,"FMA_DIV_YLD(NTMA,NOW,NOW,M,""PORTAGG"",""MEANR"")")</f>
        <v>1.4539159435728799</v>
      </c>
      <c r="J11" s="52" cm="1">
        <f t="array" ref="J11">IFERROR(_xll.FDS(D11,"FG_FCF_YIELD_NTM(0)"),(1/G11*100))</f>
        <v>4.1761425990568197</v>
      </c>
      <c r="K11" s="3" cm="1">
        <f t="array" ref="K11">_xll.FDS(D11,"FMA_EVAL_EBITDA(NTMA,0,,,""PORTAGG"",""MEANR"")")</f>
        <v>14.1308972613205</v>
      </c>
      <c r="L11" cm="1">
        <f t="array" ref="L11">_xll.FDS(D11,"FMA_EVAL_EBIT(LTMA,NOW,NOW,M,""PORTAGG"",""MEANR"")")</f>
        <v>20.482972543177201</v>
      </c>
      <c r="M11">
        <f>HLOOKUP(D11,'Index ROE'!$A$1:$N$25,25,FALSE)</f>
        <v>20.350503776156899</v>
      </c>
      <c r="N11">
        <f>VLOOKUP(A11,'LIQIDITY 2'!$A$3:$E$16,5,FALSE)</f>
        <v>4.2861000000000002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-2.8321840564271206</v>
      </c>
      <c r="R11" s="52">
        <f t="shared" si="1"/>
        <v>-0.10995740094318052</v>
      </c>
      <c r="S11">
        <f t="shared" si="2"/>
        <v>16.064403776156897</v>
      </c>
      <c r="T11">
        <f t="shared" si="3"/>
        <v>17.140987776156898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45443</v>
      </c>
      <c r="G12" s="4" cm="1">
        <f t="array" ref="G12">_xll.FDS(D12,"FMA_PE(LTM,0,,,""PORTAGG"",""MEANR"")")</f>
        <v>16.578970507607099</v>
      </c>
      <c r="H12" s="4" cm="1">
        <f t="array" ref="H12">_xll.FDS(D12,"FMA_PE(NTMA,0,,,""PORTAGG"",""MEANR"")")</f>
        <v>14.3449380417246</v>
      </c>
      <c r="I12" cm="1">
        <f t="array" ref="I12">_xll.FDS(D12,"FMA_DIV_YLD(NTMA,NOW,NOW,M,""PORTAGG"",""MEANR"")")</f>
        <v>3.15898101192403</v>
      </c>
      <c r="J12" s="52" cm="1">
        <f t="array" ref="J12">IFERROR(_xll.FDS(D12,"FG_FCF_YIELD_NTM(0)"),(1/G12*100))</f>
        <v>5.6493841474581297</v>
      </c>
      <c r="K12" s="3" cm="1">
        <f t="array" ref="K12">_xll.FDS(D12,"FMA_EVAL_EBITDA(NTMA,0,,,""PORTAGG"",""MEANR"")")</f>
        <v>9.3700729705553503</v>
      </c>
      <c r="L12" cm="1">
        <f t="array" ref="L12">_xll.FDS(D12,"FMA_EVAL_EBIT(LTMA,NOW,NOW,M,""PORTAGG"",""MEANR"")")</f>
        <v>13.273221048528301</v>
      </c>
      <c r="M12">
        <f>HLOOKUP(D12,'Index ROE'!$A$1:$N$25,25,FALSE)</f>
        <v>13.220962408242601</v>
      </c>
      <c r="N12">
        <f>VLOOKUP(A12,'LIQIDITY 2'!$A$3:$E$16,5,FALSE)</f>
        <v>3.0419999999999998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0.11698101192403021</v>
      </c>
      <c r="R12" s="52">
        <f t="shared" ref="R12:R15" si="5">J12-N12</f>
        <v>2.6073841474581299</v>
      </c>
      <c r="S12">
        <f t="shared" ref="S12:S15" si="6">M12-N12</f>
        <v>10.178962408242601</v>
      </c>
      <c r="T12">
        <f t="shared" ref="T12:T15" si="7">M12-O12</f>
        <v>10.426942408242601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58.190000000000005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45443</v>
      </c>
      <c r="G13" s="4" cm="1">
        <f t="array" ref="G13">_xll.FDS(D13,"FMA_PE(LTM,0,,,""PORTAGG"",""MEANR"")")</f>
        <v>20.508284221118</v>
      </c>
      <c r="H13" s="4" cm="1">
        <f t="array" ref="H13">_xll.FDS(D13,"FMA_PE(NTMA,0,,,""PORTAGG"",""MEANR"")")</f>
        <v>16.2123023575543</v>
      </c>
      <c r="I13" cm="1">
        <f t="array" ref="I13">_xll.FDS(D13,"FMA_DIV_YLD(NTMA,NOW,NOW,M,""PORTAGG"",""MEANR"")")</f>
        <v>2.51422504808819</v>
      </c>
      <c r="J13" s="52" cm="1">
        <f t="array" ref="J13">IFERROR(_xll.FDS(D13,"FG_FCF_YIELD_NTM(0)"),(1/G13*100))</f>
        <v>3.6487738382875898</v>
      </c>
      <c r="K13" s="3" cm="1">
        <f t="array" ref="K13">_xll.FDS(D13,"FMA_EVAL_EBITDA(NTMA,0,,,""PORTAGG"",""MEANR"")")</f>
        <v>12.425441523540901</v>
      </c>
      <c r="L13" cm="1">
        <f t="array" ref="L13">_xll.FDS(D13,"FMA_EVAL_EBIT(LTMA,NOW,NOW,M,""PORTAGG"",""MEANR"")")</f>
        <v>21.819275501701402</v>
      </c>
      <c r="M13">
        <f>HLOOKUP(D13,'Index ROE'!$A$1:$N$25,25,FALSE)</f>
        <v>12.745985665341101</v>
      </c>
      <c r="N13">
        <f>VLOOKUP(A13,'LIQIDITY 2'!$A$3:$E$16,5,FALSE)</f>
        <v>2.8559999999999999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-0.34177495191180984</v>
      </c>
      <c r="R13" s="52">
        <f t="shared" si="5"/>
        <v>0.79277383828758996</v>
      </c>
      <c r="S13">
        <f t="shared" si="6"/>
        <v>9.8899856653411007</v>
      </c>
      <c r="T13">
        <f t="shared" si="7"/>
        <v>9.7221950653411007</v>
      </c>
      <c r="U13" cm="1">
        <f t="array" ref="U13">_xlfn.PERCENTRANK.EXC(_xlfn._xlws.FILTER(Q$3:Q$15, ISNUMBER(Q$3:Q$15)),Q13)*100</f>
        <v>28.499999999999996</v>
      </c>
      <c r="V13" cm="1">
        <f t="array" ref="V13">_xlfn.PERCENTRANK.EXC(_xlfn._xlws.FILTER(R$3:R$15, ISNUMBER(R$3:R$15)),R13)*100</f>
        <v>28.499999999999996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36.770000000000003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45443</v>
      </c>
      <c r="G14" s="4" cm="1">
        <f t="array" ref="G14">_xll.FDS(D14,"FMA_PE(LTM,0,,,""PORTAGG"",""MEANR"")")</f>
        <v>14.381312883942</v>
      </c>
      <c r="H14" s="4" cm="1">
        <f t="array" ref="H14">_xll.FDS(D14,"FMA_PE(NTMA,0,,,""PORTAGG"",""MEANR"")")</f>
        <v>16.261228344961701</v>
      </c>
      <c r="I14" cm="1">
        <f t="array" ref="I14">_xll.FDS(D14,"FMA_DIV_YLD(NTMA,NOW,NOW,M,""PORTAGG"",""MEANR"")")</f>
        <v>3.1918231227938501</v>
      </c>
      <c r="J14" s="52" cm="1">
        <f t="array" ref="J14">IFERROR(_xll.FDS(D14,"FG_FCF_YIELD_NTM(0)"),(1/G14*100))</f>
        <v>4.95695345569571</v>
      </c>
      <c r="K14" s="3" cm="1">
        <f t="array" ref="K14">_xll.FDS(D14,"FMA_EVAL_EBITDA(NTMA,0,,,""PORTAGG"",""MEANR"")")</f>
        <v>11.1798070055144</v>
      </c>
      <c r="L14" cm="1">
        <f t="array" ref="L14">_xll.FDS(D14,"FMA_EVAL_EBIT(LTMA,NOW,NOW,M,""PORTAGG"",""MEANR"")")</f>
        <v>15.988102268090399</v>
      </c>
      <c r="M14">
        <f>HLOOKUP(D14,'Index ROE'!$A$1:$N$25,25,FALSE)</f>
        <v>15.368050598586001</v>
      </c>
      <c r="N14">
        <f>VLOOKUP(A14,'LIQIDITY 2'!$A$3:$E$16,5,FALSE)</f>
        <v>2.323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0.8688231227938501</v>
      </c>
      <c r="R14" s="52">
        <f t="shared" si="5"/>
        <v>2.63395345569571</v>
      </c>
      <c r="S14">
        <f t="shared" si="6"/>
        <v>13.045050598586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64.644999999999996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45443</v>
      </c>
      <c r="G15" s="4" cm="1">
        <f t="array" ref="G15">_xll.FDS(D15,"FMA_PE(LTM,0,,,""PORTAGG"",""MEANR"")")</f>
        <v>10.2315729914237</v>
      </c>
      <c r="H15" s="4" cm="1">
        <f t="array" ref="H15">_xll.FDS(D15,"FMA_PE(NTMA,0,,,""PORTAGG"",""MEANR"")")</f>
        <v>9.6719531188657299</v>
      </c>
      <c r="I15" cm="1">
        <f t="array" ref="I15">_xll.FDS(D15,"FMA_DIV_YLD(NTMA,NOW,NOW,M,""PORTAGG"",""MEANR"")")</f>
        <v>5.2466116733325503</v>
      </c>
      <c r="J15" s="52" cm="1">
        <f t="array" ref="J15">IFERROR(_xll.FDS(D15,"FG_FCF_YIELD_NTM(0)"),(1/G15*100))</f>
        <v>6.0676690009959202</v>
      </c>
      <c r="K15" s="3" cm="1">
        <f t="array" ref="K15">_xll.FDS(D15,"FMA_EVAL_EBITDA(NTMA,0,,,""PORTAGG"",""MEANR"")")</f>
        <v>6.8489890268930704</v>
      </c>
      <c r="L15" cm="1">
        <f t="array" ref="L15">_xll.FDS(D15,"FMA_EVAL_EBIT(LTMA,NOW,NOW,M,""PORTAGG"",""MEANR"")")</f>
        <v>10.8518583483408</v>
      </c>
      <c r="M15">
        <f>HLOOKUP(D15,'Index ROE'!$A$1:$N$25,25,FALSE)</f>
        <v>13.3572149047324</v>
      </c>
      <c r="N15">
        <f>VLOOKUP(A15,'LIQIDITY 2'!$A$3:$E$16,5,FALSE)</f>
        <v>3.879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1.3676116733325503</v>
      </c>
      <c r="R15" s="52">
        <f t="shared" si="5"/>
        <v>2.1886690009959202</v>
      </c>
      <c r="S15">
        <f t="shared" si="6"/>
        <v>9.4782149047324005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75.719999999999985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45412</v>
      </c>
      <c r="G19" s="4" cm="1">
        <f t="array" ref="G19">_xll.FDS(D19,"FG_PE(0)")</f>
        <v>12.9337346409367</v>
      </c>
      <c r="H19" s="4" cm="1">
        <f t="array" ref="H19">_xll.FDS(D19,"FG_PE_NTM(0,,,90,0)")</f>
        <v>13.298289303979599</v>
      </c>
      <c r="I19" cm="1">
        <f t="array" ref="I19">_xll.FDS(D19,"FMA_DIV_YLD(NTMA,NOW,NOW,M,""PORTAGG"",""MEANR"")")</f>
        <v>3.5198538887528201</v>
      </c>
      <c r="J19" s="52" cm="1">
        <f t="array" ref="J19">_xll.FDS(D19,"FG_FCF_YIELD_NTM(0)")</f>
        <v>5.3489333558180103</v>
      </c>
      <c r="K19" s="3" cm="1">
        <f t="array" ref="K19">_xll.FDS(D19,"FMA_EVAL_EBITDA(NTMA,0,,,""PORTAGG"",""MEANR"")")</f>
        <v>8.8415004275374294</v>
      </c>
      <c r="L19" cm="1">
        <f t="array" ref="L19">_xll.FDS(D19,"FMA_EVAL_EBIT(LTMA,NOW,NOW,M,""PORTAGG"",""MEANR"")")</f>
        <v>13.200610270479499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45412</v>
      </c>
      <c r="G20" s="4" cm="1">
        <f t="array" ref="G20">_xll.FDS(D20,"FG_PE(0)")</f>
        <v>14.383604521687801</v>
      </c>
      <c r="H20" s="4" cm="1">
        <f t="array" ref="H20">_xll.FDS(D20,"FG_PE_NTM(0,,,90,0)")</f>
        <v>12.7458146650358</v>
      </c>
      <c r="I20" cm="1">
        <f t="array" ref="I20">_xll.FDS(D20,"FMA_DIV_YLD(NTMA,NOW,NOW,M,""PORTAGG"",""MEANR"")")</f>
        <v>3.06492878676021</v>
      </c>
      <c r="J20" s="52" cm="1">
        <f t="array" ref="J20">_xll.FDS(D20,"FG_FCF_YIELD_NTM(0)")</f>
        <v>5.38071052006143</v>
      </c>
      <c r="K20" s="3" cm="1">
        <f t="array" ref="K20">_xll.FDS(D20,"FMA_EVAL_EBITDA(NTMA,0,,,""PORTAGG"",""MEANR"")")</f>
        <v>8.9048656348804993</v>
      </c>
      <c r="L20" cm="1">
        <f t="array" ref="L20">_xll.FDS(D20,"FMA_EVAL_EBIT(LTMA,NOW,NOW,M,""PORTAGG"",""MEANR"")")</f>
        <v>14.380257061877099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4.6397000000000004</v>
      </c>
      <c r="G3" s="26" cm="1">
        <f t="array" ref="G3">_xll.FDSB(C3,"PCTCHG(FG_YIELD(0,,,,""YTM""),FG_YIELD(-1AM,,,,""YTM""))")</f>
        <v>-2.7071770000000002</v>
      </c>
      <c r="H3" s="26" cm="1">
        <f t="array" ref="H3">_xll.FDSB(C3,"PCTCHG(FG_YIELD(0,,,,""YTM""),FG_YIELD(-3AM,,,,""YTM""))")</f>
        <v>-0.88864690000000002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0.86029999999999962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71.399999999999991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4.2279999999999998</v>
      </c>
      <c r="G4" s="26" cm="1">
        <f t="array" ref="G4">_xll.FDSB(C4,"PCTCHG(FG_YIELD(0,,,,""YTM""),FG_YIELD(-1AM,,,,""YTM""))")</f>
        <v>-3.5363842999999999</v>
      </c>
      <c r="H4" s="26" cm="1">
        <f t="array" ref="H4">_xll.FDSB(C4,"PCTCHG(FG_YIELD(0,,,,""YTM""),FG_YIELD(-3AM,,,,""YTM""))")</f>
        <v>5.4364075999999999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0.12199999999999989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42.8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3.3841999999999999</v>
      </c>
      <c r="G5" s="26" cm="1">
        <f t="array" ref="G5">_xll.FDSB(C5,"PCTCHG(FG_YIELD(0,,,,""YTM""),FG_YIELD(-1AM,,,,""YTM""))")</f>
        <v>-6.254842</v>
      </c>
      <c r="H5" s="26" cm="1">
        <f t="array" ref="H5">_xll.FDSB(C5,"PCTCHG(FG_YIELD(0,,,,""YTM""),FG_YIELD(-3AM,,,,""YTM""))")</f>
        <v>1.2687809999999999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1.3658000000000001</v>
      </c>
      <c r="S5">
        <f t="shared" si="1"/>
        <v>1</v>
      </c>
      <c r="T5">
        <f t="shared" si="2"/>
        <v>1</v>
      </c>
      <c r="U5">
        <f t="shared" si="3"/>
        <v>0</v>
      </c>
      <c r="V5" s="47">
        <f t="shared" si="4"/>
        <v>0.75</v>
      </c>
      <c r="X5">
        <f t="shared" si="6"/>
        <v>85.7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2.56</v>
      </c>
      <c r="G6" s="26" cm="1">
        <f t="array" ref="G6">_xll.FDSB(C6,"PCTCHG(FG_YIELD(0,,,,""YTM""),FG_YIELD(-1AM,,,,""YTM""))")</f>
        <v>3.6437210000000002</v>
      </c>
      <c r="H6" s="26" cm="1">
        <f t="array" ref="H6">_xll.FDSB(C6,"PCTCHG(FG_YIELD(0,,,,""YTM""),FG_YIELD(-3AM,,,,""YTM""))")</f>
        <v>9.9184180000000008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1.94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0.96589999999999998</v>
      </c>
      <c r="G7" s="26" cm="1">
        <f t="array" ref="G7">_xll.FDSB(C7,"PCTCHG(FG_YIELD(0,,,,""YTM""),FG_YIELD(-1AM,,,,""YTM""))")</f>
        <v>7.1912136000000002</v>
      </c>
      <c r="H7" s="26" cm="1">
        <f t="array" ref="H7">_xll.FDSB(C7,"PCTCHG(FG_YIELD(0,,,,""YTM""),FG_YIELD(-3AM,,,,""YTM""))")</f>
        <v>36.138126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-0.8659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0.80900000000000005</v>
      </c>
      <c r="G8" s="26" cm="1">
        <f t="array" ref="G8">_xll.FDSB(C8,"PCTCHG(FG_YIELD(0,,,,""YTM""),FG_YIELD(-1AM,,,,""YTM""))")</f>
        <v>15.078237</v>
      </c>
      <c r="H8" s="26" cm="1">
        <f t="array" ref="H8">_xll.FDSB(C8,"PCTCHG(FG_YIELD(0,,,,""YTM""),FG_YIELD(-3AM,,,,""YTM""))")</f>
        <v>11.279232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0.69099999999999995</v>
      </c>
      <c r="S8">
        <f t="shared" si="1"/>
        <v>1</v>
      </c>
      <c r="T8">
        <f t="shared" si="2"/>
        <v>0</v>
      </c>
      <c r="U8">
        <f t="shared" si="3"/>
        <v>0</v>
      </c>
      <c r="V8" s="47">
        <f t="shared" si="4"/>
        <v>0.5</v>
      </c>
      <c r="X8">
        <f t="shared" si="6"/>
        <v>71.399999999999991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4.1890000000000001</v>
      </c>
      <c r="G9" s="26" cm="1">
        <f t="array" ref="G9">_xll.FDSB(C9,"PCTCHG(FG_YIELD(0,,,,""YTM""),FG_YIELD(-1AM,,,,""YTM""))")</f>
        <v>-0.78161990000000003</v>
      </c>
      <c r="H9" s="26" cm="1">
        <f t="array" ref="H9">_xll.FDSB(C9,"PCTCHG(FG_YIELD(0,,,,""YTM""),FG_YIELD(-3AM,,,,""YTM""))")</f>
        <v>2.3204756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1.0609999999999999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4.2861000000000002</v>
      </c>
      <c r="G10" s="26" cm="1">
        <f t="array" ref="G10">_xll.FDSB(C10,"PCTCHG(FG_YIELD(0,,,,""YTM""),FG_YIELD(-1AM,,,,""YTM""))")</f>
        <v>-4.5178165000000003</v>
      </c>
      <c r="H10" s="26" cm="1">
        <f t="array" ref="H10">_xll.FDSB(C10,"PCTCHG(FG_YIELD(0,,,,""YTM""),FG_YIELD(-3AM,,,,""YTM""))")</f>
        <v>4.4371299999999998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1.2138999999999998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42.8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4.2861000000000002</v>
      </c>
      <c r="G11" s="26" cm="1">
        <f t="array" ref="G11">_xll.FDSB(C11,"PCTCHG(FG_YIELD(0,,,,""YTM""),FG_YIELD(-1AM,,,,""YTM""))")</f>
        <v>-4.5178165000000003</v>
      </c>
      <c r="H11" s="26" cm="1">
        <f t="array" ref="H11">_xll.FDSB(C11,"PCTCHG(FG_YIELD(0,,,,""YTM""),FG_YIELD(-3AM,,,,""YTM""))")</f>
        <v>4.4371299999999998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1.2138999999999998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42.8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3.0419999999999998</v>
      </c>
      <c r="G12" s="26" cm="1">
        <f t="array" ref="G12">_xll.FDSB(C12,"PCTCHG(FG_YIELD(0,,,,""YTM""),FG_YIELD(-1AM,,,,""YTM""))")</f>
        <v>3.0487856999999998</v>
      </c>
      <c r="H12" s="26" cm="1">
        <f t="array" ref="H12">_xll.FDSB(C12,"PCTCHG(FG_YIELD(0,,,,""YTM""),FG_YIELD(-3AM,,,,""YTM""))")</f>
        <v>9.0713530000000002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1.4580000000000002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2.8559999999999999</v>
      </c>
      <c r="G13" s="26" cm="1">
        <f t="array" ref="G13">_xll.FDSB(C13,"PCTCHG(FG_YIELD(0,,,,""YTM""),FG_YIELD(-1AM,,,,""YTM""))")</f>
        <v>3.4033258000000002</v>
      </c>
      <c r="H13" s="26" cm="1">
        <f t="array" ref="H13">_xll.FDSB(C13,"PCTCHG(FG_YIELD(0,,,,""YTM""),FG_YIELD(-3AM,,,,""YTM""))")</f>
        <v>8.1408529999999999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1.6440000000000001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2.323</v>
      </c>
      <c r="G14" s="26" cm="1">
        <f t="array" ref="G14">_xll.FDSB(C14,"PCTCHG(FG_YIELD(0,,,,""YTM""),FG_YIELD(-1AM,,,,""YTM""))")</f>
        <v>-1.734354</v>
      </c>
      <c r="H14" s="26" cm="1">
        <f t="array" ref="H14">_xll.FDSB(C14,"PCTCHG(FG_YIELD(0,,,,""YTM""),FG_YIELD(-3AM,,,,""YTM""))")</f>
        <v>-1.06474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1.427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92.800000000000011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3.879</v>
      </c>
      <c r="G15" s="26" cm="1">
        <f t="array" ref="G15">_xll.FDSB(C15,"PCTCHG(FG_YIELD(0,,,,""YTM""),FG_YIELD(-1AM,,,,""YTM""))")</f>
        <v>3.3022592</v>
      </c>
      <c r="H15" s="26" cm="1">
        <f t="array" ref="H15">_xll.FDSB(C15,"PCTCHG(FG_YIELD(0,,,,""YTM""),FG_YIELD(-3AM,,,,""YTM""))")</f>
        <v>5.9836024999999999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0.621</v>
      </c>
      <c r="S15">
        <f t="shared" si="1"/>
        <v>0</v>
      </c>
      <c r="T15">
        <f t="shared" si="2"/>
        <v>0</v>
      </c>
      <c r="U15">
        <f t="shared" si="3"/>
        <v>0</v>
      </c>
      <c r="V15" s="47">
        <f t="shared" si="4"/>
        <v>0</v>
      </c>
      <c r="X15">
        <f t="shared" si="6"/>
        <v>7.1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4.2861000000000002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4.6397000000000004</v>
      </c>
      <c r="H2" cm="1">
        <f t="array" ref="H2">_xll.FDS(B2,"FG_ROE(0)")</f>
        <v>5.0037513620334702</v>
      </c>
      <c r="I2">
        <f>HLOOKUP(B2,'Index ROE'!$B$1:$N$25,24,FALSE)</f>
        <v>9.8238973987983247</v>
      </c>
      <c r="J2" cm="1">
        <f t="array" ref="J2">_xll.FDS(B2, "FMA_RBICS_REV_CURRENT(30, LOC, ""PORTAGG"")")</f>
        <v>14.3512586842186</v>
      </c>
      <c r="K2" s="74">
        <f>HLOOKUP(B2,'Index earnings'!$B$1:$N$25,25,FALSE)</f>
        <v>-9.3828148339384354E-3</v>
      </c>
      <c r="L2">
        <f>HLOOKUP(A2,'Yearly returns'!$B$1:$N$128,126,FALSE)</f>
        <v>-31.468582000000001</v>
      </c>
      <c r="M2">
        <f t="shared" ref="M2:M10" si="0">I2-G2</f>
        <v>5.1841973987983243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4.2279999999999998</v>
      </c>
      <c r="H3" cm="1">
        <f t="array" ref="H3">_xll.FDS(B3,"FG_ROE(0)")</f>
        <v>12.6155283848127</v>
      </c>
      <c r="I3">
        <f>HLOOKUP(B3,'Index ROE'!$B$1:$N$25,24,FALSE)</f>
        <v>13.020733299173699</v>
      </c>
      <c r="J3" cm="1">
        <f t="array" ref="J3">_xll.FDS(B3, "FMA_RBICS_REV_CURRENT(30, LOC, ""PORTAGG"")")</f>
        <v>41.356925527987201</v>
      </c>
      <c r="K3" s="74">
        <f>HLOOKUP(B3,'Index earnings'!$B$1:$N$25,25,FALSE)</f>
        <v>1.1173841089814562E-2</v>
      </c>
      <c r="L3">
        <f>HLOOKUP(A3,'Yearly returns'!$B$1:$N$128,126,FALSE)</f>
        <v>-31.930900000000001</v>
      </c>
      <c r="M3">
        <f t="shared" si="0"/>
        <v>8.7927332991736993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3.3841999999999999</v>
      </c>
      <c r="H4" cm="1">
        <f t="array" ref="H4">_xll.FDS(B4,"FG_ROE(0)")</f>
        <v>11.021491370858101</v>
      </c>
      <c r="I4">
        <f>HLOOKUP(B4,'Index ROE'!$B$1:$N$25,24,FALSE)</f>
        <v>12.7516875895064</v>
      </c>
      <c r="J4" cm="1">
        <f t="array" ref="J4">_xll.FDS(B4, "FMA_RBICS_REV_CURRENT(30, LOC, ""PORTAGG"")")</f>
        <v>39.799823557626603</v>
      </c>
      <c r="K4" s="74">
        <f>HLOOKUP(B4,'Index earnings'!$B$1:$N$25,25,FALSE)</f>
        <v>4.0909866878857226E-2</v>
      </c>
      <c r="L4">
        <f>HLOOKUP(A4,'Yearly returns'!$B$1:$N$128,126,FALSE)</f>
        <v>-27.210014000000001</v>
      </c>
      <c r="M4">
        <f t="shared" si="0"/>
        <v>9.3674875895063998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48.174999999999997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2.56</v>
      </c>
      <c r="H5" cm="1">
        <f t="array" ref="H5">_xll.FDS(B5,"FG_ROE(0)")</f>
        <v>9.5173974323873498</v>
      </c>
      <c r="I5">
        <f>HLOOKUP(B5,'Index ROE'!$B$1:$N$25,24,FALSE)</f>
        <v>11.988728308067351</v>
      </c>
      <c r="J5" cm="1">
        <f t="array" ref="J5">_xll.FDS(B5, "FMA_RBICS_REV_CURRENT(30, LOC, ""PORTAGG"")")</f>
        <v>23.435683096826899</v>
      </c>
      <c r="K5" s="74">
        <f>HLOOKUP(B5,'Index earnings'!$B$1:$N$25,25,FALSE)</f>
        <v>2.8327007241510938E-2</v>
      </c>
      <c r="L5">
        <f>HLOOKUP(A5,'Yearly returns'!$B$1:$N$128,126,FALSE)</f>
        <v>-36.372</v>
      </c>
      <c r="M5">
        <f t="shared" si="0"/>
        <v>9.4287283080673507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0.96589999999999998</v>
      </c>
      <c r="H6" cm="1">
        <f t="array" ref="H6">_xll.FDS(B6,"FG_ROE(0)")</f>
        <v>9.5157317707089693</v>
      </c>
      <c r="I6">
        <f>HLOOKUP(B6,'Index ROE'!$B$1:$N$25,24,FALSE)</f>
        <v>8.994618118763011</v>
      </c>
      <c r="J6" cm="1">
        <f t="array" ref="J6">_xll.FDS(B6, "FMA_RBICS_REV_CURRENT(30, LOC, ""PORTAGG"")")</f>
        <v>18.8758256480555</v>
      </c>
      <c r="K6" s="74">
        <f>HLOOKUP(B6,'Index earnings'!$B$1:$N$25,25,FALSE)</f>
        <v>2.4109021785172935E-2</v>
      </c>
      <c r="L6">
        <f>HLOOKUP(A6,'Yearly returns'!$B$1:$N$128,126,FALSE)</f>
        <v>-26.548570000000002</v>
      </c>
      <c r="M6">
        <f t="shared" si="0"/>
        <v>8.0287181187630114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0.80900000000000005</v>
      </c>
      <c r="H7" cm="1">
        <f t="array" ref="H7">_xll.FDS(B7,"FG_ROE(0)")</f>
        <v>24.099542122530899</v>
      </c>
      <c r="I7">
        <f>HLOOKUP(B7,'Index ROE'!$B$1:$N$25,24,FALSE)</f>
        <v>15.55096443559315</v>
      </c>
      <c r="J7" cm="1">
        <f t="array" ref="J7">_xll.FDS(B7, "FMA_RBICS_REV_CURRENT(30, LOC, ""PORTAGG"")")</f>
        <v>18.424673270128999</v>
      </c>
      <c r="K7" s="74">
        <f>HLOOKUP(B7,'Index earnings'!$B$1:$N$25,25,FALSE)</f>
        <v>4.6608631192781802E-2</v>
      </c>
      <c r="L7">
        <f>HLOOKUP(A7,'Yearly returns'!$B$1:$N$128,126,FALSE)</f>
        <v>-21.577942</v>
      </c>
      <c r="M7">
        <f t="shared" si="0"/>
        <v>14.74196443559315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78.5</v>
      </c>
      <c r="R7">
        <f>N7*Assumption!$F$64 + O7*Assumption!$F$61 + P7*Assumption!$F$62 + Q7*Assumption!$F$63</f>
        <v>76.75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4.1890000000000001</v>
      </c>
      <c r="H8" cm="1">
        <f t="array" ref="H8">_xll.FDS(B8,"FG_ROE(0)")</f>
        <v>14.618163691281</v>
      </c>
      <c r="I8">
        <f>HLOOKUP(B8,'Index ROE'!$B$1:$N$25,24,FALSE)</f>
        <v>14.561964916400001</v>
      </c>
      <c r="J8" cm="1">
        <f t="array" ref="J8">_xll.FDS(B8, "FMA_RBICS_REV_CURRENT(30, LOC, ""PORTAGG"")")</f>
        <v>19.389880339308501</v>
      </c>
      <c r="K8" s="74">
        <f>HLOOKUP(B8,'Index earnings'!$B$1:$N$25,25,FALSE)</f>
        <v>3.7127108177381629E-3</v>
      </c>
      <c r="L8">
        <f>HLOOKUP(A8,'Yearly returns'!$B$1:$N$128,126,FALSE)</f>
        <v>-27.255375000000001</v>
      </c>
      <c r="M8">
        <f t="shared" si="0"/>
        <v>10.372964916400001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57.099999999999994</v>
      </c>
      <c r="R8">
        <f>N8*Assumption!$F$64 + O8*Assumption!$F$61 + P8*Assumption!$F$62 + Q8*Assumption!$F$63</f>
        <v>46.375</v>
      </c>
      <c r="S8" cm="1">
        <f t="array" ref="S8">_xlfn.PERCENTRANK.EXC(_xlfn._xlws.FILTER(R$2:R$14, ISNUMBER(R$2:R$14)),R8)*100</f>
        <v>50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4.2861000000000002</v>
      </c>
      <c r="H9" cm="1">
        <f t="array" ref="H9">_xll.FDS(B9,"FG_ROE(0)")</f>
        <v>22.717612715880101</v>
      </c>
      <c r="I9">
        <f>HLOOKUP(B9,'Index ROE'!$B$1:$N$25,24,FALSE)</f>
        <v>21.036882269896502</v>
      </c>
      <c r="J9" cm="1">
        <f t="array" ref="J9">_xll.FDS(B9, "FMA_RBICS_REV_CURRENT(30, LOC, ""PORTAGG"")")</f>
        <v>0.85398706926075896</v>
      </c>
      <c r="K9" s="74">
        <f>HLOOKUP(B9,'Index earnings'!$B$1:$N$25,25,FALSE)</f>
        <v>0.12988959959643998</v>
      </c>
      <c r="L9">
        <f>HLOOKUP(A9,'Yearly returns'!$B$1:$N$128,126,FALSE)</f>
        <v>-33.122017</v>
      </c>
      <c r="M9">
        <f t="shared" si="0"/>
        <v>16.750782269896501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4.2861000000000002</v>
      </c>
      <c r="H10" cm="1">
        <f t="array" ref="H10">_xll.FDS(B10,"FG_ROE(0)")</f>
        <v>18.426413068302999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12.3968672783065</v>
      </c>
      <c r="K10" s="74">
        <f>HLOOKUP(B10,'Index earnings'!$B$1:$N$25,25,FALSE)</f>
        <v>5.9884631689594459E-2</v>
      </c>
      <c r="L10">
        <f>HLOOKUP(A10,'Yearly returns'!$B$1:$N$128,126,FALSE)</f>
        <v>-18.173079999999999</v>
      </c>
      <c r="M10">
        <f t="shared" si="0"/>
        <v>12.104958174766846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3.0419999999999998</v>
      </c>
      <c r="H11" cm="1">
        <f t="array" ref="H11">_xll.FDS(B11,"FG_ROE(0)")</f>
        <v>12.840494160167101</v>
      </c>
      <c r="I11">
        <f>HLOOKUP(B11,'Index ROE'!$B$1:$N$25,24,FALSE)</f>
        <v>11.16089938202855</v>
      </c>
      <c r="J11" cm="1">
        <f t="array" ref="J11">_xll.FDS(B11, "FMA_RBICS_REV_CURRENT(30, LOC, ""PORTAGG"")")</f>
        <v>11.822304453739701</v>
      </c>
      <c r="K11" s="74">
        <f>HLOOKUP(B11,'Index earnings'!$B$1:$N$25,25,FALSE)</f>
        <v>1.8533351270464848E-2</v>
      </c>
      <c r="L11">
        <f>HLOOKUP(A11,'Yearly returns'!$B$1:$N$128,126,FALSE)</f>
        <v>-21.282022000000001</v>
      </c>
      <c r="M11">
        <f t="shared" ref="M11:M14" si="1">I11-G11</f>
        <v>8.11889938202855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85.7</v>
      </c>
      <c r="R11">
        <f>N11*Assumption!$F$64 + O11*Assumption!$F$61 + P11*Assumption!$F$62 + Q11*Assumption!$F$63</f>
        <v>58.924999999999997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2.8559999999999999</v>
      </c>
      <c r="H12" cm="1">
        <f t="array" ref="H12">_xll.FDS(B12,"FG_ROE(0)")</f>
        <v>11.7269876040735</v>
      </c>
      <c r="I12">
        <f>HLOOKUP(B12,'Index ROE'!$B$1:$N$25,24,FALSE)</f>
        <v>13.04966082823935</v>
      </c>
      <c r="J12" cm="1">
        <f t="array" ref="J12">_xll.FDS(B12, "FMA_RBICS_REV_CURRENT(30, LOC, ""PORTAGG"")")</f>
        <v>25.3332048466313</v>
      </c>
      <c r="K12" s="74">
        <f>HLOOKUP(B12,'Index earnings'!$B$1:$N$25,25,FALSE)</f>
        <v>3.4801405293916954E-2</v>
      </c>
      <c r="L12">
        <f>HLOOKUP(A12,'Yearly returns'!$B$1:$N$128,126,FALSE)</f>
        <v>-37.078403000000002</v>
      </c>
      <c r="M12">
        <f t="shared" si="1"/>
        <v>10.19366082823935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2.323</v>
      </c>
      <c r="H13" cm="1">
        <f t="array" ref="H13">_xll.FDS(B13,"FG_ROE(0)")</f>
        <v>17.0261764685124</v>
      </c>
      <c r="I13">
        <f>HLOOKUP(B13,'Index ROE'!$B$1:$N$25,24,FALSE)</f>
        <v>14.442959459592949</v>
      </c>
      <c r="J13" cm="1">
        <f t="array" ref="J13">_xll.FDS(B13, "FMA_RBICS_REV_CURRENT(30, LOC, ""PORTAGG"")")</f>
        <v>26.156690037056499</v>
      </c>
      <c r="K13" s="74">
        <f>HLOOKUP(B13,'Index earnings'!$B$1:$N$25,25,FALSE)</f>
        <v>2.4305006375947569E-2</v>
      </c>
      <c r="L13">
        <f>HLOOKUP(A13,'Yearly returns'!$B$1:$N$128,126,FALSE)</f>
        <v>-35.925409999999999</v>
      </c>
      <c r="M13">
        <f t="shared" si="1"/>
        <v>12.119959459592948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3.879</v>
      </c>
      <c r="H14" cm="1">
        <f t="array" ref="H14">_xll.FDS(B14,"FG_ROE(0)")</f>
        <v>13.9554886736945</v>
      </c>
      <c r="I14">
        <f>HLOOKUP(B14,'Index ROE'!$B$1:$N$25,24,FALSE)</f>
        <v>9.6445775045501065</v>
      </c>
      <c r="J14" cm="1">
        <f t="array" ref="J14">_xll.FDS(B14, "FMA_RBICS_REV_CURRENT(30, LOC, ""PORTAGG"")")</f>
        <v>37.3007280733583</v>
      </c>
      <c r="K14" s="74">
        <f>HLOOKUP(B14,'Index earnings'!$B$1:$N$25,25,FALSE)</f>
        <v>9.2743946932130061E-3</v>
      </c>
      <c r="L14">
        <f>HLOOKUP(A14,'Yearly returns'!$B$1:$N$128,126,FALSE)</f>
        <v>-28.203785</v>
      </c>
      <c r="M14">
        <f t="shared" si="1"/>
        <v>5.765577504550107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50</v>
      </c>
      <c r="R14">
        <f>N14*Assumption!$F$64 + O14*Assumption!$F$61 + P14*Assumption!$F$62 + Q14*Assumption!$F$63</f>
        <v>26.774999999999999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93940.89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0.5714285714285714</v>
      </c>
      <c r="J3" s="9">
        <f t="shared" ref="J3:J11" si="2">H3-I3</f>
        <v>-0.21428571428571425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5.54285751611551</v>
      </c>
      <c r="M3" s="41" cm="1">
        <f t="array" ref="M3">_xll.FDSB(A3,"PERCENT_CHANGE(FMA_EPS(+1,0,,,,""PORTAGG"",""MEAN""),FMA_EPS(+1,-3AM,,,,""PORTAGG"",""MEAN""))")</f>
        <v>1.4825833366710699</v>
      </c>
      <c r="N3" s="3" cm="1">
        <f t="array" ref="N3">_xll.FDS(C3,"FG_TOTAL_RETURNC(0,-1AM)")</f>
        <v>4.0017604999999996</v>
      </c>
      <c r="O3" s="3" cm="1">
        <f t="array" ref="O3">_xll.FDS(C3,"FG_TOTAL_RETURNC(0,-3AM)")</f>
        <v>3.8647293999999999</v>
      </c>
      <c r="P3" s="3" cm="1">
        <f t="array" ref="P3">_xll.FDS(C3,"FG_TOTAL_RETURNC(0,-6AM)")</f>
        <v>4.0834665000000001</v>
      </c>
      <c r="Q3" s="9" cm="1">
        <f t="array" ref="Q3">_xll.FDS(C3,"P_PRICE(0)/P_PRICE_HIGH_PR(0,,,,,,""PRICE"",""INTRA"",""52W"")")</f>
        <v>0.922207</v>
      </c>
      <c r="R3" s="9" cm="1">
        <f t="array" ref="R3">_xll.FDS(C3,"P_PRICE(0)/P_PRICE_low_PR(0,,,,,,""PRICE"",""INTRA"",""52W"")-1")</f>
        <v>0.15281212</v>
      </c>
      <c r="S3" s="3" cm="1">
        <f t="array" ref="S3">_xll.FDS(C3,"FG_TOTAL_RETURNC(0,-12AM)")</f>
        <v>0.59335230000000005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7.1</v>
      </c>
      <c r="AC3" s="4">
        <f t="shared" ref="AC3:AC15" si="4">_xlfn.PERCENTRANK.EXC($L$3:$L$15,L3)*100</f>
        <v>92.800000000000011</v>
      </c>
      <c r="AD3" s="4">
        <f t="shared" ref="AD3:AD15" si="5">_xlfn.PERCENTRANK.EXC($M$3:$M$15,M3)*100</f>
        <v>57.099999999999994</v>
      </c>
      <c r="AE3" s="4">
        <f t="shared" ref="AE3:AE15" si="6">_xlfn.PERCENTRANK.EXC($D$3:$D$15,D3)*100</f>
        <v>7.1</v>
      </c>
      <c r="AF3" s="4">
        <f>'Economic Momentum'!Q4</f>
        <v>50</v>
      </c>
      <c r="AG3" s="4">
        <f ca="1">'Economic Momentum'!R4</f>
        <v>78.5</v>
      </c>
      <c r="AH3" s="4">
        <f t="shared" ref="AH3:AH15" ca="1" si="7">SUMPRODUCT($U$2:$AG$2,U3:AG3)</f>
        <v>13.52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1710122.4</v>
      </c>
      <c r="E4" cm="1">
        <f t="array" ref="E4">_xll.FDS(C4,"FMA_COS_UP(""EPS"",""1M"",+1,0,,,""PORTAGG"",""MEANR"")")</f>
        <v>25</v>
      </c>
      <c r="F4" cm="1">
        <f t="array" ref="F4">_xll.FDS(C4,"FMA_COS_DOWN(""EPS"",""1M"",+1,0,,,""PORTAGG"",""MEANR"")")</f>
        <v>28</v>
      </c>
      <c r="G4" cm="1">
        <f t="array" ref="G4">_xll.FDS(A4,"SIZE(FG_CONSTITUENTS)")</f>
        <v>59</v>
      </c>
      <c r="H4" s="9">
        <f t="shared" si="0"/>
        <v>0.42372881355932202</v>
      </c>
      <c r="I4" s="9">
        <f t="shared" si="1"/>
        <v>0.47457627118644069</v>
      </c>
      <c r="J4" s="9">
        <f t="shared" si="2"/>
        <v>-5.0847457627118675E-2</v>
      </c>
      <c r="K4" s="5" cm="1">
        <f t="array" ref="K4">_xll.FDS(A4,"FMA_PCT_ABOVE_MAVG(200,0,,,,""PORTAGG"")")/100</f>
        <v>0.61016949152542399</v>
      </c>
      <c r="L4" s="41" cm="1">
        <f t="array" ref="L4">_xll.FDSB(A4,"PERCENT_CHANGE(FMA_EPS(+1,0,,,,""PORTAGG"",""MEAN""),FMA_EPS(+1,-1AM,,,,""PORTAGG"",""MEAN""))")</f>
        <v>0.127863968521058</v>
      </c>
      <c r="M4" s="41" cm="1">
        <f t="array" ref="M4">_xll.FDSB(A4,"PERCENT_CHANGE(FMA_EPS(+1,0,,,,""PORTAGG"",""MEAN""),FMA_EPS(+1,-3AM,,,,""PORTAGG"",""MEAN""))")</f>
        <v>-0.154067527698866</v>
      </c>
      <c r="N4" s="3" cm="1">
        <f t="array" ref="N4">_xll.FDS(C4,"FG_TOTAL_RETURNC(0,-1AM)")</f>
        <v>2.7846098000000001</v>
      </c>
      <c r="O4" s="3" cm="1">
        <f t="array" ref="O4">_xll.FDS(C4,"FG_TOTAL_RETURNC(0,-3AM)")</f>
        <v>2.995479</v>
      </c>
      <c r="P4" s="3" cm="1">
        <f t="array" ref="P4">_xll.FDS(C4,"FG_TOTAL_RETURNC(0,-6AM)")</f>
        <v>13.651918999999999</v>
      </c>
      <c r="Q4" s="9" cm="1">
        <f t="array" ref="Q4">_xll.FDS(C4,"P_PRICE(0)/P_PRICE_HIGH_PR(0,,,,,,""PRICE"",""INTRA"",""52W"")")</f>
        <v>0.99445324999999996</v>
      </c>
      <c r="R4" s="9" cm="1">
        <f t="array" ref="R4">_xll.FDS(C4,"P_PRICE(0)/P_PRICE_low_PR(0,,,,,,""PRICE"",""INTRA"",""52W"")-1")</f>
        <v>0.22678398999999999</v>
      </c>
      <c r="S4" s="3" cm="1">
        <f t="array" ref="S4">_xll.FDS(C4,"FG_TOTAL_RETURNC(0,-12AM)")</f>
        <v>14.983929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50</v>
      </c>
      <c r="Y4" s="201" cm="1">
        <f t="array" ref="Y4">_xlfn.PERCENTRANK.EXC(_xlfn._xlws.FILTER($S$3:$S$15, ISNUMBER($S$3:$S$15)),S4)*100</f>
        <v>35.699999999999996</v>
      </c>
      <c r="Z4" s="4" cm="1">
        <f t="array" ref="Z4">_xlfn.PERCENTRANK.EXC(_xlfn._xlws.FILTER($K$3:$K$15, ISNUMBER($K$3:$K$15)),K4)*100</f>
        <v>21.4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21.4</v>
      </c>
      <c r="AC4" s="4">
        <f t="shared" si="4"/>
        <v>21.4</v>
      </c>
      <c r="AD4" s="4">
        <f t="shared" si="5"/>
        <v>21.4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14.2</v>
      </c>
      <c r="AH4" s="4">
        <f t="shared" ca="1" si="7"/>
        <v>44.26</v>
      </c>
      <c r="AJ4" s="3" cm="1">
        <f t="array" aca="1" ref="AJ4" ca="1">_xlfn.PERCENTRANK.EXC(_xlfn._xlws.FILTER($AH$3:$AH$15, ISNUMBER($AH$3:$AH$15)),AH4)*100</f>
        <v>42.8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2732933</v>
      </c>
      <c r="E5" cm="1">
        <f t="array" ref="E5">_xll.FDS(C5,"FMA_COS_UP(""EPS"",""1M"",+1,0,,,""PORTAGG"",""MEANR"")")</f>
        <v>40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88</v>
      </c>
      <c r="H5" s="9">
        <f t="shared" si="0"/>
        <v>0.45454545454545453</v>
      </c>
      <c r="I5" s="9">
        <f t="shared" si="1"/>
        <v>0.38636363636363635</v>
      </c>
      <c r="J5" s="9">
        <f t="shared" si="2"/>
        <v>6.8181818181818177E-2</v>
      </c>
      <c r="K5" s="5" cm="1">
        <f t="array" ref="K5">_xll.FDS(A5,"FMA_PCT_ABOVE_MAVG(200,0,,,,""PORTAGG"")")/100</f>
        <v>0.68181818181818199</v>
      </c>
      <c r="L5" s="41" cm="1">
        <f t="array" ref="L5">_xll.FDSB(A5,"PERCENT_CHANGE(FMA_EPS(+1,0,,,,""PORTAGG"",""MEAN""),FMA_EPS(+1,-1AM,,,,""PORTAGG"",""MEAN""))")</f>
        <v>0.48518428127523899</v>
      </c>
      <c r="M5" s="41" cm="1">
        <f t="array" ref="M5">_xll.FDSB(A5,"PERCENT_CHANGE(FMA_EPS(+1,0,,,,""PORTAGG"",""MEAN""),FMA_EPS(+1,-3AM,,,,""PORTAGG"",""MEAN""))")</f>
        <v>0.16126357146603201</v>
      </c>
      <c r="N5" s="3" cm="1">
        <f t="array" ref="N5">_xll.FDS(C5,"FG_TOTAL_RETURNC(0,-1AM)")</f>
        <v>-0.34102199999999999</v>
      </c>
      <c r="O5" s="3" cm="1">
        <f t="array" ref="O5">_xll.FDS(C5,"FG_TOTAL_RETURNC(0,-3AM)")</f>
        <v>1.9318461</v>
      </c>
      <c r="P5" s="3" cm="1">
        <f t="array" ref="P5">_xll.FDS(C5,"FG_TOTAL_RETURNC(0,-6AM)")</f>
        <v>10.210705000000001</v>
      </c>
      <c r="Q5" s="9" cm="1">
        <f t="array" ref="Q5">_xll.FDS(C5,"P_PRICE(0)/P_PRICE_HIGH_PR(0,,,,,,""PRICE"",""INTRA"",""52W"")")</f>
        <v>0.98013424999999998</v>
      </c>
      <c r="R5" s="9" cm="1">
        <f t="array" ref="R5">_xll.FDS(C5,"P_PRICE(0)/P_PRICE_low_PR(0,,,,,,""PRICE"",""INTRA"",""52W"")-1")</f>
        <v>0.20948744</v>
      </c>
      <c r="S5" s="3" cm="1">
        <f t="array" ref="S5">_xll.FDS(C5,"FG_TOTAL_RETURNC(0,-12AM)")</f>
        <v>12.649226000000001</v>
      </c>
      <c r="T5" s="4" cm="1">
        <f t="array" ref="T5">_xlfn.PERCENTRANK.EXC(_xlfn._xlws.FILTER($R$3:$R$15, ISNUMBER($R$3:$R$15)),R5)*100</f>
        <v>21.4</v>
      </c>
      <c r="U5" s="4">
        <f t="shared" si="3"/>
        <v>78.599999999999994</v>
      </c>
      <c r="V5" s="4" cm="1">
        <f t="array" ref="V5">_xlfn.PERCENTRANK.EXC(_xlfn._xlws.FILTER($Q$3:$Q$15, ISNUMBER($Q$3:$Q$15)),Q5)*100</f>
        <v>21.4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14.2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64.2</v>
      </c>
      <c r="AB5" s="4" cm="1">
        <f t="array" ref="AB5">_xlfn.PERCENTRANK.EXC(_xlfn._xlws.FILTER($J$3:$J$15, ISNUMBER($J$3:$J$15)),J5)*100</f>
        <v>35.699999999999996</v>
      </c>
      <c r="AC5" s="4">
        <f t="shared" si="4"/>
        <v>35.699999999999996</v>
      </c>
      <c r="AD5" s="4">
        <f t="shared" si="5"/>
        <v>28.499999999999996</v>
      </c>
      <c r="AE5" s="4">
        <f t="shared" si="6"/>
        <v>57.099999999999994</v>
      </c>
      <c r="AF5" s="4">
        <f>'Economic Momentum'!Q6</f>
        <v>35.699999999999996</v>
      </c>
      <c r="AG5" s="4">
        <f ca="1">'Economic Momentum'!R6</f>
        <v>35.699999999999996</v>
      </c>
      <c r="AH5" s="4">
        <f t="shared" ca="1" si="7"/>
        <v>17.079999999999998</v>
      </c>
      <c r="AJ5" s="3" cm="1">
        <f t="array" aca="1" ref="AJ5" ca="1">_xlfn.PERCENTRANK.EXC(_xlfn._xlws.FILTER($AH$3:$AH$15, ISNUMBER($AH$3:$AH$15)),AH5)*100</f>
        <v>21.4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2316525.5</v>
      </c>
      <c r="E6" cm="1">
        <f t="array" ref="E6">_xll.FDS(C6,"FMA_COS_UP(""EPS"",""1M"",+1,0,,,""PORTAGG"",""MEANR"")")</f>
        <v>30</v>
      </c>
      <c r="F6" cm="1">
        <f t="array" ref="F6">_xll.FDS(C6,"FMA_COS_DOWN(""EPS"",""1M"",+1,0,,,""PORTAGG"",""MEANR"")")</f>
        <v>21</v>
      </c>
      <c r="G6" cm="1">
        <f t="array" ref="G6">_xll.FDS(A6,"SIZE(FG_CONSTITUENTS)")</f>
        <v>58</v>
      </c>
      <c r="H6" s="9">
        <f t="shared" si="0"/>
        <v>0.51724137931034486</v>
      </c>
      <c r="I6" s="9">
        <f t="shared" si="1"/>
        <v>0.36206896551724138</v>
      </c>
      <c r="J6" s="9">
        <f t="shared" si="2"/>
        <v>0.15517241379310348</v>
      </c>
      <c r="K6" s="5" cm="1">
        <f t="array" ref="K6">_xll.FDS(A6,"FMA_PCT_ABOVE_MAVG(200,0,,,,""PORTAGG"")")/100</f>
        <v>0.75862068965517193</v>
      </c>
      <c r="L6" s="41" cm="1">
        <f t="array" ref="L6">_xll.FDSB(A6,"PERCENT_CHANGE(FMA_EPS(+1,0,,,,""PORTAGG"",""MEAN""),FMA_EPS(+1,-1AM,,,,""PORTAGG"",""MEAN""))")</f>
        <v>2.47677398903858</v>
      </c>
      <c r="M6" s="41" cm="1">
        <f t="array" ref="M6">_xll.FDSB(A6,"PERCENT_CHANGE(FMA_EPS(+1,0,,,,""PORTAGG"",""MEAN""),FMA_EPS(+1,-3AM,,,,""PORTAGG"",""MEAN""))")</f>
        <v>1.9987731309871599</v>
      </c>
      <c r="N6" s="3" cm="1">
        <f t="array" ref="N6">_xll.FDS(C6,"FG_TOTAL_RETURNC(0,-1AM)")</f>
        <v>3.3887505999999998</v>
      </c>
      <c r="O6" s="3" cm="1">
        <f t="array" ref="O6">_xll.FDS(C6,"FG_TOTAL_RETURNC(0,-3AM)")</f>
        <v>4.9659250000000004</v>
      </c>
      <c r="P6" s="3" cm="1">
        <f t="array" ref="P6">_xll.FDS(C6,"FG_TOTAL_RETURNC(0,-6AM)")</f>
        <v>12.453723</v>
      </c>
      <c r="Q6" s="9" cm="1">
        <f t="array" ref="Q6">_xll.FDS(C6,"P_PRICE(0)/P_PRICE_HIGH_PR(0,,,,,,""PRICE"",""INTRA"",""52W"")")</f>
        <v>0.98755630000000005</v>
      </c>
      <c r="R6" s="9" cm="1">
        <f t="array" ref="R6">_xll.FDS(C6,"P_PRICE(0)/P_PRICE_low_PR(0,,,,,,""PRICE"",""INTRA"",""52W"")-1")</f>
        <v>0.30904674999999998</v>
      </c>
      <c r="S6" s="3" cm="1">
        <f t="array" ref="S6">_xll.FDS(C6,"FG_TOTAL_RETURNC(0,-12AM)")</f>
        <v>16.554736999999999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35.699999999999996</v>
      </c>
      <c r="Y6" s="201" cm="1">
        <f t="array" ref="Y6">_xlfn.PERCENTRANK.EXC(_xlfn._xlws.FILTER($S$3:$S$15, ISNUMBER($S$3:$S$15)),S6)*100</f>
        <v>57.099999999999994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71.399999999999991</v>
      </c>
      <c r="AC6" s="4">
        <f t="shared" si="4"/>
        <v>64.2</v>
      </c>
      <c r="AD6" s="4">
        <f t="shared" si="5"/>
        <v>64.2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34.949999999999996</v>
      </c>
      <c r="AJ6" s="3" cm="1">
        <f t="array" aca="1" ref="AJ6" ca="1">_xlfn.PERCENTRANK.EXC(_xlfn._xlws.FILTER($AH$3:$AH$15, ISNUMBER($AH$3:$AH$15)),AH6)*100</f>
        <v>28.499999999999996</v>
      </c>
      <c r="AK6">
        <f t="shared" si="8"/>
        <v>3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6408625</v>
      </c>
      <c r="E7" cm="1">
        <f t="array" ref="E7">_xll.FDS(C7,"FMA_COS_UP(""EPS"",""1M"",+1,0,,,""PORTAGG"",""MEANR"")")</f>
        <v>109</v>
      </c>
      <c r="F7" cm="1">
        <f t="array" ref="F7">_xll.FDS(C7,"FMA_COS_DOWN(""EPS"",""1M"",+1,0,,,""PORTAGG"",""MEANR"")")</f>
        <v>82</v>
      </c>
      <c r="G7" cm="1">
        <f t="array" ref="G7">_xll.FDS(A7,"SIZE(FG_CONSTITUENTS)")</f>
        <v>204</v>
      </c>
      <c r="H7" s="9">
        <f t="shared" si="0"/>
        <v>0.53431372549019607</v>
      </c>
      <c r="I7" s="9">
        <f t="shared" si="1"/>
        <v>0.40196078431372551</v>
      </c>
      <c r="J7" s="9">
        <f t="shared" si="2"/>
        <v>0.13235294117647056</v>
      </c>
      <c r="K7" s="5" cm="1">
        <f t="array" ref="K7">_xll.FDS(A7,"FMA_PCT_ABOVE_MAVG(200,0,,,,""PORTAGG"")")/100</f>
        <v>0.73529411764705899</v>
      </c>
      <c r="L7" s="41" cm="1">
        <f t="array" ref="L7">_xll.FDSB(A7,"PERCENT_CHANGE(FMA_EPS(+1,0,,,,""PORTAGG"",""MEAN""),FMA_EPS(+1,-1AM,,,,""PORTAGG"",""MEAN""))")</f>
        <v>-3.1932052444735102</v>
      </c>
      <c r="M7" s="41" cm="1">
        <f t="array" ref="M7">_xll.FDSB(A7,"PERCENT_CHANGE(FMA_EPS(+1,0,,,,""PORTAGG"",""MEAN""),FMA_EPS(+1,-3AM,,,,""PORTAGG"",""MEAN""))")</f>
        <v>-3.9745247856724299</v>
      </c>
      <c r="N7" s="3" cm="1">
        <f t="array" ref="N7">_xll.FDS(C7,"FG_TOTAL_RETURNC(0,-1AM)")</f>
        <v>-0.61719420000000003</v>
      </c>
      <c r="O7" s="3" cm="1">
        <f t="array" ref="O7">_xll.FDS(C7,"FG_TOTAL_RETURNC(0,-3AM)")</f>
        <v>-2.9844522000000002</v>
      </c>
      <c r="P7" s="3" cm="1">
        <f t="array" ref="P7">_xll.FDS(C7,"FG_TOTAL_RETURNC(0,-6AM)")</f>
        <v>12.040747</v>
      </c>
      <c r="Q7" s="9" cm="1">
        <f t="array" ref="Q7">_xll.FDS(C7,"P_PRICE(0)/P_PRICE_HIGH_PR(0,,,,,,""PRICE"",""INTRA"",""52W"")")</f>
        <v>0.96079919999999996</v>
      </c>
      <c r="R7" s="9" cm="1">
        <f t="array" ref="R7">_xll.FDS(C7,"P_PRICE(0)/P_PRICE_low_PR(0,,,,,,""PRICE"",""INTRA"",""52W"")-1")</f>
        <v>0.21048950999999999</v>
      </c>
      <c r="S7" s="3" cm="1">
        <f t="array" ref="S7">_xll.FDS(C7,"FG_TOTAL_RETURNC(0,-12AM)")</f>
        <v>12.16948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28.499999999999996</v>
      </c>
      <c r="Y7" s="201" cm="1">
        <f t="array" ref="Y7">_xlfn.PERCENTRANK.EXC(_xlfn._xlws.FILTER($S$3:$S$15, ISNUMBER($S$3:$S$15)),S7)*100</f>
        <v>21.4</v>
      </c>
      <c r="Z7" s="4" cm="1">
        <f t="array" ref="Z7">_xlfn.PERCENTRANK.EXC(_xlfn._xlws.FILTER($K$3:$K$15, ISNUMBER($K$3:$K$15)),K7)*100</f>
        <v>71.399999999999991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64.2</v>
      </c>
      <c r="AC7" s="4">
        <f t="shared" si="4"/>
        <v>7.1</v>
      </c>
      <c r="AD7" s="4">
        <f t="shared" si="5"/>
        <v>7.1</v>
      </c>
      <c r="AE7" s="4">
        <f t="shared" si="6"/>
        <v>78.5</v>
      </c>
      <c r="AF7" s="4">
        <f>'Economic Momentum'!Q8</f>
        <v>64.2</v>
      </c>
      <c r="AG7" s="4">
        <f ca="1">'Economic Momentum'!R8</f>
        <v>7.1</v>
      </c>
      <c r="AH7" s="4">
        <f t="shared" ca="1" si="7"/>
        <v>16.36</v>
      </c>
      <c r="AJ7" s="3" cm="1">
        <f t="array" aca="1" ref="AJ7" ca="1">_xlfn.PERCENTRANK.EXC(_xlfn._xlws.FILTER($AH$3:$AH$15, ISNUMBER($AH$3:$AH$15)),AH7)*100</f>
        <v>14.2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2234077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10</v>
      </c>
      <c r="G8" cm="1">
        <f t="array" ref="G8">_xll.FDS(A8,"SIZE(FG_CONSTITUENTS)")</f>
        <v>46</v>
      </c>
      <c r="H8" s="9">
        <f t="shared" si="0"/>
        <v>0.47826086956521741</v>
      </c>
      <c r="I8" s="9">
        <f t="shared" si="1"/>
        <v>0.21739130434782608</v>
      </c>
      <c r="J8" s="9">
        <f t="shared" si="2"/>
        <v>0.26086956521739135</v>
      </c>
      <c r="K8" s="5" cm="1">
        <f t="array" ref="K8">_xll.FDS(A8,"FMA_PCT_ABOVE_MAVG(200,0,,,,""PORTAGG"")")/100</f>
        <v>0.64444444444444404</v>
      </c>
      <c r="L8" s="41" cm="1">
        <f t="array" ref="L8">_xll.FDSB(A8,"PERCENT_CHANGE(FMA_EPS(+1,0,,,,""PORTAGG"",""MEAN""),FMA_EPS(+1,-1AM,,,,""PORTAGG"",""MEAN""))")</f>
        <v>2.7738031358604101</v>
      </c>
      <c r="M8" s="41" cm="1">
        <f t="array" ref="M8">_xll.FDSB(A8,"PERCENT_CHANGE(FMA_EPS(+1,0,,,,""PORTAGG"",""MEAN""),FMA_EPS(+1,-3AM,,,,""PORTAGG"",""MEAN""))")</f>
        <v>3.20383247593628</v>
      </c>
      <c r="N8" s="3" cm="1">
        <f t="array" ref="N8">_xll.FDS(C8,"FG_TOTAL_RETURNC(0,-1AM)")</f>
        <v>9.1869829999999997</v>
      </c>
      <c r="O8" s="3" cm="1">
        <f t="array" ref="O8">_xll.FDS(C8,"FG_TOTAL_RETURNC(0,-3AM)")</f>
        <v>6.8594337000000003</v>
      </c>
      <c r="P8" s="3" cm="1">
        <f t="array" ref="P8">_xll.FDS(C8,"FG_TOTAL_RETURNC(0,-6AM)")</f>
        <v>10.666668</v>
      </c>
      <c r="Q8" s="9" cm="1">
        <f t="array" ref="Q8">_xll.FDS(C8,"P_PRICE(0)/P_PRICE_HIGH_PR(0,,,,,,""PRICE"",""INTRA"",""52W"")")</f>
        <v>1</v>
      </c>
      <c r="R8" s="9" cm="1">
        <f t="array" ref="R8">_xll.FDS(C8,"P_PRICE(0)/P_PRICE_low_PR(0,,,,,,""PRICE"",""INTRA"",""52W"")-1")</f>
        <v>0.21853196999999999</v>
      </c>
      <c r="S8" s="3" cm="1">
        <f t="array" ref="S8">_xll.FDS(C8,"FG_TOTAL_RETURNC(0,-12AM)")</f>
        <v>9.7215290000000003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21.4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85.7</v>
      </c>
      <c r="AC8" s="4">
        <f t="shared" si="4"/>
        <v>78.5</v>
      </c>
      <c r="AD8" s="4">
        <f t="shared" si="5"/>
        <v>78.5</v>
      </c>
      <c r="AE8" s="4">
        <f t="shared" si="6"/>
        <v>42.8</v>
      </c>
      <c r="AF8" s="4">
        <f>'Economic Momentum'!Q9</f>
        <v>28.499999999999996</v>
      </c>
      <c r="AG8" s="4">
        <f ca="1">'Economic Momentum'!R9</f>
        <v>42.8</v>
      </c>
      <c r="AH8" s="4">
        <f t="shared" ca="1" si="7"/>
        <v>67.09</v>
      </c>
      <c r="AJ8" s="3" cm="1">
        <f t="array" aca="1" ref="AJ8" ca="1">_xlfn.PERCENTRANK.EXC(_xlfn._xlws.FILTER($AH$3:$AH$15, ISNUMBER($AH$3:$AH$15)),AH8)*100</f>
        <v>71.399999999999991</v>
      </c>
      <c r="AK8">
        <f t="shared" si="8"/>
        <v>4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3304992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33</v>
      </c>
      <c r="G9" cm="1">
        <f t="array" ref="G9">_xll.FDS(A9,"SIZE(FG_CONSTITUENTS)")</f>
        <v>82</v>
      </c>
      <c r="H9" s="9">
        <f t="shared" si="0"/>
        <v>0.45121951219512196</v>
      </c>
      <c r="I9" s="9">
        <f t="shared" si="1"/>
        <v>0.40243902439024393</v>
      </c>
      <c r="J9" s="9">
        <f t="shared" si="2"/>
        <v>4.8780487804878037E-2</v>
      </c>
      <c r="K9" s="5" cm="1">
        <f t="array" ref="K9">_xll.FDS(A9,"FMA_PCT_ABOVE_MAVG(200,0,,,,""PORTAGG"")")/100</f>
        <v>0.72499999999999998</v>
      </c>
      <c r="L9" s="41" cm="1">
        <f t="array" ref="L9">_xll.FDSB(A9,"PERCENT_CHANGE(FMA_EPS(+1,0,,,,""PORTAGG"",""MEAN""),FMA_EPS(+1,-1AM,,,,""PORTAGG"",""MEAN""))")</f>
        <v>1.2125215586785101</v>
      </c>
      <c r="M9" s="41" cm="1">
        <f t="array" ref="M9">_xll.FDSB(A9,"PERCENT_CHANGE(FMA_EPS(+1,0,,,,""PORTAGG"",""MEAN""),FMA_EPS(+1,-3AM,,,,""PORTAGG"",""MEAN""))")</f>
        <v>3.7285433913510699</v>
      </c>
      <c r="N9" s="3" cm="1">
        <f t="array" ref="N9">_xll.FDS(C9,"FG_TOTAL_RETURNC(0,-1AM)")</f>
        <v>2.3622036</v>
      </c>
      <c r="O9" s="3" cm="1">
        <f t="array" ref="O9">_xll.FDS(C9,"FG_TOTAL_RETURNC(0,-3AM)")</f>
        <v>10.102843999999999</v>
      </c>
      <c r="P9" s="3" cm="1">
        <f t="array" ref="P9">_xll.FDS(C9,"FG_TOTAL_RETURNC(0,-6AM)")</f>
        <v>15.216552999999999</v>
      </c>
      <c r="Q9" s="9" cm="1">
        <f t="array" ref="Q9">_xll.FDS(C9,"P_PRICE(0)/P_PRICE_HIGH_PR(0,,,,,,""PRICE"",""INTRA"",""52W"")")</f>
        <v>0.99007213000000005</v>
      </c>
      <c r="R9" s="9" cm="1">
        <f t="array" ref="R9">_xll.FDS(C9,"P_PRICE(0)/P_PRICE_low_PR(0,,,,,,""PRICE"",""INTRA"",""52W"")-1")</f>
        <v>0.20769751</v>
      </c>
      <c r="S9" s="3" cm="1">
        <f t="array" ref="S9">_xll.FDS(C9,"FG_TOTAL_RETURNC(0,-12AM)")</f>
        <v>16.231954999999999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28.499999999999996</v>
      </c>
      <c r="AC9" s="4">
        <f t="shared" si="4"/>
        <v>50</v>
      </c>
      <c r="AD9" s="4">
        <f t="shared" si="5"/>
        <v>85.7</v>
      </c>
      <c r="AE9" s="4">
        <f t="shared" si="6"/>
        <v>64.2</v>
      </c>
      <c r="AF9" s="4">
        <f>'Economic Momentum'!Q10</f>
        <v>71.399999999999991</v>
      </c>
      <c r="AG9" s="4">
        <f ca="1">'Economic Momentum'!R10</f>
        <v>50</v>
      </c>
      <c r="AH9" s="4">
        <f t="shared" ca="1" si="7"/>
        <v>62.09</v>
      </c>
      <c r="AJ9" s="3" cm="1">
        <f t="array" aca="1" ref="AJ9" ca="1">_xlfn.PERCENTRANK.EXC(_xlfn._xlws.FILTER($AH$3:$AH$15, ISNUMBER($AH$3:$AH$15)),AH9)*100</f>
        <v>50</v>
      </c>
      <c r="AK9">
        <f t="shared" si="8"/>
        <v>1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55472610</v>
      </c>
      <c r="E10" cm="1">
        <f t="array" ref="E10">_xll.FDS(C10,"FMA_COS_UP(""EPS"",""1M"",+1,0,,,""PORTAGG"",""MEANR"")")</f>
        <v>44</v>
      </c>
      <c r="F10" cm="1">
        <f t="array" ref="F10">_xll.FDS(C10,"FMA_COS_DOWN(""EPS"",""1M"",+1,0,,,""PORTAGG"",""MEANR"")")</f>
        <v>28</v>
      </c>
      <c r="G10" cm="1">
        <f t="array" ref="G10">_xll.FDS(A10,"SIZE(FG_CONSTITUENTS)")</f>
        <v>102</v>
      </c>
      <c r="H10" s="9">
        <f t="shared" si="0"/>
        <v>0.43137254901960786</v>
      </c>
      <c r="I10" s="9">
        <f t="shared" si="1"/>
        <v>0.27450980392156865</v>
      </c>
      <c r="J10" s="9">
        <f t="shared" si="2"/>
        <v>0.15686274509803921</v>
      </c>
      <c r="K10" s="5" cm="1">
        <f t="array" ref="K10">_xll.FDS(A10,"FMA_PCT_ABOVE_MAVG(200,0,,,,""PORTAGG"")")/100</f>
        <v>0.61764705882352899</v>
      </c>
      <c r="L10" s="41" cm="1">
        <f t="array" ref="L10">_xll.FDSB(A10,"PERCENT_CHANGE(FMA_EPS(+1,0,,,,""PORTAGG"",""MEAN""),FMA_EPS(+1,-1AM,,,,""PORTAGG"",""MEAN""))")</f>
        <v>0.70833960343178004</v>
      </c>
      <c r="M10" s="41" cm="1">
        <f t="array" ref="M10">_xll.FDSB(A10,"PERCENT_CHANGE(FMA_EPS(+1,0,,,,""PORTAGG"",""MEAN""),FMA_EPS(+1,-3AM,,,,""PORTAGG"",""MEAN""))")</f>
        <v>0.27106073295190702</v>
      </c>
      <c r="N10" s="3" cm="1">
        <f t="array" ref="N10">_xll.FDS(C10,"FG_TOTAL_RETURNC(0,-1AM)")</f>
        <v>5.2515625999999997</v>
      </c>
      <c r="O10" s="3" cm="1">
        <f t="array" ref="O10">_xll.FDS(C10,"FG_TOTAL_RETURNC(0,-3AM)")</f>
        <v>5.7401895999999999</v>
      </c>
      <c r="P10" s="3" cm="1">
        <f t="array" ref="P10">_xll.FDS(C10,"FG_TOTAL_RETURNC(0,-6AM)")</f>
        <v>20.800530999999999</v>
      </c>
      <c r="Q10" s="9" cm="1">
        <f t="array" ref="Q10">_xll.FDS(C10,"P_PRICE(0)/P_PRICE_HIGH_PR(0,,,,,,""PRICE"",""INTRA"",""52W"")")</f>
        <v>0.99748135000000004</v>
      </c>
      <c r="R10" s="9" cm="1">
        <f t="array" ref="R10">_xll.FDS(C10,"P_PRICE(0)/P_PRICE_low_PR(0,,,,,,""PRICE"",""INTRA"",""52W"")-1")</f>
        <v>0.35349786</v>
      </c>
      <c r="S10" s="3" cm="1">
        <f t="array" ref="S10">_xll.FDS(C10,"FG_TOTAL_RETURNC(0,-12AM)")</f>
        <v>31.454826000000001</v>
      </c>
      <c r="T10" s="4" cm="1">
        <f t="array" ref="T10">_xlfn.PERCENTRANK.EXC(_xlfn._xlws.FILTER($R$3:$R$15, ISNUMBER($R$3:$R$15)),R10)*100</f>
        <v>78.5</v>
      </c>
      <c r="U10" s="4">
        <f t="shared" si="3"/>
        <v>21.5</v>
      </c>
      <c r="V10" s="4" cm="1">
        <f t="array" ref="V10">_xlfn.PERCENTRANK.EXC(_xlfn._xlws.FILTER($Q$3:$Q$15, ISNUMBER($Q$3:$Q$15)),Q10)*100</f>
        <v>64.2</v>
      </c>
      <c r="W10" s="4" cm="1">
        <f t="array" ref="W10">_xlfn.PERCENTRANK.EXC(_xlfn._xlws.FILTER($O$3:$O$15, ISNUMBER($O$3:$O$15)),O10)*100</f>
        <v>57.099999999999994</v>
      </c>
      <c r="X10" s="4" cm="1">
        <f t="array" ref="X10">_xlfn.PERCENTRANK.EXC(_xlfn._xlws.FILTER($P$3:$P$15, ISNUMBER($P$3:$P$15)),P10)*100</f>
        <v>85.7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78.5</v>
      </c>
      <c r="AC10" s="4">
        <f t="shared" si="4"/>
        <v>42.8</v>
      </c>
      <c r="AD10" s="4">
        <f t="shared" si="5"/>
        <v>42.8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57.099999999999994</v>
      </c>
      <c r="AH10" s="4">
        <f t="shared" ca="1" si="7"/>
        <v>68.52000000000001</v>
      </c>
      <c r="AJ10" s="3" cm="1">
        <f t="array" aca="1" ref="AJ10" ca="1">_xlfn.PERCENTRANK.EXC(_xlfn._xlws.FILTER($AH$3:$AH$15, ISNUMBER($AH$3:$AH$15)),AH10)*100</f>
        <v>78.5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55472610</v>
      </c>
      <c r="E11" cm="1">
        <f t="array" ref="E11">_xll.FDS(C11,"FMA_COS_UP(""EPS"",""1M"",+1,0,,,""PORTAGG"",""MEANR"")")</f>
        <v>205</v>
      </c>
      <c r="F11" cm="1">
        <f t="array" ref="F11">_xll.FDS(C11,"FMA_COS_DOWN(""EPS"",""1M"",+1,0,,,""PORTAGG"",""MEANR"")")</f>
        <v>144</v>
      </c>
      <c r="G11" cm="1">
        <f t="array" ref="G11">_xll.FDS(A11,"SIZE(FG_CONSTITUENTS)")</f>
        <v>504</v>
      </c>
      <c r="H11" s="9">
        <f t="shared" si="0"/>
        <v>0.40674603174603174</v>
      </c>
      <c r="I11" s="9">
        <f t="shared" si="1"/>
        <v>0.2857142857142857</v>
      </c>
      <c r="J11" s="9">
        <f t="shared" si="2"/>
        <v>0.12103174603174605</v>
      </c>
      <c r="K11" s="5" cm="1">
        <f t="array" ref="K11">_xll.FDS(A11,"FMA_PCT_ABOVE_MAVG(200,0,,,,""PORTAGG"")")/100</f>
        <v>0.68662674650698607</v>
      </c>
      <c r="L11" s="41" cm="1">
        <f t="array" ref="L11">_xll.FDSB(A11,"PERCENT_CHANGE(FMA_EPS(+1,0,,,,""PORTAGG"",""MEAN""),FMA_EPS(+1,-1AM,,,,""PORTAGG"",""MEAN""))")</f>
        <v>0.39149322252283902</v>
      </c>
      <c r="M11" s="41" cm="1">
        <f t="array" ref="M11">_xll.FDSB(A11,"PERCENT_CHANGE(FMA_EPS(+1,0,,,,""PORTAGG"",""MEAN""),FMA_EPS(+1,-3AM,,,,""PORTAGG"",""MEAN""))")</f>
        <v>0.20964041800365801</v>
      </c>
      <c r="N11" s="3" cm="1">
        <f t="array" ref="N11">_xll.FDS(C11,"FG_TOTAL_RETURNC(0,-1AM)")</f>
        <v>3.5019398000000002</v>
      </c>
      <c r="O11" s="3" cm="1">
        <f t="array" ref="O11">_xll.FDS(C11,"FG_TOTAL_RETURNC(0,-3AM)")</f>
        <v>5.2148222999999998</v>
      </c>
      <c r="P11" s="3" cm="1">
        <f t="array" ref="P11">_xll.FDS(C11,"FG_TOTAL_RETURNC(0,-6AM)")</f>
        <v>18.416477</v>
      </c>
      <c r="Q11" s="9" cm="1">
        <f t="array" ref="Q11">_xll.FDS(C11,"P_PRICE(0)/P_PRICE_HIGH_PR(0,,,,,,""PRICE"",""INTRA"",""52W"")")</f>
        <v>0.99858049999999998</v>
      </c>
      <c r="R11" s="9" cm="1">
        <f t="array" ref="R11">_xll.FDS(C11,"P_PRICE(0)/P_PRICE_low_PR(0,,,,,,""PRICE"",""INTRA"",""52W"")-1")</f>
        <v>0.30656623999999999</v>
      </c>
      <c r="S11" s="3" cm="1">
        <f t="array" ref="S11">_xll.FDS(C11,"FG_TOTAL_RETURNC(0,-12AM)")</f>
        <v>26.731418999999999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71.399999999999991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28.499999999999996</v>
      </c>
      <c r="AB11" s="4" cm="1">
        <f t="array" ref="AB11">_xlfn.PERCENTRANK.EXC(_xlfn._xlws.FILTER($J$3:$J$15, ISNUMBER($J$3:$J$15)),J11)*100</f>
        <v>57.099999999999994</v>
      </c>
      <c r="AC11" s="4">
        <f t="shared" si="4"/>
        <v>28.499999999999996</v>
      </c>
      <c r="AD11" s="4">
        <f t="shared" si="5"/>
        <v>35.699999999999996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57.099999999999994</v>
      </c>
      <c r="AH11" s="4">
        <f t="shared" ca="1" si="7"/>
        <v>64.98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3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3401736.8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20</v>
      </c>
      <c r="G12" cm="1">
        <f t="array" ref="G12">_xll.FDS(A12,"SIZE(FG_CONSTITUENTS)")</f>
        <v>64</v>
      </c>
      <c r="H12" s="9">
        <f t="shared" ref="H12:H15" si="9">E12/$G12</f>
        <v>0.421875</v>
      </c>
      <c r="I12" s="9">
        <f t="shared" ref="I12:I15" si="10">F12/$G12</f>
        <v>0.3125</v>
      </c>
      <c r="J12" s="9">
        <f t="shared" ref="J12:J15" si="11">H12-I12</f>
        <v>0.109375</v>
      </c>
      <c r="K12" s="5" cm="1">
        <f t="array" ref="K12">_xll.FDS(A12,"FMA_PCT_ABOVE_MAVG(200,0,,,,""PORTAGG"")")/100</f>
        <v>0.74193548387096797</v>
      </c>
      <c r="L12" s="41" cm="1">
        <f t="array" ref="L12">_xll.FDSB(A12,"PERCENT_CHANGE(FMA_EPS(+1,0,,,,""PORTAGG"",""MEAN""),FMA_EPS(+1,-1AM,,,,""PORTAGG"",""MEAN""))")</f>
        <v>1.5934351362822301</v>
      </c>
      <c r="M12" s="41" cm="1">
        <f t="array" ref="M12">_xll.FDSB(A12,"PERCENT_CHANGE(FMA_EPS(+1,0,,,,""PORTAGG"",""MEAN""),FMA_EPS(+1,-3AM,,,,""PORTAGG"",""MEAN""))")</f>
        <v>0.56597452800185899</v>
      </c>
      <c r="N12" s="3" cm="1">
        <f t="array" ref="N12">_xll.FDS(C12,"FG_TOTAL_RETURNC(0,-1AM)")</f>
        <v>3.0806779999999998</v>
      </c>
      <c r="O12" s="3" cm="1">
        <f t="array" ref="O12">_xll.FDS(C12,"FG_TOTAL_RETURNC(0,-3AM)")</f>
        <v>4.0730715000000002</v>
      </c>
      <c r="P12" s="3" cm="1">
        <f t="array" ref="P12">_xll.FDS(C12,"FG_TOTAL_RETURNC(0,-6AM)")</f>
        <v>12.738013</v>
      </c>
      <c r="Q12" s="9" cm="1">
        <f t="array" ref="Q12">_xll.FDS(C12,"P_PRICE(0)/P_PRICE_HIGH_PR(0,,,,,,""PRICE"",""INTRA"",""52W"")")</f>
        <v>0.98967139999999998</v>
      </c>
      <c r="R12" s="9" cm="1">
        <f t="array" ref="R12">_xll.FDS(C12,"P_PRICE(0)/P_PRICE_low_PR(0,,,,,,""PRICE"",""INTRA"",""52W"")-1")</f>
        <v>0.25252520000000001</v>
      </c>
      <c r="S12" s="3" cm="1">
        <f t="array" ref="S12">_xll.FDS(C12,"FG_TOTAL_RETURNC(0,-12AM)")</f>
        <v>15.503920000000001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42.8</v>
      </c>
      <c r="Y12" s="201" cm="1">
        <f t="array" ref="Y12">_xlfn.PERCENTRANK.EXC(_xlfn._xlws.FILTER($S$3:$S$15, ISNUMBER($S$3:$S$15)),S12)*100</f>
        <v>42.8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50</v>
      </c>
      <c r="AC12" s="4">
        <f t="shared" si="4"/>
        <v>57.099999999999994</v>
      </c>
      <c r="AD12" s="4">
        <f t="shared" si="5"/>
        <v>50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37.83</v>
      </c>
      <c r="AJ12" s="3" cm="1">
        <f t="array" aca="1" ref="AJ12" ca="1">_xlfn.PERCENTRANK.EXC(_xlfn._xlws.FILTER($AH$3:$AH$15, ISNUMBER($AH$3:$AH$15)),AH12)*100</f>
        <v>35.699999999999996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1202403.8999999999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20</v>
      </c>
      <c r="G13" cm="1">
        <f t="array" ref="G13">_xll.FDS(A13,"SIZE(FG_CONSTITUENTS)")</f>
        <v>53</v>
      </c>
      <c r="H13" s="9">
        <f t="shared" si="9"/>
        <v>0.24528301886792453</v>
      </c>
      <c r="I13" s="9">
        <f t="shared" si="10"/>
        <v>0.37735849056603776</v>
      </c>
      <c r="J13" s="9">
        <f t="shared" si="11"/>
        <v>-0.13207547169811323</v>
      </c>
      <c r="K13" s="5" cm="1">
        <f t="array" ref="K13">_xll.FDS(A13,"FMA_PCT_ABOVE_MAVG(200,0,,,,""PORTAGG"")")/100</f>
        <v>0.660377358490566</v>
      </c>
      <c r="L13" s="41" cm="1">
        <f t="array" ref="L13">_xll.FDSB(A13,"PERCENT_CHANGE(FMA_EPS(+1,0,,,,""PORTAGG"",""MEAN""),FMA_EPS(+1,-1AM,,,,""PORTAGG"",""MEAN""))")</f>
        <v>-1.2670732860568199</v>
      </c>
      <c r="M13" s="41" cm="1">
        <f t="array" ref="M13">_xll.FDSB(A13,"PERCENT_CHANGE(FMA_EPS(+1,0,,,,""PORTAGG"",""MEAN""),FMA_EPS(+1,-3AM,,,,""PORTAGG"",""MEAN""))")</f>
        <v>-0.45128527889509401</v>
      </c>
      <c r="N13" s="3" cm="1">
        <f t="array" ref="N13">_xll.FDS(C13,"FG_TOTAL_RETURNC(0,-1AM)")</f>
        <v>6.0435176000000004</v>
      </c>
      <c r="O13" s="3" cm="1">
        <f t="array" ref="O13">_xll.FDS(C13,"FG_TOTAL_RETURNC(0,-3AM)")</f>
        <v>8.0903419999999997</v>
      </c>
      <c r="P13" s="3" cm="1">
        <f t="array" ref="P13">_xll.FDS(C13,"FG_TOTAL_RETURNC(0,-6AM)")</f>
        <v>25.531721000000001</v>
      </c>
      <c r="Q13" s="9" cm="1">
        <f t="array" ref="Q13">_xll.FDS(C13,"P_PRICE(0)/P_PRICE_HIGH_PR(0,,,,,,""PRICE"",""INTRA"",""52W"")")</f>
        <v>0.99905109999999997</v>
      </c>
      <c r="R13" s="9" cm="1">
        <f t="array" ref="R13">_xll.FDS(C13,"P_PRICE(0)/P_PRICE_low_PR(0,,,,,,""PRICE"",""INTRA"",""52W"")-1")</f>
        <v>0.45053732000000002</v>
      </c>
      <c r="S13" s="3" cm="1">
        <f t="array" ref="S13">_xll.FDS(C13,"FG_TOTAL_RETURNC(0,-12AM)")</f>
        <v>26.369845999999999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7.1</v>
      </c>
      <c r="AB13" s="4" cm="1">
        <f t="array" ref="AB13">_xlfn.PERCENTRANK.EXC(_xlfn._xlws.FILTER($J$3:$J$15, ISNUMBER($J$3:$J$15)),J13)*100</f>
        <v>14.2</v>
      </c>
      <c r="AC13" s="4">
        <f t="shared" si="4"/>
        <v>14.2</v>
      </c>
      <c r="AD13" s="4">
        <f t="shared" si="5"/>
        <v>14.2</v>
      </c>
      <c r="AE13" s="4">
        <f t="shared" si="6"/>
        <v>28.499999999999996</v>
      </c>
      <c r="AF13" s="4">
        <f>'Economic Momentum'!Q14</f>
        <v>92.800000000000011</v>
      </c>
      <c r="AG13" s="4">
        <f ca="1">'Economic Momentum'!R14</f>
        <v>92.800000000000011</v>
      </c>
      <c r="AH13" s="4">
        <f t="shared" ca="1" si="7"/>
        <v>84.95</v>
      </c>
      <c r="AJ13" s="3" cm="1">
        <f t="array" aca="1" ref="AJ13" ca="1">_xlfn.PERCENTRANK.EXC(_xlfn._xlws.FILTER($AH$3:$AH$15, ISNUMBER($AH$3:$AH$15)),AH13)*100</f>
        <v>92.800000000000011</v>
      </c>
      <c r="AK13">
        <f t="shared" si="8"/>
        <v>4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1045240.6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45</v>
      </c>
      <c r="H14" s="9">
        <f t="shared" si="9"/>
        <v>0.35555555555555557</v>
      </c>
      <c r="I14" s="9">
        <f t="shared" si="10"/>
        <v>0.26666666666666666</v>
      </c>
      <c r="J14" s="9">
        <f t="shared" si="11"/>
        <v>8.8888888888888906E-2</v>
      </c>
      <c r="K14" s="5" cm="1">
        <f t="array" ref="K14">_xll.FDS(A14,"FMA_PCT_ABOVE_MAVG(200,0,,,,""PORTAGG"")")/100</f>
        <v>0.88636363636363602</v>
      </c>
      <c r="L14" s="41" cm="1">
        <f t="array" ref="L14">_xll.FDSB(A14,"PERCENT_CHANGE(FMA_EPS(+1,0,,,,""PORTAGG"",""MEAN""),FMA_EPS(+1,-1AM,,,,""PORTAGG"",""MEAN""))")</f>
        <v>4.5682427024187602</v>
      </c>
      <c r="M14" s="41" cm="1">
        <f t="array" ref="M14">_xll.FDSB(A14,"PERCENT_CHANGE(FMA_EPS(+1,0,,,,""PORTAGG"",""MEAN""),FMA_EPS(+1,-3AM,,,,""PORTAGG"",""MEAN""))")</f>
        <v>4.8988276542875502</v>
      </c>
      <c r="N14" s="3" cm="1">
        <f t="array" ref="N14">_xll.FDS(C14,"FG_TOTAL_RETURNC(0,-1AM)")</f>
        <v>6.8455339999999998</v>
      </c>
      <c r="O14" s="3" cm="1">
        <f t="array" ref="O14">_xll.FDS(C14,"FG_TOTAL_RETURNC(0,-3AM)")</f>
        <v>6.4451694000000002</v>
      </c>
      <c r="P14" s="3" cm="1">
        <f t="array" ref="P14">_xll.FDS(C14,"FG_TOTAL_RETURNC(0,-6AM)")</f>
        <v>18.165694999999999</v>
      </c>
      <c r="Q14" s="9" cm="1">
        <f t="array" ref="Q14">_xll.FDS(C14,"P_PRICE(0)/P_PRICE_HIGH_PR(0,,,,,,""PRICE"",""INTRA"",""52W"")")</f>
        <v>0.99906209999999995</v>
      </c>
      <c r="R14" s="9" cm="1">
        <f t="array" ref="R14">_xll.FDS(C14,"P_PRICE(0)/P_PRICE_low_PR(0,,,,,,""PRICE"",""INTRA"",""52W"")-1")</f>
        <v>0.38862646000000001</v>
      </c>
      <c r="S14" s="3" cm="1">
        <f t="array" ref="S14">_xll.FDS(C14,"FG_TOTAL_RETURNC(0,-12AM)")</f>
        <v>24.677966999999999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64.2</v>
      </c>
      <c r="Y14" s="201" cm="1">
        <f t="array" ref="Y14">_xlfn.PERCENTRANK.EXC(_xlfn._xlws.FILTER($S$3:$S$15, ISNUMBER($S$3:$S$15)),S14)*100</f>
        <v>64.2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42.8</v>
      </c>
      <c r="AC14" s="4">
        <f t="shared" si="4"/>
        <v>85.7</v>
      </c>
      <c r="AD14" s="4">
        <f t="shared" si="5"/>
        <v>92.800000000000011</v>
      </c>
      <c r="AE14" s="4">
        <f t="shared" si="6"/>
        <v>21.4</v>
      </c>
      <c r="AF14" s="4">
        <f>'Economic Momentum'!Q15</f>
        <v>50</v>
      </c>
      <c r="AG14" s="4">
        <f ca="1">'Economic Momentum'!R15</f>
        <v>21.4</v>
      </c>
      <c r="AH14" s="4">
        <f t="shared" ca="1" si="7"/>
        <v>72.800000000000011</v>
      </c>
      <c r="AJ14" s="3" cm="1">
        <f t="array" aca="1" ref="AJ14" ca="1">_xlfn.PERCENTRANK.EXC(_xlfn._xlws.FILTER($AH$3:$AH$15, ISNUMBER($AH$3:$AH$15)),AH14)*100</f>
        <v>85.7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900075.06</v>
      </c>
      <c r="E15" cm="1">
        <f t="array" ref="E15">_xll.FDS(C15,"FMA_COS_UP(""EPS"",""1M"",+1,0,,,""PORTAGG"",""MEANR"")")</f>
        <v>17</v>
      </c>
      <c r="F15" cm="1">
        <f t="array" ref="F15">_xll.FDS(C15,"FMA_COS_DOWN(""EPS"",""1M"",+1,0,,,""PORTAGG"",""MEANR"")")</f>
        <v>3</v>
      </c>
      <c r="G15" cm="1">
        <f t="array" ref="G15">_xll.FDS(A15,"SIZE(FG_CONSTITUENTS)")</f>
        <v>26</v>
      </c>
      <c r="H15" s="9">
        <f t="shared" si="9"/>
        <v>0.65384615384615385</v>
      </c>
      <c r="I15" s="9">
        <f t="shared" si="10"/>
        <v>0.11538461538461539</v>
      </c>
      <c r="J15" s="9">
        <f t="shared" si="11"/>
        <v>0.53846153846153844</v>
      </c>
      <c r="K15" s="5" cm="1">
        <f t="array" ref="K15">_xll.FDS(A15,"FMA_PCT_ABOVE_MAVG(200,0,,,,""PORTAGG"")")/100</f>
        <v>0.6</v>
      </c>
      <c r="L15" s="41" cm="1">
        <f t="array" ref="L15">_xll.FDSB(A15,"PERCENT_CHANGE(FMA_EPS(+1,0,,,,""PORTAGG"",""MEAN""),FMA_EPS(+1,-1AM,,,,""PORTAGG"",""MEAN""))")</f>
        <v>2.56930266821107</v>
      </c>
      <c r="M15" s="41" cm="1">
        <f t="array" ref="M15">_xll.FDSB(A15,"PERCENT_CHANGE(FMA_EPS(+1,0,,,,""PORTAGG"",""MEAN""),FMA_EPS(+1,-3AM,,,,""PORTAGG"",""MEAN""))")</f>
        <v>1.99941359207195</v>
      </c>
      <c r="N15" s="3" cm="1">
        <f t="array" ref="N15">_xll.FDS(C15,"FG_TOTAL_RETURNC(0,-1AM)")</f>
        <v>4.3338656000000002</v>
      </c>
      <c r="O15" s="3" cm="1">
        <f t="array" ref="O15">_xll.FDS(C15,"FG_TOTAL_RETURNC(0,-3AM)")</f>
        <v>6.6156269999999999</v>
      </c>
      <c r="P15" s="3" cm="1">
        <f t="array" ref="P15">_xll.FDS(C15,"FG_TOTAL_RETURNC(0,-6AM)")</f>
        <v>19.491768</v>
      </c>
      <c r="Q15" s="9" cm="1">
        <f t="array" ref="Q15">_xll.FDS(C15,"P_PRICE(0)/P_PRICE_HIGH_PR(0,,,,,,""PRICE"",""INTRA"",""52W"")")</f>
        <v>0.99060199999999998</v>
      </c>
      <c r="R15" s="9" cm="1">
        <f t="array" ref="R15">_xll.FDS(C15,"P_PRICE(0)/P_PRICE_low_PR(0,,,,,,""PRICE"",""INTRA"",""52W"")-1")</f>
        <v>0.34413241999999999</v>
      </c>
      <c r="S15" s="3" cm="1">
        <f t="array" ref="S15">_xll.FDS(C15,"FG_TOTAL_RETURNC(0,-12AM)")</f>
        <v>31.537877999999999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50</v>
      </c>
      <c r="W15" s="4" cm="1">
        <f t="array" ref="W15">_xlfn.PERCENTRANK.EXC(_xlfn._xlws.FILTER($O$3:$O$15, ISNUMBER($O$3:$O$15)),O15)*100</f>
        <v>71.399999999999991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92.800000000000011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71.399999999999991</v>
      </c>
      <c r="AD15" s="4">
        <f t="shared" si="5"/>
        <v>71.399999999999991</v>
      </c>
      <c r="AE15" s="4">
        <f t="shared" si="6"/>
        <v>14.2</v>
      </c>
      <c r="AF15" s="4">
        <f>'Economic Momentum'!Q16</f>
        <v>14.2</v>
      </c>
      <c r="AG15" s="4">
        <f ca="1">'Economic Momentum'!R16</f>
        <v>85.7</v>
      </c>
      <c r="AH15" s="4">
        <f t="shared" ca="1" si="7"/>
        <v>64.97</v>
      </c>
      <c r="AJ15" s="3" cm="1">
        <f t="array" aca="1" ref="AJ15" ca="1">_xlfn.PERCENTRANK.EXC(_xlfn._xlws.FILTER($AH$3:$AH$15, ISNUMBER($AH$3:$AH$15)),AH15)*100</f>
        <v>57.099999999999994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540</v>
      </c>
      <c r="G18" cm="1">
        <f t="array" ref="G18">_xll.FDS(A18,"SIZE(FG_CONSTITUENTS)")</f>
        <v>1281</v>
      </c>
      <c r="H18" s="9">
        <f>E18/$G18</f>
        <v>0.36377829820452773</v>
      </c>
      <c r="I18" s="9">
        <f>F18/$G18</f>
        <v>0.42154566744730682</v>
      </c>
      <c r="J18" s="9">
        <f t="shared" ref="J18" si="13">H18-I18</f>
        <v>-5.7767369242779087E-2</v>
      </c>
      <c r="K18" s="5" cm="1">
        <f t="array" ref="K18">_xll.FDS(A18,"FMA_PCT_ABOVE_MAVG(200,0,,,,""PORTAGG"")")/100</f>
        <v>0.67301587301587307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-1.87723316345765</v>
      </c>
      <c r="N18" s="3" cm="1">
        <f t="array" ref="N18">_xll.FDS(C18,"FG_TOTAL_RETURNC(0,-1AM)")</f>
        <v>4.9606323000000003</v>
      </c>
      <c r="O18" s="3" cm="1">
        <f t="array" ref="O18">_xll.FDS(C18,"FG_TOTAL_RETURNC(0,-3AM)")</f>
        <v>7.4913144000000003</v>
      </c>
      <c r="P18" s="3" cm="1">
        <f t="array" ref="P18">_xll.FDS(C18,"FG_TOTAL_RETURNC(0,-6AM)")</f>
        <v>15.781938999999999</v>
      </c>
      <c r="Q18" s="9" cm="1">
        <f t="array" ref="Q18">_xll.FDS(C18,"P_PRICE(0)/P_PRICE_HIGH_PR(0,,,,,,""PRICE"",""INTRA"",""52W"")")</f>
        <v>0.99992919999999996</v>
      </c>
      <c r="R18" s="9" cm="1">
        <f t="array" ref="R18">_xll.FDS(C18,"P_PRICE(0)/P_PRICE_low_PR(0,,,,,,""PRICE"",""INTRA"",""52W"")-1")</f>
        <v>0.28350878000000002</v>
      </c>
      <c r="S18" s="3" cm="1">
        <f t="array" ref="S18">_xll.FDS(C18,"FG_TOTAL_RETURNC(0,-12AM)")</f>
        <v>19.105934000000001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1617</v>
      </c>
      <c r="G19" cm="1">
        <f t="array" ref="G19">_xll.FDS(A19,"SIZE(FG_CONSTITUENTS)")</f>
        <v>4780</v>
      </c>
      <c r="H19" s="9">
        <f>E19/$G19</f>
        <v>0.17928870292887028</v>
      </c>
      <c r="I19" s="9">
        <f>F19/$G19</f>
        <v>0.3382845188284519</v>
      </c>
      <c r="J19" s="9">
        <f t="shared" ref="J19" si="14">H19-I19</f>
        <v>-0.15899581589958162</v>
      </c>
      <c r="K19" s="5" cm="1">
        <f t="array" ref="K19">_xll.FDS(A19,"FMA_PCT_ABOVE_MAVG(200,0,,,,""PORTAGG"")")/100</f>
        <v>0.46874328678839999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-2.6168243033293299</v>
      </c>
      <c r="N19" s="3" cm="1">
        <f t="array" ref="N19">_xll.FDS(C19,"FG_TOTAL_RETURNC(0,-1AM)")</f>
        <v>6.8891049999999995E-2</v>
      </c>
      <c r="O19" s="3" cm="1">
        <f t="array" ref="O19">_xll.FDS(C19,"FG_TOTAL_RETURNC(0,-3AM)")</f>
        <v>4.7810079999999999</v>
      </c>
      <c r="P19" s="3" cm="1">
        <f t="array" ref="P19">_xll.FDS(C19,"FG_TOTAL_RETURNC(0,-6AM)")</f>
        <v>10.705149</v>
      </c>
      <c r="Q19" s="9" cm="1">
        <f t="array" ref="Q19">_xll.FDS(C19,"P_PRICE(0)/P_PRICE_HIGH_PR(0,,,,,,""PRICE"",""INTRA"",""52W"")")</f>
        <v>0.96917889999999995</v>
      </c>
      <c r="R19" s="9" cm="1">
        <f t="array" ref="R19">_xll.FDS(C19,"P_PRICE(0)/P_PRICE_low_PR(0,,,,,,""PRICE"",""INTRA"",""52W"")-1")</f>
        <v>0.16352952000000001</v>
      </c>
      <c r="S19" s="3" cm="1">
        <f t="array" ref="S19">_xll.FDS(C19,"FG_TOTAL_RETURNC(0,-12AM)")</f>
        <v>11.203468000000001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647</v>
      </c>
      <c r="F20" cm="1">
        <f t="array" ref="F20">_xll.FDS(C20,"FMA_COS_DOWN(""EPS"",""1M"",+1,0,,,""PORTAGG"",""MEANR"")")</f>
        <v>471</v>
      </c>
      <c r="G20" cm="1">
        <f t="array" ref="G20">_xll.FDS(A20,"SIZE(FG_CONSTITUENTS)")</f>
        <v>1437</v>
      </c>
      <c r="H20" s="9">
        <f t="shared" ref="H20" si="16">E20/$G20</f>
        <v>0.45024356297842727</v>
      </c>
      <c r="I20" s="9">
        <f t="shared" ref="I20" si="17">F20/$G20</f>
        <v>0.3277661795407098</v>
      </c>
      <c r="J20" s="9">
        <f t="shared" ref="J20" si="18">H20-I20</f>
        <v>0.12247738343771747</v>
      </c>
      <c r="K20" s="5" cm="1">
        <f t="array" ref="K20">_xll.FDS(A20,"FMA_PCT_ABOVE_MAVG(200,0,,,,""PORTAGG"")")/100</f>
        <v>0.70251396648044706</v>
      </c>
      <c r="L20" s="41" cm="1">
        <f t="array" ref="L20">_xll.FDSB(A20,"PERCENT_CHANGE(FMA_EPS(+1,0,,,,""PORTAGG"",""MEAN""),FMA_EPS(+1,-1AM,,,,""PORTAGG"",""MEAN""))")</f>
        <v>0.22806898920316099</v>
      </c>
      <c r="M20" s="41" cm="1">
        <f t="array" ref="M20">_xll.FDSB(A20,"PERCENT_CHANGE(FMA_EPS(+1,0,,,,""PORTAGG"",""MEAN""),FMA_EPS(+1,-3AM,,,,""PORTAGG"",""MEAN""))")</f>
        <v>0.304068970207798</v>
      </c>
      <c r="N20" s="3" cm="1">
        <f t="array" ref="N20">_xll.FDS(C20,"FG_TOTAL_RETURNC(0,-1AM)")</f>
        <v>3.1291484999999999</v>
      </c>
      <c r="O20" s="3" cm="1">
        <f t="array" ref="O20">_xll.FDS(C20,"FG_TOTAL_RETURNC(0,-3AM)")</f>
        <v>4.4791819999999998</v>
      </c>
      <c r="P20" s="3" cm="1">
        <f t="array" ref="P20">_xll.FDS(C20,"FG_TOTAL_RETURNC(0,-6AM)")</f>
        <v>16.733015000000002</v>
      </c>
      <c r="Q20" s="9" cm="1">
        <f t="array" ref="Q20">_xll.FDS(C20,"P_PRICE(0)/P_PRICE_HIGH_PR(0,,,,,,""PRICE"",""INTRA"",""52W"")")</f>
        <v>0.99884987000000003</v>
      </c>
      <c r="R20" s="9" cm="1">
        <f t="array" ref="R20">_xll.FDS(C20,"P_PRICE(0)/P_PRICE_low_PR(0,,,,,,""PRICE"",""INTRA"",""52W"")-1")</f>
        <v>0.28727113999999998</v>
      </c>
      <c r="S20" s="3" cm="1">
        <f t="array" ref="S20">_xll.FDS(C20,"FG_TOTAL_RETURNC(0,-12AM)")</f>
        <v>23.241997000000001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109</v>
      </c>
      <c r="F21" cm="1">
        <f t="array" ref="F21">_xll.FDS(C21,"FMA_COS_DOWN(""EPS"",""1M"",+1,0,,,""PORTAGG"",""MEANR"")")</f>
        <v>82</v>
      </c>
      <c r="G21" cm="1">
        <f t="array" ref="G21">_xll.FDS(A21,"SIZE(FG_CONSTITUENTS)")</f>
        <v>204</v>
      </c>
      <c r="H21" s="9">
        <f t="shared" ref="H21:H22" si="20">E21/$G21</f>
        <v>0.53431372549019607</v>
      </c>
      <c r="I21" s="9">
        <f t="shared" ref="I21:I22" si="21">F21/$G21</f>
        <v>0.40196078431372551</v>
      </c>
      <c r="J21" s="9">
        <f t="shared" ref="J21:J22" si="22">H21-I21</f>
        <v>0.13235294117647056</v>
      </c>
      <c r="K21" s="5" cm="1">
        <f t="array" ref="K21">_xll.FDS(A21,"FMA_PCT_ABOVE_MAVG(200,0,,,,""PORTAGG"")")/100</f>
        <v>0.73529411764705899</v>
      </c>
      <c r="L21" s="41" cm="1">
        <f t="array" ref="L21">_xll.FDSB(A21,"PERCENT_CHANGE(FMA_EPS(+1,0,,,,""PORTAGG"",""MEAN""),FMA_EPS(+1,-1AM,,,,""PORTAGG"",""MEAN""))")</f>
        <v>-3.1932052444735102</v>
      </c>
      <c r="M21" s="41" cm="1">
        <f t="array" ref="M21">_xll.FDSB(A21,"PERCENT_CHANGE(FMA_EPS(+1,0,,,,""PORTAGG"",""MEAN""),FMA_EPS(+1,-3AM,,,,""PORTAGG"",""MEAN""))")</f>
        <v>-3.9745247856724299</v>
      </c>
      <c r="N21" s="3" cm="1">
        <f t="array" ref="N21">_xll.FDS(C21,"FG_TOTAL_RETURNC(0,-1AM)")</f>
        <v>-0.61719420000000003</v>
      </c>
      <c r="O21" s="3" cm="1">
        <f t="array" ref="O21">_xll.FDS(C21,"FG_TOTAL_RETURNC(0,-3AM)")</f>
        <v>-2.9844522000000002</v>
      </c>
      <c r="P21" s="3" cm="1">
        <f t="array" ref="P21">_xll.FDS(C21,"FG_TOTAL_RETURNC(0,-6AM)")</f>
        <v>12.040747</v>
      </c>
      <c r="Q21" s="9" cm="1">
        <f t="array" ref="Q21">_xll.FDS(C21,"P_PRICE(0)/P_PRICE_HIGH_PR(0,,,,,,""PRICE"",""INTRA"",""52W"")")</f>
        <v>0.96079919999999996</v>
      </c>
      <c r="R21" s="9" cm="1">
        <f t="array" ref="R21">_xll.FDS(C21,"P_PRICE(0)/P_PRICE_low_PR(0,,,,,,""PRICE"",""INTRA"",""52W"")-1")</f>
        <v>0.21048950999999999</v>
      </c>
      <c r="S21" s="3" cm="1">
        <f t="array" ref="S21">_xll.FDS(C21,"FG_TOTAL_RETURNC(0,-12AM)")</f>
        <v>12.16948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205</v>
      </c>
      <c r="F22" cm="1">
        <f t="array" ref="F22">_xll.FDS(C22,"FMA_COS_DOWN(""EPS"",""1M"",+1,0,,,""PORTAGG"",""MEANR"")")</f>
        <v>144</v>
      </c>
      <c r="G22" cm="1">
        <f t="array" ref="G22">_xll.FDS(A22,"SIZE(FG_CONSTITUENTS)")</f>
        <v>504</v>
      </c>
      <c r="H22" s="9">
        <f t="shared" si="20"/>
        <v>0.40674603174603174</v>
      </c>
      <c r="I22" s="9">
        <f t="shared" si="21"/>
        <v>0.2857142857142857</v>
      </c>
      <c r="J22" s="9">
        <f t="shared" si="22"/>
        <v>0.12103174603174605</v>
      </c>
      <c r="K22" s="5" cm="1">
        <f t="array" ref="K22">_xll.FDS(A22,"FMA_PCT_ABOVE_MAVG(200,0,,,,""PORTAGG"")")/100</f>
        <v>0.68662674650698607</v>
      </c>
      <c r="L22" s="41" cm="1">
        <f t="array" ref="L22">_xll.FDSB(A22,"PERCENT_CHANGE(FMA_EPS(+1,0,,,,""PORTAGG"",""MEAN""),FMA_EPS(+1,-1AM,,,,""PORTAGG"",""MEAN""))")</f>
        <v>0.39149322252283902</v>
      </c>
      <c r="M22" s="41" cm="1">
        <f t="array" ref="M22">_xll.FDSB(A22,"PERCENT_CHANGE(FMA_EPS(+1,0,,,,""PORTAGG"",""MEAN""),FMA_EPS(+1,-3AM,,,,""PORTAGG"",""MEAN""))")</f>
        <v>0.20964041800365801</v>
      </c>
      <c r="N22" s="3" cm="1">
        <f t="array" ref="N22">_xll.FDS(C22,"FG_TOTAL_RETURNC(0,-1AM)")</f>
        <v>3.5019398000000002</v>
      </c>
      <c r="O22" s="3" cm="1">
        <f t="array" ref="O22">_xll.FDS(C22,"FG_TOTAL_RETURNC(0,-3AM)")</f>
        <v>5.2148222999999998</v>
      </c>
      <c r="P22" s="3" cm="1">
        <f t="array" ref="P22">_xll.FDS(C22,"FG_TOTAL_RETURNC(0,-6AM)")</f>
        <v>18.416477</v>
      </c>
      <c r="Q22" s="9" cm="1">
        <f t="array" ref="Q22">_xll.FDS(C22,"P_PRICE(0)/P_PRICE_HIGH_PR(0,,,,,,""PRICE"",""INTRA"",""52W"")")</f>
        <v>0.99858049999999998</v>
      </c>
      <c r="R22" s="9" cm="1">
        <f t="array" ref="R22">_xll.FDS(C22,"P_PRICE(0)/P_PRICE_low_PR(0,,,,,,""PRICE"",""INTRA"",""52W"")-1")</f>
        <v>0.30656623999999999</v>
      </c>
      <c r="S22" s="3" cm="1">
        <f t="array" ref="S22">_xll.FDS(C22,"FG_TOTAL_RETURNC(0,-12AM)")</f>
        <v>26.731418999999999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22</v>
      </c>
      <c r="F23" cm="1">
        <f t="array" ref="F23">_xll.FDS(C23,"FMA_COS_DOWN(""EPS"",""1M"",+1,0,,,""PORTAGG"",""MEANR"")")</f>
        <v>17</v>
      </c>
      <c r="G23" cm="1">
        <f t="array" ref="G23">_xll.FDS(A23,"SIZE(FG_CONSTITUENTS)")</f>
        <v>53</v>
      </c>
      <c r="H23" s="9">
        <f t="shared" ref="H23" si="24">E23/$G23</f>
        <v>0.41509433962264153</v>
      </c>
      <c r="I23" s="9">
        <f t="shared" ref="I23" si="25">F23/$G23</f>
        <v>0.32075471698113206</v>
      </c>
      <c r="J23" s="9">
        <f t="shared" ref="J23" si="26">H23-I23</f>
        <v>9.4339622641509469E-2</v>
      </c>
      <c r="K23" s="5" cm="1">
        <f t="array" ref="K23">_xll.FDS(A23,"FMA_PCT_ABOVE_MAVG(200,0,,,,""PORTAGG"")")/100</f>
        <v>0.76470588235294101</v>
      </c>
      <c r="L23" s="41" cm="1">
        <f t="array" ref="L23">_xll.FDSB(A23,"PERCENT_CHANGE(FMA_EPS(+1,0,,,,""PORTAGG"",""MEAN""),FMA_EPS(+1,-1AM,,,,""PORTAGG"",""MEAN""))")</f>
        <v>0.147110309160216</v>
      </c>
      <c r="M23" s="41" cm="1">
        <f t="array" ref="M23">_xll.FDSB(A23,"PERCENT_CHANGE(FMA_EPS(+1,0,,,,""PORTAGG"",""MEAN""),FMA_EPS(+1,-3AM,,,,""PORTAGG"",""MEAN""))")</f>
        <v>-0.32920165415552499</v>
      </c>
      <c r="N23" s="3" cm="1">
        <f t="array" ref="N23">_xll.FDS(C23,"FG_TOTAL_RETURNC(0,-1AM)")</f>
        <v>-0.43939351999999998</v>
      </c>
      <c r="O23" s="3" cm="1">
        <f t="array" ref="O23">_xll.FDS(C23,"FG_TOTAL_RETURNC(0,-3AM)")</f>
        <v>15.554607000000001</v>
      </c>
      <c r="P23" s="3" cm="1">
        <f t="array" ref="P23">_xll.FDS(C23,"FG_TOTAL_RETURNC(0,-6AM)")</f>
        <v>16.538298000000001</v>
      </c>
      <c r="Q23" s="9" cm="1">
        <f t="array" ref="Q23">_xll.FDS(C23,"P_PRICE(0)/P_PRICE_HIGH_PR(0,,,,,,""PRICE"",""INTRA"",""52W"")")</f>
        <v>0.89030779999999998</v>
      </c>
      <c r="R23" s="9" cm="1">
        <f t="array" ref="R23">_xll.FDS(C23,"P_PRICE(0)/P_PRICE_low_PR(0,,,,,,""PRICE"",""INTRA"",""52W"")-1")</f>
        <v>0.30345154000000002</v>
      </c>
      <c r="S23" s="3" cm="1">
        <f t="array" ref="S23">_xll.FDS(C23,"FG_TOTAL_RETURNC(0,-12AM)")</f>
        <v>0.27725696999999999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-0.18289566000000002</v>
      </c>
      <c r="E4" s="9">
        <f>HLOOKUP(B4,'Monthly Returns'!$A$1:$Q$134, 132, FALSE)</f>
        <v>0.12396694214876033</v>
      </c>
      <c r="H4" s="9">
        <f>HLOOKUP(B4,'Yearly returns'!$B$1:$N$140, 133, FALSE)</f>
        <v>0.12396694214876033</v>
      </c>
      <c r="I4" s="9">
        <f>HLOOKUP(B4,'Yearly returns'!$B$1:$N$140, 138, FALSE)</f>
        <v>0.33600000000000002</v>
      </c>
      <c r="J4" s="183">
        <f>1/E4</f>
        <v>8.0666666666666664</v>
      </c>
      <c r="K4" s="185">
        <f>PERCENTRANK($J$4:$J$16,J4)*100</f>
        <v>58.3</v>
      </c>
      <c r="L4" s="47">
        <f>(1-PERCENTRANK($E$4:$E$16,E4))*100</f>
        <v>66.7</v>
      </c>
      <c r="M4" s="47">
        <f>(1-PERCENTRANK($H$4:$H$16,H4))*100</f>
        <v>58.400000000000006</v>
      </c>
      <c r="N4" s="47">
        <f>(1-PERCENTRANK($I$4:$I$16,I4))*100</f>
        <v>100</v>
      </c>
      <c r="P4">
        <f>L4*Assumption!$E$53 + M4*Assumption!$F$53 + N4*Assumption!$G$53</f>
        <v>81.275000000000006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-0.18705767000000001</v>
      </c>
      <c r="E5" s="9">
        <f>HLOOKUP(B5,'Monthly Returns'!$A$1:$Q$134, 132, FALSE)</f>
        <v>0.11570247933884298</v>
      </c>
      <c r="H5" s="9">
        <f>HLOOKUP(B5,'Yearly returns'!$B$1:$N$140, 133, FALSE)</f>
        <v>0.15702479338842976</v>
      </c>
      <c r="I5" s="9">
        <f>HLOOKUP(B5,'Yearly returns'!$B$1:$N$140, 138, FALSE)</f>
        <v>0.77800000000000002</v>
      </c>
      <c r="J5" s="183">
        <f t="shared" ref="J5:J16" si="0">1/E5</f>
        <v>8.6428571428571423</v>
      </c>
      <c r="K5" s="185">
        <f t="shared" ref="K5:K16" si="1">PERCENTRANK($J$4:$J$16,J5)*100</f>
        <v>75</v>
      </c>
      <c r="L5" s="47">
        <f t="shared" ref="L5:L16" si="2">(1-PERCENTRANK($E$4:$E$16,E5))*100</f>
        <v>75</v>
      </c>
      <c r="M5" s="47">
        <f t="shared" ref="M5:M16" si="3">(1-PERCENTRANK($H$4:$H$16,H5))*100</f>
        <v>33.4</v>
      </c>
      <c r="N5" s="47">
        <f t="shared" ref="N5:N16" si="4">(1-PERCENTRANK($I$4:$I$16,I5))*100</f>
        <v>41.7</v>
      </c>
      <c r="P5">
        <f>L5*Assumption!$E$53 + M5*Assumption!$F$53 + N5*Assumption!$G$53</f>
        <v>47.95</v>
      </c>
      <c r="R5" cm="1">
        <f t="array" ref="R5">_xlfn.PERCENTRANK.EXC(_xlfn._xlws.FILTER(P$4:P$16, ISNUMBER(P$4:P$16)),P5)*100</f>
        <v>42.8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-0.19047619000000002</v>
      </c>
      <c r="E6" s="9">
        <f>HLOOKUP(B6,'Monthly Returns'!$A$1:$Q$134, 132, FALSE)</f>
        <v>7.43801652892562E-2</v>
      </c>
      <c r="H6" s="9">
        <f>HLOOKUP(B6,'Yearly returns'!$B$1:$N$140, 133, FALSE)</f>
        <v>0.1487603305785124</v>
      </c>
      <c r="I6" s="9">
        <f>HLOOKUP(B6,'Yearly returns'!$B$1:$N$140, 138, FALSE)</f>
        <v>0.72899999999999998</v>
      </c>
      <c r="J6" s="183">
        <f t="shared" si="0"/>
        <v>13.444444444444445</v>
      </c>
      <c r="K6" s="185">
        <f t="shared" si="1"/>
        <v>91.600000000000009</v>
      </c>
      <c r="L6" s="47">
        <f t="shared" si="2"/>
        <v>91.7</v>
      </c>
      <c r="M6" s="47">
        <f t="shared" si="3"/>
        <v>41.7</v>
      </c>
      <c r="N6" s="47">
        <f t="shared" si="4"/>
        <v>66.7</v>
      </c>
      <c r="P6">
        <f>L6*Assumption!$E$53 + M6*Assumption!$F$53 + N6*Assumption!$G$53</f>
        <v>66.7</v>
      </c>
      <c r="R6" cm="1">
        <f t="array" ref="R6">_xlfn.PERCENTRANK.EXC(_xlfn._xlws.FILTER(P$4:P$16, ISNUMBER(P$4:P$16)),P6)*100</f>
        <v>71.399999999999991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-0.19043154000000001</v>
      </c>
      <c r="E7" s="9">
        <f>HLOOKUP(B7,'Monthly Returns'!$A$1:$Q$134, 132, FALSE)</f>
        <v>0.1487603305785124</v>
      </c>
      <c r="H7" s="9">
        <f>HLOOKUP(B7,'Yearly returns'!$B$1:$N$140, 133, FALSE)</f>
        <v>0.24793388429752067</v>
      </c>
      <c r="I7" s="9">
        <f>HLOOKUP(B7,'Yearly returns'!$B$1:$N$140, 138, FALSE)</f>
        <v>0.745</v>
      </c>
      <c r="J7" s="183">
        <f t="shared" si="0"/>
        <v>6.7222222222222223</v>
      </c>
      <c r="K7" s="185">
        <f t="shared" si="1"/>
        <v>8.3000000000000007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50</v>
      </c>
      <c r="P7">
        <f>L7*Assumption!$E$53 + M7*Assumption!$F$53 + N7*Assumption!$G$53</f>
        <v>31.274999999999999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-0.12406331</v>
      </c>
      <c r="E8" s="9">
        <f>HLOOKUP(B8,'Monthly Returns'!$A$1:$Q$134, 132, FALSE)</f>
        <v>8.2644628099173556E-2</v>
      </c>
      <c r="H8" s="9">
        <f>HLOOKUP(B8,'Yearly returns'!$B$1:$N$140, 133, FALSE)</f>
        <v>0.10743801652892562</v>
      </c>
      <c r="I8" s="9">
        <f>HLOOKUP(B8,'Yearly returns'!$B$1:$N$140, 138, FALSE)</f>
        <v>0.63900000000000001</v>
      </c>
      <c r="J8" s="183">
        <f t="shared" si="0"/>
        <v>12.1</v>
      </c>
      <c r="K8" s="185">
        <f t="shared" si="1"/>
        <v>83.3</v>
      </c>
      <c r="L8" s="47">
        <f t="shared" si="2"/>
        <v>83.399999999999991</v>
      </c>
      <c r="M8" s="47">
        <f t="shared" si="3"/>
        <v>66.7</v>
      </c>
      <c r="N8" s="47">
        <f t="shared" si="4"/>
        <v>83.399999999999991</v>
      </c>
      <c r="P8">
        <f>L8*Assumption!$E$53 + M8*Assumption!$F$53 + N8*Assumption!$G$53</f>
        <v>79.224999999999994</v>
      </c>
      <c r="R8" cm="1">
        <f t="array" ref="R8">_xlfn.PERCENTRANK.EXC(_xlfn._xlws.FILTER(P$4:P$16, ISNUMBER(P$4:P$16)),P8)*100</f>
        <v>78.5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-9.3349509999999997E-2</v>
      </c>
      <c r="E9" s="9">
        <f>HLOOKUP(B9,'Monthly Returns'!$A$1:$Q$134, 132, FALSE)</f>
        <v>0.12396694214876033</v>
      </c>
      <c r="H9" s="9">
        <f>HLOOKUP(B9,'Yearly returns'!$B$1:$N$140, 133, FALSE)</f>
        <v>6.6115702479338845E-2</v>
      </c>
      <c r="I9" s="9">
        <f>HLOOKUP(B9,'Yearly returns'!$B$1:$N$140, 138, FALSE)</f>
        <v>0.56499999999999995</v>
      </c>
      <c r="J9" s="183">
        <f t="shared" si="0"/>
        <v>8.0666666666666664</v>
      </c>
      <c r="K9" s="185">
        <f t="shared" si="1"/>
        <v>58.3</v>
      </c>
      <c r="L9" s="47">
        <f t="shared" si="2"/>
        <v>66.7</v>
      </c>
      <c r="M9" s="47">
        <f t="shared" si="3"/>
        <v>91.7</v>
      </c>
      <c r="N9" s="47">
        <f t="shared" si="4"/>
        <v>91.7</v>
      </c>
      <c r="P9">
        <f>L9*Assumption!$E$53 + M9*Assumption!$F$53 + N9*Assumption!$G$53</f>
        <v>85.45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-0.18590187</v>
      </c>
      <c r="E10" s="9">
        <f>HLOOKUP(B10,'Monthly Returns'!$A$1:$Q$134, 132, FALSE)</f>
        <v>0.13223140495867769</v>
      </c>
      <c r="H10" s="9">
        <f>HLOOKUP(B10,'Yearly returns'!$B$1:$N$140, 133, FALSE)</f>
        <v>0.16528925619834711</v>
      </c>
      <c r="I10" s="9">
        <f>HLOOKUP(B10,'Yearly returns'!$B$1:$N$140, 138, FALSE)</f>
        <v>0.85199999999999998</v>
      </c>
      <c r="J10" s="183">
        <f t="shared" si="0"/>
        <v>7.5625</v>
      </c>
      <c r="K10" s="185">
        <f t="shared" si="1"/>
        <v>33.300000000000004</v>
      </c>
      <c r="L10" s="47">
        <f t="shared" si="2"/>
        <v>50</v>
      </c>
      <c r="M10" s="47">
        <f t="shared" si="3"/>
        <v>25</v>
      </c>
      <c r="N10" s="47">
        <f t="shared" si="4"/>
        <v>8.3999999999999968</v>
      </c>
      <c r="P10">
        <f>L10*Assumption!$E$53 + M10*Assumption!$F$53 + N10*Assumption!$G$53</f>
        <v>22.95</v>
      </c>
      <c r="R10" cm="1">
        <f t="array" ref="R10">_xlfn.PERCENTRANK.EXC(_xlfn._xlws.FILTER(P$4:P$16, ISNUMBER(P$4:P$16)),P10)*100</f>
        <v>21.4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-0.12458247</v>
      </c>
      <c r="E11" s="9">
        <f>HLOOKUP(B11,'Monthly Returns'!$A$1:$Q$134, 132, FALSE)</f>
        <v>0.14049586776859505</v>
      </c>
      <c r="H11" s="9">
        <f>HLOOKUP(B11,'Yearly returns'!$B$1:$N$140, 133, FALSE)</f>
        <v>7.43801652892562E-2</v>
      </c>
      <c r="I11" s="9">
        <f>HLOOKUP(B11,'Yearly returns'!$B$1:$N$140, 138, FALSE)</f>
        <v>0.72899999999999998</v>
      </c>
      <c r="J11" s="183">
        <f t="shared" si="0"/>
        <v>7.117647058823529</v>
      </c>
      <c r="K11" s="185">
        <f t="shared" si="1"/>
        <v>25</v>
      </c>
      <c r="L11" s="47">
        <f t="shared" si="2"/>
        <v>25</v>
      </c>
      <c r="M11" s="47">
        <f t="shared" si="3"/>
        <v>83.399999999999991</v>
      </c>
      <c r="N11" s="47">
        <f t="shared" si="4"/>
        <v>66.7</v>
      </c>
      <c r="P11">
        <f>L11*Assumption!$E$53 + M11*Assumption!$F$53 + N11*Assumption!$G$53</f>
        <v>60.45</v>
      </c>
      <c r="R11" cm="1">
        <f t="array" ref="R11">_xlfn.PERCENTRANK.EXC(_xlfn._xlws.FILTER(P$4:P$16, ISNUMBER(P$4:P$16)),P11)*100</f>
        <v>57.099999999999994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-0.10934793000000001</v>
      </c>
      <c r="E12" s="9">
        <f>HLOOKUP(B12,'Monthly Returns'!$A$1:$Q$134, 132, FALSE)</f>
        <v>6.6115702479338845E-2</v>
      </c>
      <c r="H12" s="9">
        <f>HLOOKUP(B12,'Yearly returns'!$B$1:$N$140, 133, FALSE)</f>
        <v>4.9586776859504134E-2</v>
      </c>
      <c r="I12" s="9">
        <f>HLOOKUP(B12,'Yearly returns'!$B$1:$N$140, 138, FALSE)</f>
        <v>0.877</v>
      </c>
      <c r="J12" s="183">
        <f t="shared" si="0"/>
        <v>15.125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-0.18605470000000002</v>
      </c>
      <c r="E13" s="9">
        <f>HLOOKUP(B13,'Monthly Returns'!$A$1:$Q$134, 132, FALSE)</f>
        <v>0.13223140495867769</v>
      </c>
      <c r="H13" s="9">
        <f>HLOOKUP(B13,'Yearly returns'!$B$1:$N$140, 133, FALSE)</f>
        <v>0.12396694214876033</v>
      </c>
      <c r="I13" s="9">
        <f>HLOOKUP(B13,'Yearly returns'!$B$1:$N$140, 138, FALSE)</f>
        <v>0.69599999999999995</v>
      </c>
      <c r="J13" s="183">
        <f t="shared" si="0"/>
        <v>7.5625</v>
      </c>
      <c r="K13" s="185">
        <f t="shared" si="1"/>
        <v>33.300000000000004</v>
      </c>
      <c r="L13" s="47">
        <f t="shared" si="2"/>
        <v>50</v>
      </c>
      <c r="M13" s="47">
        <f t="shared" si="3"/>
        <v>58.400000000000006</v>
      </c>
      <c r="N13" s="47">
        <f t="shared" si="4"/>
        <v>75</v>
      </c>
      <c r="P13">
        <f>L13*Assumption!$E$53 + M13*Assumption!$F$53 + N13*Assumption!$G$53</f>
        <v>64.599999999999994</v>
      </c>
      <c r="R13" cm="1">
        <f t="array" ref="R13">_xlfn.PERCENTRANK.EXC(_xlfn._xlws.FILTER(P$4:P$16, ISNUMBER(P$4:P$16)),P13)*100</f>
        <v>64.2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-0.16269493000000002</v>
      </c>
      <c r="E14" s="9">
        <f>HLOOKUP(B14,'Monthly Returns'!$A$1:$Q$134, 132, FALSE)</f>
        <v>0.13223140495867769</v>
      </c>
      <c r="H14" s="9">
        <f>HLOOKUP(B14,'Yearly returns'!$B$1:$N$140, 133, FALSE)</f>
        <v>9.9173553719008267E-2</v>
      </c>
      <c r="I14" s="9">
        <f>HLOOKUP(B14,'Yearly returns'!$B$1:$N$140, 138, FALSE)</f>
        <v>0.82699999999999996</v>
      </c>
      <c r="J14" s="183">
        <f t="shared" si="0"/>
        <v>7.5625</v>
      </c>
      <c r="K14" s="185">
        <f t="shared" si="1"/>
        <v>33.300000000000004</v>
      </c>
      <c r="L14" s="47">
        <f t="shared" si="2"/>
        <v>50</v>
      </c>
      <c r="M14" s="47">
        <f t="shared" si="3"/>
        <v>75</v>
      </c>
      <c r="N14" s="47">
        <f t="shared" si="4"/>
        <v>25</v>
      </c>
      <c r="P14">
        <f>L14*Assumption!$E$53 + M14*Assumption!$F$53 + N14*Assumption!$G$53</f>
        <v>43.75</v>
      </c>
      <c r="R14" cm="1">
        <f t="array" ref="R14">_xlfn.PERCENTRANK.EXC(_xlfn._xlws.FILTER(P$4:P$16, ISNUMBER(P$4:P$16)),P14)*100</f>
        <v>35.699999999999996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-0.18723397999999999</v>
      </c>
      <c r="E15" s="9">
        <f>HLOOKUP(B15,'Monthly Returns'!$A$1:$Q$134, 132, FALSE)</f>
        <v>0.16528925619834711</v>
      </c>
      <c r="H15" s="9">
        <f>HLOOKUP(B15,'Yearly returns'!$B$1:$N$140, 133, FALSE)</f>
        <v>0.18181818181818182</v>
      </c>
      <c r="I15" s="9">
        <f>HLOOKUP(B15,'Yearly returns'!$B$1:$N$140, 138, FALSE)</f>
        <v>0.83599999999999997</v>
      </c>
      <c r="J15" s="183">
        <f t="shared" si="0"/>
        <v>6.05</v>
      </c>
      <c r="K15" s="185">
        <f t="shared" si="1"/>
        <v>0</v>
      </c>
      <c r="L15" s="47">
        <f t="shared" si="2"/>
        <v>0</v>
      </c>
      <c r="M15" s="47">
        <f t="shared" si="3"/>
        <v>16.700000000000003</v>
      </c>
      <c r="N15" s="47">
        <f t="shared" si="4"/>
        <v>16.700000000000003</v>
      </c>
      <c r="P15">
        <f>L15*Assumption!$E$53 + M15*Assumption!$F$53 + N15*Assumption!$G$53</f>
        <v>12.525000000000002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-0.20982487</v>
      </c>
      <c r="E16" s="9">
        <f>HLOOKUP(B16,'Monthly Returns'!$A$1:$Q$134, 132, FALSE)</f>
        <v>0.1487603305785124</v>
      </c>
      <c r="H16" s="9">
        <f>HLOOKUP(B16,'Yearly returns'!$B$1:$N$140, 133, FALSE)</f>
        <v>0.30578512396694213</v>
      </c>
      <c r="I16" s="9">
        <f>HLOOKUP(B16,'Yearly returns'!$B$1:$N$140, 138, FALSE)</f>
        <v>0.81100000000000005</v>
      </c>
      <c r="J16" s="183">
        <f t="shared" si="0"/>
        <v>6.7222222222222223</v>
      </c>
      <c r="K16" s="185">
        <f t="shared" si="1"/>
        <v>8.3000000000000007</v>
      </c>
      <c r="L16" s="47">
        <f t="shared" si="2"/>
        <v>16.700000000000003</v>
      </c>
      <c r="M16" s="47">
        <f t="shared" si="3"/>
        <v>0</v>
      </c>
      <c r="N16" s="47">
        <f t="shared" si="4"/>
        <v>33.4</v>
      </c>
      <c r="P16">
        <f>L16*Assumption!$E$53 + M16*Assumption!$F$53 + N16*Assumption!$G$53</f>
        <v>20.875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0.77</v>
      </c>
      <c r="G5" s="141" cm="1">
        <f t="array" ref="G5">_xll.FDSZ(C5,"FG_PRICE(0)")</f>
        <v>47.3</v>
      </c>
      <c r="H5" s="141" cm="1">
        <f t="array" ref="H5">_xll.FDSZ(C5,"FG_PRICE_MAVG(0,,,,30)")</f>
        <v>45.3765</v>
      </c>
      <c r="I5" s="141" cm="1">
        <f t="array" ref="I5">_xll.FDSZ(C5,"FG_PRICE_MAVG(0,,,,60)")</f>
        <v>45.211295999999997</v>
      </c>
      <c r="J5" s="141" cm="1">
        <f t="array" ref="J5">_xll.FDSZ(C5,"FG_PRICE_MAVG(0,,,,200)")</f>
        <v>45.328766000000002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399.43588</v>
      </c>
      <c r="T5" s="7" cm="1">
        <f t="array" ref="T5">_xll.FDSZ($R5,"FG_PRICE(0)")</f>
        <v>399.43588</v>
      </c>
      <c r="U5" s="7" cm="1">
        <f t="array" ref="U5">_xll.FDSZ($R5,"FG_PRICE(0)")</f>
        <v>399.43588</v>
      </c>
      <c r="V5" s="7" cm="1">
        <f t="array" ref="V5">_xll.FDSZ($R5,"FG_PRICE(0)")</f>
        <v>399.43588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0.69599999999999995</v>
      </c>
      <c r="G6" s="141" cm="1">
        <f t="array" ref="G6">_xll.FDSZ(C6,"FG_PRICE(0)")</f>
        <v>25.1</v>
      </c>
      <c r="H6" s="141" cm="1">
        <f t="array" ref="H6">_xll.FDSZ(C6,"FG_PRICE_MAVG(0,,,,30)")</f>
        <v>24.483333999999999</v>
      </c>
      <c r="I6" s="141" cm="1">
        <f t="array" ref="I6">_xll.FDSZ(C6,"FG_PRICE_MAVG(0,,,,60)")</f>
        <v>24.326834000000002</v>
      </c>
      <c r="J6" s="141" cm="1">
        <f t="array" ref="J6">_xll.FDSZ(C6,"FG_PRICE_MAVG(0,,,,200)")</f>
        <v>23.151599999999998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363.85654</v>
      </c>
      <c r="T6" s="7" cm="1">
        <f t="array" ref="T6">_xll.FDSZ($R6,"FG_PRICE(0)")</f>
        <v>363.85654</v>
      </c>
      <c r="U6" s="7" cm="1">
        <f t="array" ref="U6">_xll.FDSZ($R6,"FG_PRICE(0)")</f>
        <v>363.85654</v>
      </c>
      <c r="V6" s="7" cm="1">
        <f t="array" ref="V6">_xll.FDSZ($R6,"FG_PRICE(0)")</f>
        <v>363.85654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0.38500000000000001</v>
      </c>
      <c r="G7" s="141" cm="1">
        <f t="array" ref="G7">_xll.FDSZ(C7,"FG_PRICE(0)")</f>
        <v>37.99</v>
      </c>
      <c r="H7" s="141" cm="1">
        <f t="array" ref="H7">_xll.FDSZ(C7,"FG_PRICE_MAVG(0,,,,30)")</f>
        <v>37.923000000000002</v>
      </c>
      <c r="I7" s="141" cm="1">
        <f t="array" ref="I7">_xll.FDSZ(C7,"FG_PRICE_MAVG(0,,,,60)")</f>
        <v>37.834667000000003</v>
      </c>
      <c r="J7" s="141" cm="1">
        <f t="array" ref="J7">_xll.FDSZ(C7,"FG_PRICE_MAVG(0,,,,200)")</f>
        <v>35.829900000000002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291.66012999999998</v>
      </c>
      <c r="T7" s="7" cm="1">
        <f t="array" ref="T7">_xll.FDSZ($R7,"FG_PRICE(0)")</f>
        <v>291.66012999999998</v>
      </c>
      <c r="U7" s="7" cm="1">
        <f t="array" ref="U7">_xll.FDSZ($R7,"FG_PRICE(0)")</f>
        <v>291.66012999999998</v>
      </c>
      <c r="V7" s="7" cm="1">
        <f t="array" ref="V7">_xll.FDSZ($R7,"FG_PRICE(0)")</f>
        <v>291.66012999999998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0.70399999999999996</v>
      </c>
      <c r="G8" s="141" cm="1">
        <f t="array" ref="G8">_xll.FDSZ(C8,"FG_PRICE(0)")</f>
        <v>32.340000000000003</v>
      </c>
      <c r="H8" s="141" cm="1">
        <f t="array" ref="H8">_xll.FDSZ(C8,"FG_PRICE_MAVG(0,,,,30)")</f>
        <v>31.786000000000001</v>
      </c>
      <c r="I8" s="141" cm="1">
        <f t="array" ref="I8">_xll.FDSZ(C8,"FG_PRICE_MAVG(0,,,,60)")</f>
        <v>31.417999999999999</v>
      </c>
      <c r="J8" s="141" cm="1">
        <f t="array" ref="J8">_xll.FDSZ(C8,"FG_PRICE_MAVG(0,,,,200)")</f>
        <v>29.072800000000001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9.8107780000000009</v>
      </c>
      <c r="T8" s="7" cm="1">
        <f t="array" ref="T8">_xll.FDSZ($R8,"FG_PRICE(0)")</f>
        <v>9.8107780000000009</v>
      </c>
      <c r="U8" s="7" cm="1">
        <f t="array" ref="U8">_xll.FDSZ($R8,"FG_PRICE(0)")</f>
        <v>9.8107780000000009</v>
      </c>
      <c r="V8" s="7" cm="1">
        <f t="array" ref="V8">_xll.FDSZ($R8,"FG_PRICE(0)")</f>
        <v>9.8107780000000009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0.32700000000000001</v>
      </c>
      <c r="G9" s="141" cm="1">
        <f t="array" ref="G9">_xll.FDSZ(C9,"FG_PRICE(0)")</f>
        <v>69.239999999999995</v>
      </c>
      <c r="H9" s="141" cm="1">
        <f t="array" ref="H9">_xll.FDSZ(C9,"FG_PRICE_MAVG(0,,,,30)")</f>
        <v>68.376660000000001</v>
      </c>
      <c r="I9" s="141" cm="1">
        <f t="array" ref="I9">_xll.FDSZ(C9,"FG_PRICE_MAVG(0,,,,60)")</f>
        <v>68.994330000000005</v>
      </c>
      <c r="J9" s="141" cm="1">
        <f t="array" ref="J9">_xll.FDSZ(C9,"FG_PRICE_MAVG(0,,,,200)")</f>
        <v>65.01155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173.17493999999999</v>
      </c>
      <c r="T9" s="7" cm="1">
        <f t="array" ref="T9">_xll.FDSZ($R9,"FG_PRICE(0)")</f>
        <v>173.17493999999999</v>
      </c>
      <c r="U9" s="7" cm="1">
        <f t="array" ref="U9">_xll.FDSZ($R9,"FG_PRICE(0)")</f>
        <v>173.17493999999999</v>
      </c>
      <c r="V9" s="7" cm="1">
        <f t="array" ref="V9">_xll.FDSZ($R9,"FG_PRICE(0)")</f>
        <v>173.17493999999999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0.99099999999999999</v>
      </c>
      <c r="G10" s="141" cm="1">
        <f t="array" ref="G10">_xll.FDSZ(C10,"FG_PRICE(0)")</f>
        <v>50.63</v>
      </c>
      <c r="H10" s="141" cm="1">
        <f t="array" ref="H10">_xll.FDSZ(C10,"FG_PRICE_MAVG(0,,,,30)")</f>
        <v>47.827330000000003</v>
      </c>
      <c r="I10" s="141" cm="1">
        <f t="array" ref="I10">_xll.FDSZ(C10,"FG_PRICE_MAVG(0,,,,60)")</f>
        <v>47.319167999999998</v>
      </c>
      <c r="J10" s="141" cm="1">
        <f t="array" ref="J10">_xll.FDSZ(C10,"FG_PRICE_MAVG(0,,,,200)")</f>
        <v>46.128399999999999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337.54052999999999</v>
      </c>
      <c r="T10" s="7" cm="1">
        <f t="array" ref="T10">_xll.FDSZ($R10,"FG_PRICE(0)")</f>
        <v>337.54052999999999</v>
      </c>
      <c r="U10" s="7" cm="1">
        <f t="array" ref="U10">_xll.FDSZ($R10,"FG_PRICE(0)")</f>
        <v>337.54052999999999</v>
      </c>
      <c r="V10" s="7" cm="1">
        <f t="array" ref="V10">_xll.FDSZ($R10,"FG_PRICE(0)")</f>
        <v>337.54052999999999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0.65500000000000003</v>
      </c>
      <c r="G11" s="141" cm="1">
        <f t="array" ref="G11">_xll.FDSZ(C11,"FG_PRICE(0)")</f>
        <v>36.4</v>
      </c>
      <c r="H11" s="141" cm="1">
        <f t="array" ref="H11">_xll.FDSZ(C11,"FG_PRICE_MAVG(0,,,,30)")</f>
        <v>35.906666000000001</v>
      </c>
      <c r="I11" s="141" cm="1">
        <f t="array" ref="I11">_xll.FDSZ(C11,"FG_PRICE_MAVG(0,,,,60)")</f>
        <v>34.878</v>
      </c>
      <c r="J11" s="141" cm="1">
        <f t="array" ref="J11">_xll.FDSZ(C11,"FG_PRICE_MAVG(0,,,,200)")</f>
        <v>32.966000000000001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129.57199</v>
      </c>
      <c r="T11" s="7" cm="1">
        <f t="array" ref="T11">_xll.FDSZ($R11,"FG_PRICE(0)")</f>
        <v>129.57199</v>
      </c>
      <c r="U11" s="7" cm="1">
        <f t="array" ref="U11">_xll.FDSZ($R11,"FG_PRICE(0)")</f>
        <v>129.57199</v>
      </c>
      <c r="V11" s="7" cm="1">
        <f t="array" ref="V11">_xll.FDSZ($R11,"FG_PRICE(0)")</f>
        <v>129.57199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0.745</v>
      </c>
      <c r="G12" s="141" cm="1">
        <f t="array" ref="G12">_xll.FDSZ(C12,"FG_PRICE(0)")</f>
        <v>463.37</v>
      </c>
      <c r="H12" s="141" cm="1">
        <f t="array" ref="H12">_xll.FDSZ(C12,"FG_PRICE_MAVG(0,,,,30)")</f>
        <v>445.89532000000003</v>
      </c>
      <c r="I12" s="141" cm="1">
        <f t="array" ref="I12">_xll.FDSZ(C12,"FG_PRICE_MAVG(0,,,,60)")</f>
        <v>441.40717000000001</v>
      </c>
      <c r="J12" s="141" cm="1">
        <f t="array" ref="J12">_xll.FDSZ(C12,"FG_PRICE_MAVG(0,,,,200)")</f>
        <v>407.79419999999999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400.19630000000001</v>
      </c>
      <c r="T12" s="7" cm="1">
        <f t="array" ref="T12">_xll.FDSZ($R12,"FG_PRICE(0)")</f>
        <v>400.19630000000001</v>
      </c>
      <c r="U12" s="7" cm="1">
        <f t="array" ref="U12">_xll.FDSZ($R12,"FG_PRICE(0)")</f>
        <v>400.19630000000001</v>
      </c>
      <c r="V12" s="7" cm="1">
        <f t="array" ref="V12">_xll.FDSZ($R12,"FG_PRICE(0)")</f>
        <v>400.19630000000001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0.73699999999999999</v>
      </c>
      <c r="G13" s="141" cm="1">
        <f t="array" ref="G13">_xll.FDSZ(C13,"FG_PRICE(0)")</f>
        <v>534.66</v>
      </c>
      <c r="H13" s="141" cm="1">
        <f t="array" ref="H13">_xll.FDSZ(C13,"FG_PRICE_MAVG(0,,,,30)")</f>
        <v>521.41863999999998</v>
      </c>
      <c r="I13" s="141" cm="1">
        <f t="array" ref="I13">_xll.FDSZ(C13,"FG_PRICE_MAVG(0,,,,60)")</f>
        <v>517.45830000000001</v>
      </c>
      <c r="J13" s="141" cm="1">
        <f t="array" ref="J13">_xll.FDSZ(C13,"FG_PRICE_MAVG(0,,,,200)")</f>
        <v>478.06234999999998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400.19630000000001</v>
      </c>
      <c r="T13" s="7" cm="1">
        <f t="array" ref="T13">_xll.FDSZ($R13,"FG_PRICE(0)")</f>
        <v>400.19630000000001</v>
      </c>
      <c r="U13" s="7" cm="1">
        <f t="array" ref="U13">_xll.FDSZ($R13,"FG_PRICE(0)")</f>
        <v>400.19630000000001</v>
      </c>
      <c r="V13" s="7" cm="1">
        <f t="array" ref="V13">_xll.FDSZ($R13,"FG_PRICE(0)")</f>
        <v>400.19630000000001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0.63900000000000001</v>
      </c>
      <c r="G14" s="141" cm="1">
        <f t="array" ref="G14">_xll.FDSZ(C14,"FG_PRICE(0)")</f>
        <v>42.16</v>
      </c>
      <c r="H14" s="141" cm="1">
        <f t="array" ref="H14">_xll.FDSZ(C14,"FG_PRICE_MAVG(0,,,,30)")</f>
        <v>41.494667</v>
      </c>
      <c r="I14" s="141" cm="1">
        <f t="array" ref="I14">_xll.FDSZ(C14,"FG_PRICE_MAVG(0,,,,60)")</f>
        <v>41.153500000000001</v>
      </c>
      <c r="J14" s="141" cm="1">
        <f t="array" ref="J14">_xll.FDSZ(C14,"FG_PRICE_MAVG(0,,,,200)")</f>
        <v>38.590823999999998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400.19630000000001</v>
      </c>
      <c r="T14" s="7" cm="1">
        <f t="array" ref="T14">_xll.FDSZ($R14,"FG_PRICE(0)")</f>
        <v>400.19630000000001</v>
      </c>
      <c r="U14" s="7" cm="1">
        <f t="array" ref="U14">_xll.FDSZ($R14,"FG_PRICE(0)")</f>
        <v>400.19630000000001</v>
      </c>
      <c r="V14" s="7" cm="1">
        <f t="array" ref="V14">_xll.FDSZ($R14,"FG_PRICE(0)")</f>
        <v>400.19630000000001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0.86</v>
      </c>
      <c r="G15" s="141" cm="1">
        <f t="array" ref="G15">_xll.FDSZ(C15,"FG_PRICE(0)")</f>
        <v>52.64</v>
      </c>
      <c r="H15" s="141" cm="1">
        <f t="array" ref="H15">_xll.FDSZ(C15,"FG_PRICE_MAVG(0,,,,30)")</f>
        <v>50.508000000000003</v>
      </c>
      <c r="I15" s="141" cm="1">
        <f t="array" ref="I15">_xll.FDSZ(C15,"FG_PRICE_MAVG(0,,,,60)")</f>
        <v>49.651833000000003</v>
      </c>
      <c r="J15" s="141" cm="1">
        <f t="array" ref="J15">_xll.FDSZ(C15,"FG_PRICE_MAVG(0,,,,200)")</f>
        <v>44.506855000000002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400.19630000000001</v>
      </c>
      <c r="T15" s="7" cm="1">
        <f t="array" ref="T15">_xll.FDSZ($R15,"FG_PRICE(0)")</f>
        <v>400.19630000000001</v>
      </c>
      <c r="U15" s="7" cm="1">
        <f t="array" ref="U15">_xll.FDSZ($R15,"FG_PRICE(0)")</f>
        <v>400.19630000000001</v>
      </c>
      <c r="V15" s="7" cm="1">
        <f t="array" ref="V15">_xll.FDSZ($R15,"FG_PRICE(0)")</f>
        <v>400.19630000000001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0.86799999999999999</v>
      </c>
      <c r="G16" s="141" cm="1">
        <f t="array" ref="G16">_xll.FDSZ(C16,"FG_PRICE(0)")</f>
        <v>42.61</v>
      </c>
      <c r="H16" s="141" cm="1">
        <f t="array" ref="H16">_xll.FDSZ(C16,"FG_PRICE_MAVG(0,,,,30)")</f>
        <v>40.743499999999997</v>
      </c>
      <c r="I16" s="141" cm="1">
        <f t="array" ref="I16">_xll.FDSZ(C16,"FG_PRICE_MAVG(0,,,,60)")</f>
        <v>40.308917999999998</v>
      </c>
      <c r="J16" s="141" cm="1">
        <f t="array" ref="J16">_xll.FDSZ(C16,"FG_PRICE_MAVG(0,,,,200)")</f>
        <v>37.071674000000002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400.19630000000001</v>
      </c>
      <c r="T16" s="7" cm="1">
        <f t="array" ref="T16">_xll.FDSZ($R16,"FG_PRICE(0)")</f>
        <v>400.19630000000001</v>
      </c>
      <c r="U16" s="7" cm="1">
        <f t="array" ref="U16">_xll.FDSZ($R16,"FG_PRICE(0)")</f>
        <v>400.19630000000001</v>
      </c>
      <c r="V16" s="7" cm="1">
        <f t="array" ref="V16">_xll.FDSZ($R16,"FG_PRICE(0)")</f>
        <v>400.19630000000001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0.72099999999999997</v>
      </c>
      <c r="G17" s="141" cm="1">
        <f t="array" ref="G17">_xll.FDSZ(C17,"FG_PRICE(0)")</f>
        <v>39</v>
      </c>
      <c r="H17" s="141" cm="1">
        <f t="array" ref="H17">_xll.FDSZ(C17,"FG_PRICE_MAVG(0,,,,30)")</f>
        <v>38.164999999999999</v>
      </c>
      <c r="I17" s="141" cm="1">
        <f t="array" ref="I17">_xll.FDSZ(C17,"FG_PRICE_MAVG(0,,,,60)")</f>
        <v>37.617832</v>
      </c>
      <c r="J17" s="141" cm="1">
        <f t="array" ref="J17">_xll.FDSZ(C17,"FG_PRICE_MAVG(0,,,,200)")</f>
        <v>34.095999999999997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400.19630000000001</v>
      </c>
      <c r="T17" s="7" cm="1">
        <f t="array" ref="T17">_xll.FDSZ($R17,"FG_PRICE(0)")</f>
        <v>400.19630000000001</v>
      </c>
      <c r="U17" s="7" cm="1">
        <f t="array" ref="U17">_xll.FDSZ($R17,"FG_PRICE(0)")</f>
        <v>400.19630000000001</v>
      </c>
      <c r="V17" s="7" cm="1">
        <f t="array" ref="V17">_xll.FDSZ($R17,"FG_PRICE(0)")</f>
        <v>400.19630000000001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13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1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108.5</v>
      </c>
      <c r="D3" cm="1">
        <f t="array" ref="D3">_xll.FDS($A3,"FG_PRICE_MAVG(0,,,,30)")</f>
        <v>115.29933</v>
      </c>
      <c r="E3" s="47" cm="1">
        <f t="array" ref="E3">_xll.FDS($A3,"FG_PRICE_CHANGE(0,-1AM)")</f>
        <v>-9.2505854800936795</v>
      </c>
      <c r="F3" s="47" cm="1">
        <f t="array" ref="F3">_xll.FDS($A3,"FG_PRICE_CHANGE(0,-3AM)")</f>
        <v>-7.2332421340629196</v>
      </c>
      <c r="G3" s="47" cm="1">
        <f t="array" ref="G3">_xll.FDS($A3,"FG_PRICE_CHANGE(0,-6AM)")</f>
        <v>-18.371953054468801</v>
      </c>
      <c r="H3" s="47" cm="1">
        <f t="array" ref="H3">_xll.FDS($A3,"FG_PRICE_CHANGE(0,-1AY)")</f>
        <v>-8.2880559904230405E-2</v>
      </c>
      <c r="I3" s="47" cm="1">
        <f t="array" ref="I3">_xll.FDS($A3,"FG_PRICE(0)/MAX(FG_PRICE(0,-1AY))")</f>
        <v>0.75263596004439504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4.6909999999999998</v>
      </c>
      <c r="D4" cm="1">
        <f t="array" ref="D4">_xll.FDS($A4,"FG_PRICE_MAVG(0,,,,30)")</f>
        <v>4.7316665999999996</v>
      </c>
      <c r="E4" s="47" cm="1">
        <f t="array" ref="E4">_xll.FDS($A4,"FG_PRICE_CHANGE(0,-1AM)")</f>
        <v>1.2191174884022</v>
      </c>
      <c r="F4" s="47" cm="1">
        <f t="array" ref="F4">_xll.FDS($A4,"FG_PRICE_CHANGE(0,-3AM)")</f>
        <v>21.198811523059</v>
      </c>
      <c r="G4" s="47" cm="1">
        <f t="array" ref="G4">_xll.FDS($A4,"FG_PRICE_CHANGE(0,-6AM)")</f>
        <v>26.220906767119601</v>
      </c>
      <c r="H4" s="47" cm="1">
        <f t="array" ref="H4">_xll.FDS($A4,"FG_PRICE_CHANGE(0,-1AY)")</f>
        <v>24.528802760817602</v>
      </c>
      <c r="I4" s="47" cm="1">
        <f t="array" ref="I4">_xll.FDS($A4,"FG_PRICE(0)/MAX(FG_PRICE(0,-1AY))")</f>
        <v>0.91638991990623198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12.8994082840237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6.3949999999999996</v>
      </c>
      <c r="D6" cm="1">
        <f t="array" ref="D6">_xll.FDS($A6,"FG_PRICE_MAVG(0,,,,30)")</f>
        <v>6.4816665999999996</v>
      </c>
      <c r="E6" s="47" cm="1">
        <f t="array" ref="E6">_xll.FDS($A6,"FG_PRICE_CHANGE(0,-1AM)")</f>
        <v>1.1466982997232</v>
      </c>
      <c r="F6" s="47" cm="1">
        <f t="array" ref="F6">_xll.FDS($A6,"FG_PRICE_CHANGE(0,-3AM)")</f>
        <v>22.685851318944799</v>
      </c>
      <c r="G6" s="47" cm="1">
        <f t="array" ref="G6">_xll.FDS($A6,"FG_PRICE_CHANGE(0,-6AM)")</f>
        <v>3.85708485586682</v>
      </c>
      <c r="H6" s="47" cm="1">
        <f t="array" ref="H6">_xll.FDS($A6,"FG_PRICE_CHANGE(0,-1AY)")</f>
        <v>1.87176423735562</v>
      </c>
      <c r="I6" s="47" cm="1">
        <f t="array" ref="I6">_xll.FDS($A6,"FG_PRICE(0)/MAX(FG_PRICE(0,-1AY))")</f>
        <v>0.84117066754357095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3935</v>
      </c>
      <c r="D7" cm="1">
        <f t="array" ref="D7">_xll.FDS($A7,"FG_PRICE_MAVG(0,,,,30)")</f>
        <v>3908.8667</v>
      </c>
      <c r="E7" s="47" cm="1">
        <f t="array" ref="E7">_xll.FDS($A7,"FG_PRICE_CHANGE(0,-1AM)")</f>
        <v>0.66513174724993596</v>
      </c>
      <c r="F7" s="47" cm="1">
        <f t="array" ref="F7">_xll.FDS($A7,"FG_PRICE_CHANGE(0,-3AM)")</f>
        <v>-4.9975857073877297</v>
      </c>
      <c r="G7" s="47" cm="1">
        <f t="array" ref="G7">_xll.FDS($A7,"FG_PRICE_CHANGE(0,-6AM)")</f>
        <v>9.2448639644641801</v>
      </c>
      <c r="H7" s="47" cm="1">
        <f t="array" ref="H7">_xll.FDS($A7,"FG_PRICE_CHANGE(0,-1AY)")</f>
        <v>17.252681764004802</v>
      </c>
      <c r="I7" s="47" cm="1">
        <f t="array" ref="I7">_xll.FDS($A7,"FG_PRICE(0)/MAX(FG_PRICE(0,-1AY))")</f>
        <v>0.85935793841450103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997</v>
      </c>
      <c r="D8" cm="1">
        <f t="array" ref="D8">_xll.FDS($A8,"FG_PRICE_MAVG(0,,,,30)")</f>
        <v>1006.5</v>
      </c>
      <c r="E8" s="47" cm="1">
        <f t="array" ref="E8">_xll.FDS($A8,"FG_PRICE_CHANGE(0,-1AM)")</f>
        <v>1.7346938775510301</v>
      </c>
      <c r="F8" s="47" cm="1">
        <f t="array" ref="F8">_xll.FDS($A8,"FG_PRICE_CHANGE(0,-3AM)")</f>
        <v>10.7777777777778</v>
      </c>
      <c r="G8" s="47" cm="1">
        <f t="array" ref="G8">_xll.FDS($A8,"FG_PRICE_CHANGE(0,-6AM)")</f>
        <v>9.8017621145374498</v>
      </c>
      <c r="H8" s="47" cm="1">
        <f t="array" ref="H8">_xll.FDS($A8,"FG_PRICE_CHANGE(0,-1AY)")</f>
        <v>-3.4849951597289399</v>
      </c>
      <c r="I8" s="47" cm="1">
        <f t="array" ref="I8">_xll.FDS($A8,"FG_PRICE(0)/MAX(FG_PRICE(0,-1AY))")</f>
        <v>0.93264733395696897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18130</v>
      </c>
      <c r="D9" cm="1">
        <f t="array" ref="D9">_xll.FDS($A9,"FG_PRICE_MAVG(0,,,,30)")</f>
        <v>19316.666000000001</v>
      </c>
      <c r="E9" s="47" cm="1">
        <f t="array" ref="E9">_xll.FDS($A9,"FG_PRICE_CHANGE(0,-1AM)")</f>
        <v>-3.3582089552238799</v>
      </c>
      <c r="F9" s="47" cm="1">
        <f t="array" ref="F9">_xll.FDS($A9,"FG_PRICE_CHANGE(0,-3AM)")</f>
        <v>3.7482117310443601</v>
      </c>
      <c r="G9" s="47" cm="1">
        <f t="array" ref="G9">_xll.FDS($A9,"FG_PRICE_CHANGE(0,-6AM)")</f>
        <v>11.569230769230799</v>
      </c>
      <c r="H9" s="47" cm="1">
        <f t="array" ref="H9">_xll.FDS($A9,"FG_PRICE_CHANGE(0,-1AY)")</f>
        <v>-13.871733966745801</v>
      </c>
      <c r="I9" s="47" cm="1">
        <f t="array" ref="I9">_xll.FDS($A9,"FG_PRICE(0)/MAX(FG_PRICE(0,-1AY))")</f>
        <v>0.78349178910976702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941</v>
      </c>
      <c r="D10" cm="1">
        <f t="array" ref="D10">_xll.FDS($A10,"FG_PRICE_MAVG(0,,,,30)")</f>
        <v>977.7</v>
      </c>
      <c r="E10" s="47" cm="1">
        <f t="array" ref="E10">_xll.FDS($A10,"FG_PRICE_CHANGE(0,-1AM)")</f>
        <v>-3.9795918367346999</v>
      </c>
      <c r="F10" s="47" cm="1">
        <f t="array" ref="F10">_xll.FDS($A10,"FG_PRICE_CHANGE(0,-3AM)")</f>
        <v>-7.7450980392156801</v>
      </c>
      <c r="G10" s="47" cm="1">
        <f t="array" ref="G10">_xll.FDS($A10,"FG_PRICE_CHANGE(0,-6AM)")</f>
        <v>-2.4870466321243598</v>
      </c>
      <c r="H10" s="47" cm="1">
        <f t="array" ref="H10">_xll.FDS($A10,"FG_PRICE_CHANGE(0,-1AY)")</f>
        <v>-33.732394366197198</v>
      </c>
      <c r="I10" s="47" cm="1">
        <f t="array" ref="I10">_xll.FDS($A10,"FG_PRICE(0)/MAX(FG_PRICE(0,-1AY))")</f>
        <v>0.66267605633802795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560.79999999999995</v>
      </c>
      <c r="D11" cm="1">
        <f t="array" ref="D11">_xll.FDS($A11,"FG_PRICE_MAVG(0,,,,30)")</f>
        <v>556.77</v>
      </c>
      <c r="E11" s="47" cm="1">
        <f t="array" ref="E11">_xll.FDS($A11,"FG_PRICE_CHANGE(0,-1AM)")</f>
        <v>-1.9580419580419699</v>
      </c>
      <c r="F11" s="47" cm="1">
        <f t="array" ref="F11">_xll.FDS($A11,"FG_PRICE_CHANGE(0,-3AM)")</f>
        <v>-8.2160392798690705</v>
      </c>
      <c r="G11" s="47" cm="1">
        <f t="array" ref="G11">_xll.FDS($A11,"FG_PRICE_CHANGE(0,-6AM)")</f>
        <v>-12.8651336233686</v>
      </c>
      <c r="H11" s="47" cm="1">
        <f t="array" ref="H11">_xll.FDS($A11,"FG_PRICE_CHANGE(0,-1AY)")</f>
        <v>-16.410791474139199</v>
      </c>
      <c r="I11" s="47" cm="1">
        <f t="array" ref="I11">_xll.FDS($A11,"FG_PRICE(0)/MAX(FG_PRICE(0,-1AY))")</f>
        <v>0.73460833115011803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</v>
      </c>
      <c r="D12" cm="1">
        <f t="array" ref="D12">_xll.FDS($A12,"FG_PRICE_MAVG(0,,,,30)")</f>
        <v>0.96527850000000004</v>
      </c>
      <c r="E12" s="47" cm="1">
        <f t="array" ref="E12">_xll.FDS($A12,"FG_PRICE_CHANGE(0,-1AM)")</f>
        <v>-0.79952072941782404</v>
      </c>
      <c r="F12" s="47" cm="1">
        <f t="array" ref="F12">_xll.FDS($A12,"FG_PRICE_CHANGE(0,-3AM)")</f>
        <v>-0.92318946417197001</v>
      </c>
      <c r="G12" s="47" cm="1">
        <f t="array" ref="G12">_xll.FDS($A12,"FG_PRICE_CHANGE(0,-6AM)")</f>
        <v>-4</v>
      </c>
      <c r="H12" s="47" cm="1">
        <f t="array" ref="H12">_xll.FDS($A12,"FG_PRICE_CHANGE(0,-1AY)")</f>
        <v>-6.4910503655761698</v>
      </c>
      <c r="I12" s="47" cm="1">
        <f t="array" ref="I12">_xll.FDS($A12,"FG_PRICE(0)/MAX(FG_PRICE(0,-1AY))")</f>
        <v>0.92307692307692302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41796</v>
      </c>
      <c r="B2" s="3" cm="1">
        <f t="array" ref="B2:B122">_xll.FDS(B1,"FMA_PE(LTMA,-10AY,0,AM,""PORTAGG"",""MEANR"")")</f>
        <v>17.9542838646496</v>
      </c>
      <c r="C2" s="3" cm="1">
        <f t="array" ref="C2:C122">_xll.FDS(C1,"FMA_PE(LTMA,-10AY,0,AM,""PORTAGG"",""MEANR"")")</f>
        <v>15.165065184907</v>
      </c>
      <c r="D2" s="3" cm="1">
        <f t="array" ref="D2:D122">_xll.FDS(D1,"FMA_PE(LTMA,-10AY,0,AM,""PORTAGG"",""MEANR"")")</f>
        <v>16.1994279869132</v>
      </c>
      <c r="E2" s="3" cm="1">
        <f t="array" ref="E2:E122">_xll.FDS(E1,"FMA_PE(LTMA,-10AY,0,AM,""PORTAGG"",""MEANR"")")</f>
        <v>14.722698951360901</v>
      </c>
      <c r="F2" s="3" cm="1">
        <f t="array" ref="F2:F122">_xll.FDS(F1,"FMA_PE(LTMA,-10AY,0,AM,""PORTAGG"",""MEANR"")")</f>
        <v>15.309748347625501</v>
      </c>
      <c r="G2" s="3" cm="1">
        <f t="array" ref="G2:G122">_xll.FDS(G1,"FMA_PE(LTMA,-10AY,0,AM,""PORTAGG"",""MEANR"")")</f>
        <v>17.2144241280077</v>
      </c>
      <c r="H2" s="3" cm="1">
        <f t="array" ref="H2:H122">_xll.FDS(H1,"FMA_PE(LTMA,-10AY,0,AM,""PORTAGG"",""MEANR"")")</f>
        <v>14.3969345192513</v>
      </c>
      <c r="I2" s="3" cm="1">
        <f t="array" ref="I2:I122">_xll.FDS(I1,"FMA_PE(LTMA,-10AY,0,AM,""PORTAGG"",""MEANR"")")</f>
        <v>18.999968898549</v>
      </c>
      <c r="J2" s="3" cm="1">
        <f t="array" ref="J2:J122">_xll.FDS(J1,"FMA_PE(LTMA,-10AY,0,AM,""PORTAGG"",""MEANR"")")</f>
        <v>16.372589587934399</v>
      </c>
      <c r="K2" s="3" cm="1">
        <f t="array" ref="K2:K122">_xll.FDS(K1,"FMA_PE(LTMA,-10AY,0,AM,""PORTAGG"",""MEANR"")")</f>
        <v>15.9474939606491</v>
      </c>
      <c r="L2" s="3" cm="1">
        <f t="array" ref="L2:L122">_xll.FDS(L1,"FMA_PE(LTMA,-10AY,0,AM,""PORTAGG"",""MEANR"")")</f>
        <v>16.8981940971337</v>
      </c>
      <c r="M2" s="3" cm="1">
        <f t="array" ref="M2:M122">_xll.FDS(M1,"FMA_PE(LTMA,-10AY,0,AM,""PORTAGG"",""MEANR"")")</f>
        <v>15.7038340648198</v>
      </c>
      <c r="N2" s="3" cm="1">
        <f t="array" ref="N2:N122">_xll.FDS(N1,"FMA_PE(LTMA,-10AY,0,AM,""PORTAGG"",""MEANR"")")</f>
        <v>17.384255522360199</v>
      </c>
    </row>
    <row r="3" spans="1:14" x14ac:dyDescent="0.35">
      <c r="A3" s="2">
        <v>41823</v>
      </c>
      <c r="B3" s="3">
        <v>18.0160973330219</v>
      </c>
      <c r="C3" s="3">
        <v>15.2291980254451</v>
      </c>
      <c r="D3" s="3">
        <v>16.3289123304105</v>
      </c>
      <c r="E3" s="3">
        <v>14.702121243614901</v>
      </c>
      <c r="F3" s="3">
        <v>15.3810728766151</v>
      </c>
      <c r="G3" s="3">
        <v>17.259770299676699</v>
      </c>
      <c r="H3" s="3">
        <v>14.4635631367125</v>
      </c>
      <c r="I3" s="3">
        <v>19.2148765330994</v>
      </c>
      <c r="J3" s="3">
        <v>16.4996505616026</v>
      </c>
      <c r="K3" s="3">
        <v>15.7590828940171</v>
      </c>
      <c r="L3" s="3">
        <v>16.9181601049196</v>
      </c>
      <c r="M3" s="3">
        <v>15.9551548654774</v>
      </c>
      <c r="N3" s="3">
        <v>17.640297195701802</v>
      </c>
    </row>
    <row r="4" spans="1:14" x14ac:dyDescent="0.35">
      <c r="A4" s="2">
        <v>41857</v>
      </c>
      <c r="B4" s="3">
        <v>17.8914988890964</v>
      </c>
      <c r="C4" s="3">
        <v>15.325986609516599</v>
      </c>
      <c r="D4" s="3">
        <v>16.257790203585401</v>
      </c>
      <c r="E4" s="3">
        <v>13.9750555462418</v>
      </c>
      <c r="F4" s="3">
        <v>14.9971959411728</v>
      </c>
      <c r="G4" s="3">
        <v>16.951517846308999</v>
      </c>
      <c r="H4" s="3">
        <v>14.176960168288501</v>
      </c>
      <c r="I4" s="3">
        <v>18.8742871160098</v>
      </c>
      <c r="J4" s="3">
        <v>16.109783710192001</v>
      </c>
      <c r="K4" s="3">
        <v>15.1645775395697</v>
      </c>
      <c r="L4" s="3">
        <v>16.215398851263199</v>
      </c>
      <c r="M4" s="3">
        <v>15.7423446183984</v>
      </c>
      <c r="N4" s="3">
        <v>16.6280917568956</v>
      </c>
    </row>
    <row r="5" spans="1:14" x14ac:dyDescent="0.35">
      <c r="A5" s="2">
        <v>41887</v>
      </c>
      <c r="B5" s="3">
        <v>17.983627386233501</v>
      </c>
      <c r="C5" s="3">
        <v>15.4287814317086</v>
      </c>
      <c r="D5" s="3">
        <v>16.455636571983799</v>
      </c>
      <c r="E5" s="3">
        <v>14.3897508616592</v>
      </c>
      <c r="F5" s="3">
        <v>15.108177083780699</v>
      </c>
      <c r="G5" s="3">
        <v>17.4556852486492</v>
      </c>
      <c r="H5" s="3">
        <v>14.2715438638989</v>
      </c>
      <c r="I5" s="3">
        <v>19.489328905743101</v>
      </c>
      <c r="J5" s="3">
        <v>16.541474153006199</v>
      </c>
      <c r="K5" s="3">
        <v>15.6191410911619</v>
      </c>
      <c r="L5" s="3">
        <v>16.8108522847625</v>
      </c>
      <c r="M5" s="3">
        <v>15.846347340869899</v>
      </c>
      <c r="N5" s="3">
        <v>18.126239962798898</v>
      </c>
    </row>
    <row r="6" spans="1:14" x14ac:dyDescent="0.35">
      <c r="A6" s="2">
        <v>41918</v>
      </c>
      <c r="B6" s="3">
        <v>17.8742958519226</v>
      </c>
      <c r="C6" s="3">
        <v>14.658771214042</v>
      </c>
      <c r="D6" s="3">
        <v>15.777779947398299</v>
      </c>
      <c r="E6" s="3">
        <v>13.741631957236899</v>
      </c>
      <c r="F6" s="3">
        <v>15.1725358583169</v>
      </c>
      <c r="G6" s="3">
        <v>17.1301215583341</v>
      </c>
      <c r="H6" s="3">
        <v>13.7494172441946</v>
      </c>
      <c r="I6" s="3">
        <v>19.207544443393001</v>
      </c>
      <c r="J6" s="3">
        <v>16.3418688581651</v>
      </c>
      <c r="K6" s="3">
        <v>15.087365174972399</v>
      </c>
      <c r="L6" s="3">
        <v>16.5893719504103</v>
      </c>
      <c r="M6" s="3">
        <v>15.764397091625399</v>
      </c>
      <c r="N6" s="3">
        <v>17.140126555194001</v>
      </c>
    </row>
    <row r="7" spans="1:14" x14ac:dyDescent="0.35">
      <c r="A7" s="2">
        <v>41949</v>
      </c>
      <c r="B7" s="3">
        <v>18.454806849785999</v>
      </c>
      <c r="C7" s="3">
        <v>15.212307870365599</v>
      </c>
      <c r="D7" s="3">
        <v>15.5775487156582</v>
      </c>
      <c r="E7" s="3">
        <v>13.8155718490759</v>
      </c>
      <c r="F7" s="3">
        <v>15.592629109574901</v>
      </c>
      <c r="G7" s="3">
        <v>17.361579864781</v>
      </c>
      <c r="H7" s="3">
        <v>13.7987419118492</v>
      </c>
      <c r="I7" s="3">
        <v>19.7547115920766</v>
      </c>
      <c r="J7" s="3">
        <v>16.8274780786085</v>
      </c>
      <c r="K7" s="3">
        <v>14.930148537647201</v>
      </c>
      <c r="L7" s="3">
        <v>17.188716215968299</v>
      </c>
      <c r="M7" s="3">
        <v>16.6676121234999</v>
      </c>
      <c r="N7" s="3">
        <v>17.237159340634499</v>
      </c>
    </row>
    <row r="8" spans="1:14" x14ac:dyDescent="0.35">
      <c r="A8" s="2">
        <v>41978</v>
      </c>
      <c r="B8" s="3">
        <v>18.950035849425898</v>
      </c>
      <c r="C8" s="3">
        <v>14.479613828904</v>
      </c>
      <c r="D8" s="3">
        <v>15.564710823245001</v>
      </c>
      <c r="E8" s="3">
        <v>14.710912343684001</v>
      </c>
      <c r="F8" s="3">
        <v>16.227787573475599</v>
      </c>
      <c r="G8" s="3">
        <v>17.6835024755792</v>
      </c>
      <c r="H8" s="3">
        <v>14.0599915353285</v>
      </c>
      <c r="I8" s="3">
        <v>20.433601547645999</v>
      </c>
      <c r="J8" s="3">
        <v>17.2264384592387</v>
      </c>
      <c r="K8" s="3">
        <v>15.572865406763199</v>
      </c>
      <c r="L8" s="3">
        <v>17.971605975491201</v>
      </c>
      <c r="M8" s="3">
        <v>17.568425964100101</v>
      </c>
      <c r="N8" s="3">
        <v>19.034897757715601</v>
      </c>
    </row>
    <row r="9" spans="1:14" x14ac:dyDescent="0.35">
      <c r="A9" s="2">
        <v>42010</v>
      </c>
      <c r="B9" s="3">
        <v>19.202410342304301</v>
      </c>
      <c r="C9" s="3">
        <v>14.642206947604199</v>
      </c>
      <c r="D9" s="3">
        <v>15.138566608288301</v>
      </c>
      <c r="E9" s="3">
        <v>13.8077896650738</v>
      </c>
      <c r="F9" s="3">
        <v>15.325938623680701</v>
      </c>
      <c r="G9" s="3">
        <v>16.8762058201484</v>
      </c>
      <c r="H9" s="3">
        <v>13.223374759319899</v>
      </c>
      <c r="I9" s="3">
        <v>19.4755973586892</v>
      </c>
      <c r="J9" s="3">
        <v>16.8158619301581</v>
      </c>
      <c r="K9" s="3">
        <v>14.4025942206446</v>
      </c>
      <c r="L9" s="3">
        <v>17.069161389485199</v>
      </c>
      <c r="M9" s="3">
        <v>17.470691978517099</v>
      </c>
      <c r="N9" s="3">
        <v>17.364504306519599</v>
      </c>
    </row>
    <row r="10" spans="1:14" x14ac:dyDescent="0.35">
      <c r="A10" s="2">
        <v>42041</v>
      </c>
      <c r="B10" s="3">
        <v>20.049042996587801</v>
      </c>
      <c r="C10" s="3">
        <v>15.8637742850143</v>
      </c>
      <c r="D10" s="3">
        <v>16.3267395429862</v>
      </c>
      <c r="E10" s="3">
        <v>15.6745758685522</v>
      </c>
      <c r="F10" s="3">
        <v>15.6408115008451</v>
      </c>
      <c r="G10" s="3">
        <v>17.116633642342901</v>
      </c>
      <c r="H10" s="3">
        <v>14.496170870605001</v>
      </c>
      <c r="I10" s="3">
        <v>19.752743384912801</v>
      </c>
      <c r="J10" s="3">
        <v>17.2088643291289</v>
      </c>
      <c r="K10" s="3">
        <v>16.4637611839354</v>
      </c>
      <c r="L10" s="3">
        <v>18.659470182767901</v>
      </c>
      <c r="M10" s="3">
        <v>19.106688550306099</v>
      </c>
      <c r="N10" s="3">
        <v>25.6972325038397</v>
      </c>
    </row>
    <row r="11" spans="1:14" x14ac:dyDescent="0.35">
      <c r="A11" s="2">
        <v>42069</v>
      </c>
      <c r="B11" s="3">
        <v>20.517757699009302</v>
      </c>
      <c r="C11" s="3">
        <v>16.201596100408398</v>
      </c>
      <c r="D11" s="3">
        <v>17.003586726889498</v>
      </c>
      <c r="E11" s="3">
        <v>16.490106133862302</v>
      </c>
      <c r="F11" s="3">
        <v>16.9314156890226</v>
      </c>
      <c r="G11" s="3">
        <v>17.969580990565099</v>
      </c>
      <c r="H11" s="3">
        <v>15.1738676917607</v>
      </c>
      <c r="I11" s="3">
        <v>20.706476836427701</v>
      </c>
      <c r="J11" s="3">
        <v>17.537514462339299</v>
      </c>
      <c r="K11" s="3">
        <v>17.548207527027301</v>
      </c>
      <c r="L11" s="3">
        <v>20.134401820914999</v>
      </c>
      <c r="M11" s="3">
        <v>20.1801148730767</v>
      </c>
      <c r="N11" s="3">
        <v>44.679315913511999</v>
      </c>
    </row>
    <row r="12" spans="1:14" x14ac:dyDescent="0.35">
      <c r="A12" s="2">
        <v>42100</v>
      </c>
      <c r="B12" s="3">
        <v>20.248721495026501</v>
      </c>
      <c r="C12" s="3">
        <v>16.278914652687501</v>
      </c>
      <c r="D12" s="3">
        <v>17.139662039075901</v>
      </c>
      <c r="E12" s="3">
        <v>16.503348521333599</v>
      </c>
      <c r="F12" s="3">
        <v>16.8463616546683</v>
      </c>
      <c r="G12" s="3">
        <v>18.069712896354901</v>
      </c>
      <c r="H12" s="3">
        <v>15.298380918827201</v>
      </c>
      <c r="I12" s="3">
        <v>20.462771751999</v>
      </c>
      <c r="J12" s="3">
        <v>17.511232898669299</v>
      </c>
      <c r="K12" s="3">
        <v>17.5873382159334</v>
      </c>
      <c r="L12" s="3">
        <v>19.903049284929299</v>
      </c>
      <c r="M12" s="3">
        <v>19.911701415119499</v>
      </c>
      <c r="N12" s="3">
        <v>41.906805417327199</v>
      </c>
    </row>
    <row r="13" spans="1:14" x14ac:dyDescent="0.35">
      <c r="A13" s="2">
        <v>42130</v>
      </c>
      <c r="B13" s="3">
        <v>20.080676699730098</v>
      </c>
      <c r="C13" s="3">
        <v>16.242932466372501</v>
      </c>
      <c r="D13" s="3">
        <v>17.2576661805182</v>
      </c>
      <c r="E13" s="3">
        <v>16.112252683336902</v>
      </c>
      <c r="F13" s="3">
        <v>16.869967886163199</v>
      </c>
      <c r="G13" s="3">
        <v>17.962583370227701</v>
      </c>
      <c r="H13" s="3">
        <v>15.567199564860999</v>
      </c>
      <c r="I13" s="3">
        <v>20.216762914195801</v>
      </c>
      <c r="J13" s="3">
        <v>17.4654149839862</v>
      </c>
      <c r="K13" s="3">
        <v>17.391522137328401</v>
      </c>
      <c r="L13" s="3">
        <v>19.455230180398001</v>
      </c>
      <c r="M13" s="3">
        <v>19.058152397834899</v>
      </c>
      <c r="N13" s="3">
        <v>39.033109864577199</v>
      </c>
    </row>
    <row r="14" spans="1:14" x14ac:dyDescent="0.35">
      <c r="A14" s="2">
        <v>42160</v>
      </c>
      <c r="B14" s="3">
        <v>20.0336627665395</v>
      </c>
      <c r="C14" s="3">
        <v>15.903407640675301</v>
      </c>
      <c r="D14" s="3">
        <v>17.214938806769101</v>
      </c>
      <c r="E14" s="3">
        <v>15.739368166165599</v>
      </c>
      <c r="F14" s="3">
        <v>17.110005736913902</v>
      </c>
      <c r="G14" s="3">
        <v>17.963415190258299</v>
      </c>
      <c r="H14" s="3">
        <v>15.586889537424399</v>
      </c>
      <c r="I14" s="3">
        <v>20.172492313508901</v>
      </c>
      <c r="J14" s="3">
        <v>17.459044065596899</v>
      </c>
      <c r="K14" s="3">
        <v>17.243103493124298</v>
      </c>
      <c r="L14" s="3">
        <v>19.2076391194278</v>
      </c>
      <c r="M14" s="3">
        <v>19.0488071638603</v>
      </c>
      <c r="N14" s="3">
        <v>36.119344323091298</v>
      </c>
    </row>
    <row r="15" spans="1:14" x14ac:dyDescent="0.35">
      <c r="A15" s="2">
        <v>42191</v>
      </c>
      <c r="B15" s="3">
        <v>19.752586792296501</v>
      </c>
      <c r="C15" s="3">
        <v>15.8624107187674</v>
      </c>
      <c r="D15" s="3">
        <v>17.053271759239799</v>
      </c>
      <c r="E15" s="3">
        <v>15.3059728142001</v>
      </c>
      <c r="F15" s="3">
        <v>16.680275437854</v>
      </c>
      <c r="G15" s="3">
        <v>17.7126978959346</v>
      </c>
      <c r="H15" s="3">
        <v>15.415053483666799</v>
      </c>
      <c r="I15" s="3">
        <v>19.8678274942631</v>
      </c>
      <c r="J15" s="3">
        <v>17.3444156557605</v>
      </c>
      <c r="K15" s="3">
        <v>16.769445144725399</v>
      </c>
      <c r="L15" s="3">
        <v>18.7013751645787</v>
      </c>
      <c r="M15" s="3">
        <v>18.332313417463901</v>
      </c>
      <c r="N15" s="3">
        <v>32.727855386687999</v>
      </c>
    </row>
    <row r="16" spans="1:14" x14ac:dyDescent="0.35">
      <c r="A16" s="2">
        <v>42222</v>
      </c>
      <c r="B16" s="3">
        <v>19.902160985441199</v>
      </c>
      <c r="C16" s="3">
        <v>16.054960873764799</v>
      </c>
      <c r="D16" s="3">
        <v>16.9735003118072</v>
      </c>
      <c r="E16" s="3">
        <v>15.560360724171399</v>
      </c>
      <c r="F16" s="3">
        <v>16.899971820533199</v>
      </c>
      <c r="G16" s="3">
        <v>18.124929746277399</v>
      </c>
      <c r="H16" s="3">
        <v>15.8548628755838</v>
      </c>
      <c r="I16" s="3">
        <v>20.261638092013801</v>
      </c>
      <c r="J16" s="3">
        <v>17.424224847405899</v>
      </c>
      <c r="K16" s="3">
        <v>17.3310250935154</v>
      </c>
      <c r="L16" s="3">
        <v>19.052237712309299</v>
      </c>
      <c r="M16" s="3">
        <v>18.612580520854099</v>
      </c>
      <c r="N16" s="3">
        <v>30.945756155748001</v>
      </c>
    </row>
    <row r="17" spans="1:14" x14ac:dyDescent="0.35">
      <c r="A17" s="2">
        <v>42251</v>
      </c>
      <c r="B17" s="3">
        <v>18.960416878998998</v>
      </c>
      <c r="C17" s="3">
        <v>15.0967343099177</v>
      </c>
      <c r="D17" s="3">
        <v>16.328975682907299</v>
      </c>
      <c r="E17" s="3">
        <v>14.191533718031399</v>
      </c>
      <c r="F17" s="3">
        <v>15.257443794033801</v>
      </c>
      <c r="G17" s="3">
        <v>17.169183261872099</v>
      </c>
      <c r="H17" s="3">
        <v>14.7873240569561</v>
      </c>
      <c r="I17" s="3">
        <v>19.164703830244701</v>
      </c>
      <c r="J17" s="3">
        <v>16.521673327667699</v>
      </c>
      <c r="K17" s="3">
        <v>15.8143877385292</v>
      </c>
      <c r="L17" s="3">
        <v>17.284342800923898</v>
      </c>
      <c r="M17" s="3">
        <v>17.170688106377501</v>
      </c>
      <c r="N17" s="3">
        <v>27.2539900020776</v>
      </c>
    </row>
    <row r="18" spans="1:14" x14ac:dyDescent="0.35">
      <c r="A18" s="2">
        <v>42283</v>
      </c>
      <c r="B18" s="3">
        <v>18.782574232349699</v>
      </c>
      <c r="C18" s="3">
        <v>15.4123986114577</v>
      </c>
      <c r="D18" s="3">
        <v>16.700098889337799</v>
      </c>
      <c r="E18" s="3">
        <v>14.007424026175199</v>
      </c>
      <c r="F18" s="3">
        <v>15.2638141830924</v>
      </c>
      <c r="G18" s="3">
        <v>17.435995484328</v>
      </c>
      <c r="H18" s="3">
        <v>15.5008316446823</v>
      </c>
      <c r="I18" s="3">
        <v>19.373831898274201</v>
      </c>
      <c r="J18" s="3">
        <v>16.8383360128799</v>
      </c>
      <c r="K18" s="3">
        <v>16.003678365930899</v>
      </c>
      <c r="L18" s="3">
        <v>17.012111948691</v>
      </c>
      <c r="M18" s="3">
        <v>16.834314007605101</v>
      </c>
      <c r="N18" s="3">
        <v>25.0536801603672</v>
      </c>
    </row>
    <row r="19" spans="1:14" x14ac:dyDescent="0.35">
      <c r="A19" s="2">
        <v>42314</v>
      </c>
      <c r="B19" s="3">
        <v>19.665045875531799</v>
      </c>
      <c r="C19" s="3">
        <v>15.540511415928901</v>
      </c>
      <c r="D19" s="3">
        <v>16.8241701935249</v>
      </c>
      <c r="E19" s="3">
        <v>14.6358773442415</v>
      </c>
      <c r="F19" s="3">
        <v>15.9135660672985</v>
      </c>
      <c r="G19" s="3">
        <v>17.7019987994125</v>
      </c>
      <c r="H19" s="3">
        <v>15.7898109994369</v>
      </c>
      <c r="I19" s="3">
        <v>20.5682531037362</v>
      </c>
      <c r="J19" s="3">
        <v>17.5716217957678</v>
      </c>
      <c r="K19" s="3">
        <v>16.599934185567701</v>
      </c>
      <c r="L19" s="3">
        <v>17.627589709154101</v>
      </c>
      <c r="M19" s="3">
        <v>17.155806119087199</v>
      </c>
      <c r="N19" s="3">
        <v>22.919586901987</v>
      </c>
    </row>
    <row r="20" spans="1:14" x14ac:dyDescent="0.35">
      <c r="A20" s="2">
        <v>42342</v>
      </c>
      <c r="B20" s="3">
        <v>19.565970804072499</v>
      </c>
      <c r="C20" s="3">
        <v>15.5206311202538</v>
      </c>
      <c r="D20" s="3">
        <v>16.577150937627099</v>
      </c>
      <c r="E20" s="3">
        <v>14.2539952798487</v>
      </c>
      <c r="F20" s="3">
        <v>16.030834578885599</v>
      </c>
      <c r="G20" s="3">
        <v>17.490270163684499</v>
      </c>
      <c r="H20" s="3">
        <v>15.703416970626501</v>
      </c>
      <c r="I20" s="3">
        <v>20.606448980712599</v>
      </c>
      <c r="J20" s="3">
        <v>17.494984232058801</v>
      </c>
      <c r="K20" s="3">
        <v>15.8426349844756</v>
      </c>
      <c r="L20" s="3">
        <v>17.515579687661301</v>
      </c>
      <c r="M20" s="3">
        <v>16.808565884435801</v>
      </c>
      <c r="N20" s="3">
        <v>20.6936266018261</v>
      </c>
    </row>
    <row r="21" spans="1:14" x14ac:dyDescent="0.35">
      <c r="A21" s="2">
        <v>42375</v>
      </c>
      <c r="B21" s="3">
        <v>19.6385201862591</v>
      </c>
      <c r="C21" s="3">
        <v>15.4498522958867</v>
      </c>
      <c r="D21" s="3">
        <v>15.381249079515699</v>
      </c>
      <c r="E21" s="3">
        <v>13.310117617511899</v>
      </c>
      <c r="F21" s="3">
        <v>15.0898933568162</v>
      </c>
      <c r="G21" s="3">
        <v>16.8932224083375</v>
      </c>
      <c r="H21" s="3">
        <v>15.232565624157401</v>
      </c>
      <c r="I21" s="3">
        <v>19.655989020576701</v>
      </c>
      <c r="J21" s="3">
        <v>16.695352322573701</v>
      </c>
      <c r="K21" s="3">
        <v>14.8839344853354</v>
      </c>
      <c r="L21" s="3">
        <v>16.275303934814701</v>
      </c>
      <c r="M21" s="3">
        <v>15.3532328583139</v>
      </c>
      <c r="N21" s="3">
        <v>17.481685161146501</v>
      </c>
    </row>
    <row r="22" spans="1:14" x14ac:dyDescent="0.35">
      <c r="A22" s="2">
        <v>42405</v>
      </c>
      <c r="B22" s="3">
        <v>19.065479037999001</v>
      </c>
      <c r="C22" s="3">
        <v>15.203856351292099</v>
      </c>
      <c r="D22" s="3">
        <v>15.5297259416792</v>
      </c>
      <c r="E22" s="3">
        <v>12.327156706635099</v>
      </c>
      <c r="F22" s="3">
        <v>14.136253206000999</v>
      </c>
      <c r="G22" s="3">
        <v>16.642484337339301</v>
      </c>
      <c r="H22" s="3">
        <v>14.7802774680551</v>
      </c>
      <c r="I22" s="3">
        <v>17.639035608338698</v>
      </c>
      <c r="J22" s="3">
        <v>16.2966838906097</v>
      </c>
      <c r="K22" s="3">
        <v>14.764407453886401</v>
      </c>
      <c r="L22" s="3">
        <v>15.7003699241801</v>
      </c>
      <c r="M22" s="3">
        <v>14.806654346537099</v>
      </c>
      <c r="N22" s="3">
        <v>14.210870753576801</v>
      </c>
    </row>
    <row r="23" spans="1:14" x14ac:dyDescent="0.35">
      <c r="A23" s="2">
        <v>42433</v>
      </c>
      <c r="B23" s="3">
        <v>19.330163946949298</v>
      </c>
      <c r="C23" s="3">
        <v>15.0670649567759</v>
      </c>
      <c r="D23" s="3">
        <v>15.806776648673001</v>
      </c>
      <c r="E23" s="3">
        <v>12.7186772140856</v>
      </c>
      <c r="F23" s="3">
        <v>13.9379006042755</v>
      </c>
      <c r="G23" s="3">
        <v>16.6344526418168</v>
      </c>
      <c r="H23" s="3">
        <v>15.5936516191535</v>
      </c>
      <c r="I23" s="3">
        <v>18.251666686771301</v>
      </c>
      <c r="J23" s="3">
        <v>16.188193427520002</v>
      </c>
      <c r="K23" s="3">
        <v>15.1988117677065</v>
      </c>
      <c r="L23" s="3">
        <v>16.4170373863784</v>
      </c>
      <c r="M23" s="3">
        <v>15.649399920353799</v>
      </c>
      <c r="N23" s="3">
        <v>15.4230131530954</v>
      </c>
    </row>
    <row r="24" spans="1:14" x14ac:dyDescent="0.35">
      <c r="A24" s="2">
        <v>42466</v>
      </c>
      <c r="B24" s="3">
        <v>19.346244402925901</v>
      </c>
      <c r="C24" s="3">
        <v>15.043014613296201</v>
      </c>
      <c r="D24" s="3">
        <v>15.969633111129999</v>
      </c>
      <c r="E24" s="3">
        <v>12.6844894630414</v>
      </c>
      <c r="F24" s="3">
        <v>13.612336523542901</v>
      </c>
      <c r="G24" s="3">
        <v>16.652355473495799</v>
      </c>
      <c r="H24" s="3">
        <v>15.7362631359518</v>
      </c>
      <c r="I24" s="3">
        <v>18.4587786800214</v>
      </c>
      <c r="J24" s="3">
        <v>16.445215307047398</v>
      </c>
      <c r="K24" s="3">
        <v>15.0472977061465</v>
      </c>
      <c r="L24" s="3">
        <v>16.303607852464499</v>
      </c>
      <c r="M24" s="3">
        <v>15.5219671225888</v>
      </c>
      <c r="N24" s="3">
        <v>15.086463489335401</v>
      </c>
    </row>
    <row r="25" spans="1:14" x14ac:dyDescent="0.35">
      <c r="A25" s="2">
        <v>42496</v>
      </c>
      <c r="B25" s="3">
        <v>19.549457336239598</v>
      </c>
      <c r="C25" s="3">
        <v>15.556455537992299</v>
      </c>
      <c r="D25" s="3">
        <v>16.327600231381801</v>
      </c>
      <c r="E25" s="3">
        <v>12.755655997745899</v>
      </c>
      <c r="F25" s="3">
        <v>13.641241386476599</v>
      </c>
      <c r="G25" s="3">
        <v>16.684269223118999</v>
      </c>
      <c r="H25" s="3">
        <v>15.8149554715798</v>
      </c>
      <c r="I25" s="3">
        <v>18.3100905546533</v>
      </c>
      <c r="J25" s="3">
        <v>16.565182572190999</v>
      </c>
      <c r="K25" s="3">
        <v>15.039331086830501</v>
      </c>
      <c r="L25" s="3">
        <v>16.127799979343099</v>
      </c>
      <c r="M25" s="3">
        <v>15.544650821878999</v>
      </c>
      <c r="N25" s="3">
        <v>15.1075203001822</v>
      </c>
    </row>
    <row r="26" spans="1:14" x14ac:dyDescent="0.35">
      <c r="A26" s="2">
        <v>42527</v>
      </c>
      <c r="B26" s="3">
        <v>19.8186269405129</v>
      </c>
      <c r="C26" s="3">
        <v>15.798422310088799</v>
      </c>
      <c r="D26" s="3">
        <v>16.769210712320099</v>
      </c>
      <c r="E26" s="3">
        <v>12.877132294154</v>
      </c>
      <c r="F26" s="3">
        <v>14.0266504283105</v>
      </c>
      <c r="G26" s="3">
        <v>17.154539406260501</v>
      </c>
      <c r="H26" s="3">
        <v>16.0677443045766</v>
      </c>
      <c r="I26" s="3">
        <v>18.644460848962201</v>
      </c>
      <c r="J26" s="3">
        <v>16.823021007901598</v>
      </c>
      <c r="K26" s="3">
        <v>15.1648856182378</v>
      </c>
      <c r="L26" s="3">
        <v>16.281608242731899</v>
      </c>
      <c r="M26" s="3">
        <v>15.4815673266319</v>
      </c>
      <c r="N26" s="3">
        <v>14.980096806891501</v>
      </c>
    </row>
    <row r="27" spans="1:14" x14ac:dyDescent="0.35">
      <c r="A27" s="2">
        <v>42557</v>
      </c>
      <c r="B27" s="3">
        <v>19.787844743053402</v>
      </c>
      <c r="C27" s="3">
        <v>15.689080095837101</v>
      </c>
      <c r="D27" s="3">
        <v>16.923203444218299</v>
      </c>
      <c r="E27" s="3">
        <v>12.446185863750699</v>
      </c>
      <c r="F27" s="3">
        <v>13.6043769272777</v>
      </c>
      <c r="G27" s="3">
        <v>16.975149290095601</v>
      </c>
      <c r="H27" s="3">
        <v>16.102179878626899</v>
      </c>
      <c r="I27" s="3">
        <v>18.674528810603199</v>
      </c>
      <c r="J27" s="3">
        <v>16.929428345379499</v>
      </c>
      <c r="K27" s="3">
        <v>14.5126491652884</v>
      </c>
      <c r="L27" s="3">
        <v>15.494577930558</v>
      </c>
      <c r="M27" s="3">
        <v>15.096918744901901</v>
      </c>
      <c r="N27" s="3">
        <v>14.046592999007601</v>
      </c>
    </row>
    <row r="28" spans="1:14" x14ac:dyDescent="0.35">
      <c r="A28" s="2">
        <v>42587</v>
      </c>
      <c r="B28" s="3">
        <v>20.512742281026298</v>
      </c>
      <c r="C28" s="3">
        <v>16.384872952962301</v>
      </c>
      <c r="D28" s="3">
        <v>17.3146709775102</v>
      </c>
      <c r="E28" s="3">
        <v>13.155826440389401</v>
      </c>
      <c r="F28" s="3">
        <v>13.841499679465</v>
      </c>
      <c r="G28" s="3">
        <v>17.687868498453099</v>
      </c>
      <c r="H28" s="3">
        <v>16.756799986365099</v>
      </c>
      <c r="I28" s="3">
        <v>19.5329308689128</v>
      </c>
      <c r="J28" s="3">
        <v>17.468849584160601</v>
      </c>
      <c r="K28" s="3">
        <v>14.9545166599993</v>
      </c>
      <c r="L28" s="3">
        <v>16.037097223404899</v>
      </c>
      <c r="M28" s="3">
        <v>15.7900628623453</v>
      </c>
      <c r="N28" s="3">
        <v>14.9832031710918</v>
      </c>
    </row>
    <row r="29" spans="1:14" x14ac:dyDescent="0.35">
      <c r="A29" s="2">
        <v>42619</v>
      </c>
      <c r="B29" s="3">
        <v>21.356570982396601</v>
      </c>
      <c r="C29" s="3">
        <v>16.527389660143498</v>
      </c>
      <c r="D29" s="3">
        <v>17.7242630834034</v>
      </c>
      <c r="E29" s="3">
        <v>13.640561461600001</v>
      </c>
      <c r="F29" s="3">
        <v>14.466135739483599</v>
      </c>
      <c r="G29" s="3">
        <v>18.061134852631799</v>
      </c>
      <c r="H29" s="3">
        <v>16.986788011070999</v>
      </c>
      <c r="I29" s="3">
        <v>19.712719126692601</v>
      </c>
      <c r="J29" s="3">
        <v>17.673296055249999</v>
      </c>
      <c r="K29" s="3">
        <v>15.1190771174197</v>
      </c>
      <c r="L29" s="3">
        <v>16.338862427103098</v>
      </c>
      <c r="M29" s="3">
        <v>16.1432028682209</v>
      </c>
      <c r="N29" s="3">
        <v>15.0404237848488</v>
      </c>
    </row>
    <row r="30" spans="1:14" x14ac:dyDescent="0.35">
      <c r="A30" s="2">
        <v>42649</v>
      </c>
      <c r="B30" s="3">
        <v>20.6081400537484</v>
      </c>
      <c r="C30" s="3">
        <v>16.8734757102131</v>
      </c>
      <c r="D30" s="3">
        <v>17.835443339688801</v>
      </c>
      <c r="E30" s="3">
        <v>13.667891121093099</v>
      </c>
      <c r="F30" s="3">
        <v>14.3873590197457</v>
      </c>
      <c r="G30" s="3">
        <v>18.022553925872302</v>
      </c>
      <c r="H30" s="3">
        <v>17.057943584493099</v>
      </c>
      <c r="I30" s="3">
        <v>19.993556141054</v>
      </c>
      <c r="J30" s="3">
        <v>17.735909970915799</v>
      </c>
      <c r="K30" s="3">
        <v>14.932229650832699</v>
      </c>
      <c r="L30" s="3">
        <v>16.171612473762401</v>
      </c>
      <c r="M30" s="3">
        <v>16.650564182462102</v>
      </c>
      <c r="N30" s="3">
        <v>14.697305908054901</v>
      </c>
    </row>
    <row r="31" spans="1:14" x14ac:dyDescent="0.35">
      <c r="A31" s="2">
        <v>42678</v>
      </c>
      <c r="B31" s="3">
        <v>19.476175382872999</v>
      </c>
      <c r="C31" s="3">
        <v>16.449703358597599</v>
      </c>
      <c r="D31" s="3">
        <v>17.970837064313599</v>
      </c>
      <c r="E31" s="3">
        <v>13.325628354474601</v>
      </c>
      <c r="F31" s="3">
        <v>14.347881767995</v>
      </c>
      <c r="G31" s="3">
        <v>17.241912086967499</v>
      </c>
      <c r="H31" s="3">
        <v>16.243146022489601</v>
      </c>
      <c r="I31" s="3">
        <v>19.247877803863201</v>
      </c>
      <c r="J31" s="3">
        <v>17.2918700891375</v>
      </c>
      <c r="K31" s="3">
        <v>14.5633468580625</v>
      </c>
      <c r="L31" s="3">
        <v>15.377786701034299</v>
      </c>
      <c r="M31" s="3">
        <v>16.520479815049299</v>
      </c>
      <c r="N31" s="3">
        <v>14.342818422267399</v>
      </c>
    </row>
    <row r="32" spans="1:14" x14ac:dyDescent="0.35">
      <c r="A32" s="2">
        <v>42710</v>
      </c>
      <c r="B32" s="3">
        <v>19.9715931786697</v>
      </c>
      <c r="C32" s="3">
        <v>17.060355630924299</v>
      </c>
      <c r="D32" s="3">
        <v>18.890696851539001</v>
      </c>
      <c r="E32" s="3">
        <v>13.854242918641001</v>
      </c>
      <c r="F32" s="3">
        <v>15.902779141293999</v>
      </c>
      <c r="G32" s="3">
        <v>17.596804166592499</v>
      </c>
      <c r="H32" s="3">
        <v>16.529253350791802</v>
      </c>
      <c r="I32" s="3">
        <v>19.830815494919499</v>
      </c>
      <c r="J32" s="3">
        <v>18.402529750210402</v>
      </c>
      <c r="K32" s="3">
        <v>15.1290589283168</v>
      </c>
      <c r="L32" s="3">
        <v>15.6373254159972</v>
      </c>
      <c r="M32" s="3">
        <v>17.5795633653048</v>
      </c>
      <c r="N32" s="3">
        <v>15.095890132105399</v>
      </c>
    </row>
    <row r="33" spans="1:14" x14ac:dyDescent="0.35">
      <c r="A33" s="2">
        <v>42741</v>
      </c>
      <c r="B33" s="3">
        <v>20.250463382083598</v>
      </c>
      <c r="C33" s="3">
        <v>17.994417333414201</v>
      </c>
      <c r="D33" s="3">
        <v>19.601564629024899</v>
      </c>
      <c r="E33" s="3">
        <v>14.9314930705752</v>
      </c>
      <c r="F33" s="3">
        <v>16.6966801191728</v>
      </c>
      <c r="G33" s="3">
        <v>18.640135581212402</v>
      </c>
      <c r="H33" s="3">
        <v>17.280096005265602</v>
      </c>
      <c r="I33" s="3">
        <v>20.870414081193299</v>
      </c>
      <c r="J33" s="3">
        <v>19.101125088311399</v>
      </c>
      <c r="K33" s="3">
        <v>15.909305525408801</v>
      </c>
      <c r="L33" s="3">
        <v>16.375489750729699</v>
      </c>
      <c r="M33" s="3">
        <v>18.2264933868151</v>
      </c>
      <c r="N33" s="3">
        <v>28.564933149954701</v>
      </c>
    </row>
    <row r="34" spans="1:14" x14ac:dyDescent="0.35">
      <c r="A34" s="2">
        <v>42772</v>
      </c>
      <c r="B34" s="3">
        <v>20.525593272302999</v>
      </c>
      <c r="C34" s="3">
        <v>17.463693875549399</v>
      </c>
      <c r="D34" s="3">
        <v>19.558596513970802</v>
      </c>
      <c r="E34" s="3">
        <v>14.6786859281485</v>
      </c>
      <c r="F34" s="3">
        <v>16.192813725257199</v>
      </c>
      <c r="G34" s="3">
        <v>18.540899342641399</v>
      </c>
      <c r="H34" s="3">
        <v>17.089909072120498</v>
      </c>
      <c r="I34" s="3">
        <v>21.263305813393199</v>
      </c>
      <c r="J34" s="3">
        <v>18.9918841820209</v>
      </c>
      <c r="K34" s="3">
        <v>15.460556065901701</v>
      </c>
      <c r="L34" s="3">
        <v>15.989417629935099</v>
      </c>
      <c r="M34" s="3">
        <v>17.8420638612474</v>
      </c>
      <c r="N34" s="3">
        <v>18.271423124106398</v>
      </c>
    </row>
    <row r="35" spans="1:14" x14ac:dyDescent="0.35">
      <c r="A35" s="2">
        <v>42800</v>
      </c>
      <c r="B35" s="3">
        <v>19.817128663994701</v>
      </c>
      <c r="C35" s="3">
        <v>17.497262584007299</v>
      </c>
      <c r="D35" s="3">
        <v>19.388539984194299</v>
      </c>
      <c r="E35" s="3">
        <v>14.9833075299796</v>
      </c>
      <c r="F35" s="3">
        <v>15.9444759453944</v>
      </c>
      <c r="G35" s="3">
        <v>19.654437608481999</v>
      </c>
      <c r="H35" s="3">
        <v>17.326947895767798</v>
      </c>
      <c r="I35" s="3">
        <v>21.700904205065299</v>
      </c>
      <c r="J35" s="3">
        <v>19.482008424463899</v>
      </c>
      <c r="K35" s="3">
        <v>15.6131524890958</v>
      </c>
      <c r="L35" s="3">
        <v>16.439300577827201</v>
      </c>
      <c r="M35" s="3">
        <v>17.430929485702901</v>
      </c>
      <c r="N35" s="3">
        <v>84.622844268508203</v>
      </c>
    </row>
    <row r="36" spans="1:14" x14ac:dyDescent="0.35">
      <c r="A36" s="2">
        <v>42831</v>
      </c>
      <c r="B36" s="3">
        <v>19.8553090064846</v>
      </c>
      <c r="C36" s="3">
        <v>17.3280404492047</v>
      </c>
      <c r="D36" s="3">
        <v>19.085304250383299</v>
      </c>
      <c r="E36" s="3">
        <v>14.9375065765534</v>
      </c>
      <c r="F36" s="3">
        <v>15.607046977433701</v>
      </c>
      <c r="G36" s="3">
        <v>19.441516356539399</v>
      </c>
      <c r="H36" s="3">
        <v>17.066952410421901</v>
      </c>
      <c r="I36" s="3">
        <v>21.6276594475605</v>
      </c>
      <c r="J36" s="3">
        <v>19.302782704943599</v>
      </c>
      <c r="K36" s="3">
        <v>15.6646757597772</v>
      </c>
      <c r="L36" s="3">
        <v>16.505011887694302</v>
      </c>
      <c r="M36" s="3">
        <v>17.553052026247901</v>
      </c>
      <c r="N36" s="3">
        <v>77.379314037890794</v>
      </c>
    </row>
    <row r="37" spans="1:14" x14ac:dyDescent="0.35">
      <c r="A37" s="2">
        <v>42860</v>
      </c>
      <c r="B37" s="3">
        <v>19.9256887239669</v>
      </c>
      <c r="C37" s="3">
        <v>17.169328088793101</v>
      </c>
      <c r="D37" s="3">
        <v>18.740857202903499</v>
      </c>
      <c r="E37" s="3">
        <v>14.9403757085166</v>
      </c>
      <c r="F37" s="3">
        <v>15.627879072451901</v>
      </c>
      <c r="G37" s="3">
        <v>19.568803253253801</v>
      </c>
      <c r="H37" s="3">
        <v>16.859083858322101</v>
      </c>
      <c r="I37" s="3">
        <v>21.809418313997998</v>
      </c>
      <c r="J37" s="3">
        <v>19.236049608789099</v>
      </c>
      <c r="K37" s="3">
        <v>15.9135986208447</v>
      </c>
      <c r="L37" s="3">
        <v>16.803753627096899</v>
      </c>
      <c r="M37" s="3">
        <v>17.6864132403546</v>
      </c>
      <c r="N37" s="3">
        <v>70.794887800270601</v>
      </c>
    </row>
    <row r="38" spans="1:14" x14ac:dyDescent="0.35">
      <c r="A38" s="2">
        <v>42892</v>
      </c>
      <c r="B38" s="3">
        <v>20.0045107121143</v>
      </c>
      <c r="C38" s="3">
        <v>16.765092604991501</v>
      </c>
      <c r="D38" s="3">
        <v>18.378364781385901</v>
      </c>
      <c r="E38" s="3">
        <v>14.770795275027201</v>
      </c>
      <c r="F38" s="3">
        <v>15.6783090086484</v>
      </c>
      <c r="G38" s="3">
        <v>19.5086228287857</v>
      </c>
      <c r="H38" s="3">
        <v>16.748195456488901</v>
      </c>
      <c r="I38" s="3">
        <v>22.0640823928386</v>
      </c>
      <c r="J38" s="3">
        <v>19.193137696534599</v>
      </c>
      <c r="K38" s="3">
        <v>15.730699726746501</v>
      </c>
      <c r="L38" s="3">
        <v>16.691767415649501</v>
      </c>
      <c r="M38" s="3">
        <v>17.602549290727701</v>
      </c>
      <c r="N38" s="3">
        <v>63.044698015009601</v>
      </c>
    </row>
    <row r="39" spans="1:14" x14ac:dyDescent="0.35">
      <c r="A39" s="2">
        <v>42922</v>
      </c>
      <c r="B39" s="3">
        <v>20.1114275439806</v>
      </c>
      <c r="C39" s="3">
        <v>16.803447652769801</v>
      </c>
      <c r="D39" s="3">
        <v>17.960320760245999</v>
      </c>
      <c r="E39" s="3">
        <v>14.5106758193964</v>
      </c>
      <c r="F39" s="3">
        <v>15.5120572397608</v>
      </c>
      <c r="G39" s="3">
        <v>19.274300633055201</v>
      </c>
      <c r="H39" s="3">
        <v>16.4097831468038</v>
      </c>
      <c r="I39" s="3">
        <v>21.5350392509214</v>
      </c>
      <c r="J39" s="3">
        <v>19.005408962324701</v>
      </c>
      <c r="K39" s="3">
        <v>15.564862596122699</v>
      </c>
      <c r="L39" s="3">
        <v>16.495587636805102</v>
      </c>
      <c r="M39" s="3">
        <v>17.599124332378501</v>
      </c>
      <c r="N39" s="3">
        <v>56.110769461319101</v>
      </c>
    </row>
    <row r="40" spans="1:14" x14ac:dyDescent="0.35">
      <c r="A40" s="2">
        <v>42951</v>
      </c>
      <c r="B40" s="3">
        <v>20.499315720976401</v>
      </c>
      <c r="C40" s="3">
        <v>16.7726012076477</v>
      </c>
      <c r="D40" s="3">
        <v>18.004535328454502</v>
      </c>
      <c r="E40" s="3">
        <v>14.384462145059601</v>
      </c>
      <c r="F40" s="3">
        <v>15.4156211265165</v>
      </c>
      <c r="G40" s="3">
        <v>19.469674832319999</v>
      </c>
      <c r="H40" s="3">
        <v>16.468691944279001</v>
      </c>
      <c r="I40" s="3">
        <v>22.085048652256098</v>
      </c>
      <c r="J40" s="3">
        <v>19.1759928307014</v>
      </c>
      <c r="K40" s="3">
        <v>15.6458437199166</v>
      </c>
      <c r="L40" s="3">
        <v>16.774660640371199</v>
      </c>
      <c r="M40" s="3">
        <v>17.073735810425301</v>
      </c>
      <c r="N40" s="3">
        <v>49.538256012372997</v>
      </c>
    </row>
    <row r="41" spans="1:14" x14ac:dyDescent="0.35">
      <c r="A41" s="2">
        <v>42984</v>
      </c>
      <c r="B41" s="3">
        <v>20.555284128120601</v>
      </c>
      <c r="C41" s="3">
        <v>16.533627626318498</v>
      </c>
      <c r="D41" s="3">
        <v>17.3646113118497</v>
      </c>
      <c r="E41" s="3">
        <v>14.150637615492901</v>
      </c>
      <c r="F41" s="3">
        <v>14.773493269939101</v>
      </c>
      <c r="G41" s="3">
        <v>19.053651687863798</v>
      </c>
      <c r="H41" s="3">
        <v>15.9560469845866</v>
      </c>
      <c r="I41" s="3">
        <v>22.219721836886901</v>
      </c>
      <c r="J41" s="3">
        <v>19.025615316457799</v>
      </c>
      <c r="K41" s="3">
        <v>15.4982057715008</v>
      </c>
      <c r="L41" s="3">
        <v>16.5689853316563</v>
      </c>
      <c r="M41" s="3">
        <v>16.852695011458501</v>
      </c>
      <c r="N41" s="3">
        <v>41.732504710201297</v>
      </c>
    </row>
    <row r="42" spans="1:14" x14ac:dyDescent="0.35">
      <c r="A42" s="2">
        <v>43014</v>
      </c>
      <c r="B42" s="3">
        <v>20.702646382638299</v>
      </c>
      <c r="C42" s="3">
        <v>16.360547963898199</v>
      </c>
      <c r="D42" s="3">
        <v>17.6476208964657</v>
      </c>
      <c r="E42" s="3">
        <v>14.7335976622253</v>
      </c>
      <c r="F42" s="3">
        <v>15.0267002580787</v>
      </c>
      <c r="G42" s="3">
        <v>19.5937693596644</v>
      </c>
      <c r="H42" s="3">
        <v>15.877370503117699</v>
      </c>
      <c r="I42" s="3">
        <v>22.549742256806301</v>
      </c>
      <c r="J42" s="3">
        <v>19.505222400288101</v>
      </c>
      <c r="K42" s="3">
        <v>15.9777607850008</v>
      </c>
      <c r="L42" s="3">
        <v>17.098307950848401</v>
      </c>
      <c r="M42" s="3">
        <v>17.658160109261001</v>
      </c>
      <c r="N42" s="3">
        <v>35.008949598011597</v>
      </c>
    </row>
    <row r="43" spans="1:14" x14ac:dyDescent="0.35">
      <c r="A43" s="2">
        <v>43045</v>
      </c>
      <c r="B43" s="3">
        <v>21.211537770082501</v>
      </c>
      <c r="C43" s="3">
        <v>16.7151815046095</v>
      </c>
      <c r="D43" s="3">
        <v>17.533914380201399</v>
      </c>
      <c r="E43" s="3">
        <v>15.4742073669962</v>
      </c>
      <c r="F43" s="3">
        <v>15.6036053866011</v>
      </c>
      <c r="G43" s="3">
        <v>20.318919783323899</v>
      </c>
      <c r="H43" s="3">
        <v>15.6247463388617</v>
      </c>
      <c r="I43" s="3">
        <v>22.986377049976799</v>
      </c>
      <c r="J43" s="3">
        <v>19.670558188889402</v>
      </c>
      <c r="K43" s="3">
        <v>16.348715844894699</v>
      </c>
      <c r="L43" s="3">
        <v>17.567951450510598</v>
      </c>
      <c r="M43" s="3">
        <v>18.560408773871899</v>
      </c>
      <c r="N43" s="3">
        <v>28.061313018670901</v>
      </c>
    </row>
    <row r="44" spans="1:14" x14ac:dyDescent="0.35">
      <c r="A44" s="2">
        <v>43075</v>
      </c>
      <c r="B44" s="3">
        <v>21.493184668363401</v>
      </c>
      <c r="C44" s="3">
        <v>16.488981795783602</v>
      </c>
      <c r="D44" s="3">
        <v>17.153776619872598</v>
      </c>
      <c r="E44" s="3">
        <v>15.331825246914701</v>
      </c>
      <c r="F44" s="3">
        <v>15.8223646555029</v>
      </c>
      <c r="G44" s="3">
        <v>20.387484585593501</v>
      </c>
      <c r="H44" s="3">
        <v>15.0847218878997</v>
      </c>
      <c r="I44" s="3">
        <v>22.941165792151999</v>
      </c>
      <c r="J44" s="3">
        <v>19.906159186886399</v>
      </c>
      <c r="K44" s="3">
        <v>16.139988678959099</v>
      </c>
      <c r="L44" s="3">
        <v>17.082529162689401</v>
      </c>
      <c r="M44" s="3">
        <v>17.9012383471871</v>
      </c>
      <c r="N44" s="3">
        <v>21.188936308383902</v>
      </c>
    </row>
    <row r="45" spans="1:14" x14ac:dyDescent="0.35">
      <c r="A45" s="2">
        <v>43105</v>
      </c>
      <c r="B45" s="3">
        <v>22.517960567398202</v>
      </c>
      <c r="C45" s="3">
        <v>16.923370942454099</v>
      </c>
      <c r="D45" s="3">
        <v>17.3595918329497</v>
      </c>
      <c r="E45" s="3">
        <v>15.7535137770254</v>
      </c>
      <c r="F45" s="3">
        <v>16.922904005547899</v>
      </c>
      <c r="G45" s="3">
        <v>21.057188107414898</v>
      </c>
      <c r="H45" s="3">
        <v>15.592709430966901</v>
      </c>
      <c r="I45" s="3">
        <v>24.392980708362199</v>
      </c>
      <c r="J45" s="3">
        <v>20.7309814694718</v>
      </c>
      <c r="K45" s="3">
        <v>16.429417587492399</v>
      </c>
      <c r="L45" s="3">
        <v>17.5555633645405</v>
      </c>
      <c r="M45" s="3">
        <v>18.317603233151502</v>
      </c>
      <c r="N45" s="3">
        <v>15.5876928086994</v>
      </c>
    </row>
    <row r="46" spans="1:14" x14ac:dyDescent="0.35">
      <c r="A46" s="2">
        <v>43137</v>
      </c>
      <c r="B46" s="3">
        <v>21.867670245276098</v>
      </c>
      <c r="C46" s="3">
        <v>16.107536767615098</v>
      </c>
      <c r="D46" s="3">
        <v>16.094284434451701</v>
      </c>
      <c r="E46" s="3">
        <v>14.314591643229001</v>
      </c>
      <c r="F46" s="3">
        <v>15.374959286936299</v>
      </c>
      <c r="G46" s="3">
        <v>20.541280997266799</v>
      </c>
      <c r="H46" s="3">
        <v>14.366568126998899</v>
      </c>
      <c r="I46" s="3">
        <v>23.753101649152701</v>
      </c>
      <c r="J46" s="3">
        <v>19.8780945760851</v>
      </c>
      <c r="K46" s="3">
        <v>15.485647783283801</v>
      </c>
      <c r="L46" s="3">
        <v>16.520339612022401</v>
      </c>
      <c r="M46" s="3">
        <v>17.790056032159701</v>
      </c>
      <c r="N46" s="3">
        <v>14.742002444099199</v>
      </c>
    </row>
    <row r="47" spans="1:14" x14ac:dyDescent="0.35">
      <c r="A47" s="2">
        <v>43165</v>
      </c>
      <c r="B47" s="3">
        <v>22.571133528397699</v>
      </c>
      <c r="C47" s="3">
        <v>16.5142295149566</v>
      </c>
      <c r="D47" s="3">
        <v>15.8237636890363</v>
      </c>
      <c r="E47" s="3">
        <v>14.187065155950901</v>
      </c>
      <c r="F47" s="3">
        <v>14.3994964697526</v>
      </c>
      <c r="G47" s="3">
        <v>21.0891339219366</v>
      </c>
      <c r="H47" s="3">
        <v>13.957871777422</v>
      </c>
      <c r="I47" s="3">
        <v>24.094952344298498</v>
      </c>
      <c r="J47" s="3">
        <v>19.7599309892462</v>
      </c>
      <c r="K47" s="3">
        <v>15.544109661729101</v>
      </c>
      <c r="L47" s="3">
        <v>16.627905403487699</v>
      </c>
      <c r="M47" s="3">
        <v>16.932324743752599</v>
      </c>
      <c r="N47" s="3">
        <v>14.177771076156599</v>
      </c>
    </row>
    <row r="48" spans="1:14" x14ac:dyDescent="0.35">
      <c r="A48" s="2">
        <v>43196</v>
      </c>
      <c r="B48" s="3">
        <v>22.396271988751401</v>
      </c>
      <c r="C48" s="3">
        <v>16.272989103299999</v>
      </c>
      <c r="D48" s="3">
        <v>15.6157284490258</v>
      </c>
      <c r="E48" s="3">
        <v>14.1069426522337</v>
      </c>
      <c r="F48" s="3">
        <v>14.2408250489234</v>
      </c>
      <c r="G48" s="3">
        <v>20.571092247993299</v>
      </c>
      <c r="H48" s="3">
        <v>13.937546631079</v>
      </c>
      <c r="I48" s="3">
        <v>23.4273999314916</v>
      </c>
      <c r="J48" s="3">
        <v>19.300511206464499</v>
      </c>
      <c r="K48" s="3">
        <v>15.4994648367966</v>
      </c>
      <c r="L48" s="3">
        <v>16.567717871212501</v>
      </c>
      <c r="M48" s="3">
        <v>16.740545476357099</v>
      </c>
      <c r="N48" s="3">
        <v>14.1138103952722</v>
      </c>
    </row>
    <row r="49" spans="1:14" x14ac:dyDescent="0.35">
      <c r="A49" s="2">
        <v>43224</v>
      </c>
      <c r="B49" s="3">
        <v>22.4001870149689</v>
      </c>
      <c r="C49" s="3">
        <v>16.318920521432101</v>
      </c>
      <c r="D49" s="3">
        <v>15.5888812557178</v>
      </c>
      <c r="E49" s="3">
        <v>14.2092224463604</v>
      </c>
      <c r="F49" s="3">
        <v>14.2649089849868</v>
      </c>
      <c r="G49" s="3">
        <v>20.244410889373601</v>
      </c>
      <c r="H49" s="3">
        <v>14.0284792862355</v>
      </c>
      <c r="I49" s="3">
        <v>23.265680097236999</v>
      </c>
      <c r="J49" s="3">
        <v>19.058499173026402</v>
      </c>
      <c r="K49" s="3">
        <v>15.6045680442604</v>
      </c>
      <c r="L49" s="3">
        <v>16.566287067404001</v>
      </c>
      <c r="M49" s="3">
        <v>16.767361780480702</v>
      </c>
      <c r="N49" s="3">
        <v>14.2418853683048</v>
      </c>
    </row>
    <row r="50" spans="1:14" x14ac:dyDescent="0.35">
      <c r="A50" s="2">
        <v>43257</v>
      </c>
      <c r="B50" s="3">
        <v>22.6261048961249</v>
      </c>
      <c r="C50" s="3">
        <v>16.163459196483501</v>
      </c>
      <c r="D50" s="3">
        <v>15.5732071836564</v>
      </c>
      <c r="E50" s="3">
        <v>14.1352116685279</v>
      </c>
      <c r="F50" s="3">
        <v>14.1723496643665</v>
      </c>
      <c r="G50" s="3">
        <v>19.586726792311602</v>
      </c>
      <c r="H50" s="3">
        <v>14.0159461553589</v>
      </c>
      <c r="I50" s="3">
        <v>23.412597317937202</v>
      </c>
      <c r="J50" s="3">
        <v>18.982143458693798</v>
      </c>
      <c r="K50" s="3">
        <v>15.4368377905709</v>
      </c>
      <c r="L50" s="3">
        <v>16.663293431716699</v>
      </c>
      <c r="M50" s="3">
        <v>16.573327308250501</v>
      </c>
      <c r="N50" s="3">
        <v>13.493546123749899</v>
      </c>
    </row>
    <row r="51" spans="1:14" x14ac:dyDescent="0.35">
      <c r="A51" s="2">
        <v>43287</v>
      </c>
      <c r="B51" s="3">
        <v>23.004396140230199</v>
      </c>
      <c r="C51" s="3">
        <v>16.374736468371101</v>
      </c>
      <c r="D51" s="3">
        <v>15.504726122438999</v>
      </c>
      <c r="E51" s="3">
        <v>13.9999670214322</v>
      </c>
      <c r="F51" s="3">
        <v>13.817686782277899</v>
      </c>
      <c r="G51" s="3">
        <v>19.300844669398799</v>
      </c>
      <c r="H51" s="3">
        <v>13.817216037407199</v>
      </c>
      <c r="I51" s="3">
        <v>23.178305590429101</v>
      </c>
      <c r="J51" s="3">
        <v>18.678067057736499</v>
      </c>
      <c r="K51" s="3">
        <v>15.2155455631476</v>
      </c>
      <c r="L51" s="3">
        <v>16.5277837591184</v>
      </c>
      <c r="M51" s="3">
        <v>16.442145447469301</v>
      </c>
      <c r="N51" s="3">
        <v>13.330254434971399</v>
      </c>
    </row>
    <row r="52" spans="1:14" x14ac:dyDescent="0.35">
      <c r="A52" s="2">
        <v>43318</v>
      </c>
      <c r="B52" s="3">
        <v>22.873533304220999</v>
      </c>
      <c r="C52" s="3">
        <v>16.3344370646359</v>
      </c>
      <c r="D52" s="3">
        <v>15.4814104072835</v>
      </c>
      <c r="E52" s="3">
        <v>14.077199994495199</v>
      </c>
      <c r="F52" s="3">
        <v>13.7742800230073</v>
      </c>
      <c r="G52" s="3">
        <v>19.202887055533999</v>
      </c>
      <c r="H52" s="3">
        <v>13.8466033808698</v>
      </c>
      <c r="I52" s="3">
        <v>23.176981175016099</v>
      </c>
      <c r="J52" s="3">
        <v>18.674636513964099</v>
      </c>
      <c r="K52" s="3">
        <v>15.205276185875</v>
      </c>
      <c r="L52" s="3">
        <v>16.795223357146401</v>
      </c>
      <c r="M52" s="3">
        <v>16.563165219329701</v>
      </c>
      <c r="N52" s="3">
        <v>13.110533864487699</v>
      </c>
    </row>
    <row r="53" spans="1:14" x14ac:dyDescent="0.35">
      <c r="A53" s="2">
        <v>43349</v>
      </c>
      <c r="B53" s="3">
        <v>23.2834202329609</v>
      </c>
      <c r="C53" s="3">
        <v>16.0585430119576</v>
      </c>
      <c r="D53" s="3">
        <v>15.1086333598293</v>
      </c>
      <c r="E53" s="3">
        <v>13.722614880677501</v>
      </c>
      <c r="F53" s="3">
        <v>13.391288586748701</v>
      </c>
      <c r="G53" s="3">
        <v>18.537833743729902</v>
      </c>
      <c r="H53" s="3">
        <v>13.344582453865501</v>
      </c>
      <c r="I53" s="3">
        <v>23.016839553843901</v>
      </c>
      <c r="J53" s="3">
        <v>18.560949423326001</v>
      </c>
      <c r="K53" s="3">
        <v>14.739204020080001</v>
      </c>
      <c r="L53" s="3">
        <v>16.367898286793299</v>
      </c>
      <c r="M53" s="3">
        <v>16.640424519574001</v>
      </c>
      <c r="N53" s="3">
        <v>12.4123772097124</v>
      </c>
    </row>
    <row r="54" spans="1:14" x14ac:dyDescent="0.35">
      <c r="A54" s="2">
        <v>43378</v>
      </c>
      <c r="B54" s="3">
        <v>23.449993125320798</v>
      </c>
      <c r="C54" s="3">
        <v>15.977770122929901</v>
      </c>
      <c r="D54" s="3">
        <v>14.969414590597401</v>
      </c>
      <c r="E54" s="3">
        <v>13.781215691356399</v>
      </c>
      <c r="F54" s="3">
        <v>13.826205500792801</v>
      </c>
      <c r="G54" s="3">
        <v>18.3122112676716</v>
      </c>
      <c r="H54" s="3">
        <v>13.378461227367501</v>
      </c>
      <c r="I54" s="3">
        <v>22.723672599253302</v>
      </c>
      <c r="J54" s="3">
        <v>18.423668867478899</v>
      </c>
      <c r="K54" s="3">
        <v>14.812674416223199</v>
      </c>
      <c r="L54" s="3">
        <v>16.072184616543002</v>
      </c>
      <c r="M54" s="3">
        <v>16.476418952154699</v>
      </c>
      <c r="N54" s="3">
        <v>12.1324381587575</v>
      </c>
    </row>
    <row r="55" spans="1:14" x14ac:dyDescent="0.35">
      <c r="A55" s="2">
        <v>43410</v>
      </c>
      <c r="B55" s="3">
        <v>22.809918004389001</v>
      </c>
      <c r="C55" s="3">
        <v>15.3858695989612</v>
      </c>
      <c r="D55" s="3">
        <v>14.307182274833201</v>
      </c>
      <c r="E55" s="3">
        <v>13.094449703195499</v>
      </c>
      <c r="F55" s="3">
        <v>12.8978965008711</v>
      </c>
      <c r="G55" s="3">
        <v>17.9108317737766</v>
      </c>
      <c r="H55" s="3">
        <v>12.807712657583201</v>
      </c>
      <c r="I55" s="3">
        <v>21.095869577746701</v>
      </c>
      <c r="J55" s="3">
        <v>17.449312393579198</v>
      </c>
      <c r="K55" s="3">
        <v>14.110322387974501</v>
      </c>
      <c r="L55" s="3">
        <v>15.6378510266213</v>
      </c>
      <c r="M55" s="3">
        <v>15.2849517388662</v>
      </c>
      <c r="N55" s="3">
        <v>11.463269998316999</v>
      </c>
    </row>
    <row r="56" spans="1:14" x14ac:dyDescent="0.35">
      <c r="A56" s="2">
        <v>43440</v>
      </c>
      <c r="B56" s="3">
        <v>22.788790544260898</v>
      </c>
      <c r="C56" s="3">
        <v>14.773275609012799</v>
      </c>
      <c r="D56" s="3">
        <v>13.8221606368755</v>
      </c>
      <c r="E56" s="3">
        <v>12.4176834436857</v>
      </c>
      <c r="F56" s="3">
        <v>12.431751088978601</v>
      </c>
      <c r="G56" s="3">
        <v>17.0107364773806</v>
      </c>
      <c r="H56" s="3">
        <v>12.085254065914199</v>
      </c>
      <c r="I56" s="3">
        <v>20.379776961036999</v>
      </c>
      <c r="J56" s="3">
        <v>16.842709221462499</v>
      </c>
      <c r="K56" s="3">
        <v>13.208512846172001</v>
      </c>
      <c r="L56" s="3">
        <v>14.8582395450217</v>
      </c>
      <c r="M56" s="3">
        <v>14.1034029313938</v>
      </c>
      <c r="N56" s="3">
        <v>10.76523469032</v>
      </c>
    </row>
    <row r="57" spans="1:14" x14ac:dyDescent="0.35">
      <c r="A57" s="2">
        <v>43469</v>
      </c>
      <c r="B57" s="3">
        <v>22.7918941770155</v>
      </c>
      <c r="C57" s="3">
        <v>14.604301598672601</v>
      </c>
      <c r="D57" s="3">
        <v>13.237324790273099</v>
      </c>
      <c r="E57" s="3">
        <v>12.276878693981701</v>
      </c>
      <c r="F57" s="3">
        <v>11.291793147776801</v>
      </c>
      <c r="G57" s="3">
        <v>16.4991314313888</v>
      </c>
      <c r="H57" s="3">
        <v>12.1286869949997</v>
      </c>
      <c r="I57" s="3">
        <v>19.047600141498201</v>
      </c>
      <c r="J57" s="3">
        <v>15.661848882611499</v>
      </c>
      <c r="K57" s="3">
        <v>12.936133117115</v>
      </c>
      <c r="L57" s="3">
        <v>14.3128616096014</v>
      </c>
      <c r="M57" s="3">
        <v>14.0807560582387</v>
      </c>
      <c r="N57" s="3">
        <v>10.7065671091417</v>
      </c>
    </row>
    <row r="58" spans="1:14" x14ac:dyDescent="0.35">
      <c r="A58" s="2">
        <v>43502</v>
      </c>
      <c r="B58" s="3">
        <v>23.4429017338657</v>
      </c>
      <c r="C58" s="3">
        <v>15.6306035267892</v>
      </c>
      <c r="D58" s="3">
        <v>14.7371327102567</v>
      </c>
      <c r="E58" s="3">
        <v>13.1309909721986</v>
      </c>
      <c r="F58" s="3">
        <v>12.3706810723587</v>
      </c>
      <c r="G58" s="3">
        <v>17.839995148717001</v>
      </c>
      <c r="H58" s="3">
        <v>12.7900042031601</v>
      </c>
      <c r="I58" s="3">
        <v>20.6094373758161</v>
      </c>
      <c r="J58" s="3">
        <v>16.8263876682493</v>
      </c>
      <c r="K58" s="3">
        <v>13.9953819002797</v>
      </c>
      <c r="L58" s="3">
        <v>15.6749380626192</v>
      </c>
      <c r="M58" s="3">
        <v>16.293366052358898</v>
      </c>
      <c r="N58" s="3">
        <v>11.2966659615415</v>
      </c>
    </row>
    <row r="59" spans="1:14" x14ac:dyDescent="0.35">
      <c r="A59" s="2">
        <v>43530</v>
      </c>
      <c r="B59" s="3">
        <v>24.1817229515975</v>
      </c>
      <c r="C59" s="3">
        <v>15.9288319313117</v>
      </c>
      <c r="D59" s="3">
        <v>14.7319967545465</v>
      </c>
      <c r="E59" s="3">
        <v>13.228837252178099</v>
      </c>
      <c r="F59" s="3">
        <v>12.703119757224499</v>
      </c>
      <c r="G59" s="3">
        <v>18.328142546667401</v>
      </c>
      <c r="H59" s="3">
        <v>12.951264257718201</v>
      </c>
      <c r="I59" s="3">
        <v>20.893012518870599</v>
      </c>
      <c r="J59" s="3">
        <v>17.085549498476301</v>
      </c>
      <c r="K59" s="3">
        <v>14.5735323145617</v>
      </c>
      <c r="L59" s="3">
        <v>16.1341970608213</v>
      </c>
      <c r="M59" s="3">
        <v>18.100064639360699</v>
      </c>
      <c r="N59" s="3">
        <v>11.300309844146501</v>
      </c>
    </row>
    <row r="60" spans="1:14" x14ac:dyDescent="0.35">
      <c r="A60" s="2">
        <v>43560</v>
      </c>
      <c r="B60" s="3">
        <v>24.139948105837899</v>
      </c>
      <c r="C60" s="3">
        <v>15.8273105397965</v>
      </c>
      <c r="D60" s="3">
        <v>14.760676634779101</v>
      </c>
      <c r="E60" s="3">
        <v>13.282523840305499</v>
      </c>
      <c r="F60" s="3">
        <v>12.760892941707001</v>
      </c>
      <c r="G60" s="3">
        <v>18.2938420500146</v>
      </c>
      <c r="H60" s="3">
        <v>13.0138519249314</v>
      </c>
      <c r="I60" s="3">
        <v>21.1868404069312</v>
      </c>
      <c r="J60" s="3">
        <v>17.2259723789061</v>
      </c>
      <c r="K60" s="3">
        <v>14.615137197351901</v>
      </c>
      <c r="L60" s="3">
        <v>16.252115945298701</v>
      </c>
      <c r="M60" s="3">
        <v>17.904057247920299</v>
      </c>
      <c r="N60" s="3">
        <v>11.350172725349401</v>
      </c>
    </row>
    <row r="61" spans="1:14" x14ac:dyDescent="0.35">
      <c r="A61" s="2">
        <v>43591</v>
      </c>
      <c r="B61" s="3">
        <v>24.160261082016099</v>
      </c>
      <c r="C61" s="3">
        <v>15.835170196192101</v>
      </c>
      <c r="D61" s="3">
        <v>14.598615298976201</v>
      </c>
      <c r="E61" s="3">
        <v>13.3643012211461</v>
      </c>
      <c r="F61" s="3">
        <v>12.7955074856193</v>
      </c>
      <c r="G61" s="3">
        <v>18.217553232949399</v>
      </c>
      <c r="H61" s="3">
        <v>12.996440189527799</v>
      </c>
      <c r="I61" s="3">
        <v>21.475120048436899</v>
      </c>
      <c r="J61" s="3">
        <v>17.297499046254298</v>
      </c>
      <c r="K61" s="3">
        <v>14.611087910677499</v>
      </c>
      <c r="L61" s="3">
        <v>16.305685075026599</v>
      </c>
      <c r="M61" s="3">
        <v>17.748035200329799</v>
      </c>
      <c r="N61" s="3">
        <v>11.2880846285597</v>
      </c>
    </row>
    <row r="62" spans="1:14" x14ac:dyDescent="0.35">
      <c r="A62" s="2">
        <v>43622</v>
      </c>
      <c r="B62" s="3">
        <v>24.085985023673</v>
      </c>
      <c r="C62" s="3">
        <v>15.94888803944</v>
      </c>
      <c r="D62" s="3">
        <v>14.4307933600245</v>
      </c>
      <c r="E62" s="3">
        <v>13.1563638398012</v>
      </c>
      <c r="F62" s="3">
        <v>12.6832810727878</v>
      </c>
      <c r="G62" s="3">
        <v>18.177778886396201</v>
      </c>
      <c r="H62" s="3">
        <v>12.8966416588691</v>
      </c>
      <c r="I62" s="3">
        <v>20.970821767646701</v>
      </c>
      <c r="J62" s="3">
        <v>17.094407037137302</v>
      </c>
      <c r="K62" s="3">
        <v>14.3893004193765</v>
      </c>
      <c r="L62" s="3">
        <v>16.123226994939401</v>
      </c>
      <c r="M62" s="3">
        <v>17.0192495529651</v>
      </c>
      <c r="N62" s="3">
        <v>10.9119758510189</v>
      </c>
    </row>
    <row r="63" spans="1:14" x14ac:dyDescent="0.35">
      <c r="A63" s="2">
        <v>43651</v>
      </c>
      <c r="B63" s="3">
        <v>24.871479449347099</v>
      </c>
      <c r="C63" s="3">
        <v>16.417799908697798</v>
      </c>
      <c r="D63" s="3">
        <v>14.524385654391301</v>
      </c>
      <c r="E63" s="3">
        <v>13.5702585425229</v>
      </c>
      <c r="F63" s="3">
        <v>13.030133420296099</v>
      </c>
      <c r="G63" s="3">
        <v>18.402663006326399</v>
      </c>
      <c r="H63" s="3">
        <v>13.113457383355801</v>
      </c>
      <c r="I63" s="3">
        <v>21.880267680818498</v>
      </c>
      <c r="J63" s="3">
        <v>17.579372372159298</v>
      </c>
      <c r="K63" s="3">
        <v>14.743635393347301</v>
      </c>
      <c r="L63" s="3">
        <v>16.493667079252099</v>
      </c>
      <c r="M63" s="3">
        <v>17.162345942718801</v>
      </c>
      <c r="N63" s="3">
        <v>11.309045772612601</v>
      </c>
    </row>
    <row r="64" spans="1:14" x14ac:dyDescent="0.35">
      <c r="A64" s="2">
        <v>43683</v>
      </c>
      <c r="B64" s="3">
        <v>25.007472232199699</v>
      </c>
      <c r="C64" s="3">
        <v>16.0463965769998</v>
      </c>
      <c r="D64" s="3">
        <v>14.298144206695801</v>
      </c>
      <c r="E64" s="3">
        <v>13.2056995499244</v>
      </c>
      <c r="F64" s="3">
        <v>12.6734186779951</v>
      </c>
      <c r="G64" s="3">
        <v>17.9669175171299</v>
      </c>
      <c r="H64" s="3">
        <v>12.7474020583296</v>
      </c>
      <c r="I64" s="3">
        <v>21.4575100977247</v>
      </c>
      <c r="J64" s="3">
        <v>17.3270787078878</v>
      </c>
      <c r="K64" s="3">
        <v>14.3810341450561</v>
      </c>
      <c r="L64" s="3">
        <v>16.124633237857299</v>
      </c>
      <c r="M64" s="3">
        <v>15.9765451537695</v>
      </c>
      <c r="N64" s="3">
        <v>10.920837008240399</v>
      </c>
    </row>
    <row r="65" spans="1:14" x14ac:dyDescent="0.35">
      <c r="A65" s="2">
        <v>43714</v>
      </c>
      <c r="B65" s="3">
        <v>28.9400529311444</v>
      </c>
      <c r="C65" s="3">
        <v>16.58479427772</v>
      </c>
      <c r="D65" s="3">
        <v>14.521613585278599</v>
      </c>
      <c r="E65" s="3">
        <v>13.8632395082939</v>
      </c>
      <c r="F65" s="3">
        <v>13.054961209734801</v>
      </c>
      <c r="G65" s="3">
        <v>18.518999781409999</v>
      </c>
      <c r="H65" s="3">
        <v>12.9633422337543</v>
      </c>
      <c r="I65" s="3">
        <v>22.181173595429399</v>
      </c>
      <c r="J65" s="3">
        <v>17.7608297676381</v>
      </c>
      <c r="K65" s="3">
        <v>14.9809441678241</v>
      </c>
      <c r="L65" s="3">
        <v>16.938521137227401</v>
      </c>
      <c r="M65" s="3">
        <v>16.030989179779699</v>
      </c>
      <c r="N65" s="3">
        <v>11.272537340906201</v>
      </c>
    </row>
    <row r="66" spans="1:14" x14ac:dyDescent="0.35">
      <c r="A66" s="2">
        <v>43742</v>
      </c>
      <c r="B66" s="3">
        <v>28.593477123544499</v>
      </c>
      <c r="C66" s="3">
        <v>16.562423425799199</v>
      </c>
      <c r="D66" s="3">
        <v>14.515528308012501</v>
      </c>
      <c r="E66" s="3">
        <v>13.811260717159101</v>
      </c>
      <c r="F66" s="3">
        <v>13.3349983185123</v>
      </c>
      <c r="G66" s="3">
        <v>18.141719372984198</v>
      </c>
      <c r="H66" s="3">
        <v>12.842916876600899</v>
      </c>
      <c r="I66" s="3">
        <v>22.129203862312</v>
      </c>
      <c r="J66" s="3">
        <v>17.794563847098399</v>
      </c>
      <c r="K66" s="3">
        <v>14.849826970125999</v>
      </c>
      <c r="L66" s="3">
        <v>16.862680308422199</v>
      </c>
      <c r="M66" s="3">
        <v>16.062891823953802</v>
      </c>
      <c r="N66" s="3">
        <v>11.077142392818899</v>
      </c>
    </row>
    <row r="67" spans="1:14" x14ac:dyDescent="0.35">
      <c r="A67" s="2">
        <v>43775</v>
      </c>
      <c r="B67" s="3">
        <v>28.810842712292601</v>
      </c>
      <c r="C67" s="3">
        <v>17.305811287191901</v>
      </c>
      <c r="D67" s="3">
        <v>14.984070102121899</v>
      </c>
      <c r="E67" s="3">
        <v>15.141385770732199</v>
      </c>
      <c r="F67" s="3">
        <v>14.319978745317</v>
      </c>
      <c r="G67" s="3">
        <v>18.860501832426099</v>
      </c>
      <c r="H67" s="3">
        <v>13.451260922366</v>
      </c>
      <c r="I67" s="3">
        <v>23.264998785334502</v>
      </c>
      <c r="J67" s="3">
        <v>18.562331673630499</v>
      </c>
      <c r="K67" s="3">
        <v>15.9242456709183</v>
      </c>
      <c r="L67" s="3">
        <v>17.786593432295302</v>
      </c>
      <c r="M67" s="3">
        <v>17.030592839047099</v>
      </c>
      <c r="N67" s="3">
        <v>11.9375588833666</v>
      </c>
    </row>
    <row r="68" spans="1:14" x14ac:dyDescent="0.35">
      <c r="A68" s="2">
        <v>43805</v>
      </c>
      <c r="B68" s="3">
        <v>31.129372792527601</v>
      </c>
      <c r="C68" s="3">
        <v>17.518875644749201</v>
      </c>
      <c r="D68" s="3">
        <v>15.1145658772977</v>
      </c>
      <c r="E68" s="3">
        <v>15.2153091437456</v>
      </c>
      <c r="F68" s="3">
        <v>14.9868450768448</v>
      </c>
      <c r="G68" s="3">
        <v>19.115398953779099</v>
      </c>
      <c r="H68" s="3">
        <v>13.4597012469972</v>
      </c>
      <c r="I68" s="3">
        <v>24.2058673638671</v>
      </c>
      <c r="J68" s="3">
        <v>19.164007275623899</v>
      </c>
      <c r="K68" s="3">
        <v>16.070310666764701</v>
      </c>
      <c r="L68" s="3">
        <v>18.327981704203701</v>
      </c>
      <c r="M68" s="3">
        <v>15.9625765155611</v>
      </c>
      <c r="N68" s="3">
        <v>11.878155469769601</v>
      </c>
    </row>
    <row r="69" spans="1:14" x14ac:dyDescent="0.35">
      <c r="A69" s="2">
        <v>43836</v>
      </c>
      <c r="B69" s="3">
        <v>32.644835315937499</v>
      </c>
      <c r="C69" s="3">
        <v>17.815512948356499</v>
      </c>
      <c r="D69" s="3">
        <v>15.290370723476601</v>
      </c>
      <c r="E69" s="3">
        <v>15.350408690051299</v>
      </c>
      <c r="F69" s="3">
        <v>15.088609202064999</v>
      </c>
      <c r="G69" s="3">
        <v>19.6926434079956</v>
      </c>
      <c r="H69" s="3">
        <v>14.1854095814373</v>
      </c>
      <c r="I69" s="3">
        <v>25.7590519661332</v>
      </c>
      <c r="J69" s="3">
        <v>19.9565103845074</v>
      </c>
      <c r="K69" s="3">
        <v>16.557862947556</v>
      </c>
      <c r="L69" s="3">
        <v>18.6694503402951</v>
      </c>
      <c r="M69" s="3">
        <v>16.325006609374299</v>
      </c>
      <c r="N69" s="3">
        <v>12.1428758456743</v>
      </c>
    </row>
    <row r="70" spans="1:14" x14ac:dyDescent="0.35">
      <c r="A70" s="2">
        <v>43867</v>
      </c>
      <c r="B70" s="3">
        <v>32.3545017765437</v>
      </c>
      <c r="C70" s="3">
        <v>18.551174009371401</v>
      </c>
      <c r="D70" s="3">
        <v>15.767876260581</v>
      </c>
      <c r="E70" s="3">
        <v>15.609785887104</v>
      </c>
      <c r="F70" s="3">
        <v>15.5115252506952</v>
      </c>
      <c r="G70" s="3">
        <v>20.060196138856998</v>
      </c>
      <c r="H70" s="3">
        <v>14.029445813922701</v>
      </c>
      <c r="I70" s="3">
        <v>26.7509014263903</v>
      </c>
      <c r="J70" s="3">
        <v>20.354297063478501</v>
      </c>
      <c r="K70" s="3">
        <v>16.5388897255689</v>
      </c>
      <c r="L70" s="3">
        <v>19.795258933229199</v>
      </c>
      <c r="M70" s="3">
        <v>14.1428420065839</v>
      </c>
      <c r="N70" s="3">
        <v>12.7541360297315</v>
      </c>
    </row>
    <row r="71" spans="1:14" x14ac:dyDescent="0.35">
      <c r="A71" s="2">
        <v>43896</v>
      </c>
      <c r="B71" s="3">
        <v>31.083469763067399</v>
      </c>
      <c r="C71" s="3">
        <v>16.871000017415799</v>
      </c>
      <c r="D71" s="3">
        <v>14.385002505835599</v>
      </c>
      <c r="E71" s="3">
        <v>13.9592228334231</v>
      </c>
      <c r="F71" s="3">
        <v>13.915014642931601</v>
      </c>
      <c r="G71" s="3">
        <v>17.9943584392494</v>
      </c>
      <c r="H71" s="3">
        <v>12.317985509904499</v>
      </c>
      <c r="I71" s="3">
        <v>23.803767076290601</v>
      </c>
      <c r="J71" s="3">
        <v>17.917881165958001</v>
      </c>
      <c r="K71" s="3">
        <v>14.5686394170814</v>
      </c>
      <c r="L71" s="3">
        <v>17.2922870556419</v>
      </c>
      <c r="M71" s="3">
        <v>12.861208220584899</v>
      </c>
      <c r="N71" s="3">
        <v>11.251084400653699</v>
      </c>
    </row>
    <row r="72" spans="1:14" x14ac:dyDescent="0.35">
      <c r="A72" s="2">
        <v>43927</v>
      </c>
      <c r="B72" s="3">
        <v>30.5763841942284</v>
      </c>
      <c r="C72" s="3">
        <v>16.553613256387798</v>
      </c>
      <c r="D72" s="3">
        <v>14.3664569348021</v>
      </c>
      <c r="E72" s="3">
        <v>13.9978348208671</v>
      </c>
      <c r="F72" s="3">
        <v>13.736215920776401</v>
      </c>
      <c r="G72" s="3">
        <v>17.903006334201098</v>
      </c>
      <c r="H72" s="3">
        <v>12.457463429966699</v>
      </c>
      <c r="I72" s="3">
        <v>23.760076331943001</v>
      </c>
      <c r="J72" s="3">
        <v>17.908718887808199</v>
      </c>
      <c r="K72" s="3">
        <v>14.5779445196497</v>
      </c>
      <c r="L72" s="3">
        <v>17.027469060649601</v>
      </c>
      <c r="M72" s="3">
        <v>13.229063205362401</v>
      </c>
      <c r="N72" s="3">
        <v>11.2064679292408</v>
      </c>
    </row>
    <row r="73" spans="1:14" x14ac:dyDescent="0.35">
      <c r="A73" s="2">
        <v>43957</v>
      </c>
      <c r="B73" s="3">
        <v>31.680473324721302</v>
      </c>
      <c r="C73" s="3">
        <v>17.274409608379798</v>
      </c>
      <c r="D73" s="3">
        <v>15.816442889799401</v>
      </c>
      <c r="E73" s="3">
        <v>15.042356016042</v>
      </c>
      <c r="F73" s="3">
        <v>14.252544207945199</v>
      </c>
      <c r="G73" s="3">
        <v>18.582788184161</v>
      </c>
      <c r="H73" s="3">
        <v>13.722170285496601</v>
      </c>
      <c r="I73" s="3">
        <v>25.284033820987201</v>
      </c>
      <c r="J73" s="3">
        <v>19.357006261173598</v>
      </c>
      <c r="K73" s="3">
        <v>15.8366032252104</v>
      </c>
      <c r="L73" s="3">
        <v>17.7749830246767</v>
      </c>
      <c r="M73" s="3">
        <v>14.904119509891499</v>
      </c>
      <c r="N73" s="3">
        <v>13.225100169410499</v>
      </c>
    </row>
    <row r="74" spans="1:14" x14ac:dyDescent="0.35">
      <c r="A74" s="2">
        <v>43987</v>
      </c>
      <c r="B74" s="3">
        <v>32.206663878387403</v>
      </c>
      <c r="C74" s="3">
        <v>18.548321752839499</v>
      </c>
      <c r="D74" s="3">
        <v>17.316430547899699</v>
      </c>
      <c r="E74" s="3">
        <v>17.215467938906301</v>
      </c>
      <c r="F74" s="3">
        <v>16.158157403308699</v>
      </c>
      <c r="G74" s="3">
        <v>19.387542534827901</v>
      </c>
      <c r="H74" s="3">
        <v>15.2100237893666</v>
      </c>
      <c r="I74" s="3">
        <v>26.923332133643399</v>
      </c>
      <c r="J74" s="3">
        <v>21.065922252513399</v>
      </c>
      <c r="K74" s="3">
        <v>18.086762649059899</v>
      </c>
      <c r="L74" s="3">
        <v>19.346556679396201</v>
      </c>
      <c r="M74" s="3">
        <v>16.625731638922002</v>
      </c>
      <c r="N74" s="3">
        <v>15.7615297031287</v>
      </c>
    </row>
    <row r="75" spans="1:14" x14ac:dyDescent="0.35">
      <c r="A75" s="2">
        <v>44018</v>
      </c>
      <c r="B75" s="3">
        <v>33.270480569847699</v>
      </c>
      <c r="C75" s="3">
        <v>18.7098216524194</v>
      </c>
      <c r="D75" s="3">
        <v>17.519804476690499</v>
      </c>
      <c r="E75" s="3">
        <v>18.263611096768301</v>
      </c>
      <c r="F75" s="3">
        <v>17.2369246703866</v>
      </c>
      <c r="G75" s="3">
        <v>19.8421179507795</v>
      </c>
      <c r="H75" s="3">
        <v>15.4485191224234</v>
      </c>
      <c r="I75" s="3">
        <v>28.466211475361799</v>
      </c>
      <c r="J75" s="3">
        <v>21.6632516519355</v>
      </c>
      <c r="K75" s="3">
        <v>19.219542129914199</v>
      </c>
      <c r="L75" s="3">
        <v>20.013364982640201</v>
      </c>
      <c r="M75" s="3">
        <v>17.899674859062198</v>
      </c>
      <c r="N75" s="3">
        <v>17.186703973077599</v>
      </c>
    </row>
    <row r="76" spans="1:14" x14ac:dyDescent="0.35">
      <c r="A76" s="2">
        <v>44049</v>
      </c>
      <c r="B76" s="3">
        <v>33.950626723755299</v>
      </c>
      <c r="C76" s="3">
        <v>19.2548368744493</v>
      </c>
      <c r="D76" s="3">
        <v>18.2311835740168</v>
      </c>
      <c r="E76" s="3">
        <v>18.961970649229901</v>
      </c>
      <c r="F76" s="3">
        <v>17.9055013561502</v>
      </c>
      <c r="G76" s="3">
        <v>20.081127515581802</v>
      </c>
      <c r="H76" s="3">
        <v>15.9763194422671</v>
      </c>
      <c r="I76" s="3">
        <v>29.352236125559401</v>
      </c>
      <c r="J76" s="3">
        <v>22.517682795325701</v>
      </c>
      <c r="K76" s="3">
        <v>21.4347843261131</v>
      </c>
      <c r="L76" s="3">
        <v>20.501168846762798</v>
      </c>
      <c r="M76" s="3">
        <v>17.275562491698199</v>
      </c>
      <c r="N76" s="3">
        <v>17.459223550568101</v>
      </c>
    </row>
    <row r="77" spans="1:14" x14ac:dyDescent="0.35">
      <c r="A77" s="2">
        <v>44078</v>
      </c>
      <c r="B77" s="3">
        <v>33.6290782545707</v>
      </c>
      <c r="C77" s="3">
        <v>19.476047306060401</v>
      </c>
      <c r="D77" s="3">
        <v>18.101345600358702</v>
      </c>
      <c r="E77" s="3">
        <v>19.8786602187384</v>
      </c>
      <c r="F77" s="3">
        <v>19.182758740758899</v>
      </c>
      <c r="G77" s="3">
        <v>20.441986961454099</v>
      </c>
      <c r="H77" s="3">
        <v>16.338313497531999</v>
      </c>
      <c r="I77" s="3">
        <v>30.644888305062398</v>
      </c>
      <c r="J77" s="3">
        <v>23.3883618434079</v>
      </c>
      <c r="K77" s="3">
        <v>22.6902141939165</v>
      </c>
      <c r="L77" s="3">
        <v>21.0197924715645</v>
      </c>
      <c r="M77" s="3">
        <v>17.2302053557219</v>
      </c>
      <c r="N77" s="3">
        <v>17.700031294662299</v>
      </c>
    </row>
    <row r="78" spans="1:14" x14ac:dyDescent="0.35">
      <c r="A78" s="2">
        <v>44110</v>
      </c>
      <c r="B78" s="3">
        <v>34.301743543247497</v>
      </c>
      <c r="C78" s="3">
        <v>19.478216698724399</v>
      </c>
      <c r="D78" s="3">
        <v>18.483469386561399</v>
      </c>
      <c r="E78" s="3">
        <v>20.664370126406201</v>
      </c>
      <c r="F78" s="3">
        <v>20.347332637829599</v>
      </c>
      <c r="G78" s="3">
        <v>20.8055984597273</v>
      </c>
      <c r="H78" s="3">
        <v>16.964268687257398</v>
      </c>
      <c r="I78" s="3">
        <v>30.7066891687702</v>
      </c>
      <c r="J78" s="3">
        <v>23.6363655306121</v>
      </c>
      <c r="K78" s="3">
        <v>23.6931211658145</v>
      </c>
      <c r="L78" s="3">
        <v>22.11179854993</v>
      </c>
      <c r="M78" s="3">
        <v>18.2389778984803</v>
      </c>
      <c r="N78" s="3">
        <v>18.485361608256198</v>
      </c>
    </row>
    <row r="79" spans="1:14" x14ac:dyDescent="0.35">
      <c r="A79" s="2">
        <v>44141</v>
      </c>
      <c r="B79" s="3">
        <v>35.830493175272899</v>
      </c>
      <c r="C79" s="3">
        <v>20.5392822982421</v>
      </c>
      <c r="D79" s="3">
        <v>18.5943677610659</v>
      </c>
      <c r="E79" s="3">
        <v>19.562355693555102</v>
      </c>
      <c r="F79" s="3">
        <v>21.0282566865571</v>
      </c>
      <c r="G79" s="3">
        <v>20.954336184684301</v>
      </c>
      <c r="H79" s="3">
        <v>16.6786553170387</v>
      </c>
      <c r="I79" s="3">
        <v>32.283839920760101</v>
      </c>
      <c r="J79" s="3">
        <v>24.291166595727301</v>
      </c>
      <c r="K79" s="3">
        <v>24.652152118960601</v>
      </c>
      <c r="L79" s="3">
        <v>22.9770942906747</v>
      </c>
      <c r="M79" s="3">
        <v>15.884278471440799</v>
      </c>
      <c r="N79" s="3">
        <v>19.4398028753799</v>
      </c>
    </row>
    <row r="80" spans="1:14" x14ac:dyDescent="0.35">
      <c r="A80" s="2">
        <v>44169</v>
      </c>
      <c r="B80" s="3">
        <v>35.8585888067486</v>
      </c>
      <c r="C80" s="3">
        <v>22.732353364668999</v>
      </c>
      <c r="D80" s="3">
        <v>20.0369285715154</v>
      </c>
      <c r="E80" s="3">
        <v>20.903657251799501</v>
      </c>
      <c r="F80" s="3">
        <v>22.463020817650399</v>
      </c>
      <c r="G80" s="3">
        <v>20.965129121294598</v>
      </c>
      <c r="H80" s="3">
        <v>19.3739861459485</v>
      </c>
      <c r="I80" s="3">
        <v>33.909425848716999</v>
      </c>
      <c r="J80" s="3">
        <v>25.902761135002802</v>
      </c>
      <c r="K80" s="3">
        <v>28.382779754220799</v>
      </c>
      <c r="L80" s="3">
        <v>25.989704405346099</v>
      </c>
      <c r="M80" s="3">
        <v>17.112838893058999</v>
      </c>
      <c r="N80" s="3">
        <v>22.390488446890501</v>
      </c>
    </row>
    <row r="81" spans="1:14" x14ac:dyDescent="0.35">
      <c r="A81" s="2">
        <v>44202</v>
      </c>
      <c r="B81" s="3">
        <v>38.646361295616003</v>
      </c>
      <c r="C81" s="3">
        <v>23.114249003742099</v>
      </c>
      <c r="D81" s="3">
        <v>21.089378257216001</v>
      </c>
      <c r="E81" s="3">
        <v>22.165705624609402</v>
      </c>
      <c r="F81" s="3">
        <v>23.264546815159399</v>
      </c>
      <c r="G81" s="3">
        <v>22.055225998724602</v>
      </c>
      <c r="H81" s="3">
        <v>20.611267515434999</v>
      </c>
      <c r="I81" s="3">
        <v>34.418895068023403</v>
      </c>
      <c r="J81" s="3">
        <v>27.253157125754601</v>
      </c>
      <c r="K81" s="3">
        <v>29.067241915466301</v>
      </c>
      <c r="L81" s="3">
        <v>27.453199957346001</v>
      </c>
      <c r="M81" s="3">
        <v>18.073663480108401</v>
      </c>
      <c r="N81" s="3">
        <v>23.8815260138818</v>
      </c>
    </row>
    <row r="82" spans="1:14" x14ac:dyDescent="0.35">
      <c r="A82" s="2">
        <v>44232</v>
      </c>
      <c r="B82" s="3">
        <v>36.486203614397702</v>
      </c>
      <c r="C82" s="3">
        <v>23.1150878054756</v>
      </c>
      <c r="D82" s="3">
        <v>20.9570402441176</v>
      </c>
      <c r="E82" s="3">
        <v>21.465731999715601</v>
      </c>
      <c r="F82" s="3">
        <v>23.6983345600669</v>
      </c>
      <c r="G82" s="3">
        <v>21.201702715562899</v>
      </c>
      <c r="H82" s="3">
        <v>19.2756225642222</v>
      </c>
      <c r="I82" s="3">
        <v>35.1932530871739</v>
      </c>
      <c r="J82" s="3">
        <v>27.191983196244099</v>
      </c>
      <c r="K82" s="3">
        <v>28.0506486050575</v>
      </c>
      <c r="L82" s="3">
        <v>28.5542728264823</v>
      </c>
      <c r="M82" s="3">
        <v>17.8190294693559</v>
      </c>
      <c r="N82" s="3">
        <v>22.036868794031701</v>
      </c>
    </row>
    <row r="83" spans="1:14" x14ac:dyDescent="0.35">
      <c r="A83" s="2">
        <v>44260</v>
      </c>
      <c r="B83" s="3">
        <v>34.3556536883641</v>
      </c>
      <c r="C83" s="3">
        <v>21.722389990913001</v>
      </c>
      <c r="D83" s="3">
        <v>19.927421093189999</v>
      </c>
      <c r="E83" s="3">
        <v>20.208939275794201</v>
      </c>
      <c r="F83" s="3">
        <v>21.5976677243343</v>
      </c>
      <c r="G83" s="3">
        <v>20.417164040446998</v>
      </c>
      <c r="H83" s="3">
        <v>18.749322792101299</v>
      </c>
      <c r="I83" s="3">
        <v>32.744254863975797</v>
      </c>
      <c r="J83" s="3">
        <v>26.216283280056</v>
      </c>
      <c r="K83" s="3">
        <v>26.899678539198199</v>
      </c>
      <c r="L83" s="3">
        <v>28.718257066069</v>
      </c>
      <c r="M83" s="3">
        <v>17.6643862100718</v>
      </c>
      <c r="N83" s="3">
        <v>20.1575238448834</v>
      </c>
    </row>
    <row r="84" spans="1:14" x14ac:dyDescent="0.35">
      <c r="A84" s="2">
        <v>44292</v>
      </c>
      <c r="B84" s="3">
        <v>34.360421949609602</v>
      </c>
      <c r="C84" s="3">
        <v>21.279773575049699</v>
      </c>
      <c r="D84" s="3">
        <v>19.560319080620999</v>
      </c>
      <c r="E84" s="3">
        <v>20.039689223182599</v>
      </c>
      <c r="F84" s="3">
        <v>21.2397593390262</v>
      </c>
      <c r="G84" s="3">
        <v>20.479980423558999</v>
      </c>
      <c r="H84" s="3">
        <v>18.1802612052781</v>
      </c>
      <c r="I84" s="3">
        <v>32.757164907935497</v>
      </c>
      <c r="J84" s="3">
        <v>26.050643028967901</v>
      </c>
      <c r="K84" s="3">
        <v>26.194902723259698</v>
      </c>
      <c r="L84" s="3">
        <v>28.587166315196299</v>
      </c>
      <c r="M84" s="3">
        <v>18.2662530474257</v>
      </c>
      <c r="N84" s="3">
        <v>19.712689803937199</v>
      </c>
    </row>
    <row r="85" spans="1:14" x14ac:dyDescent="0.35">
      <c r="A85" s="2">
        <v>44322</v>
      </c>
      <c r="B85" s="3">
        <v>34.592053152791202</v>
      </c>
      <c r="C85" s="3">
        <v>20.9434761953151</v>
      </c>
      <c r="D85" s="3">
        <v>19.173446754996402</v>
      </c>
      <c r="E85" s="3">
        <v>19.220956300306799</v>
      </c>
      <c r="F85" s="3">
        <v>20.730911054232401</v>
      </c>
      <c r="G85" s="3">
        <v>20.467800058814799</v>
      </c>
      <c r="H85" s="3">
        <v>17.5997777733878</v>
      </c>
      <c r="I85" s="3">
        <v>31.8729286936527</v>
      </c>
      <c r="J85" s="3">
        <v>25.4928444846784</v>
      </c>
      <c r="K85" s="3">
        <v>25.262523323520899</v>
      </c>
      <c r="L85" s="3">
        <v>27.679789687413201</v>
      </c>
      <c r="M85" s="3">
        <v>17.548244900710799</v>
      </c>
      <c r="N85" s="3">
        <v>18.960453612458601</v>
      </c>
    </row>
    <row r="86" spans="1:14" x14ac:dyDescent="0.35">
      <c r="A86" s="2">
        <v>44351</v>
      </c>
      <c r="B86" s="3">
        <v>35.289562056032601</v>
      </c>
      <c r="C86" s="3">
        <v>20.790936398748201</v>
      </c>
      <c r="D86" s="3">
        <v>18.776227756550501</v>
      </c>
      <c r="E86" s="3">
        <v>18.845306490665099</v>
      </c>
      <c r="F86" s="3">
        <v>20.270344713471999</v>
      </c>
      <c r="G86" s="3">
        <v>20.7389530193878</v>
      </c>
      <c r="H86" s="3">
        <v>17.055785228027101</v>
      </c>
      <c r="I86" s="3">
        <v>31.461699048407201</v>
      </c>
      <c r="J86" s="3">
        <v>25.0640225211116</v>
      </c>
      <c r="K86" s="3">
        <v>24.519172669050999</v>
      </c>
      <c r="L86" s="3">
        <v>27.0441752376023</v>
      </c>
      <c r="M86" s="3">
        <v>17.8751874311757</v>
      </c>
      <c r="N86" s="3">
        <v>18.585789715606001</v>
      </c>
    </row>
    <row r="87" spans="1:14" x14ac:dyDescent="0.35">
      <c r="A87" s="2">
        <v>44383</v>
      </c>
      <c r="B87" s="3">
        <v>36.411346979569402</v>
      </c>
      <c r="C87" s="3">
        <v>19.7730626030813</v>
      </c>
      <c r="D87" s="3">
        <v>18.370071125596699</v>
      </c>
      <c r="E87" s="3">
        <v>18.219863606366701</v>
      </c>
      <c r="F87" s="3">
        <v>19.726451877887101</v>
      </c>
      <c r="G87" s="3">
        <v>20.8490328925078</v>
      </c>
      <c r="H87" s="3">
        <v>16.2300225353389</v>
      </c>
      <c r="I87" s="3">
        <v>32.038146754186798</v>
      </c>
      <c r="J87" s="3">
        <v>24.849977979587202</v>
      </c>
      <c r="K87" s="3">
        <v>23.4046570467629</v>
      </c>
      <c r="L87" s="3">
        <v>26.430034848904299</v>
      </c>
      <c r="M87" s="3">
        <v>18.015658921931799</v>
      </c>
      <c r="N87" s="3">
        <v>17.878381220406801</v>
      </c>
    </row>
    <row r="88" spans="1:14" x14ac:dyDescent="0.35">
      <c r="A88" s="2">
        <v>44414</v>
      </c>
      <c r="B88" s="3">
        <v>36.9224877856688</v>
      </c>
      <c r="C88" s="3">
        <v>19.339892017413</v>
      </c>
      <c r="D88" s="3">
        <v>17.717321721098799</v>
      </c>
      <c r="E88" s="3">
        <v>17.451436284659501</v>
      </c>
      <c r="F88" s="3">
        <v>19.004634445979502</v>
      </c>
      <c r="G88" s="3">
        <v>20.972454127413499</v>
      </c>
      <c r="H88" s="3">
        <v>15.3203112436798</v>
      </c>
      <c r="I88" s="3">
        <v>31.3918843537787</v>
      </c>
      <c r="J88" s="3">
        <v>24.138865277312998</v>
      </c>
      <c r="K88" s="3">
        <v>22.1400117971341</v>
      </c>
      <c r="L88" s="3">
        <v>26.296509258261501</v>
      </c>
      <c r="M88" s="3">
        <v>17.554775475627601</v>
      </c>
      <c r="N88" s="3">
        <v>16.410298450608298</v>
      </c>
    </row>
    <row r="89" spans="1:14" x14ac:dyDescent="0.35">
      <c r="A89" s="2">
        <v>44442</v>
      </c>
      <c r="B89" s="3">
        <v>38.526956743896697</v>
      </c>
      <c r="C89" s="3">
        <v>19.129416859843701</v>
      </c>
      <c r="D89" s="3">
        <v>17.2307850610811</v>
      </c>
      <c r="E89" s="3">
        <v>16.838690885760901</v>
      </c>
      <c r="F89" s="3">
        <v>18.677461162714799</v>
      </c>
      <c r="G89" s="3">
        <v>21.117430391872102</v>
      </c>
      <c r="H89" s="3">
        <v>14.735398077043399</v>
      </c>
      <c r="I89" s="3">
        <v>31.801079281760099</v>
      </c>
      <c r="J89" s="3">
        <v>24.008279658627799</v>
      </c>
      <c r="K89" s="3">
        <v>20.965989707165001</v>
      </c>
      <c r="L89" s="3">
        <v>25.910921233497</v>
      </c>
      <c r="M89" s="3">
        <v>17.5730623977127</v>
      </c>
      <c r="N89" s="3">
        <v>15.5697007485226</v>
      </c>
    </row>
    <row r="90" spans="1:14" x14ac:dyDescent="0.35">
      <c r="A90" s="2">
        <v>44475</v>
      </c>
      <c r="B90" s="3">
        <v>38.646741004829003</v>
      </c>
      <c r="C90" s="3">
        <v>18.299841713925701</v>
      </c>
      <c r="D90" s="3">
        <v>16.3797064143527</v>
      </c>
      <c r="E90" s="3">
        <v>15.7044407452253</v>
      </c>
      <c r="F90" s="3">
        <v>17.4536755206511</v>
      </c>
      <c r="G90" s="3">
        <v>19.945307249402301</v>
      </c>
      <c r="H90" s="3">
        <v>13.7416580956071</v>
      </c>
      <c r="I90" s="3">
        <v>30.2777894323665</v>
      </c>
      <c r="J90" s="3">
        <v>22.9990402125385</v>
      </c>
      <c r="K90" s="3">
        <v>19.239270460048399</v>
      </c>
      <c r="L90" s="3">
        <v>23.860076862304499</v>
      </c>
      <c r="M90" s="3">
        <v>16.743985480179099</v>
      </c>
      <c r="N90" s="3">
        <v>14.4840342512079</v>
      </c>
    </row>
    <row r="91" spans="1:14" x14ac:dyDescent="0.35">
      <c r="A91" s="2">
        <v>44505</v>
      </c>
      <c r="B91" s="3">
        <v>39.372523342667698</v>
      </c>
      <c r="C91" s="3">
        <v>18.636976183230701</v>
      </c>
      <c r="D91" s="3">
        <v>16.663784082601001</v>
      </c>
      <c r="E91" s="3">
        <v>15.651709274325899</v>
      </c>
      <c r="F91" s="3">
        <v>17.658124898546099</v>
      </c>
      <c r="G91" s="3">
        <v>20.8484374996188</v>
      </c>
      <c r="H91" s="3">
        <v>13.433582130297699</v>
      </c>
      <c r="I91" s="3">
        <v>32.213712511209998</v>
      </c>
      <c r="J91" s="3">
        <v>23.569741838193199</v>
      </c>
      <c r="K91" s="3">
        <v>18.909624768840398</v>
      </c>
      <c r="L91" s="3">
        <v>24.8817462422519</v>
      </c>
      <c r="M91" s="3">
        <v>16.6909513095076</v>
      </c>
      <c r="N91" s="3">
        <v>14.162422491755899</v>
      </c>
    </row>
    <row r="92" spans="1:14" x14ac:dyDescent="0.35">
      <c r="A92" s="2">
        <v>44536</v>
      </c>
      <c r="B92" s="3">
        <v>38.359871720877599</v>
      </c>
      <c r="C92" s="3">
        <v>17.535741748964199</v>
      </c>
      <c r="D92" s="3">
        <v>15.571029995901901</v>
      </c>
      <c r="E92" s="3">
        <v>14.185453879285699</v>
      </c>
      <c r="F92" s="3">
        <v>16.315390312804599</v>
      </c>
      <c r="G92" s="3">
        <v>20.679651475519201</v>
      </c>
      <c r="H92" s="3">
        <v>12.5495154733579</v>
      </c>
      <c r="I92" s="3">
        <v>31.051757879945999</v>
      </c>
      <c r="J92" s="3">
        <v>22.673716718025599</v>
      </c>
      <c r="K92" s="3">
        <v>17.364790839725199</v>
      </c>
      <c r="L92" s="3">
        <v>22.409518961678501</v>
      </c>
      <c r="M92" s="3">
        <v>16.405011004729499</v>
      </c>
      <c r="N92" s="3">
        <v>12.4356622218491</v>
      </c>
    </row>
    <row r="93" spans="1:14" x14ac:dyDescent="0.35">
      <c r="A93" s="2">
        <v>44567</v>
      </c>
      <c r="B93" s="3">
        <v>39.078210374063801</v>
      </c>
      <c r="C93" s="3">
        <v>17.495379531916601</v>
      </c>
      <c r="D93" s="3">
        <v>15.302979598251</v>
      </c>
      <c r="E93" s="3">
        <v>14.246880827656</v>
      </c>
      <c r="F93" s="3">
        <v>16.137359506659699</v>
      </c>
      <c r="G93" s="3">
        <v>21.3740044170201</v>
      </c>
      <c r="H93" s="3">
        <v>12.4901183031147</v>
      </c>
      <c r="I93" s="3">
        <v>30.767746552422398</v>
      </c>
      <c r="J93" s="3">
        <v>22.857276786330999</v>
      </c>
      <c r="K93" s="3">
        <v>17.330832627850899</v>
      </c>
      <c r="L93" s="3">
        <v>22.271036640532099</v>
      </c>
      <c r="M93" s="3">
        <v>17.030250741064702</v>
      </c>
      <c r="N93" s="3">
        <v>12.2803954001816</v>
      </c>
    </row>
    <row r="94" spans="1:14" x14ac:dyDescent="0.35">
      <c r="A94" s="2">
        <v>44596</v>
      </c>
      <c r="B94" s="3">
        <v>37.155230137164097</v>
      </c>
      <c r="C94" s="3">
        <v>16.039336176834201</v>
      </c>
      <c r="D94" s="3">
        <v>15.405300610655701</v>
      </c>
      <c r="E94" s="3">
        <v>13.2834768294268</v>
      </c>
      <c r="F94" s="3">
        <v>15.252225368943501</v>
      </c>
      <c r="G94" s="3">
        <v>19.727882474386401</v>
      </c>
      <c r="H94" s="3">
        <v>12.655281776077301</v>
      </c>
      <c r="I94" s="3">
        <v>27.800375698807098</v>
      </c>
      <c r="J94" s="3">
        <v>21.5223124904584</v>
      </c>
      <c r="K94" s="3">
        <v>16.202816127199402</v>
      </c>
      <c r="L94" s="3">
        <v>19.916775428640602</v>
      </c>
      <c r="M94" s="3">
        <v>12.2284218628565</v>
      </c>
      <c r="N94" s="3">
        <v>11.715804815000199</v>
      </c>
    </row>
    <row r="95" spans="1:14" x14ac:dyDescent="0.35">
      <c r="A95" s="2">
        <v>44624</v>
      </c>
      <c r="B95" s="3">
        <v>35.319449426687399</v>
      </c>
      <c r="C95" s="3">
        <v>15.704104198327</v>
      </c>
      <c r="D95" s="3">
        <v>15.241983480751999</v>
      </c>
      <c r="E95" s="3">
        <v>12.315213633171901</v>
      </c>
      <c r="F95" s="3">
        <v>14.640345953591501</v>
      </c>
      <c r="G95" s="3">
        <v>18.3281041295579</v>
      </c>
      <c r="H95" s="3">
        <v>12.409122246795199</v>
      </c>
      <c r="I95" s="3">
        <v>26.557727857498399</v>
      </c>
      <c r="J95" s="3">
        <v>20.661460352196201</v>
      </c>
      <c r="K95" s="3">
        <v>15.2349935423945</v>
      </c>
      <c r="L95" s="3">
        <v>18.1190720837917</v>
      </c>
      <c r="M95" s="3">
        <v>11.5184289186643</v>
      </c>
      <c r="N95" s="3">
        <v>10.4791778418614</v>
      </c>
    </row>
    <row r="96" spans="1:14" x14ac:dyDescent="0.35">
      <c r="A96" s="2">
        <v>44657</v>
      </c>
      <c r="B96" s="3">
        <v>34.694064788251701</v>
      </c>
      <c r="C96" s="3">
        <v>15.7584145869165</v>
      </c>
      <c r="D96" s="3">
        <v>14.9933734981675</v>
      </c>
      <c r="E96" s="3">
        <v>12.3820346380522</v>
      </c>
      <c r="F96" s="3">
        <v>14.5424464335337</v>
      </c>
      <c r="G96" s="3">
        <v>18.620817757072</v>
      </c>
      <c r="H96" s="3">
        <v>12.2842271054392</v>
      </c>
      <c r="I96" s="3">
        <v>26.658243584339001</v>
      </c>
      <c r="J96" s="3">
        <v>20.617078364745201</v>
      </c>
      <c r="K96" s="3">
        <v>15.0943418574482</v>
      </c>
      <c r="L96" s="3">
        <v>18.434431320696799</v>
      </c>
      <c r="M96" s="3">
        <v>12.117308599108499</v>
      </c>
      <c r="N96" s="3">
        <v>10.496265003120801</v>
      </c>
    </row>
    <row r="97" spans="1:14" x14ac:dyDescent="0.35">
      <c r="A97" s="2">
        <v>44687</v>
      </c>
      <c r="B97" s="3">
        <v>34.6365272661495</v>
      </c>
      <c r="C97" s="3">
        <v>15.2429036493485</v>
      </c>
      <c r="D97" s="3">
        <v>14.466110151088699</v>
      </c>
      <c r="E97" s="3">
        <v>12.0411509749621</v>
      </c>
      <c r="F97" s="3">
        <v>14.351519376244701</v>
      </c>
      <c r="G97" s="3">
        <v>18.279469454493299</v>
      </c>
      <c r="H97" s="3">
        <v>11.8302776616428</v>
      </c>
      <c r="I97" s="3">
        <v>25.633863666488601</v>
      </c>
      <c r="J97" s="3">
        <v>19.9443096330318</v>
      </c>
      <c r="K97" s="3">
        <v>14.5771023304002</v>
      </c>
      <c r="L97" s="3">
        <v>17.957026046749601</v>
      </c>
      <c r="M97" s="3">
        <v>12.052301213809701</v>
      </c>
      <c r="N97" s="3">
        <v>10.2431907474875</v>
      </c>
    </row>
    <row r="98" spans="1:14" x14ac:dyDescent="0.35">
      <c r="A98" s="2">
        <v>44718</v>
      </c>
      <c r="B98" s="3">
        <v>33.418672187837402</v>
      </c>
      <c r="C98" s="3">
        <v>14.986277408879101</v>
      </c>
      <c r="D98" s="3">
        <v>14.2406374924748</v>
      </c>
      <c r="E98" s="3">
        <v>12.1906136163293</v>
      </c>
      <c r="F98" s="3">
        <v>14.2590588662082</v>
      </c>
      <c r="G98" s="3">
        <v>18.119159917045099</v>
      </c>
      <c r="H98" s="3">
        <v>11.731254072138301</v>
      </c>
      <c r="I98" s="3">
        <v>25.240804520637798</v>
      </c>
      <c r="J98" s="3">
        <v>19.655987588261802</v>
      </c>
      <c r="K98" s="3">
        <v>14.3998759262406</v>
      </c>
      <c r="L98" s="3">
        <v>18.675975844345299</v>
      </c>
      <c r="M98" s="3">
        <v>13.7105894729703</v>
      </c>
      <c r="N98" s="3">
        <v>10.0217413480455</v>
      </c>
    </row>
    <row r="99" spans="1:14" x14ac:dyDescent="0.35">
      <c r="A99" s="2">
        <v>44748</v>
      </c>
      <c r="B99" s="3">
        <v>33.2312410015195</v>
      </c>
      <c r="C99" s="3">
        <v>14.0031032032933</v>
      </c>
      <c r="D99" s="3">
        <v>13.3249258953943</v>
      </c>
      <c r="E99" s="3">
        <v>11.263076854881801</v>
      </c>
      <c r="F99" s="3">
        <v>13.7721129354002</v>
      </c>
      <c r="G99" s="3">
        <v>17.638746646738898</v>
      </c>
      <c r="H99" s="3">
        <v>10.917223528484501</v>
      </c>
      <c r="I99" s="3">
        <v>24.360468552121301</v>
      </c>
      <c r="J99" s="3">
        <v>18.800762517639601</v>
      </c>
      <c r="K99" s="3">
        <v>13.357526028849099</v>
      </c>
      <c r="L99" s="3">
        <v>17.979960218077299</v>
      </c>
      <c r="M99" s="3">
        <v>13.555152564085001</v>
      </c>
      <c r="N99" s="3">
        <v>9.1927310872200305</v>
      </c>
    </row>
    <row r="100" spans="1:14" x14ac:dyDescent="0.35">
      <c r="A100" s="2">
        <v>44778</v>
      </c>
      <c r="B100" s="3">
        <v>33.539052830890697</v>
      </c>
      <c r="C100" s="3">
        <v>14.5158510191603</v>
      </c>
      <c r="D100" s="3">
        <v>13.2356482006498</v>
      </c>
      <c r="E100" s="3">
        <v>11.2822825893904</v>
      </c>
      <c r="F100" s="3">
        <v>13.9287308067608</v>
      </c>
      <c r="G100" s="3">
        <v>18.229397623025701</v>
      </c>
      <c r="H100" s="3">
        <v>10.8441057802161</v>
      </c>
      <c r="I100" s="3">
        <v>25.940074051154301</v>
      </c>
      <c r="J100" s="3">
        <v>19.3686056423827</v>
      </c>
      <c r="K100" s="3">
        <v>13.258076029608301</v>
      </c>
      <c r="L100" s="3">
        <v>19.6490133056496</v>
      </c>
      <c r="M100" s="3">
        <v>14.5614597474848</v>
      </c>
      <c r="N100" s="3">
        <v>8.9263613842417602</v>
      </c>
    </row>
    <row r="101" spans="1:14" x14ac:dyDescent="0.35">
      <c r="A101" s="2">
        <v>44810</v>
      </c>
      <c r="B101" s="3">
        <v>34.1027977879031</v>
      </c>
      <c r="C101" s="3">
        <v>14.0674809850566</v>
      </c>
      <c r="D101" s="3">
        <v>12.654061689112501</v>
      </c>
      <c r="E101" s="3">
        <v>10.7735003609098</v>
      </c>
      <c r="F101" s="3">
        <v>13.615728921969801</v>
      </c>
      <c r="G101" s="3">
        <v>17.7727125063534</v>
      </c>
      <c r="H101" s="3">
        <v>10.2378683753501</v>
      </c>
      <c r="I101" s="3">
        <v>24.333990810985199</v>
      </c>
      <c r="J101" s="3">
        <v>18.456960468579901</v>
      </c>
      <c r="K101" s="3">
        <v>12.408780511864499</v>
      </c>
      <c r="L101" s="3">
        <v>18.343286653335401</v>
      </c>
      <c r="M101" s="3">
        <v>14.457045488136201</v>
      </c>
      <c r="N101" s="3">
        <v>8.3712830267746501</v>
      </c>
    </row>
    <row r="102" spans="1:14" x14ac:dyDescent="0.35">
      <c r="A102" s="2">
        <v>44840</v>
      </c>
      <c r="B102" s="3">
        <v>31.806178605531102</v>
      </c>
      <c r="C102" s="3">
        <v>13.7330225745456</v>
      </c>
      <c r="D102" s="3">
        <v>12.338859836977299</v>
      </c>
      <c r="E102" s="3">
        <v>10.267582032386199</v>
      </c>
      <c r="F102" s="3">
        <v>13.350835719907099</v>
      </c>
      <c r="G102" s="3">
        <v>17.0662262340072</v>
      </c>
      <c r="H102" s="3">
        <v>9.5554110543459991</v>
      </c>
      <c r="I102" s="3">
        <v>23.3711658401755</v>
      </c>
      <c r="J102" s="3">
        <v>17.739514753782501</v>
      </c>
      <c r="K102" s="3">
        <v>11.707368867265799</v>
      </c>
      <c r="L102" s="3">
        <v>17.790246556775301</v>
      </c>
      <c r="M102" s="3">
        <v>14.7468452830022</v>
      </c>
      <c r="N102" s="3">
        <v>8.0590757929283008</v>
      </c>
    </row>
    <row r="103" spans="1:14" x14ac:dyDescent="0.35">
      <c r="A103" s="2">
        <v>44869</v>
      </c>
      <c r="B103" s="3">
        <v>31.270870535386099</v>
      </c>
      <c r="C103" s="3">
        <v>13.520799388873501</v>
      </c>
      <c r="D103" s="3">
        <v>12.425173540975701</v>
      </c>
      <c r="E103" s="3">
        <v>10.572790090502799</v>
      </c>
      <c r="F103" s="3">
        <v>13.1728811602023</v>
      </c>
      <c r="G103" s="3">
        <v>18.6915925518893</v>
      </c>
      <c r="H103" s="3">
        <v>9.6052821907448998</v>
      </c>
      <c r="I103" s="3">
        <v>22.3801722673231</v>
      </c>
      <c r="J103" s="3">
        <v>17.668321751799301</v>
      </c>
      <c r="K103" s="3">
        <v>11.913204572982799</v>
      </c>
      <c r="L103" s="3">
        <v>17.413983272996699</v>
      </c>
      <c r="M103" s="3">
        <v>13.586734259787701</v>
      </c>
      <c r="N103" s="3">
        <v>8.2530279911071105</v>
      </c>
    </row>
    <row r="104" spans="1:14" x14ac:dyDescent="0.35">
      <c r="A104" s="2">
        <v>44901</v>
      </c>
      <c r="B104" s="3">
        <v>29.802850274796</v>
      </c>
      <c r="C104" s="3">
        <v>14.3538989285745</v>
      </c>
      <c r="D104" s="3">
        <v>12.5737448421909</v>
      </c>
      <c r="E104" s="3">
        <v>10.8820635693317</v>
      </c>
      <c r="F104" s="3">
        <v>13.349743093124999</v>
      </c>
      <c r="G104" s="3">
        <v>19.749520412962699</v>
      </c>
      <c r="H104" s="3">
        <v>9.9332370085369703</v>
      </c>
      <c r="I104" s="3">
        <v>23.174491050467399</v>
      </c>
      <c r="J104" s="3">
        <v>18.0439171602644</v>
      </c>
      <c r="K104" s="3">
        <v>12.0667869585885</v>
      </c>
      <c r="L104" s="3">
        <v>18.458886617291999</v>
      </c>
      <c r="M104" s="3">
        <v>14.425969716335199</v>
      </c>
      <c r="N104" s="3">
        <v>7.7373845306772102</v>
      </c>
    </row>
    <row r="105" spans="1:14" x14ac:dyDescent="0.35">
      <c r="A105" s="2">
        <v>44932</v>
      </c>
      <c r="B105" s="3">
        <v>29.508491592752801</v>
      </c>
      <c r="C105" s="3">
        <v>13.983651517112699</v>
      </c>
      <c r="D105" s="3">
        <v>12.2980958276015</v>
      </c>
      <c r="E105" s="3">
        <v>11.015022696028099</v>
      </c>
      <c r="F105" s="3">
        <v>12.6865989266868</v>
      </c>
      <c r="G105" s="3">
        <v>20.908474075986401</v>
      </c>
      <c r="H105" s="3">
        <v>9.9269234088642104</v>
      </c>
      <c r="I105" s="3">
        <v>22.903823386218001</v>
      </c>
      <c r="J105" s="3">
        <v>17.676845164833502</v>
      </c>
      <c r="K105" s="3">
        <v>12.160347648394101</v>
      </c>
      <c r="L105" s="3">
        <v>18.719337206712101</v>
      </c>
      <c r="M105" s="3">
        <v>16.055004125025999</v>
      </c>
      <c r="N105" s="3">
        <v>7.8217387084720196</v>
      </c>
    </row>
    <row r="106" spans="1:14" x14ac:dyDescent="0.35">
      <c r="A106" s="2">
        <v>44963</v>
      </c>
      <c r="B106" s="3">
        <v>30.161819267760599</v>
      </c>
      <c r="C106" s="3">
        <v>14.803528084814699</v>
      </c>
      <c r="D106" s="3">
        <v>12.831707274489499</v>
      </c>
      <c r="E106" s="3">
        <v>11.6541502702578</v>
      </c>
      <c r="F106" s="3">
        <v>13.4561355136541</v>
      </c>
      <c r="G106" s="3">
        <v>20.6396976815372</v>
      </c>
      <c r="H106" s="3">
        <v>9.9545317761356902</v>
      </c>
      <c r="I106" s="3">
        <v>26.002379794737799</v>
      </c>
      <c r="J106" s="3">
        <v>18.690442986564999</v>
      </c>
      <c r="K106" s="3">
        <v>12.894377142204799</v>
      </c>
      <c r="L106" s="3">
        <v>19.509566284483299</v>
      </c>
      <c r="M106" s="3">
        <v>26.729706193101901</v>
      </c>
      <c r="N106" s="3">
        <v>8.1756417265306407</v>
      </c>
    </row>
    <row r="107" spans="1:14" x14ac:dyDescent="0.35">
      <c r="A107" s="2">
        <v>44991</v>
      </c>
      <c r="B107" s="3">
        <v>29.441019947428099</v>
      </c>
      <c r="C107" s="3">
        <v>14.290198307983299</v>
      </c>
      <c r="D107" s="3">
        <v>12.624092905700699</v>
      </c>
      <c r="E107" s="3">
        <v>11.388428848549101</v>
      </c>
      <c r="F107" s="3">
        <v>13.711374198413701</v>
      </c>
      <c r="G107" s="3">
        <v>20.6485893000803</v>
      </c>
      <c r="H107" s="3">
        <v>10.265591002364999</v>
      </c>
      <c r="I107" s="3">
        <v>25.305934551048601</v>
      </c>
      <c r="J107" s="3">
        <v>18.1120250452954</v>
      </c>
      <c r="K107" s="3">
        <v>12.9458218354754</v>
      </c>
      <c r="L107" s="3">
        <v>20.618924768691699</v>
      </c>
      <c r="M107" s="3">
        <v>25.4890955266854</v>
      </c>
      <c r="N107" s="3">
        <v>8.3312315013303895</v>
      </c>
    </row>
    <row r="108" spans="1:14" x14ac:dyDescent="0.35">
      <c r="A108" s="2">
        <v>45022</v>
      </c>
      <c r="B108" s="3">
        <v>28.837797975814201</v>
      </c>
      <c r="C108" s="3">
        <v>14.2678494278165</v>
      </c>
      <c r="D108" s="3">
        <v>12.6559109153111</v>
      </c>
      <c r="E108" s="3">
        <v>11.369298564557599</v>
      </c>
      <c r="F108" s="3">
        <v>13.582596846110199</v>
      </c>
      <c r="G108" s="3">
        <v>20.423698598563799</v>
      </c>
      <c r="H108" s="3">
        <v>10.324024058473499</v>
      </c>
      <c r="I108" s="3">
        <v>25.638605228368899</v>
      </c>
      <c r="J108" s="3">
        <v>18.230869417657299</v>
      </c>
      <c r="K108" s="3">
        <v>13.030188673824901</v>
      </c>
      <c r="L108" s="3">
        <v>20.2336526473783</v>
      </c>
      <c r="M108" s="3">
        <v>24.1311364131465</v>
      </c>
      <c r="N108" s="3">
        <v>8.3333126965668907</v>
      </c>
    </row>
    <row r="109" spans="1:14" x14ac:dyDescent="0.35">
      <c r="A109" s="2">
        <v>45051</v>
      </c>
      <c r="B109" s="3">
        <v>28.356233551294501</v>
      </c>
      <c r="C109" s="3">
        <v>14.322312230491701</v>
      </c>
      <c r="D109" s="3">
        <v>12.8065103851918</v>
      </c>
      <c r="E109" s="3">
        <v>11.3842359903944</v>
      </c>
      <c r="F109" s="3">
        <v>13.816590063767</v>
      </c>
      <c r="G109" s="3">
        <v>20.29931360474</v>
      </c>
      <c r="H109" s="3">
        <v>10.387236194727199</v>
      </c>
      <c r="I109" s="3">
        <v>25.682681749851699</v>
      </c>
      <c r="J109" s="3">
        <v>18.299084422902801</v>
      </c>
      <c r="K109" s="3">
        <v>13.197383524367799</v>
      </c>
      <c r="L109" s="3">
        <v>19.776093803076598</v>
      </c>
      <c r="M109" s="3">
        <v>23.118784767883302</v>
      </c>
      <c r="N109" s="3">
        <v>8.3490917383898804</v>
      </c>
    </row>
    <row r="110" spans="1:14" x14ac:dyDescent="0.35">
      <c r="A110" s="2">
        <v>45083</v>
      </c>
      <c r="B110" s="3">
        <v>26.7278783306399</v>
      </c>
      <c r="C110" s="3">
        <v>14.314216106287899</v>
      </c>
      <c r="D110" s="3">
        <v>12.915783082891</v>
      </c>
      <c r="E110" s="3">
        <v>11.249917869594199</v>
      </c>
      <c r="F110" s="3">
        <v>14.340867865182499</v>
      </c>
      <c r="G110" s="3">
        <v>19.635419968345602</v>
      </c>
      <c r="H110" s="3">
        <v>10.309267446148001</v>
      </c>
      <c r="I110" s="3">
        <v>26.6116017362477</v>
      </c>
      <c r="J110" s="3">
        <v>18.6246880427449</v>
      </c>
      <c r="K110" s="3">
        <v>13.0826339231839</v>
      </c>
      <c r="L110" s="3">
        <v>19.355862829439701</v>
      </c>
      <c r="M110" s="3">
        <v>21.843630910804698</v>
      </c>
      <c r="N110" s="3">
        <v>8.4272216588599793</v>
      </c>
    </row>
    <row r="111" spans="1:14" x14ac:dyDescent="0.35">
      <c r="A111" s="2">
        <v>45113</v>
      </c>
      <c r="B111" s="3">
        <v>26.0052245725822</v>
      </c>
      <c r="C111" s="3">
        <v>14.572368483959099</v>
      </c>
      <c r="D111" s="3">
        <v>12.9347334625336</v>
      </c>
      <c r="E111" s="3">
        <v>11.072085762222899</v>
      </c>
      <c r="F111" s="3">
        <v>14.574332433823599</v>
      </c>
      <c r="G111" s="3">
        <v>19.0157891765332</v>
      </c>
      <c r="H111" s="3">
        <v>10.192736196355</v>
      </c>
      <c r="I111" s="3">
        <v>27.251007169475301</v>
      </c>
      <c r="J111" s="3">
        <v>19.0923942956933</v>
      </c>
      <c r="K111" s="3">
        <v>12.9968909179784</v>
      </c>
      <c r="L111" s="3">
        <v>18.987409968376902</v>
      </c>
      <c r="M111" s="3">
        <v>20.453496235905501</v>
      </c>
      <c r="N111" s="3">
        <v>8.4894205558140907</v>
      </c>
    </row>
    <row r="112" spans="1:14" x14ac:dyDescent="0.35">
      <c r="A112" s="2">
        <v>45142</v>
      </c>
      <c r="B112" s="3">
        <v>25.197104982112499</v>
      </c>
      <c r="C112" s="3">
        <v>14.978178529504</v>
      </c>
      <c r="D112" s="3">
        <v>13.4132407090427</v>
      </c>
      <c r="E112" s="3">
        <v>11.213051958937999</v>
      </c>
      <c r="F112" s="3">
        <v>14.5572458564325</v>
      </c>
      <c r="G112" s="3">
        <v>19.026707107467399</v>
      </c>
      <c r="H112" s="3">
        <v>10.5596032663597</v>
      </c>
      <c r="I112" s="3">
        <v>26.555926557871601</v>
      </c>
      <c r="J112" s="3">
        <v>19.378638345782999</v>
      </c>
      <c r="K112" s="3">
        <v>13.291136544959601</v>
      </c>
      <c r="L112" s="3">
        <v>18.727212453094602</v>
      </c>
      <c r="M112" s="3">
        <v>19.238530076757399</v>
      </c>
      <c r="N112" s="3">
        <v>8.3045536066359507</v>
      </c>
    </row>
    <row r="113" spans="1:25" x14ac:dyDescent="0.35">
      <c r="A113" s="2">
        <v>45175</v>
      </c>
      <c r="B113" s="3">
        <v>24.4162600875765</v>
      </c>
      <c r="C113" s="3">
        <v>15.080724459153799</v>
      </c>
      <c r="D113" s="3">
        <v>13.5314900322209</v>
      </c>
      <c r="E113" s="3">
        <v>11.208443858540599</v>
      </c>
      <c r="F113" s="3">
        <v>15.072150743550001</v>
      </c>
      <c r="G113" s="3">
        <v>18.651199703774601</v>
      </c>
      <c r="H113" s="3">
        <v>10.4447091398512</v>
      </c>
      <c r="I113" s="3">
        <v>26.663577181795599</v>
      </c>
      <c r="J113" s="3">
        <v>19.462419678592902</v>
      </c>
      <c r="K113" s="3">
        <v>13.129369036042</v>
      </c>
      <c r="L113" s="3">
        <v>17.700159815535098</v>
      </c>
      <c r="M113" s="3">
        <v>17.8335075563431</v>
      </c>
      <c r="N113" s="3">
        <v>8.3007740605483509</v>
      </c>
    </row>
    <row r="114" spans="1:25" x14ac:dyDescent="0.35">
      <c r="A114" s="2">
        <v>45205</v>
      </c>
      <c r="B114" s="3">
        <v>23.596218567482499</v>
      </c>
      <c r="C114" s="3">
        <v>14.536618052015999</v>
      </c>
      <c r="D114" s="3">
        <v>13.1010499211487</v>
      </c>
      <c r="E114" s="3">
        <v>10.969847519742499</v>
      </c>
      <c r="F114" s="3">
        <v>14.507796929322501</v>
      </c>
      <c r="G114" s="3">
        <v>18.1957141892598</v>
      </c>
      <c r="H114" s="3">
        <v>10.452847390500899</v>
      </c>
      <c r="I114" s="3">
        <v>26.3215665712546</v>
      </c>
      <c r="J114" s="3">
        <v>19.160486996621898</v>
      </c>
      <c r="K114" s="3">
        <v>12.881488799939699</v>
      </c>
      <c r="L114" s="3">
        <v>16.548042400986201</v>
      </c>
      <c r="M114" s="3">
        <v>16.4254357739133</v>
      </c>
      <c r="N114" s="3">
        <v>8.1199292046317098</v>
      </c>
    </row>
    <row r="115" spans="1:25" x14ac:dyDescent="0.35">
      <c r="A115" s="2">
        <v>45236</v>
      </c>
      <c r="B115" s="3">
        <v>23.044514936327101</v>
      </c>
      <c r="C115" s="3">
        <v>14.944381115908801</v>
      </c>
      <c r="D115" s="3">
        <v>13.4430278479131</v>
      </c>
      <c r="E115" s="3">
        <v>10.871712735323699</v>
      </c>
      <c r="F115" s="3">
        <v>15.0804946616839</v>
      </c>
      <c r="G115" s="3">
        <v>17.726885028144501</v>
      </c>
      <c r="H115" s="3">
        <v>10.5462910420722</v>
      </c>
      <c r="I115" s="3">
        <v>26.447531664458399</v>
      </c>
      <c r="J115" s="3">
        <v>19.536466200989899</v>
      </c>
      <c r="K115" s="3">
        <v>12.833558727088899</v>
      </c>
      <c r="L115" s="3">
        <v>16.0818949932615</v>
      </c>
      <c r="M115" s="3">
        <v>15.7903817656554</v>
      </c>
      <c r="N115" s="3">
        <v>8.1800951195746201</v>
      </c>
    </row>
    <row r="116" spans="1:25" x14ac:dyDescent="0.35">
      <c r="A116" s="2">
        <v>45266</v>
      </c>
      <c r="B116" s="3">
        <v>23.4587318027964</v>
      </c>
      <c r="C116" s="3">
        <v>15.362381487190699</v>
      </c>
      <c r="D116" s="3">
        <v>13.918848648774199</v>
      </c>
      <c r="E116" s="3">
        <v>11.865050264023701</v>
      </c>
      <c r="F116" s="3">
        <v>15.2660242151196</v>
      </c>
      <c r="G116" s="3">
        <v>18.120505693279199</v>
      </c>
      <c r="H116" s="3">
        <v>10.8973761362424</v>
      </c>
      <c r="I116" s="3">
        <v>27.419501742003501</v>
      </c>
      <c r="J116" s="3">
        <v>20.424993585055802</v>
      </c>
      <c r="K116" s="3">
        <v>13.6954232795926</v>
      </c>
      <c r="L116" s="3">
        <v>16.496317021079399</v>
      </c>
      <c r="M116" s="3">
        <v>17.740753473459101</v>
      </c>
      <c r="N116" s="3">
        <v>8.7550908759369896</v>
      </c>
    </row>
    <row r="117" spans="1:25" x14ac:dyDescent="0.35">
      <c r="A117" s="2">
        <v>45296</v>
      </c>
      <c r="B117" s="3">
        <v>23.882163073788</v>
      </c>
      <c r="C117" s="3">
        <v>16.295501836813401</v>
      </c>
      <c r="D117" s="3">
        <v>14.5970817609926</v>
      </c>
      <c r="E117" s="3">
        <v>11.8153198488426</v>
      </c>
      <c r="F117" s="3">
        <v>15.448581133550199</v>
      </c>
      <c r="G117" s="3">
        <v>18.411236104103399</v>
      </c>
      <c r="H117" s="3">
        <v>11.3248592426337</v>
      </c>
      <c r="I117" s="3">
        <v>28.2226101616818</v>
      </c>
      <c r="J117" s="3">
        <v>21.398532095161901</v>
      </c>
      <c r="K117" s="3">
        <v>13.872862449973701</v>
      </c>
      <c r="L117" s="3">
        <v>16.213114343205199</v>
      </c>
      <c r="M117" s="3">
        <v>17.280505074645301</v>
      </c>
      <c r="N117" s="3">
        <v>8.9335681737664796</v>
      </c>
    </row>
    <row r="118" spans="1:25" x14ac:dyDescent="0.35">
      <c r="A118" s="2">
        <v>45328</v>
      </c>
      <c r="B118" s="3">
        <v>23.615334567312701</v>
      </c>
      <c r="C118" s="3">
        <v>16.354256366045799</v>
      </c>
      <c r="D118" s="3">
        <v>14.5832786673845</v>
      </c>
      <c r="E118" s="3">
        <v>12.1188360424438</v>
      </c>
      <c r="F118" s="3">
        <v>16.343640129151201</v>
      </c>
      <c r="G118" s="3">
        <v>18.971544527019301</v>
      </c>
      <c r="H118" s="3">
        <v>11.329501556372101</v>
      </c>
      <c r="I118" s="3">
        <v>29.833679119154102</v>
      </c>
      <c r="J118" s="3">
        <v>22.328595766243399</v>
      </c>
      <c r="K118" s="3">
        <v>14.4530538096979</v>
      </c>
      <c r="L118" s="3">
        <v>17.601256637272101</v>
      </c>
      <c r="M118" s="3">
        <v>15.0618962502986</v>
      </c>
      <c r="N118" s="3">
        <v>9.1046884614062602</v>
      </c>
    </row>
    <row r="119" spans="1:25" x14ac:dyDescent="0.35">
      <c r="A119" s="2">
        <v>45357</v>
      </c>
      <c r="B119" s="3">
        <v>23.748886157088101</v>
      </c>
      <c r="C119" s="3">
        <v>16.624265846808701</v>
      </c>
      <c r="D119" s="3">
        <v>14.8908215466196</v>
      </c>
      <c r="E119" s="3">
        <v>12.5096293457188</v>
      </c>
      <c r="F119" s="3">
        <v>17.085385464927601</v>
      </c>
      <c r="G119" s="3">
        <v>19.188406892374498</v>
      </c>
      <c r="H119" s="3">
        <v>11.4520065474377</v>
      </c>
      <c r="I119" s="3">
        <v>30.2413619528499</v>
      </c>
      <c r="J119" s="3">
        <v>22.7424166088589</v>
      </c>
      <c r="K119" s="3">
        <v>15.4845681650519</v>
      </c>
      <c r="L119" s="3">
        <v>18.499358604173999</v>
      </c>
      <c r="M119" s="3">
        <v>15.821648806246801</v>
      </c>
      <c r="N119" s="3">
        <v>9.3817594769028698</v>
      </c>
    </row>
    <row r="120" spans="1:25" x14ac:dyDescent="0.35">
      <c r="A120" s="2">
        <v>45387</v>
      </c>
      <c r="B120" s="3">
        <v>24.074746218214599</v>
      </c>
      <c r="C120" s="3">
        <v>16.649007482853701</v>
      </c>
      <c r="D120" s="3">
        <v>14.983380659099801</v>
      </c>
      <c r="E120" s="3">
        <v>12.5574666945581</v>
      </c>
      <c r="F120" s="3">
        <v>16.897983992052801</v>
      </c>
      <c r="G120" s="3">
        <v>19.035512328469899</v>
      </c>
      <c r="H120" s="3">
        <v>11.5317973540742</v>
      </c>
      <c r="I120" s="3">
        <v>29.942084187796802</v>
      </c>
      <c r="J120" s="3">
        <v>22.675799291757102</v>
      </c>
      <c r="K120" s="3">
        <v>15.461963259285501</v>
      </c>
      <c r="L120" s="3">
        <v>18.402382243328699</v>
      </c>
      <c r="M120" s="3">
        <v>15.9011144358011</v>
      </c>
      <c r="N120" s="3">
        <v>9.4365163112535804</v>
      </c>
    </row>
    <row r="121" spans="1:25" x14ac:dyDescent="0.35">
      <c r="A121" s="2">
        <v>45418</v>
      </c>
      <c r="B121" s="3">
        <v>24.408644106706099</v>
      </c>
      <c r="C121" s="3">
        <v>16.664388998237499</v>
      </c>
      <c r="D121" s="3">
        <v>14.969294828232901</v>
      </c>
      <c r="E121" s="3">
        <v>12.5440877216439</v>
      </c>
      <c r="F121" s="3">
        <v>16.7958867944653</v>
      </c>
      <c r="G121" s="3">
        <v>18.765677726204402</v>
      </c>
      <c r="H121" s="3">
        <v>11.637159170307999</v>
      </c>
      <c r="I121" s="3">
        <v>29.613077299395901</v>
      </c>
      <c r="J121" s="3">
        <v>22.479075834694601</v>
      </c>
      <c r="K121" s="3">
        <v>15.402855493473099</v>
      </c>
      <c r="L121" s="3">
        <v>18.1765488042054</v>
      </c>
      <c r="M121" s="3">
        <v>15.945854368339299</v>
      </c>
      <c r="N121" s="3">
        <v>9.5018793440597396</v>
      </c>
    </row>
    <row r="122" spans="1:25" x14ac:dyDescent="0.35">
      <c r="A122" s="2">
        <v>45446</v>
      </c>
      <c r="B122" s="3">
        <v>24.261313239953701</v>
      </c>
      <c r="C122" s="3">
        <v>16.734570760251199</v>
      </c>
      <c r="D122" s="3">
        <v>14.857812515491901</v>
      </c>
      <c r="E122" s="3">
        <v>12.563596190163199</v>
      </c>
      <c r="F122" s="3">
        <v>16.878602013260199</v>
      </c>
      <c r="G122" s="3">
        <v>18.868492272210599</v>
      </c>
      <c r="H122" s="3">
        <v>11.707626330619499</v>
      </c>
      <c r="I122" s="3">
        <v>29.812559638543402</v>
      </c>
      <c r="J122" s="3">
        <v>22.497506313766301</v>
      </c>
      <c r="K122" s="3">
        <v>15.3683036131142</v>
      </c>
      <c r="L122" s="3">
        <v>18.2861294103249</v>
      </c>
      <c r="M122" s="3">
        <v>16.105952883294201</v>
      </c>
      <c r="N122" s="3">
        <v>9.5679749626213493</v>
      </c>
    </row>
    <row r="124" spans="1:25" x14ac:dyDescent="0.35">
      <c r="A124" s="2" t="s">
        <v>91</v>
      </c>
      <c r="B124" s="3" cm="1">
        <f t="array" ref="B124">MIN(_xlfn._xlws.FILTER(B1:B122, ISNUMBER(B1:B122)))</f>
        <v>17.8742958519226</v>
      </c>
      <c r="C124" s="3" cm="1">
        <f t="array" ref="C124">MIN(_xlfn._xlws.FILTER(C1:C122, ISNUMBER(C1:C122)))</f>
        <v>13.520799388873501</v>
      </c>
      <c r="D124" s="3" cm="1">
        <f t="array" ref="D124">MIN(_xlfn._xlws.FILTER(D1:D122, ISNUMBER(D1:D122)))</f>
        <v>12.2980958276015</v>
      </c>
      <c r="E124" s="3" cm="1">
        <f t="array" ref="E124">MIN(_xlfn._xlws.FILTER(E1:E122, ISNUMBER(E1:E122)))</f>
        <v>10.267582032386199</v>
      </c>
      <c r="F124" s="3" cm="1">
        <f t="array" ref="F124">MIN(_xlfn._xlws.FILTER(F1:F122, ISNUMBER(F1:F122)))</f>
        <v>11.291793147776801</v>
      </c>
      <c r="G124" s="3" cm="1">
        <f t="array" ref="G124">MIN(_xlfn._xlws.FILTER(G1:G122, ISNUMBER(G1:G122)))</f>
        <v>16.4991314313888</v>
      </c>
      <c r="H124" s="3" cm="1">
        <f t="array" ref="H124">MIN(_xlfn._xlws.FILTER(H1:H122, ISNUMBER(H1:H122)))</f>
        <v>9.5554110543459991</v>
      </c>
      <c r="I124" s="3" cm="1">
        <f t="array" ref="I124">MIN(_xlfn._xlws.FILTER(I1:I122, ISNUMBER(I1:I122)))</f>
        <v>17.639035608338698</v>
      </c>
      <c r="J124" s="3" cm="1">
        <f t="array" ref="J124">MIN(_xlfn._xlws.FILTER(J1:J122, ISNUMBER(J1:J122)))</f>
        <v>15.661848882611499</v>
      </c>
      <c r="K124" s="3" cm="1">
        <f t="array" ref="K124">MIN(_xlfn._xlws.FILTER(K1:K122, ISNUMBER(K1:K122)))</f>
        <v>11.707368867265799</v>
      </c>
      <c r="L124" s="3" cm="1">
        <f t="array" ref="L124">MIN(_xlfn._xlws.FILTER(L1:L122, ISNUMBER(L1:L122)))</f>
        <v>14.3128616096014</v>
      </c>
      <c r="M124" s="3" cm="1">
        <f t="array" ref="M124">MIN(_xlfn._xlws.FILTER(M1:M122, ISNUMBER(M1:M122)))</f>
        <v>11.5184289186643</v>
      </c>
      <c r="N124" s="3" cm="1">
        <f t="array" ref="N124">MIN(_xlfn._xlws.FILTER(N1:N122, ISNUMBER(N1:N122)))</f>
        <v>7.7373845306772102</v>
      </c>
    </row>
    <row r="125" spans="1:25" x14ac:dyDescent="0.35">
      <c r="A125" s="2" t="s">
        <v>92</v>
      </c>
      <c r="B125" s="3" cm="1">
        <f t="array" ref="B125">MAX(_xlfn._xlws.FILTER(B1:B122, ISNUMBER(B1:B122)))</f>
        <v>39.372523342667698</v>
      </c>
      <c r="C125" s="3" cm="1">
        <f t="array" ref="C125">MAX(_xlfn._xlws.FILTER(C1:C122, ISNUMBER(C1:C122)))</f>
        <v>23.1150878054756</v>
      </c>
      <c r="D125" s="3" cm="1">
        <f t="array" ref="D125">MAX(_xlfn._xlws.FILTER(D1:D122, ISNUMBER(D1:D122)))</f>
        <v>21.089378257216001</v>
      </c>
      <c r="E125" s="3" cm="1">
        <f t="array" ref="E125">MAX(_xlfn._xlws.FILTER(E1:E122, ISNUMBER(E1:E122)))</f>
        <v>22.165705624609402</v>
      </c>
      <c r="F125" s="3" cm="1">
        <f t="array" ref="F125">MAX(_xlfn._xlws.FILTER(F1:F122, ISNUMBER(F1:F122)))</f>
        <v>23.6983345600669</v>
      </c>
      <c r="G125" s="3" cm="1">
        <f t="array" ref="G125">MAX(_xlfn._xlws.FILTER(G1:G122, ISNUMBER(G1:G122)))</f>
        <v>22.055225998724602</v>
      </c>
      <c r="H125" s="3" cm="1">
        <f t="array" ref="H125">MAX(_xlfn._xlws.FILTER(H1:H122, ISNUMBER(H1:H122)))</f>
        <v>20.611267515434999</v>
      </c>
      <c r="I125" s="3" cm="1">
        <f t="array" ref="I125">MAX(_xlfn._xlws.FILTER(I1:I122, ISNUMBER(I1:I122)))</f>
        <v>35.1932530871739</v>
      </c>
      <c r="J125" s="3" cm="1">
        <f t="array" ref="J125">MAX(_xlfn._xlws.FILTER(J1:J122, ISNUMBER(J1:J122)))</f>
        <v>27.253157125754601</v>
      </c>
      <c r="K125" s="3" cm="1">
        <f t="array" ref="K125">MAX(_xlfn._xlws.FILTER(K1:K122, ISNUMBER(K1:K122)))</f>
        <v>29.067241915466301</v>
      </c>
      <c r="L125" s="3" cm="1">
        <f t="array" ref="L125">MAX(_xlfn._xlws.FILTER(L1:L122, ISNUMBER(L1:L122)))</f>
        <v>28.718257066069</v>
      </c>
      <c r="M125" s="3" cm="1">
        <f t="array" ref="M125">MAX(_xlfn._xlws.FILTER(M1:M122, ISNUMBER(M1:M122)))</f>
        <v>26.729706193101901</v>
      </c>
      <c r="N125" s="3" cm="1">
        <f t="array" ref="N125">MAX(_xlfn._xlws.FILTER(N1:N122, ISNUMBER(N1:N122)))</f>
        <v>84.622844268508203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0.57299999999999995</v>
      </c>
      <c r="C127" s="9" cm="1">
        <f t="array" ref="C127">_xlfn.PERCENTRANK.EXC(_xlfn._xlws.FILTER(C1:C122, ISNUMBER(C1:C122)),C121)</f>
        <v>0.67200000000000004</v>
      </c>
      <c r="D127" s="9" cm="1">
        <f t="array" ref="D127">_xlfn.PERCENTRANK.EXC(_xlfn._xlws.FILTER(D1:D122, ISNUMBER(D1:D122)),D121)</f>
        <v>0.31900000000000001</v>
      </c>
      <c r="E127" s="9" cm="1">
        <f t="array" ref="E127">_xlfn.PERCENTRANK.EXC(_xlfn._xlws.FILTER(E1:E122, ISNUMBER(E1:E122)),E121)</f>
        <v>0.245</v>
      </c>
      <c r="F127" s="9" cm="1">
        <f t="array" ref="F127">_xlfn.PERCENTRANK.EXC(_xlfn._xlws.FILTER(F1:F122, ISNUMBER(F1:F122)),F121)</f>
        <v>0.77800000000000002</v>
      </c>
      <c r="G127" s="9" cm="1">
        <f t="array" ref="G127">_xlfn.PERCENTRANK.EXC(_xlfn._xlws.FILTER(G1:G122, ISNUMBER(G1:G122)),G121)</f>
        <v>0.53200000000000003</v>
      </c>
      <c r="H127" s="9" cm="1">
        <f t="array" ref="H127">_xlfn.PERCENTRANK.EXC(_xlfn._xlws.FILTER(H1:H122, ISNUMBER(H1:H122)),H121)</f>
        <v>0.188</v>
      </c>
      <c r="I127" s="9" cm="1">
        <f t="array" ref="I127">_xlfn.PERCENTRANK.EXC(_xlfn._xlws.FILTER(I1:I122, ISNUMBER(I1:I122)),I121)</f>
        <v>0.81899999999999995</v>
      </c>
      <c r="J127" s="9" cm="1">
        <f t="array" ref="J127">_xlfn.PERCENTRANK.EXC(_xlfn._xlws.FILTER(J1:J122, ISNUMBER(J1:J122)),J121)</f>
        <v>0.81899999999999995</v>
      </c>
      <c r="K127" s="9" cm="1">
        <f t="array" ref="K127">_xlfn.PERCENTRANK.EXC(_xlfn._xlws.FILTER(K1:K122, ISNUMBER(K1:K122)),K121)</f>
        <v>0.49099999999999999</v>
      </c>
      <c r="L127" s="9" cm="1">
        <f t="array" ref="L127">_xlfn.PERCENTRANK.EXC(_xlfn._xlws.FILTER(L1:L122, ISNUMBER(L1:L122)),L121)</f>
        <v>0.60599999999999998</v>
      </c>
      <c r="M127" s="9" cm="1">
        <f t="array" ref="M127">_xlfn.PERCENTRANK.EXC(_xlfn._xlws.FILTER(M1:M122, ISNUMBER(M1:M122)),M121)</f>
        <v>0.29499999999999998</v>
      </c>
      <c r="N127" s="9" cm="1">
        <f t="array" ref="N127">_xlfn.PERCENTRANK.EXC(_xlfn._xlws.FILTER(N1:N122, ISNUMBER(N1:N122)),N121)</f>
        <v>0.188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41796</v>
      </c>
      <c r="B2" s="3" cm="1">
        <f t="array" ref="B2:B122">_xll.FDS(B1,"FMA_PE(NTMA,-10AY,0,AM,""PORTAGG"",""MEANR"")")</f>
        <v>17.200291300218499</v>
      </c>
      <c r="C2" s="3" cm="1">
        <f t="array" ref="C2:C122">_xll.FDS(C1,"FMA_PE(NTMA,-10AY,0,AM,""PORTAGG"",""MEANR"")")</f>
        <v>14.2627121233112</v>
      </c>
      <c r="D2" s="3" cm="1">
        <f t="array" ref="D2:D122">_xll.FDS(D1,"FMA_PE(NTMA,-10AY,0,AM,""PORTAGG"",""MEANR"")")</f>
        <v>14.802760536770901</v>
      </c>
      <c r="E2" s="3" cm="1">
        <f t="array" ref="E2:E122">_xll.FDS(E1,"FMA_PE(NTMA,-10AY,0,AM,""PORTAGG"",""MEANR"")")</f>
        <v>13.386939881103601</v>
      </c>
      <c r="F2" s="3" cm="1">
        <f t="array" ref="F2:F122">_xll.FDS(F1,"FMA_PE(NTMA,-10AY,0,AM,""PORTAGG"",""MEANR"")")</f>
        <v>13.581976027703</v>
      </c>
      <c r="G2" s="3" cm="1">
        <f t="array" ref="G2:G122">_xll.FDS(G1,"FMA_PE(NTMA,-10AY,0,AM,""PORTAGG"",""MEANR"")")</f>
        <v>16.3383987184734</v>
      </c>
      <c r="H2" s="3" cm="1">
        <f t="array" ref="H2:H122">_xll.FDS(H1,"FMA_PE(NTMA,-10AY,0,AM,""PORTAGG"",""MEANR"")")</f>
        <v>13.691689693844999</v>
      </c>
      <c r="I2" s="3" cm="1">
        <f t="array" ref="I2:I122">_xll.FDS(I1,"FMA_PE(NTMA,-10AY,0,AM,""PORTAGG"",""MEANR"")")</f>
        <v>17.4028137553397</v>
      </c>
      <c r="J2" s="3" cm="1">
        <f t="array" ref="J2:J122">_xll.FDS(J1,"FMA_PE(NTMA,-10AY,0,AM,""PORTAGG"",""MEANR"")")</f>
        <v>15.367755930143201</v>
      </c>
      <c r="K2" s="3" cm="1">
        <f t="array" ref="K2:K122">_xll.FDS(K1,"FMA_PE(NTMA,-10AY,0,AM,""PORTAGG"",""MEANR"")")</f>
        <v>14.474764153815499</v>
      </c>
      <c r="L2" s="3" cm="1">
        <f t="array" ref="L2:L122">_xll.FDS(L1,"FMA_PE(NTMA,-10AY,0,AM,""PORTAGG"",""MEANR"")")</f>
        <v>14.5638007034092</v>
      </c>
      <c r="M2" s="3" cm="1">
        <f t="array" ref="M2:M122">_xll.FDS(M1,"FMA_PE(NTMA,-10AY,0,AM,""PORTAGG"",""MEANR"")")</f>
        <v>15.7489028185732</v>
      </c>
      <c r="N2" s="3" cm="1">
        <f t="array" ref="N2:N122">_xll.FDS(N1,"FMA_PE(NTMA,-10AY,0,AM,""PORTAGG"",""MEANR"")")</f>
        <v>14.6365672044194</v>
      </c>
    </row>
    <row r="3" spans="1:14" x14ac:dyDescent="0.35">
      <c r="A3" s="2">
        <v>41823</v>
      </c>
      <c r="B3" s="3">
        <v>17.320410063219999</v>
      </c>
      <c r="C3" s="3">
        <v>14.470144161433</v>
      </c>
      <c r="D3" s="3">
        <v>15.1112937218677</v>
      </c>
      <c r="E3" s="3">
        <v>13.331470047934101</v>
      </c>
      <c r="F3" s="3">
        <v>13.9379781926158</v>
      </c>
      <c r="G3" s="3">
        <v>16.2902501563557</v>
      </c>
      <c r="H3" s="3">
        <v>13.829542586351799</v>
      </c>
      <c r="I3" s="3">
        <v>17.765650288348201</v>
      </c>
      <c r="J3" s="3">
        <v>15.5382568404618</v>
      </c>
      <c r="K3" s="3">
        <v>14.1361001037127</v>
      </c>
      <c r="L3" s="3">
        <v>14.761088915433501</v>
      </c>
      <c r="M3" s="3">
        <v>15.849388564138501</v>
      </c>
      <c r="N3" s="3">
        <v>14.7785325321067</v>
      </c>
    </row>
    <row r="4" spans="1:14" x14ac:dyDescent="0.35">
      <c r="A4" s="2">
        <v>41857</v>
      </c>
      <c r="B4" s="3">
        <v>16.9995835657644</v>
      </c>
      <c r="C4" s="3">
        <v>14.679714375585901</v>
      </c>
      <c r="D4" s="3">
        <v>14.937559119125</v>
      </c>
      <c r="E4" s="3">
        <v>12.210307587337899</v>
      </c>
      <c r="F4" s="3">
        <v>13.4646997402329</v>
      </c>
      <c r="G4" s="3">
        <v>15.5892133483416</v>
      </c>
      <c r="H4" s="3">
        <v>13.3432076463487</v>
      </c>
      <c r="I4" s="3">
        <v>17.100728812943</v>
      </c>
      <c r="J4" s="3">
        <v>14.802463982846501</v>
      </c>
      <c r="K4" s="3">
        <v>13.2384572757306</v>
      </c>
      <c r="L4" s="3">
        <v>13.7672938491803</v>
      </c>
      <c r="M4" s="3">
        <v>14.990752932083801</v>
      </c>
      <c r="N4" s="3">
        <v>13.025547434016101</v>
      </c>
    </row>
    <row r="5" spans="1:14" x14ac:dyDescent="0.35">
      <c r="A5" s="2">
        <v>41887</v>
      </c>
      <c r="B5" s="3">
        <v>17.369672287181899</v>
      </c>
      <c r="C5" s="3">
        <v>14.8049258179585</v>
      </c>
      <c r="D5" s="3">
        <v>15.1799267930553</v>
      </c>
      <c r="E5" s="3">
        <v>12.9073321289977</v>
      </c>
      <c r="F5" s="3">
        <v>13.734307828191801</v>
      </c>
      <c r="G5" s="3">
        <v>16.247873761928801</v>
      </c>
      <c r="H5" s="3">
        <v>13.5299709300625</v>
      </c>
      <c r="I5" s="3">
        <v>17.8700790044185</v>
      </c>
      <c r="J5" s="3">
        <v>15.359833641467899</v>
      </c>
      <c r="K5" s="3">
        <v>13.924614768590899</v>
      </c>
      <c r="L5" s="3">
        <v>14.745404560434499</v>
      </c>
      <c r="M5" s="3">
        <v>14.684467873465501</v>
      </c>
      <c r="N5" s="3">
        <v>14.349262485867801</v>
      </c>
    </row>
    <row r="6" spans="1:14" x14ac:dyDescent="0.35">
      <c r="A6" s="2">
        <v>41918</v>
      </c>
      <c r="B6" s="3">
        <v>17.0817891710916</v>
      </c>
      <c r="C6" s="3">
        <v>13.859794497248799</v>
      </c>
      <c r="D6" s="3">
        <v>14.2642788053491</v>
      </c>
      <c r="E6" s="3">
        <v>12.13481044621</v>
      </c>
      <c r="F6" s="3">
        <v>13.7251666795747</v>
      </c>
      <c r="G6" s="3">
        <v>15.699005384540399</v>
      </c>
      <c r="H6" s="3">
        <v>12.902989578490301</v>
      </c>
      <c r="I6" s="3">
        <v>17.243732269664999</v>
      </c>
      <c r="J6" s="3">
        <v>14.9545407878897</v>
      </c>
      <c r="K6" s="3">
        <v>13.249117282074501</v>
      </c>
      <c r="L6" s="3">
        <v>14.4110350440878</v>
      </c>
      <c r="M6" s="3">
        <v>14.2701501472581</v>
      </c>
      <c r="N6" s="3">
        <v>13.1189122096311</v>
      </c>
    </row>
    <row r="7" spans="1:14" x14ac:dyDescent="0.35">
      <c r="A7" s="2">
        <v>41949</v>
      </c>
      <c r="B7" s="3">
        <v>17.696252011793</v>
      </c>
      <c r="C7" s="3">
        <v>14.4554801414709</v>
      </c>
      <c r="D7" s="3">
        <v>14.3319413629031</v>
      </c>
      <c r="E7" s="3">
        <v>12.373538688971101</v>
      </c>
      <c r="F7" s="3">
        <v>14.2324356788498</v>
      </c>
      <c r="G7" s="3">
        <v>15.978172208044899</v>
      </c>
      <c r="H7" s="3">
        <v>13.170044168771399</v>
      </c>
      <c r="I7" s="3">
        <v>17.726735683547201</v>
      </c>
      <c r="J7" s="3">
        <v>15.5875068541066</v>
      </c>
      <c r="K7" s="3">
        <v>13.1954757645108</v>
      </c>
      <c r="L7" s="3">
        <v>14.745268109256401</v>
      </c>
      <c r="M7" s="3">
        <v>15.3032652021327</v>
      </c>
      <c r="N7" s="3">
        <v>12.605151828701899</v>
      </c>
    </row>
    <row r="8" spans="1:14" x14ac:dyDescent="0.35">
      <c r="A8" s="2">
        <v>41978</v>
      </c>
      <c r="B8" s="3">
        <v>18.0535354714861</v>
      </c>
      <c r="C8" s="3">
        <v>13.9789630555931</v>
      </c>
      <c r="D8" s="3">
        <v>14.667250598670901</v>
      </c>
      <c r="E8" s="3">
        <v>13.2537162847636</v>
      </c>
      <c r="F8" s="3">
        <v>14.8041853556246</v>
      </c>
      <c r="G8" s="3">
        <v>16.196279966720699</v>
      </c>
      <c r="H8" s="3">
        <v>13.812321892141901</v>
      </c>
      <c r="I8" s="3">
        <v>18.122075490379601</v>
      </c>
      <c r="J8" s="3">
        <v>15.9668267734917</v>
      </c>
      <c r="K8" s="3">
        <v>14.049576108061199</v>
      </c>
      <c r="L8" s="3">
        <v>15.3083943657787</v>
      </c>
      <c r="M8" s="3">
        <v>15.8227990432284</v>
      </c>
      <c r="N8" s="3">
        <v>13.1702736873067</v>
      </c>
    </row>
    <row r="9" spans="1:14" x14ac:dyDescent="0.35">
      <c r="A9" s="2">
        <v>42010</v>
      </c>
      <c r="B9" s="3">
        <v>18.339772177099999</v>
      </c>
      <c r="C9" s="3">
        <v>14.426576270831699</v>
      </c>
      <c r="D9" s="3">
        <v>15.1110800933393</v>
      </c>
      <c r="E9" s="3">
        <v>12.422187588122901</v>
      </c>
      <c r="F9" s="3">
        <v>13.718925124712801</v>
      </c>
      <c r="G9" s="3">
        <v>15.4012373595711</v>
      </c>
      <c r="H9" s="3">
        <v>13.2962972533536</v>
      </c>
      <c r="I9" s="3">
        <v>16.901470628588701</v>
      </c>
      <c r="J9" s="3">
        <v>15.5677520517918</v>
      </c>
      <c r="K9" s="3">
        <v>13.174922406607701</v>
      </c>
      <c r="L9" s="3">
        <v>14.398617547615199</v>
      </c>
      <c r="M9" s="3">
        <v>15.501421528775699</v>
      </c>
      <c r="N9" s="3">
        <v>11.6952527561683</v>
      </c>
    </row>
    <row r="10" spans="1:14" x14ac:dyDescent="0.35">
      <c r="A10" s="2">
        <v>42041</v>
      </c>
      <c r="B10" s="3">
        <v>19.170775347389501</v>
      </c>
      <c r="C10" s="3">
        <v>15.9352115722224</v>
      </c>
      <c r="D10" s="3">
        <v>17.168342123963999</v>
      </c>
      <c r="E10" s="3">
        <v>14.142402548479801</v>
      </c>
      <c r="F10" s="3">
        <v>14.075012172503699</v>
      </c>
      <c r="G10" s="3">
        <v>16.801173667276501</v>
      </c>
      <c r="H10" s="3">
        <v>15.406147546178801</v>
      </c>
      <c r="I10" s="3">
        <v>17.261290508847399</v>
      </c>
      <c r="J10" s="3">
        <v>16.533956789105101</v>
      </c>
      <c r="K10" s="3">
        <v>15.5692861004768</v>
      </c>
      <c r="L10" s="3">
        <v>15.677632734507901</v>
      </c>
      <c r="M10" s="3">
        <v>16.541765201262901</v>
      </c>
      <c r="N10" s="3">
        <v>14.218080087330399</v>
      </c>
    </row>
    <row r="11" spans="1:14" x14ac:dyDescent="0.35">
      <c r="A11" s="2">
        <v>42069</v>
      </c>
      <c r="B11" s="3">
        <v>19.313826167366901</v>
      </c>
      <c r="C11" s="3">
        <v>16.181290248645698</v>
      </c>
      <c r="D11" s="3">
        <v>17.175605910759401</v>
      </c>
      <c r="E11" s="3">
        <v>14.987515450511401</v>
      </c>
      <c r="F11" s="3">
        <v>15.2697682374511</v>
      </c>
      <c r="G11" s="3">
        <v>17.495561090416899</v>
      </c>
      <c r="H11" s="3">
        <v>15.566030313590099</v>
      </c>
      <c r="I11" s="3">
        <v>17.880850000141901</v>
      </c>
      <c r="J11" s="3">
        <v>16.613955505419501</v>
      </c>
      <c r="K11" s="3">
        <v>16.391578256751099</v>
      </c>
      <c r="L11" s="3">
        <v>17.324575884003899</v>
      </c>
      <c r="M11" s="3">
        <v>17.021825703872398</v>
      </c>
      <c r="N11" s="3">
        <v>15.397634315063501</v>
      </c>
    </row>
    <row r="12" spans="1:14" x14ac:dyDescent="0.35">
      <c r="A12" s="2">
        <v>42100</v>
      </c>
      <c r="B12" s="3">
        <v>18.465549404122399</v>
      </c>
      <c r="C12" s="3">
        <v>16.2755026121025</v>
      </c>
      <c r="D12" s="3">
        <v>17.211752059495801</v>
      </c>
      <c r="E12" s="3">
        <v>15.3841949212584</v>
      </c>
      <c r="F12" s="3">
        <v>15.3526039555623</v>
      </c>
      <c r="G12" s="3">
        <v>17.8397024775383</v>
      </c>
      <c r="H12" s="3">
        <v>15.5735549672227</v>
      </c>
      <c r="I12" s="3">
        <v>17.713482209454799</v>
      </c>
      <c r="J12" s="3">
        <v>16.574352565082901</v>
      </c>
      <c r="K12" s="3">
        <v>16.6561270243133</v>
      </c>
      <c r="L12" s="3">
        <v>17.274068623625499</v>
      </c>
      <c r="M12" s="3">
        <v>16.969600943276099</v>
      </c>
      <c r="N12" s="3">
        <v>15.916030815898599</v>
      </c>
    </row>
    <row r="13" spans="1:14" x14ac:dyDescent="0.35">
      <c r="A13" s="2">
        <v>42130</v>
      </c>
      <c r="B13" s="3">
        <v>18.3028346187022</v>
      </c>
      <c r="C13" s="3">
        <v>15.9899494134616</v>
      </c>
      <c r="D13" s="3">
        <v>16.998765476596201</v>
      </c>
      <c r="E13" s="3">
        <v>14.343490258154301</v>
      </c>
      <c r="F13" s="3">
        <v>15.641507708619301</v>
      </c>
      <c r="G13" s="3">
        <v>17.411113002549801</v>
      </c>
      <c r="H13" s="3">
        <v>15.915658410704101</v>
      </c>
      <c r="I13" s="3">
        <v>17.5912557436586</v>
      </c>
      <c r="J13" s="3">
        <v>16.4510255504177</v>
      </c>
      <c r="K13" s="3">
        <v>16.102097162924</v>
      </c>
      <c r="L13" s="3">
        <v>16.507194531077999</v>
      </c>
      <c r="M13" s="3">
        <v>15.424406245776</v>
      </c>
      <c r="N13" s="3">
        <v>15.494487618205399</v>
      </c>
    </row>
    <row r="14" spans="1:14" x14ac:dyDescent="0.35">
      <c r="A14" s="2">
        <v>42160</v>
      </c>
      <c r="B14" s="3">
        <v>18.362040654334599</v>
      </c>
      <c r="C14" s="3">
        <v>15.126346565409101</v>
      </c>
      <c r="D14" s="3">
        <v>16.487853918870499</v>
      </c>
      <c r="E14" s="3">
        <v>13.7602464332273</v>
      </c>
      <c r="F14" s="3">
        <v>16.1572551168506</v>
      </c>
      <c r="G14" s="3">
        <v>17.355730595688499</v>
      </c>
      <c r="H14" s="3">
        <v>15.565755746979701</v>
      </c>
      <c r="I14" s="3">
        <v>17.855331423085001</v>
      </c>
      <c r="J14" s="3">
        <v>16.4047314613622</v>
      </c>
      <c r="K14" s="3">
        <v>15.7766711185196</v>
      </c>
      <c r="L14" s="3">
        <v>16.4798089120771</v>
      </c>
      <c r="M14" s="3">
        <v>16.029086457872001</v>
      </c>
      <c r="N14" s="3">
        <v>15.176110856338299</v>
      </c>
    </row>
    <row r="15" spans="1:14" x14ac:dyDescent="0.35">
      <c r="A15" s="2">
        <v>42191</v>
      </c>
      <c r="B15" s="3">
        <v>18.015399810791099</v>
      </c>
      <c r="C15" s="3">
        <v>15.100035927695799</v>
      </c>
      <c r="D15" s="3">
        <v>15.855908885395801</v>
      </c>
      <c r="E15" s="3">
        <v>13.249825241342601</v>
      </c>
      <c r="F15" s="3">
        <v>15.2729210619728</v>
      </c>
      <c r="G15" s="3">
        <v>16.837052835665698</v>
      </c>
      <c r="H15" s="3">
        <v>14.9330168631313</v>
      </c>
      <c r="I15" s="3">
        <v>17.511212143647199</v>
      </c>
      <c r="J15" s="3">
        <v>16.129795093133598</v>
      </c>
      <c r="K15" s="3">
        <v>14.916755869487099</v>
      </c>
      <c r="L15" s="3">
        <v>15.9443785532139</v>
      </c>
      <c r="M15" s="3">
        <v>15.246204297569401</v>
      </c>
      <c r="N15" s="3">
        <v>14.151270638232599</v>
      </c>
    </row>
    <row r="16" spans="1:14" x14ac:dyDescent="0.35">
      <c r="A16" s="2">
        <v>42222</v>
      </c>
      <c r="B16" s="3">
        <v>18.453591630416099</v>
      </c>
      <c r="C16" s="3">
        <v>15.491474205826201</v>
      </c>
      <c r="D16" s="3">
        <v>15.605234838639999</v>
      </c>
      <c r="E16" s="3">
        <v>14.026484564639301</v>
      </c>
      <c r="F16" s="3">
        <v>15.612341426548699</v>
      </c>
      <c r="G16" s="3">
        <v>17.615742827565501</v>
      </c>
      <c r="H16" s="3">
        <v>15.5516208706903</v>
      </c>
      <c r="I16" s="3">
        <v>18.365681958523901</v>
      </c>
      <c r="J16" s="3">
        <v>16.2636338097094</v>
      </c>
      <c r="K16" s="3">
        <v>16.015420881690002</v>
      </c>
      <c r="L16" s="3">
        <v>16.9581770618103</v>
      </c>
      <c r="M16" s="3">
        <v>16.207035477173701</v>
      </c>
      <c r="N16" s="3">
        <v>15.658398383368899</v>
      </c>
    </row>
    <row r="17" spans="1:14" x14ac:dyDescent="0.35">
      <c r="A17" s="2">
        <v>42251</v>
      </c>
      <c r="B17" s="3">
        <v>17.201582431403299</v>
      </c>
      <c r="C17" s="3">
        <v>13.999494154228</v>
      </c>
      <c r="D17" s="3">
        <v>14.501702845761001</v>
      </c>
      <c r="E17" s="3">
        <v>12.1909707472067</v>
      </c>
      <c r="F17" s="3">
        <v>13.330865773667099</v>
      </c>
      <c r="G17" s="3">
        <v>16.2301395906278</v>
      </c>
      <c r="H17" s="3">
        <v>13.877903735428299</v>
      </c>
      <c r="I17" s="3">
        <v>16.8907951485815</v>
      </c>
      <c r="J17" s="3">
        <v>14.9541919634132</v>
      </c>
      <c r="K17" s="3">
        <v>13.9508657899878</v>
      </c>
      <c r="L17" s="3">
        <v>14.666453654185201</v>
      </c>
      <c r="M17" s="3">
        <v>14.533771387087601</v>
      </c>
      <c r="N17" s="3">
        <v>14.0801466921182</v>
      </c>
    </row>
    <row r="18" spans="1:14" x14ac:dyDescent="0.35">
      <c r="A18" s="2">
        <v>42283</v>
      </c>
      <c r="B18" s="3">
        <v>17.1782532613835</v>
      </c>
      <c r="C18" s="3">
        <v>14.674132897549599</v>
      </c>
      <c r="D18" s="3">
        <v>14.813102328672</v>
      </c>
      <c r="E18" s="3">
        <v>12.2201101838535</v>
      </c>
      <c r="F18" s="3">
        <v>13.581493463183699</v>
      </c>
      <c r="G18" s="3">
        <v>16.5251990380523</v>
      </c>
      <c r="H18" s="3">
        <v>14.9648929602342</v>
      </c>
      <c r="I18" s="3">
        <v>17.334665710063099</v>
      </c>
      <c r="J18" s="3">
        <v>15.444520355142901</v>
      </c>
      <c r="K18" s="3">
        <v>14.5020090919071</v>
      </c>
      <c r="L18" s="3">
        <v>14.8923591137928</v>
      </c>
      <c r="M18" s="3">
        <v>14.668774383891099</v>
      </c>
      <c r="N18" s="3">
        <v>14.575638802718901</v>
      </c>
    </row>
    <row r="19" spans="1:14" x14ac:dyDescent="0.35">
      <c r="A19" s="2">
        <v>42314</v>
      </c>
      <c r="B19" s="3">
        <v>18.2058631857923</v>
      </c>
      <c r="C19" s="3">
        <v>15.0160196141613</v>
      </c>
      <c r="D19" s="3">
        <v>14.7925534003849</v>
      </c>
      <c r="E19" s="3">
        <v>13.589915821573999</v>
      </c>
      <c r="F19" s="3">
        <v>14.437139227168499</v>
      </c>
      <c r="G19" s="3">
        <v>17.0196256402252</v>
      </c>
      <c r="H19" s="3">
        <v>15.2645531378868</v>
      </c>
      <c r="I19" s="3">
        <v>18.8870771590035</v>
      </c>
      <c r="J19" s="3">
        <v>16.466584980747701</v>
      </c>
      <c r="K19" s="3">
        <v>15.4299042321563</v>
      </c>
      <c r="L19" s="3">
        <v>16.198027145320701</v>
      </c>
      <c r="M19" s="3">
        <v>15.714407123960401</v>
      </c>
      <c r="N19" s="3">
        <v>14.9093166439215</v>
      </c>
    </row>
    <row r="20" spans="1:14" x14ac:dyDescent="0.35">
      <c r="A20" s="2">
        <v>42342</v>
      </c>
      <c r="B20" s="3">
        <v>18.187763749564901</v>
      </c>
      <c r="C20" s="3">
        <v>15.064781264345999</v>
      </c>
      <c r="D20" s="3">
        <v>14.511625669886399</v>
      </c>
      <c r="E20" s="3">
        <v>13.4161150303784</v>
      </c>
      <c r="F20" s="3">
        <v>14.4319964693314</v>
      </c>
      <c r="G20" s="3">
        <v>16.832632172650399</v>
      </c>
      <c r="H20" s="3">
        <v>15.088114860837999</v>
      </c>
      <c r="I20" s="3">
        <v>18.834437339354299</v>
      </c>
      <c r="J20" s="3">
        <v>16.3317084868427</v>
      </c>
      <c r="K20" s="3">
        <v>14.7690731045913</v>
      </c>
      <c r="L20" s="3">
        <v>15.7565480733989</v>
      </c>
      <c r="M20" s="3">
        <v>15.301358425341</v>
      </c>
      <c r="N20" s="3">
        <v>14.540204273177199</v>
      </c>
    </row>
    <row r="21" spans="1:14" x14ac:dyDescent="0.35">
      <c r="A21" s="2">
        <v>42375</v>
      </c>
      <c r="B21" s="3">
        <v>18.081516865800801</v>
      </c>
      <c r="C21" s="3">
        <v>15.194070356961101</v>
      </c>
      <c r="D21" s="3">
        <v>13.770355020309299</v>
      </c>
      <c r="E21" s="3">
        <v>12.688347836718</v>
      </c>
      <c r="F21" s="3">
        <v>13.491969503493699</v>
      </c>
      <c r="G21" s="3">
        <v>16.4081937225444</v>
      </c>
      <c r="H21" s="3">
        <v>14.8244100862472</v>
      </c>
      <c r="I21" s="3">
        <v>17.824652566561401</v>
      </c>
      <c r="J21" s="3">
        <v>15.566382231457499</v>
      </c>
      <c r="K21" s="3">
        <v>14.0343860313442</v>
      </c>
      <c r="L21" s="3">
        <v>14.8893691071441</v>
      </c>
      <c r="M21" s="3">
        <v>14.3617336722043</v>
      </c>
      <c r="N21" s="3">
        <v>13.7909564661114</v>
      </c>
    </row>
    <row r="22" spans="1:14" x14ac:dyDescent="0.35">
      <c r="A22" s="2">
        <v>42405</v>
      </c>
      <c r="B22" s="3">
        <v>17.3443307412184</v>
      </c>
      <c r="C22" s="3">
        <v>15.2458777697315</v>
      </c>
      <c r="D22" s="3">
        <v>14.5780205643591</v>
      </c>
      <c r="E22" s="3">
        <v>11.7522985987955</v>
      </c>
      <c r="F22" s="3">
        <v>12.565981434683099</v>
      </c>
      <c r="G22" s="3">
        <v>16.197953342408599</v>
      </c>
      <c r="H22" s="3">
        <v>15.1307915439873</v>
      </c>
      <c r="I22" s="3">
        <v>16.271578394694899</v>
      </c>
      <c r="J22" s="3">
        <v>15.5099438140132</v>
      </c>
      <c r="K22" s="3">
        <v>13.674557435682001</v>
      </c>
      <c r="L22" s="3">
        <v>14.443677313746599</v>
      </c>
      <c r="M22" s="3">
        <v>14.6405935831534</v>
      </c>
      <c r="N22" s="3">
        <v>12.349132487544701</v>
      </c>
    </row>
    <row r="23" spans="1:14" x14ac:dyDescent="0.35">
      <c r="A23" s="2">
        <v>42433</v>
      </c>
      <c r="B23" s="3">
        <v>18.012496664895099</v>
      </c>
      <c r="C23" s="3">
        <v>15.8199453818539</v>
      </c>
      <c r="D23" s="3">
        <v>15.312131557906699</v>
      </c>
      <c r="E23" s="3">
        <v>12.566368942375901</v>
      </c>
      <c r="F23" s="3">
        <v>13.091878747046399</v>
      </c>
      <c r="G23" s="3">
        <v>16.5832884320209</v>
      </c>
      <c r="H23" s="3">
        <v>16.0190635420138</v>
      </c>
      <c r="I23" s="3">
        <v>17.3457942482943</v>
      </c>
      <c r="J23" s="3">
        <v>15.516736353630501</v>
      </c>
      <c r="K23" s="3">
        <v>14.552085821400899</v>
      </c>
      <c r="L23" s="3">
        <v>15.1896219004673</v>
      </c>
      <c r="M23" s="3">
        <v>15.5575452499885</v>
      </c>
      <c r="N23" s="3">
        <v>13.225005785316499</v>
      </c>
    </row>
    <row r="24" spans="1:14" x14ac:dyDescent="0.35">
      <c r="A24" s="2">
        <v>42466</v>
      </c>
      <c r="B24" s="3">
        <v>18.4949058809521</v>
      </c>
      <c r="C24" s="3">
        <v>15.194508941149</v>
      </c>
      <c r="D24" s="3">
        <v>15.714117983105901</v>
      </c>
      <c r="E24" s="3">
        <v>12.315288195495601</v>
      </c>
      <c r="F24" s="3">
        <v>12.0586676514004</v>
      </c>
      <c r="G24" s="3">
        <v>16.393543746022701</v>
      </c>
      <c r="H24" s="3">
        <v>15.947587920190999</v>
      </c>
      <c r="I24" s="3">
        <v>18.089728813969302</v>
      </c>
      <c r="J24" s="3">
        <v>16.500463546018398</v>
      </c>
      <c r="K24" s="3">
        <v>14.014640830550899</v>
      </c>
      <c r="L24" s="3">
        <v>15.0053956352897</v>
      </c>
      <c r="M24" s="3">
        <v>14.886175794795999</v>
      </c>
      <c r="N24" s="3">
        <v>12.484977175260999</v>
      </c>
    </row>
    <row r="25" spans="1:14" x14ac:dyDescent="0.35">
      <c r="A25" s="2">
        <v>42496</v>
      </c>
      <c r="B25" s="3">
        <v>19.079705958309901</v>
      </c>
      <c r="C25" s="3">
        <v>16.3515838527955</v>
      </c>
      <c r="D25" s="3">
        <v>16.291533123281202</v>
      </c>
      <c r="E25" s="3">
        <v>12.3966666978659</v>
      </c>
      <c r="F25" s="3">
        <v>12.468031668704301</v>
      </c>
      <c r="G25" s="3">
        <v>16.277730792196699</v>
      </c>
      <c r="H25" s="3">
        <v>15.7151276673697</v>
      </c>
      <c r="I25" s="3">
        <v>17.417692196342301</v>
      </c>
      <c r="J25" s="3">
        <v>16.522677016730398</v>
      </c>
      <c r="K25" s="3">
        <v>14.0841129222042</v>
      </c>
      <c r="L25" s="3">
        <v>14.6464936681969</v>
      </c>
      <c r="M25" s="3">
        <v>14.908653594619301</v>
      </c>
      <c r="N25" s="3">
        <v>12.932885054376101</v>
      </c>
    </row>
    <row r="26" spans="1:14" x14ac:dyDescent="0.35">
      <c r="A26" s="2">
        <v>42527</v>
      </c>
      <c r="B26" s="3">
        <v>19.466478051550801</v>
      </c>
      <c r="C26" s="3">
        <v>16.4141789436785</v>
      </c>
      <c r="D26" s="3">
        <v>16.729944717643701</v>
      </c>
      <c r="E26" s="3">
        <v>12.515246655399</v>
      </c>
      <c r="F26" s="3">
        <v>13.359582215122501</v>
      </c>
      <c r="G26" s="3">
        <v>17.1138902821511</v>
      </c>
      <c r="H26" s="3">
        <v>15.891203888718501</v>
      </c>
      <c r="I26" s="3">
        <v>17.983088808877799</v>
      </c>
      <c r="J26" s="3">
        <v>16.6576656454397</v>
      </c>
      <c r="K26" s="3">
        <v>14.3241163098933</v>
      </c>
      <c r="L26" s="3">
        <v>15.09492743841</v>
      </c>
      <c r="M26" s="3">
        <v>14.768145743824601</v>
      </c>
      <c r="N26" s="3">
        <v>12.8799849272849</v>
      </c>
    </row>
    <row r="27" spans="1:14" x14ac:dyDescent="0.35">
      <c r="A27" s="2">
        <v>42557</v>
      </c>
      <c r="B27" s="3">
        <v>19.196062007036499</v>
      </c>
      <c r="C27" s="3">
        <v>15.7350182752329</v>
      </c>
      <c r="D27" s="3">
        <v>16.416083019281999</v>
      </c>
      <c r="E27" s="3">
        <v>11.584488035466601</v>
      </c>
      <c r="F27" s="3">
        <v>12.503064186180501</v>
      </c>
      <c r="G27" s="3">
        <v>16.4212751590659</v>
      </c>
      <c r="H27" s="3">
        <v>15.571159203624701</v>
      </c>
      <c r="I27" s="3">
        <v>17.730162661959401</v>
      </c>
      <c r="J27" s="3">
        <v>16.490665833261801</v>
      </c>
      <c r="K27" s="3">
        <v>13.080182917333699</v>
      </c>
      <c r="L27" s="3">
        <v>13.6468133794406</v>
      </c>
      <c r="M27" s="3">
        <v>14.050838514124701</v>
      </c>
      <c r="N27" s="3">
        <v>11.2251111500789</v>
      </c>
    </row>
    <row r="28" spans="1:14" x14ac:dyDescent="0.35">
      <c r="A28" s="2">
        <v>42587</v>
      </c>
      <c r="B28" s="3">
        <v>20.126599907753601</v>
      </c>
      <c r="C28" s="3">
        <v>16.564086569474501</v>
      </c>
      <c r="D28" s="3">
        <v>16.449096139064402</v>
      </c>
      <c r="E28" s="3">
        <v>12.764414883922999</v>
      </c>
      <c r="F28" s="3">
        <v>12.9886030719345</v>
      </c>
      <c r="G28" s="3">
        <v>17.302769245194298</v>
      </c>
      <c r="H28" s="3">
        <v>16.163614253590101</v>
      </c>
      <c r="I28" s="3">
        <v>18.8563992192482</v>
      </c>
      <c r="J28" s="3">
        <v>17.006375389461301</v>
      </c>
      <c r="K28" s="3">
        <v>13.969428040445299</v>
      </c>
      <c r="L28" s="3">
        <v>14.6759983798178</v>
      </c>
      <c r="M28" s="3">
        <v>15.139774064396001</v>
      </c>
      <c r="N28" s="3">
        <v>12.5622974644577</v>
      </c>
    </row>
    <row r="29" spans="1:14" x14ac:dyDescent="0.35">
      <c r="A29" s="2">
        <v>42619</v>
      </c>
      <c r="B29" s="3">
        <v>21.2096937241223</v>
      </c>
      <c r="C29" s="3">
        <v>16.3674367252884</v>
      </c>
      <c r="D29" s="3">
        <v>16.423661271919801</v>
      </c>
      <c r="E29" s="3">
        <v>13.152982939709</v>
      </c>
      <c r="F29" s="3">
        <v>13.7271946601855</v>
      </c>
      <c r="G29" s="3">
        <v>17.483284213839799</v>
      </c>
      <c r="H29" s="3">
        <v>16.003753024560201</v>
      </c>
      <c r="I29" s="3">
        <v>18.6780275225582</v>
      </c>
      <c r="J29" s="3">
        <v>16.868644064010901</v>
      </c>
      <c r="K29" s="3">
        <v>14.2023796402553</v>
      </c>
      <c r="L29" s="3">
        <v>15.231094605843399</v>
      </c>
      <c r="M29" s="3">
        <v>15.577096538300699</v>
      </c>
      <c r="N29" s="3">
        <v>12.39241904743</v>
      </c>
    </row>
    <row r="30" spans="1:14" x14ac:dyDescent="0.35">
      <c r="A30" s="2">
        <v>42649</v>
      </c>
      <c r="B30" s="3">
        <v>19.781042576141999</v>
      </c>
      <c r="C30" s="3">
        <v>16.364402139660601</v>
      </c>
      <c r="D30" s="3">
        <v>15.993017717376301</v>
      </c>
      <c r="E30" s="3">
        <v>12.953280097808801</v>
      </c>
      <c r="F30" s="3">
        <v>13.5393201302841</v>
      </c>
      <c r="G30" s="3">
        <v>17.088973719698199</v>
      </c>
      <c r="H30" s="3">
        <v>15.626488902772399</v>
      </c>
      <c r="I30" s="3">
        <v>18.609772073533598</v>
      </c>
      <c r="J30" s="3">
        <v>16.570979521746999</v>
      </c>
      <c r="K30" s="3">
        <v>13.917626403446899</v>
      </c>
      <c r="L30" s="3">
        <v>15.0149543198918</v>
      </c>
      <c r="M30" s="3">
        <v>15.949185936913199</v>
      </c>
      <c r="N30" s="3">
        <v>11.7952784112654</v>
      </c>
    </row>
    <row r="31" spans="1:14" x14ac:dyDescent="0.35">
      <c r="A31" s="2">
        <v>42678</v>
      </c>
      <c r="B31" s="3">
        <v>18.2150531619003</v>
      </c>
      <c r="C31" s="3">
        <v>15.378315555920301</v>
      </c>
      <c r="D31" s="3">
        <v>15.4998692488029</v>
      </c>
      <c r="E31" s="3">
        <v>12.429103245020601</v>
      </c>
      <c r="F31" s="3">
        <v>13.3340396907029</v>
      </c>
      <c r="G31" s="3">
        <v>16.0822832120136</v>
      </c>
      <c r="H31" s="3">
        <v>14.352261954609901</v>
      </c>
      <c r="I31" s="3">
        <v>17.6296222986152</v>
      </c>
      <c r="J31" s="3">
        <v>15.9314009319239</v>
      </c>
      <c r="K31" s="3">
        <v>13.5104488661513</v>
      </c>
      <c r="L31" s="3">
        <v>14.2561430437559</v>
      </c>
      <c r="M31" s="3">
        <v>15.466357740437999</v>
      </c>
      <c r="N31" s="3">
        <v>11.4746380817115</v>
      </c>
    </row>
    <row r="32" spans="1:14" x14ac:dyDescent="0.35">
      <c r="A32" s="2">
        <v>42710</v>
      </c>
      <c r="B32" s="3">
        <v>18.656614427909499</v>
      </c>
      <c r="C32" s="3">
        <v>15.5465205776487</v>
      </c>
      <c r="D32" s="3">
        <v>15.8553151158223</v>
      </c>
      <c r="E32" s="3">
        <v>12.908852901896999</v>
      </c>
      <c r="F32" s="3">
        <v>14.570821995493199</v>
      </c>
      <c r="G32" s="3">
        <v>16.415058468916399</v>
      </c>
      <c r="H32" s="3">
        <v>14.2385922259725</v>
      </c>
      <c r="I32" s="3">
        <v>17.917601769809501</v>
      </c>
      <c r="J32" s="3">
        <v>16.7512271055935</v>
      </c>
      <c r="K32" s="3">
        <v>14.0556008929342</v>
      </c>
      <c r="L32" s="3">
        <v>14.524739566314199</v>
      </c>
      <c r="M32" s="3">
        <v>16.193518349328201</v>
      </c>
      <c r="N32" s="3">
        <v>12.504506124486101</v>
      </c>
    </row>
    <row r="33" spans="1:14" x14ac:dyDescent="0.35">
      <c r="A33" s="2">
        <v>42741</v>
      </c>
      <c r="B33" s="3">
        <v>18.7778806884712</v>
      </c>
      <c r="C33" s="3">
        <v>16.0245964165602</v>
      </c>
      <c r="D33" s="3">
        <v>15.9046482608851</v>
      </c>
      <c r="E33" s="3">
        <v>13.7500463586584</v>
      </c>
      <c r="F33" s="3">
        <v>14.9488060207786</v>
      </c>
      <c r="G33" s="3">
        <v>17.180939560707099</v>
      </c>
      <c r="H33" s="3">
        <v>14.4500724871746</v>
      </c>
      <c r="I33" s="3">
        <v>18.560421407956099</v>
      </c>
      <c r="J33" s="3">
        <v>17.0525416960878</v>
      </c>
      <c r="K33" s="3">
        <v>14.6675364111617</v>
      </c>
      <c r="L33" s="3">
        <v>15.073702530147701</v>
      </c>
      <c r="M33" s="3">
        <v>16.473117441225401</v>
      </c>
      <c r="N33" s="3">
        <v>13.675060954764101</v>
      </c>
    </row>
    <row r="34" spans="1:14" x14ac:dyDescent="0.35">
      <c r="A34" s="2">
        <v>42772</v>
      </c>
      <c r="B34" s="3">
        <v>19.0921426355346</v>
      </c>
      <c r="C34" s="3">
        <v>15.5725708269953</v>
      </c>
      <c r="D34" s="3">
        <v>15.959729448821101</v>
      </c>
      <c r="E34" s="3">
        <v>13.4438705802739</v>
      </c>
      <c r="F34" s="3">
        <v>14.3028011356691</v>
      </c>
      <c r="G34" s="3">
        <v>17.136634723618201</v>
      </c>
      <c r="H34" s="3">
        <v>14.2583949005923</v>
      </c>
      <c r="I34" s="3">
        <v>19.310332072044702</v>
      </c>
      <c r="J34" s="3">
        <v>17.149484591724001</v>
      </c>
      <c r="K34" s="3">
        <v>14.178164158726901</v>
      </c>
      <c r="L34" s="3">
        <v>15.042640443869599</v>
      </c>
      <c r="M34" s="3">
        <v>16.409478288077398</v>
      </c>
      <c r="N34" s="3">
        <v>12.863792526164101</v>
      </c>
    </row>
    <row r="35" spans="1:14" x14ac:dyDescent="0.35">
      <c r="A35" s="2">
        <v>42800</v>
      </c>
      <c r="B35" s="3">
        <v>19.053654203023001</v>
      </c>
      <c r="C35" s="3">
        <v>15.7740838580677</v>
      </c>
      <c r="D35" s="3">
        <v>16.119976927978801</v>
      </c>
      <c r="E35" s="3">
        <v>13.877226925674501</v>
      </c>
      <c r="F35" s="3">
        <v>14.257133909844899</v>
      </c>
      <c r="G35" s="3">
        <v>17.606204905782398</v>
      </c>
      <c r="H35" s="3">
        <v>14.4147792302717</v>
      </c>
      <c r="I35" s="3">
        <v>20.068734010291099</v>
      </c>
      <c r="J35" s="3">
        <v>17.719602278085802</v>
      </c>
      <c r="K35" s="3">
        <v>14.466065958461201</v>
      </c>
      <c r="L35" s="3">
        <v>15.7205457973389</v>
      </c>
      <c r="M35" s="3">
        <v>16.414122958295899</v>
      </c>
      <c r="N35" s="3">
        <v>13.226239478342899</v>
      </c>
    </row>
    <row r="36" spans="1:14" x14ac:dyDescent="0.35">
      <c r="A36" s="2">
        <v>42831</v>
      </c>
      <c r="B36" s="3">
        <v>19.2927264493871</v>
      </c>
      <c r="C36" s="3">
        <v>15.735613684818199</v>
      </c>
      <c r="D36" s="3">
        <v>15.962664590316701</v>
      </c>
      <c r="E36" s="3">
        <v>13.96157000565</v>
      </c>
      <c r="F36" s="3">
        <v>13.474620846788399</v>
      </c>
      <c r="G36" s="3">
        <v>17.351077652867801</v>
      </c>
      <c r="H36" s="3">
        <v>14.395657551712301</v>
      </c>
      <c r="I36" s="3">
        <v>20.054390333495199</v>
      </c>
      <c r="J36" s="3">
        <v>17.4379531139185</v>
      </c>
      <c r="K36" s="3">
        <v>14.889330421138</v>
      </c>
      <c r="L36" s="3">
        <v>16.013577990930099</v>
      </c>
      <c r="M36" s="3">
        <v>16.9280273050909</v>
      </c>
      <c r="N36" s="3">
        <v>13.4144255628441</v>
      </c>
    </row>
    <row r="37" spans="1:14" x14ac:dyDescent="0.35">
      <c r="A37" s="2">
        <v>42860</v>
      </c>
      <c r="B37" s="3">
        <v>19.420634005545601</v>
      </c>
      <c r="C37" s="3">
        <v>15.658325546941001</v>
      </c>
      <c r="D37" s="3">
        <v>15.6889903586278</v>
      </c>
      <c r="E37" s="3">
        <v>14.1134663053273</v>
      </c>
      <c r="F37" s="3">
        <v>14.0296312178468</v>
      </c>
      <c r="G37" s="3">
        <v>18.068962707957301</v>
      </c>
      <c r="H37" s="3">
        <v>14.4673287201972</v>
      </c>
      <c r="I37" s="3">
        <v>20.6494621966511</v>
      </c>
      <c r="J37" s="3">
        <v>17.523292203449898</v>
      </c>
      <c r="K37" s="3">
        <v>15.6120915263983</v>
      </c>
      <c r="L37" s="3">
        <v>16.705245477628399</v>
      </c>
      <c r="M37" s="3">
        <v>17.1834954979713</v>
      </c>
      <c r="N37" s="3">
        <v>13.9287063203837</v>
      </c>
    </row>
    <row r="38" spans="1:14" x14ac:dyDescent="0.35">
      <c r="A38" s="2">
        <v>42892</v>
      </c>
      <c r="B38" s="3">
        <v>19.469417269834</v>
      </c>
      <c r="C38" s="3">
        <v>15.100188337937</v>
      </c>
      <c r="D38" s="3">
        <v>15.4815265615327</v>
      </c>
      <c r="E38" s="3">
        <v>13.77495963012</v>
      </c>
      <c r="F38" s="3">
        <v>14.4009623243583</v>
      </c>
      <c r="G38" s="3">
        <v>18.0081533858935</v>
      </c>
      <c r="H38" s="3">
        <v>14.7975651199731</v>
      </c>
      <c r="I38" s="3">
        <v>21.078596964329801</v>
      </c>
      <c r="J38" s="3">
        <v>17.579772405667601</v>
      </c>
      <c r="K38" s="3">
        <v>15.030563294892399</v>
      </c>
      <c r="L38" s="3">
        <v>16.193566295668401</v>
      </c>
      <c r="M38" s="3">
        <v>16.804663887794199</v>
      </c>
      <c r="N38" s="3">
        <v>13.1865906963451</v>
      </c>
    </row>
    <row r="39" spans="1:14" x14ac:dyDescent="0.35">
      <c r="A39" s="2">
        <v>42922</v>
      </c>
      <c r="B39" s="3">
        <v>19.5061863756649</v>
      </c>
      <c r="C39" s="3">
        <v>15.4981709630251</v>
      </c>
      <c r="D39" s="3">
        <v>15.1432228909553</v>
      </c>
      <c r="E39" s="3">
        <v>13.350335589443899</v>
      </c>
      <c r="F39" s="3">
        <v>14.2623321625583</v>
      </c>
      <c r="G39" s="3">
        <v>17.625846862369102</v>
      </c>
      <c r="H39" s="3">
        <v>14.443363324064499</v>
      </c>
      <c r="I39" s="3">
        <v>19.843614645498601</v>
      </c>
      <c r="J39" s="3">
        <v>17.288606012154901</v>
      </c>
      <c r="K39" s="3">
        <v>14.636484658470099</v>
      </c>
      <c r="L39" s="3">
        <v>15.678362361465901</v>
      </c>
      <c r="M39" s="3">
        <v>16.629287165864</v>
      </c>
      <c r="N39" s="3">
        <v>13.279554640614</v>
      </c>
    </row>
    <row r="40" spans="1:14" x14ac:dyDescent="0.35">
      <c r="A40" s="2">
        <v>42951</v>
      </c>
      <c r="B40" s="3">
        <v>19.818418566855801</v>
      </c>
      <c r="C40" s="3">
        <v>15.6506028945661</v>
      </c>
      <c r="D40" s="3">
        <v>15.724399452974501</v>
      </c>
      <c r="E40" s="3">
        <v>13.251501600728901</v>
      </c>
      <c r="F40" s="3">
        <v>14.233473635206501</v>
      </c>
      <c r="G40" s="3">
        <v>17.9831562785605</v>
      </c>
      <c r="H40" s="3">
        <v>14.890974198206401</v>
      </c>
      <c r="I40" s="3">
        <v>20.641775044838901</v>
      </c>
      <c r="J40" s="3">
        <v>17.655817690374899</v>
      </c>
      <c r="K40" s="3">
        <v>14.7740514540149</v>
      </c>
      <c r="L40" s="3">
        <v>16.071620521341298</v>
      </c>
      <c r="M40" s="3">
        <v>16.1106291583542</v>
      </c>
      <c r="N40" s="3">
        <v>13.5749941714021</v>
      </c>
    </row>
    <row r="41" spans="1:14" x14ac:dyDescent="0.35">
      <c r="A41" s="2">
        <v>42984</v>
      </c>
      <c r="B41" s="3">
        <v>19.798299801199502</v>
      </c>
      <c r="C41" s="3">
        <v>15.5366474484638</v>
      </c>
      <c r="D41" s="3">
        <v>15.196242756017799</v>
      </c>
      <c r="E41" s="3">
        <v>13.058765357293501</v>
      </c>
      <c r="F41" s="3">
        <v>13.4840325028983</v>
      </c>
      <c r="G41" s="3">
        <v>17.351222795249299</v>
      </c>
      <c r="H41" s="3">
        <v>14.4911020810687</v>
      </c>
      <c r="I41" s="3">
        <v>20.534432722993898</v>
      </c>
      <c r="J41" s="3">
        <v>17.424304898244699</v>
      </c>
      <c r="K41" s="3">
        <v>14.543970407517399</v>
      </c>
      <c r="L41" s="3">
        <v>15.600700541151401</v>
      </c>
      <c r="M41" s="3">
        <v>15.806474733205601</v>
      </c>
      <c r="N41" s="3">
        <v>13.3021024381754</v>
      </c>
    </row>
    <row r="42" spans="1:14" x14ac:dyDescent="0.35">
      <c r="A42" s="2">
        <v>43014</v>
      </c>
      <c r="B42" s="3">
        <v>19.8563286949991</v>
      </c>
      <c r="C42" s="3">
        <v>15.449075984693099</v>
      </c>
      <c r="D42" s="3">
        <v>15.8066924813931</v>
      </c>
      <c r="E42" s="3">
        <v>13.797345908242299</v>
      </c>
      <c r="F42" s="3">
        <v>14.0591307527614</v>
      </c>
      <c r="G42" s="3">
        <v>17.8614504259141</v>
      </c>
      <c r="H42" s="3">
        <v>14.607957294642301</v>
      </c>
      <c r="I42" s="3">
        <v>20.599597231753101</v>
      </c>
      <c r="J42" s="3">
        <v>17.906819331901399</v>
      </c>
      <c r="K42" s="3">
        <v>15.180351903550999</v>
      </c>
      <c r="L42" s="3">
        <v>16.069421687821698</v>
      </c>
      <c r="M42" s="3">
        <v>16.7172509265841</v>
      </c>
      <c r="N42" s="3">
        <v>13.5478535937768</v>
      </c>
    </row>
    <row r="43" spans="1:14" x14ac:dyDescent="0.35">
      <c r="A43" s="2">
        <v>43045</v>
      </c>
      <c r="B43" s="3">
        <v>20.222944593797301</v>
      </c>
      <c r="C43" s="3">
        <v>15.921353126842099</v>
      </c>
      <c r="D43" s="3">
        <v>15.9936933448588</v>
      </c>
      <c r="E43" s="3">
        <v>14.276398639156399</v>
      </c>
      <c r="F43" s="3">
        <v>14.7601212913348</v>
      </c>
      <c r="G43" s="3">
        <v>17.8848014671862</v>
      </c>
      <c r="H43" s="3">
        <v>14.5677691718739</v>
      </c>
      <c r="I43" s="3">
        <v>20.933982226358999</v>
      </c>
      <c r="J43" s="3">
        <v>17.992838373294301</v>
      </c>
      <c r="K43" s="3">
        <v>15.4116940668438</v>
      </c>
      <c r="L43" s="3">
        <v>16.395341256809299</v>
      </c>
      <c r="M43" s="3">
        <v>17.341877411140899</v>
      </c>
      <c r="N43" s="3">
        <v>13.668405387600201</v>
      </c>
    </row>
    <row r="44" spans="1:14" x14ac:dyDescent="0.35">
      <c r="A44" s="2">
        <v>43075</v>
      </c>
      <c r="B44" s="3">
        <v>20.2093441692945</v>
      </c>
      <c r="C44" s="3">
        <v>15.722179713498599</v>
      </c>
      <c r="D44" s="3">
        <v>15.782478142284599</v>
      </c>
      <c r="E44" s="3">
        <v>13.885025864255701</v>
      </c>
      <c r="F44" s="3">
        <v>14.4333082584771</v>
      </c>
      <c r="G44" s="3">
        <v>17.5946535312696</v>
      </c>
      <c r="H44" s="3">
        <v>14.1845199908847</v>
      </c>
      <c r="I44" s="3">
        <v>20.617486844801601</v>
      </c>
      <c r="J44" s="3">
        <v>18.082950052427101</v>
      </c>
      <c r="K44" s="3">
        <v>15.046110976606499</v>
      </c>
      <c r="L44" s="3">
        <v>15.882151041495799</v>
      </c>
      <c r="M44" s="3">
        <v>16.352570993248602</v>
      </c>
      <c r="N44" s="3">
        <v>13.3992180919304</v>
      </c>
    </row>
    <row r="45" spans="1:14" x14ac:dyDescent="0.35">
      <c r="A45" s="2">
        <v>43105</v>
      </c>
      <c r="B45" s="3">
        <v>21.0528578665492</v>
      </c>
      <c r="C45" s="3">
        <v>16.143145834510399</v>
      </c>
      <c r="D45" s="3">
        <v>16.011949948090301</v>
      </c>
      <c r="E45" s="3">
        <v>14.169990250496699</v>
      </c>
      <c r="F45" s="3">
        <v>15.2347988861082</v>
      </c>
      <c r="G45" s="3">
        <v>17.9765016165031</v>
      </c>
      <c r="H45" s="3">
        <v>14.8192911705612</v>
      </c>
      <c r="I45" s="3">
        <v>21.542732141128599</v>
      </c>
      <c r="J45" s="3">
        <v>18.376298371219001</v>
      </c>
      <c r="K45" s="3">
        <v>15.2008318915706</v>
      </c>
      <c r="L45" s="3">
        <v>16.231808240443701</v>
      </c>
      <c r="M45" s="3">
        <v>16.4954480624898</v>
      </c>
      <c r="N45" s="3">
        <v>13.3881803412911</v>
      </c>
    </row>
    <row r="46" spans="1:14" x14ac:dyDescent="0.35">
      <c r="A46" s="2">
        <v>43137</v>
      </c>
      <c r="B46" s="3">
        <v>20.3647117732393</v>
      </c>
      <c r="C46" s="3">
        <v>15.1473428595258</v>
      </c>
      <c r="D46" s="3">
        <v>14.621187654205499</v>
      </c>
      <c r="E46" s="3">
        <v>13.071734841765499</v>
      </c>
      <c r="F46" s="3">
        <v>13.8636493603722</v>
      </c>
      <c r="G46" s="3">
        <v>16.577626232270202</v>
      </c>
      <c r="H46" s="3">
        <v>13.488049272367199</v>
      </c>
      <c r="I46" s="3">
        <v>20.522176040605999</v>
      </c>
      <c r="J46" s="3">
        <v>16.9738138874377</v>
      </c>
      <c r="K46" s="3">
        <v>14.297733417250701</v>
      </c>
      <c r="L46" s="3">
        <v>15.368116729087699</v>
      </c>
      <c r="M46" s="3">
        <v>15.6788726305765</v>
      </c>
      <c r="N46" s="3">
        <v>12.5425651271938</v>
      </c>
    </row>
    <row r="47" spans="1:14" x14ac:dyDescent="0.35">
      <c r="A47" s="2">
        <v>43165</v>
      </c>
      <c r="B47" s="3">
        <v>20.3121856306024</v>
      </c>
      <c r="C47" s="3">
        <v>15.424051715751499</v>
      </c>
      <c r="D47" s="3">
        <v>14.430540596164301</v>
      </c>
      <c r="E47" s="3">
        <v>12.8162162402249</v>
      </c>
      <c r="F47" s="3">
        <v>12.852636258825999</v>
      </c>
      <c r="G47" s="3">
        <v>16.231911054440602</v>
      </c>
      <c r="H47" s="3">
        <v>13.438709157153101</v>
      </c>
      <c r="I47" s="3">
        <v>20.922083092832001</v>
      </c>
      <c r="J47" s="3">
        <v>16.938920378654299</v>
      </c>
      <c r="K47" s="3">
        <v>14.270011085685301</v>
      </c>
      <c r="L47" s="3">
        <v>15.4640538205607</v>
      </c>
      <c r="M47" s="3">
        <v>16.095109451563498</v>
      </c>
      <c r="N47" s="3">
        <v>12.4588736646292</v>
      </c>
    </row>
    <row r="48" spans="1:14" x14ac:dyDescent="0.35">
      <c r="A48" s="2">
        <v>43196</v>
      </c>
      <c r="B48" s="3">
        <v>20.097870825227201</v>
      </c>
      <c r="C48" s="3">
        <v>14.830168040018799</v>
      </c>
      <c r="D48" s="3">
        <v>13.989164737047799</v>
      </c>
      <c r="E48" s="3">
        <v>12.8758492670057</v>
      </c>
      <c r="F48" s="3">
        <v>12.7760290561892</v>
      </c>
      <c r="G48" s="3">
        <v>15.936043450766601</v>
      </c>
      <c r="H48" s="3">
        <v>13.4410708315087</v>
      </c>
      <c r="I48" s="3">
        <v>19.287043988506301</v>
      </c>
      <c r="J48" s="3">
        <v>16.067195113982201</v>
      </c>
      <c r="K48" s="3">
        <v>14.3921011635061</v>
      </c>
      <c r="L48" s="3">
        <v>15.4697508610501</v>
      </c>
      <c r="M48" s="3">
        <v>15.5328801413881</v>
      </c>
      <c r="N48" s="3">
        <v>12.6930713337238</v>
      </c>
    </row>
    <row r="49" spans="1:14" x14ac:dyDescent="0.35">
      <c r="A49" s="2">
        <v>43224</v>
      </c>
      <c r="B49" s="3">
        <v>20.347063475423901</v>
      </c>
      <c r="C49" s="3">
        <v>15.310383772271001</v>
      </c>
      <c r="D49" s="3">
        <v>14.1585075546921</v>
      </c>
      <c r="E49" s="3">
        <v>13.366246969626401</v>
      </c>
      <c r="F49" s="3">
        <v>13.1840853880057</v>
      </c>
      <c r="G49" s="3">
        <v>16.141361061125501</v>
      </c>
      <c r="H49" s="3">
        <v>13.7275503828248</v>
      </c>
      <c r="I49" s="3">
        <v>19.747085939111098</v>
      </c>
      <c r="J49" s="3">
        <v>16.1223922939324</v>
      </c>
      <c r="K49" s="3">
        <v>14.8102091998853</v>
      </c>
      <c r="L49" s="3">
        <v>15.620870170162799</v>
      </c>
      <c r="M49" s="3">
        <v>15.820382466456</v>
      </c>
      <c r="N49" s="3">
        <v>13.217349131689099</v>
      </c>
    </row>
    <row r="50" spans="1:14" x14ac:dyDescent="0.35">
      <c r="A50" s="2">
        <v>43257</v>
      </c>
      <c r="B50" s="3">
        <v>20.980186536525199</v>
      </c>
      <c r="C50" s="3">
        <v>15.105890699332701</v>
      </c>
      <c r="D50" s="3">
        <v>14.316252481107099</v>
      </c>
      <c r="E50" s="3">
        <v>13.269746649685899</v>
      </c>
      <c r="F50" s="3">
        <v>13.175080353847401</v>
      </c>
      <c r="G50" s="3">
        <v>15.5918597176844</v>
      </c>
      <c r="H50" s="3">
        <v>13.6603654062543</v>
      </c>
      <c r="I50" s="3">
        <v>20.7220051645062</v>
      </c>
      <c r="J50" s="3">
        <v>16.559979104480199</v>
      </c>
      <c r="K50" s="3">
        <v>14.420533342548</v>
      </c>
      <c r="L50" s="3">
        <v>15.883823112278799</v>
      </c>
      <c r="M50" s="3">
        <v>15.4592804293338</v>
      </c>
      <c r="N50" s="3">
        <v>11.5580421810788</v>
      </c>
    </row>
    <row r="51" spans="1:14" x14ac:dyDescent="0.35">
      <c r="A51" s="2">
        <v>43287</v>
      </c>
      <c r="B51" s="3">
        <v>21.4121441045083</v>
      </c>
      <c r="C51" s="3">
        <v>15.6735217757629</v>
      </c>
      <c r="D51" s="3">
        <v>14.2774106348255</v>
      </c>
      <c r="E51" s="3">
        <v>12.936187413406399</v>
      </c>
      <c r="F51" s="3">
        <v>12.6449227079606</v>
      </c>
      <c r="G51" s="3">
        <v>15.7657766319585</v>
      </c>
      <c r="H51" s="3">
        <v>13.2340943764275</v>
      </c>
      <c r="I51" s="3">
        <v>20.5328392171625</v>
      </c>
      <c r="J51" s="3">
        <v>16.333285499916801</v>
      </c>
      <c r="K51" s="3">
        <v>14.0533068283025</v>
      </c>
      <c r="L51" s="3">
        <v>15.509993483028101</v>
      </c>
      <c r="M51" s="3">
        <v>15.2234576321798</v>
      </c>
      <c r="N51" s="3">
        <v>11.5173811681789</v>
      </c>
    </row>
    <row r="52" spans="1:14" x14ac:dyDescent="0.35">
      <c r="A52" s="2">
        <v>43318</v>
      </c>
      <c r="B52" s="3">
        <v>21.004514772868799</v>
      </c>
      <c r="C52" s="3">
        <v>15.576551654349499</v>
      </c>
      <c r="D52" s="3">
        <v>14.1468437809111</v>
      </c>
      <c r="E52" s="3">
        <v>13.0171034705808</v>
      </c>
      <c r="F52" s="3">
        <v>12.7602258495064</v>
      </c>
      <c r="G52" s="3">
        <v>16.254707171854001</v>
      </c>
      <c r="H52" s="3">
        <v>13.1329685896235</v>
      </c>
      <c r="I52" s="3">
        <v>20.664962852639199</v>
      </c>
      <c r="J52" s="3">
        <v>16.617540061512901</v>
      </c>
      <c r="K52" s="3">
        <v>14.0402460720221</v>
      </c>
      <c r="L52" s="3">
        <v>15.9120459558645</v>
      </c>
      <c r="M52" s="3">
        <v>15.521957452944299</v>
      </c>
      <c r="N52" s="3">
        <v>11.3742930257407</v>
      </c>
    </row>
    <row r="53" spans="1:14" x14ac:dyDescent="0.35">
      <c r="A53" s="2">
        <v>43349</v>
      </c>
      <c r="B53" s="3">
        <v>21.365302349086399</v>
      </c>
      <c r="C53" s="3">
        <v>15.2530798266588</v>
      </c>
      <c r="D53" s="3">
        <v>13.634191080026399</v>
      </c>
      <c r="E53" s="3">
        <v>12.417220887949</v>
      </c>
      <c r="F53" s="3">
        <v>12.3556480079364</v>
      </c>
      <c r="G53" s="3">
        <v>15.740643203028201</v>
      </c>
      <c r="H53" s="3">
        <v>12.393618370212399</v>
      </c>
      <c r="I53" s="3">
        <v>20.522384449977899</v>
      </c>
      <c r="J53" s="3">
        <v>16.6409180279271</v>
      </c>
      <c r="K53" s="3">
        <v>13.3793782805917</v>
      </c>
      <c r="L53" s="3">
        <v>15.146453013651</v>
      </c>
      <c r="M53" s="3">
        <v>15.5991019724891</v>
      </c>
      <c r="N53" s="3">
        <v>10.5702986083704</v>
      </c>
    </row>
    <row r="54" spans="1:14" x14ac:dyDescent="0.35">
      <c r="A54" s="2">
        <v>43378</v>
      </c>
      <c r="B54" s="3">
        <v>21.278719837595201</v>
      </c>
      <c r="C54" s="3">
        <v>15.148785180505801</v>
      </c>
      <c r="D54" s="3">
        <v>13.4301621829886</v>
      </c>
      <c r="E54" s="3">
        <v>12.5039332969612</v>
      </c>
      <c r="F54" s="3">
        <v>13.092114958757</v>
      </c>
      <c r="G54" s="3">
        <v>15.8339585840615</v>
      </c>
      <c r="H54" s="3">
        <v>12.410958789527401</v>
      </c>
      <c r="I54" s="3">
        <v>20.228571899010799</v>
      </c>
      <c r="J54" s="3">
        <v>16.570754303726201</v>
      </c>
      <c r="K54" s="3">
        <v>13.489985179604</v>
      </c>
      <c r="L54" s="3">
        <v>14.681686527582899</v>
      </c>
      <c r="M54" s="3">
        <v>15.5075391880147</v>
      </c>
      <c r="N54" s="3">
        <v>10.433223767722801</v>
      </c>
    </row>
    <row r="55" spans="1:14" x14ac:dyDescent="0.35">
      <c r="A55" s="2">
        <v>43410</v>
      </c>
      <c r="B55" s="3">
        <v>20.2599688283773</v>
      </c>
      <c r="C55" s="3">
        <v>14.519996872912801</v>
      </c>
      <c r="D55" s="3">
        <v>12.743975997579501</v>
      </c>
      <c r="E55" s="3">
        <v>11.74606163632</v>
      </c>
      <c r="F55" s="3">
        <v>12.123166961372</v>
      </c>
      <c r="G55" s="3">
        <v>15.656004364715599</v>
      </c>
      <c r="H55" s="3">
        <v>11.8275132290279</v>
      </c>
      <c r="I55" s="3">
        <v>18.8701666199104</v>
      </c>
      <c r="J55" s="3">
        <v>15.739370092967601</v>
      </c>
      <c r="K55" s="3">
        <v>12.7515732991861</v>
      </c>
      <c r="L55" s="3">
        <v>14.188095675477699</v>
      </c>
      <c r="M55" s="3">
        <v>14.424399991514001</v>
      </c>
      <c r="N55" s="3">
        <v>9.83630379217057</v>
      </c>
    </row>
    <row r="56" spans="1:14" x14ac:dyDescent="0.35">
      <c r="A56" s="2">
        <v>43440</v>
      </c>
      <c r="B56" s="3">
        <v>20.051449770191599</v>
      </c>
      <c r="C56" s="3">
        <v>13.995456373163799</v>
      </c>
      <c r="D56" s="3">
        <v>12.4998114099521</v>
      </c>
      <c r="E56" s="3">
        <v>11.159127755588299</v>
      </c>
      <c r="F56" s="3">
        <v>11.8684298660566</v>
      </c>
      <c r="G56" s="3">
        <v>14.9886641450671</v>
      </c>
      <c r="H56" s="3">
        <v>11.262956138291999</v>
      </c>
      <c r="I56" s="3">
        <v>18.4915748390335</v>
      </c>
      <c r="J56" s="3">
        <v>15.3614677529786</v>
      </c>
      <c r="K56" s="3">
        <v>12.0029317671789</v>
      </c>
      <c r="L56" s="3">
        <v>13.5662780451957</v>
      </c>
      <c r="M56" s="3">
        <v>13.443950659205999</v>
      </c>
      <c r="N56" s="3">
        <v>9.2787653227979607</v>
      </c>
    </row>
    <row r="57" spans="1:14" x14ac:dyDescent="0.35">
      <c r="A57" s="2">
        <v>43469</v>
      </c>
      <c r="B57" s="3">
        <v>19.901480925800598</v>
      </c>
      <c r="C57" s="3">
        <v>13.994924061590201</v>
      </c>
      <c r="D57" s="3">
        <v>12.3790409167286</v>
      </c>
      <c r="E57" s="3">
        <v>11.172807709482599</v>
      </c>
      <c r="F57" s="3">
        <v>10.954834020876101</v>
      </c>
      <c r="G57" s="3">
        <v>14.7844400374552</v>
      </c>
      <c r="H57" s="3">
        <v>11.583586838529699</v>
      </c>
      <c r="I57" s="3">
        <v>17.669579478327499</v>
      </c>
      <c r="J57" s="3">
        <v>14.6350443624539</v>
      </c>
      <c r="K57" s="3">
        <v>11.906856111504</v>
      </c>
      <c r="L57" s="3">
        <v>13.120370306583</v>
      </c>
      <c r="M57" s="3">
        <v>13.620355698146399</v>
      </c>
      <c r="N57" s="3">
        <v>9.4259062013911503</v>
      </c>
    </row>
    <row r="58" spans="1:14" x14ac:dyDescent="0.35">
      <c r="A58" s="2">
        <v>43502</v>
      </c>
      <c r="B58" s="3">
        <v>20.632438295735099</v>
      </c>
      <c r="C58" s="3">
        <v>15.020884789126701</v>
      </c>
      <c r="D58" s="3">
        <v>13.8353751162691</v>
      </c>
      <c r="E58" s="3">
        <v>11.953676417253799</v>
      </c>
      <c r="F58" s="3">
        <v>12.0997255143571</v>
      </c>
      <c r="G58" s="3">
        <v>15.794463755051201</v>
      </c>
      <c r="H58" s="3">
        <v>12.447339088204901</v>
      </c>
      <c r="I58" s="3">
        <v>19.329061058152799</v>
      </c>
      <c r="J58" s="3">
        <v>15.920160632521</v>
      </c>
      <c r="K58" s="3">
        <v>13.0723952276586</v>
      </c>
      <c r="L58" s="3">
        <v>14.566997610869199</v>
      </c>
      <c r="M58" s="3">
        <v>14.4637236188223</v>
      </c>
      <c r="N58" s="3">
        <v>10.1698939468983</v>
      </c>
    </row>
    <row r="59" spans="1:14" x14ac:dyDescent="0.35">
      <c r="A59" s="2">
        <v>43530</v>
      </c>
      <c r="B59" s="3">
        <v>21.792698862963999</v>
      </c>
      <c r="C59" s="3">
        <v>15.495054951789999</v>
      </c>
      <c r="D59" s="3">
        <v>14.1876357748313</v>
      </c>
      <c r="E59" s="3">
        <v>12.244239397685901</v>
      </c>
      <c r="F59" s="3">
        <v>12.575213346926599</v>
      </c>
      <c r="G59" s="3">
        <v>16.362984409637701</v>
      </c>
      <c r="H59" s="3">
        <v>12.520797922937</v>
      </c>
      <c r="I59" s="3">
        <v>19.691942192114301</v>
      </c>
      <c r="J59" s="3">
        <v>16.120875518263301</v>
      </c>
      <c r="K59" s="3">
        <v>13.556413201997</v>
      </c>
      <c r="L59" s="3">
        <v>14.8961651936583</v>
      </c>
      <c r="M59" s="3">
        <v>14.804444380920801</v>
      </c>
      <c r="N59" s="3">
        <v>10.5620821202444</v>
      </c>
    </row>
    <row r="60" spans="1:14" x14ac:dyDescent="0.35">
      <c r="A60" s="2">
        <v>43560</v>
      </c>
      <c r="B60" s="3">
        <v>22.2878621959659</v>
      </c>
      <c r="C60" s="3">
        <v>15.188523852658101</v>
      </c>
      <c r="D60" s="3">
        <v>14.286283206236201</v>
      </c>
      <c r="E60" s="3">
        <v>12.631370844049099</v>
      </c>
      <c r="F60" s="3">
        <v>12.744648105265901</v>
      </c>
      <c r="G60" s="3">
        <v>16.745930399230399</v>
      </c>
      <c r="H60" s="3">
        <v>12.7883971307857</v>
      </c>
      <c r="I60" s="3">
        <v>20.862815753355999</v>
      </c>
      <c r="J60" s="3">
        <v>16.757623204610301</v>
      </c>
      <c r="K60" s="3">
        <v>13.9049758048223</v>
      </c>
      <c r="L60" s="3">
        <v>15.554884907436399</v>
      </c>
      <c r="M60" s="3">
        <v>15.2068229941098</v>
      </c>
      <c r="N60" s="3">
        <v>10.9223291540742</v>
      </c>
    </row>
    <row r="61" spans="1:14" x14ac:dyDescent="0.35">
      <c r="A61" s="2">
        <v>43591</v>
      </c>
      <c r="B61" s="3">
        <v>22.614368806012401</v>
      </c>
      <c r="C61" s="3">
        <v>15.3146760197725</v>
      </c>
      <c r="D61" s="3">
        <v>13.8241788044543</v>
      </c>
      <c r="E61" s="3">
        <v>12.8465910726754</v>
      </c>
      <c r="F61" s="3">
        <v>12.744390610059799</v>
      </c>
      <c r="G61" s="3">
        <v>16.7476978192737</v>
      </c>
      <c r="H61" s="3">
        <v>12.6243300012092</v>
      </c>
      <c r="I61" s="3">
        <v>21.286266602272601</v>
      </c>
      <c r="J61" s="3">
        <v>16.818928752761099</v>
      </c>
      <c r="K61" s="3">
        <v>13.8939249597068</v>
      </c>
      <c r="L61" s="3">
        <v>15.616309987471</v>
      </c>
      <c r="M61" s="3">
        <v>15.4359035768769</v>
      </c>
      <c r="N61" s="3">
        <v>10.736050860929399</v>
      </c>
    </row>
    <row r="62" spans="1:14" x14ac:dyDescent="0.35">
      <c r="A62" s="2">
        <v>43622</v>
      </c>
      <c r="B62" s="3">
        <v>22.5186001235699</v>
      </c>
      <c r="C62" s="3">
        <v>15.579158368196801</v>
      </c>
      <c r="D62" s="3">
        <v>13.501170096320299</v>
      </c>
      <c r="E62" s="3">
        <v>12.2620700214318</v>
      </c>
      <c r="F62" s="3">
        <v>12.362706771060701</v>
      </c>
      <c r="G62" s="3">
        <v>16.7842051553774</v>
      </c>
      <c r="H62" s="3">
        <v>12.3115267200128</v>
      </c>
      <c r="I62" s="3">
        <v>19.7245582991088</v>
      </c>
      <c r="J62" s="3">
        <v>16.191435608308598</v>
      </c>
      <c r="K62" s="3">
        <v>13.329354769862301</v>
      </c>
      <c r="L62" s="3">
        <v>15.023512871119101</v>
      </c>
      <c r="M62" s="3">
        <v>14.324794077692401</v>
      </c>
      <c r="N62" s="3">
        <v>9.9518817077726194</v>
      </c>
    </row>
    <row r="63" spans="1:14" x14ac:dyDescent="0.35">
      <c r="A63" s="2">
        <v>43651</v>
      </c>
      <c r="B63" s="3">
        <v>24.061215178968201</v>
      </c>
      <c r="C63" s="3">
        <v>16.450307742991601</v>
      </c>
      <c r="D63" s="3">
        <v>13.741183366669</v>
      </c>
      <c r="E63" s="3">
        <v>12.983458806612299</v>
      </c>
      <c r="F63" s="3">
        <v>13.0226087119607</v>
      </c>
      <c r="G63" s="3">
        <v>17.213359852319801</v>
      </c>
      <c r="H63" s="3">
        <v>12.675269961837101</v>
      </c>
      <c r="I63" s="3">
        <v>21.224462048977198</v>
      </c>
      <c r="J63" s="3">
        <v>17.011140673201702</v>
      </c>
      <c r="K63" s="3">
        <v>14.000050702358299</v>
      </c>
      <c r="L63" s="3">
        <v>15.6685502463642</v>
      </c>
      <c r="M63" s="3">
        <v>15.1272899896748</v>
      </c>
      <c r="N63" s="3">
        <v>10.8465089231132</v>
      </c>
    </row>
    <row r="64" spans="1:14" x14ac:dyDescent="0.35">
      <c r="A64" s="2">
        <v>43683</v>
      </c>
      <c r="B64" s="3">
        <v>24.023495092796601</v>
      </c>
      <c r="C64" s="3">
        <v>15.6447420321997</v>
      </c>
      <c r="D64" s="3">
        <v>13.429121665197</v>
      </c>
      <c r="E64" s="3">
        <v>12.2085825354485</v>
      </c>
      <c r="F64" s="3">
        <v>12.3129719004748</v>
      </c>
      <c r="G64" s="3">
        <v>16.4865223763065</v>
      </c>
      <c r="H64" s="3">
        <v>11.946391852922799</v>
      </c>
      <c r="I64" s="3">
        <v>20.151542179044501</v>
      </c>
      <c r="J64" s="3">
        <v>16.384424452906401</v>
      </c>
      <c r="K64" s="3">
        <v>13.272304596309599</v>
      </c>
      <c r="L64" s="3">
        <v>14.9197755495069</v>
      </c>
      <c r="M64" s="3">
        <v>13.6329846876699</v>
      </c>
      <c r="N64" s="3">
        <v>10.162104327043499</v>
      </c>
    </row>
    <row r="65" spans="1:14" x14ac:dyDescent="0.35">
      <c r="A65" s="2">
        <v>43714</v>
      </c>
      <c r="B65" s="3">
        <v>26.718317082153899</v>
      </c>
      <c r="C65" s="3">
        <v>16.406348236263899</v>
      </c>
      <c r="D65" s="3">
        <v>13.7771208573892</v>
      </c>
      <c r="E65" s="3">
        <v>12.9186575689387</v>
      </c>
      <c r="F65" s="3">
        <v>12.8286520906082</v>
      </c>
      <c r="G65" s="3">
        <v>17.2932003564495</v>
      </c>
      <c r="H65" s="3">
        <v>12.2483961799062</v>
      </c>
      <c r="I65" s="3">
        <v>20.839282407189401</v>
      </c>
      <c r="J65" s="3">
        <v>16.8402291195465</v>
      </c>
      <c r="K65" s="3">
        <v>14.085375882445</v>
      </c>
      <c r="L65" s="3">
        <v>15.8988673839042</v>
      </c>
      <c r="M65" s="3">
        <v>14.172494057507</v>
      </c>
      <c r="N65" s="3">
        <v>10.732329632340599</v>
      </c>
    </row>
    <row r="66" spans="1:14" x14ac:dyDescent="0.35">
      <c r="A66" s="2">
        <v>43742</v>
      </c>
      <c r="B66" s="3">
        <v>25.315679184783001</v>
      </c>
      <c r="C66" s="3">
        <v>16.249743501531601</v>
      </c>
      <c r="D66" s="3">
        <v>13.740354172878201</v>
      </c>
      <c r="E66" s="3">
        <v>12.6712000276239</v>
      </c>
      <c r="F66" s="3">
        <v>13.072755156005201</v>
      </c>
      <c r="G66" s="3">
        <v>16.756235889118901</v>
      </c>
      <c r="H66" s="3">
        <v>12.072441573793</v>
      </c>
      <c r="I66" s="3">
        <v>20.411648772202</v>
      </c>
      <c r="J66" s="3">
        <v>16.6653498847481</v>
      </c>
      <c r="K66" s="3">
        <v>13.7723280171083</v>
      </c>
      <c r="L66" s="3">
        <v>15.9062926833346</v>
      </c>
      <c r="M66" s="3">
        <v>14.5270133616478</v>
      </c>
      <c r="N66" s="3">
        <v>10.473733532171099</v>
      </c>
    </row>
    <row r="67" spans="1:14" x14ac:dyDescent="0.35">
      <c r="A67" s="2">
        <v>43775</v>
      </c>
      <c r="B67" s="3">
        <v>24.638217340506699</v>
      </c>
      <c r="C67" s="3">
        <v>16.968919444182902</v>
      </c>
      <c r="D67" s="3">
        <v>14.2167374722115</v>
      </c>
      <c r="E67" s="3">
        <v>13.891144386397</v>
      </c>
      <c r="F67" s="3">
        <v>14.075456364822401</v>
      </c>
      <c r="G67" s="3">
        <v>17.456364386410598</v>
      </c>
      <c r="H67" s="3">
        <v>12.8730333529448</v>
      </c>
      <c r="I67" s="3">
        <v>21.384720528966799</v>
      </c>
      <c r="J67" s="3">
        <v>17.382212580229201</v>
      </c>
      <c r="K67" s="3">
        <v>14.705814290029201</v>
      </c>
      <c r="L67" s="3">
        <v>16.6769908103308</v>
      </c>
      <c r="M67" s="3">
        <v>15.971313059790299</v>
      </c>
      <c r="N67" s="3">
        <v>11.357753558348699</v>
      </c>
    </row>
    <row r="68" spans="1:14" x14ac:dyDescent="0.35">
      <c r="A68" s="2">
        <v>43805</v>
      </c>
      <c r="B68" s="3">
        <v>25.6550697743331</v>
      </c>
      <c r="C68" s="3">
        <v>17.099588987476999</v>
      </c>
      <c r="D68" s="3">
        <v>14.3221290806966</v>
      </c>
      <c r="E68" s="3">
        <v>14.018803970447401</v>
      </c>
      <c r="F68" s="3">
        <v>14.478817893654799</v>
      </c>
      <c r="G68" s="3">
        <v>17.531684276565102</v>
      </c>
      <c r="H68" s="3">
        <v>12.890374186243999</v>
      </c>
      <c r="I68" s="3">
        <v>21.928825311155101</v>
      </c>
      <c r="J68" s="3">
        <v>17.718219025576001</v>
      </c>
      <c r="K68" s="3">
        <v>14.6659231415424</v>
      </c>
      <c r="L68" s="3">
        <v>16.875932808630601</v>
      </c>
      <c r="M68" s="3">
        <v>15.7983693636667</v>
      </c>
      <c r="N68" s="3">
        <v>11.213328498173601</v>
      </c>
    </row>
    <row r="69" spans="1:14" x14ac:dyDescent="0.35">
      <c r="A69" s="2">
        <v>43836</v>
      </c>
      <c r="B69" s="3">
        <v>25.9761193262365</v>
      </c>
      <c r="C69" s="3">
        <v>17.2213685768624</v>
      </c>
      <c r="D69" s="3">
        <v>14.4296027150844</v>
      </c>
      <c r="E69" s="3">
        <v>14.0006864812014</v>
      </c>
      <c r="F69" s="3">
        <v>14.3019938974754</v>
      </c>
      <c r="G69" s="3">
        <v>17.827328250076601</v>
      </c>
      <c r="H69" s="3">
        <v>13.4875571418108</v>
      </c>
      <c r="I69" s="3">
        <v>22.9849077560255</v>
      </c>
      <c r="J69" s="3">
        <v>18.2128193567419</v>
      </c>
      <c r="K69" s="3">
        <v>14.940368615708699</v>
      </c>
      <c r="L69" s="3">
        <v>17.052419624999199</v>
      </c>
      <c r="M69" s="3">
        <v>16.222175940610001</v>
      </c>
      <c r="N69" s="3">
        <v>11.4107038610597</v>
      </c>
    </row>
    <row r="70" spans="1:14" x14ac:dyDescent="0.35">
      <c r="A70" s="2">
        <v>43867</v>
      </c>
      <c r="B70" s="3">
        <v>26.0261589933823</v>
      </c>
      <c r="C70" s="3">
        <v>17.996791258333602</v>
      </c>
      <c r="D70" s="3">
        <v>14.8635828573917</v>
      </c>
      <c r="E70" s="3">
        <v>14.384108912796901</v>
      </c>
      <c r="F70" s="3">
        <v>14.627881504794001</v>
      </c>
      <c r="G70" s="3">
        <v>18.346242066787699</v>
      </c>
      <c r="H70" s="3">
        <v>13.404630057058499</v>
      </c>
      <c r="I70" s="3">
        <v>23.925469404644002</v>
      </c>
      <c r="J70" s="3">
        <v>18.776090949181999</v>
      </c>
      <c r="K70" s="3">
        <v>15.029632247258601</v>
      </c>
      <c r="L70" s="3">
        <v>17.867017313528201</v>
      </c>
      <c r="M70" s="3">
        <v>16.612956386390898</v>
      </c>
      <c r="N70" s="3">
        <v>11.689379625978599</v>
      </c>
    </row>
    <row r="71" spans="1:14" x14ac:dyDescent="0.35">
      <c r="A71" s="2">
        <v>43896</v>
      </c>
      <c r="B71" s="3">
        <v>26.2419153328932</v>
      </c>
      <c r="C71" s="3">
        <v>16.098978835527902</v>
      </c>
      <c r="D71" s="3">
        <v>13.938989402232799</v>
      </c>
      <c r="E71" s="3">
        <v>12.364830188383801</v>
      </c>
      <c r="F71" s="3">
        <v>12.7216697946512</v>
      </c>
      <c r="G71" s="3">
        <v>16.528944264551399</v>
      </c>
      <c r="H71" s="3">
        <v>11.822094935910201</v>
      </c>
      <c r="I71" s="3">
        <v>21.5527114910813</v>
      </c>
      <c r="J71" s="3">
        <v>16.7381398630808</v>
      </c>
      <c r="K71" s="3">
        <v>13.138971790557299</v>
      </c>
      <c r="L71" s="3">
        <v>15.542257296922401</v>
      </c>
      <c r="M71" s="3">
        <v>14.642119785730999</v>
      </c>
      <c r="N71" s="3">
        <v>10.032092554264199</v>
      </c>
    </row>
    <row r="72" spans="1:14" x14ac:dyDescent="0.35">
      <c r="A72" s="2">
        <v>43927</v>
      </c>
      <c r="B72" s="3">
        <v>25.5810507411163</v>
      </c>
      <c r="C72" s="3">
        <v>15.057668956842701</v>
      </c>
      <c r="D72" s="3">
        <v>13.656102476867099</v>
      </c>
      <c r="E72" s="3">
        <v>12.5897982497517</v>
      </c>
      <c r="F72" s="3">
        <v>12.2984315767869</v>
      </c>
      <c r="G72" s="3">
        <v>16.463470400125999</v>
      </c>
      <c r="H72" s="3">
        <v>12.1349993531405</v>
      </c>
      <c r="I72" s="3">
        <v>21.609113479212901</v>
      </c>
      <c r="J72" s="3">
        <v>16.713230406731899</v>
      </c>
      <c r="K72" s="3">
        <v>13.237340663003399</v>
      </c>
      <c r="L72" s="3">
        <v>14.875549455125901</v>
      </c>
      <c r="M72" s="3">
        <v>14.8690409905832</v>
      </c>
      <c r="N72" s="3">
        <v>10.0493984106001</v>
      </c>
    </row>
    <row r="73" spans="1:14" x14ac:dyDescent="0.35">
      <c r="A73" s="2">
        <v>43957</v>
      </c>
      <c r="B73" s="3">
        <v>29.4667820078337</v>
      </c>
      <c r="C73" s="3">
        <v>17.081654571247</v>
      </c>
      <c r="D73" s="3">
        <v>16.811899206542801</v>
      </c>
      <c r="E73" s="3">
        <v>14.921145441917099</v>
      </c>
      <c r="F73" s="3">
        <v>13.784681048767</v>
      </c>
      <c r="G73" s="3">
        <v>18.217904556699899</v>
      </c>
      <c r="H73" s="3">
        <v>14.887323904374499</v>
      </c>
      <c r="I73" s="3">
        <v>25.538207290027501</v>
      </c>
      <c r="J73" s="3">
        <v>20.127641828870601</v>
      </c>
      <c r="K73" s="3">
        <v>16.1320652925289</v>
      </c>
      <c r="L73" s="3">
        <v>16.985789436228199</v>
      </c>
      <c r="M73" s="3">
        <v>17.539704040344098</v>
      </c>
      <c r="N73" s="3">
        <v>14.52765154231</v>
      </c>
    </row>
    <row r="74" spans="1:14" x14ac:dyDescent="0.35">
      <c r="A74" s="2">
        <v>43987</v>
      </c>
      <c r="B74" s="3">
        <v>30.280931929596299</v>
      </c>
      <c r="C74" s="3">
        <v>19.617897566741</v>
      </c>
      <c r="D74" s="3">
        <v>18.5972743230184</v>
      </c>
      <c r="E74" s="3">
        <v>18.433436694067002</v>
      </c>
      <c r="F74" s="3">
        <v>17.318354865515801</v>
      </c>
      <c r="G74" s="3">
        <v>19.537605279471901</v>
      </c>
      <c r="H74" s="3">
        <v>16.990901933621601</v>
      </c>
      <c r="I74" s="3">
        <v>27.979128207336998</v>
      </c>
      <c r="J74" s="3">
        <v>22.6403510993092</v>
      </c>
      <c r="K74" s="3">
        <v>19.6296350648839</v>
      </c>
      <c r="L74" s="3">
        <v>19.878139505914199</v>
      </c>
      <c r="M74" s="3">
        <v>19.9292697952609</v>
      </c>
      <c r="N74" s="3">
        <v>18.127879410310701</v>
      </c>
    </row>
    <row r="75" spans="1:14" x14ac:dyDescent="0.35">
      <c r="A75" s="2">
        <v>44018</v>
      </c>
      <c r="B75" s="3">
        <v>31.80297541162</v>
      </c>
      <c r="C75" s="3">
        <v>19.1928299362222</v>
      </c>
      <c r="D75" s="3">
        <v>17.6922085342893</v>
      </c>
      <c r="E75" s="3">
        <v>18.360932561577901</v>
      </c>
      <c r="F75" s="3">
        <v>17.885554195754601</v>
      </c>
      <c r="G75" s="3">
        <v>19.673713708158999</v>
      </c>
      <c r="H75" s="3">
        <v>16.113527033494101</v>
      </c>
      <c r="I75" s="3">
        <v>29.473059395513701</v>
      </c>
      <c r="J75" s="3">
        <v>22.161641138146202</v>
      </c>
      <c r="K75" s="3">
        <v>19.414528416873001</v>
      </c>
      <c r="L75" s="3">
        <v>20.171436774880299</v>
      </c>
      <c r="M75" s="3">
        <v>19.972718283832599</v>
      </c>
      <c r="N75" s="3">
        <v>17.914758354561201</v>
      </c>
    </row>
    <row r="76" spans="1:14" x14ac:dyDescent="0.35">
      <c r="A76" s="2">
        <v>44049</v>
      </c>
      <c r="B76" s="3">
        <v>32.245649151669703</v>
      </c>
      <c r="C76" s="3">
        <v>19.276669450066301</v>
      </c>
      <c r="D76" s="3">
        <v>17.7968415871748</v>
      </c>
      <c r="E76" s="3">
        <v>17.736857730471598</v>
      </c>
      <c r="F76" s="3">
        <v>17.629969298504101</v>
      </c>
      <c r="G76" s="3">
        <v>19.3281889719064</v>
      </c>
      <c r="H76" s="3">
        <v>15.4923345294182</v>
      </c>
      <c r="I76" s="3">
        <v>29.669483347767802</v>
      </c>
      <c r="J76" s="3">
        <v>22.324930889789901</v>
      </c>
      <c r="K76" s="3">
        <v>19.616351461825101</v>
      </c>
      <c r="L76" s="3">
        <v>19.823032590876</v>
      </c>
      <c r="M76" s="3">
        <v>18.524966492393101</v>
      </c>
      <c r="N76" s="3">
        <v>16.485263512082302</v>
      </c>
    </row>
    <row r="77" spans="1:14" x14ac:dyDescent="0.35">
      <c r="A77" s="2">
        <v>44078</v>
      </c>
      <c r="B77" s="3">
        <v>32.231013987791101</v>
      </c>
      <c r="C77" s="3">
        <v>18.955389511367901</v>
      </c>
      <c r="D77" s="3">
        <v>16.794989425086399</v>
      </c>
      <c r="E77" s="3">
        <v>17.4460328297695</v>
      </c>
      <c r="F77" s="3">
        <v>18.218037043747199</v>
      </c>
      <c r="G77" s="3">
        <v>19.1309374560409</v>
      </c>
      <c r="H77" s="3">
        <v>14.826442756521301</v>
      </c>
      <c r="I77" s="3">
        <v>30.1632566756378</v>
      </c>
      <c r="J77" s="3">
        <v>22.321265585379599</v>
      </c>
      <c r="K77" s="3">
        <v>19.174532296929701</v>
      </c>
      <c r="L77" s="3">
        <v>19.185188410013598</v>
      </c>
      <c r="M77" s="3">
        <v>17.975518466000601</v>
      </c>
      <c r="N77" s="3">
        <v>15.5007221673687</v>
      </c>
    </row>
    <row r="78" spans="1:14" x14ac:dyDescent="0.35">
      <c r="A78" s="2">
        <v>44110</v>
      </c>
      <c r="B78" s="3">
        <v>32.343232623093698</v>
      </c>
      <c r="C78" s="3">
        <v>18.368100278686999</v>
      </c>
      <c r="D78" s="3">
        <v>16.200968263550902</v>
      </c>
      <c r="E78" s="3">
        <v>16.963668197602999</v>
      </c>
      <c r="F78" s="3">
        <v>18.238690527651901</v>
      </c>
      <c r="G78" s="3">
        <v>18.995555661519699</v>
      </c>
      <c r="H78" s="3">
        <v>14.4302513417847</v>
      </c>
      <c r="I78" s="3">
        <v>28.785771841470002</v>
      </c>
      <c r="J78" s="3">
        <v>21.395189443786101</v>
      </c>
      <c r="K78" s="3">
        <v>18.307663563736401</v>
      </c>
      <c r="L78" s="3">
        <v>19.414160407987499</v>
      </c>
      <c r="M78" s="3">
        <v>18.300873090261</v>
      </c>
      <c r="N78" s="3">
        <v>14.7865850668371</v>
      </c>
    </row>
    <row r="79" spans="1:14" x14ac:dyDescent="0.35">
      <c r="A79" s="2">
        <v>44141</v>
      </c>
      <c r="B79" s="3">
        <v>33.352381449422602</v>
      </c>
      <c r="C79" s="3">
        <v>18.598200644530301</v>
      </c>
      <c r="D79" s="3">
        <v>15.6711228895558</v>
      </c>
      <c r="E79" s="3">
        <v>15.4921658903506</v>
      </c>
      <c r="F79" s="3">
        <v>17.822480757539999</v>
      </c>
      <c r="G79" s="3">
        <v>18.8754770235786</v>
      </c>
      <c r="H79" s="3">
        <v>13.772818764594</v>
      </c>
      <c r="I79" s="3">
        <v>29.747055240847398</v>
      </c>
      <c r="J79" s="3">
        <v>21.518986255324499</v>
      </c>
      <c r="K79" s="3">
        <v>17.670591009586101</v>
      </c>
      <c r="L79" s="3">
        <v>19.945585032072401</v>
      </c>
      <c r="M79" s="3">
        <v>16.5644424474714</v>
      </c>
      <c r="N79" s="3">
        <v>14.168868269117899</v>
      </c>
    </row>
    <row r="80" spans="1:14" x14ac:dyDescent="0.35">
      <c r="A80" s="2">
        <v>44169</v>
      </c>
      <c r="B80" s="3">
        <v>32.510482361186703</v>
      </c>
      <c r="C80" s="3">
        <v>19.895533141163298</v>
      </c>
      <c r="D80" s="3">
        <v>16.281204563142701</v>
      </c>
      <c r="E80" s="3">
        <v>16.0193050028657</v>
      </c>
      <c r="F80" s="3">
        <v>18.571286943017601</v>
      </c>
      <c r="G80" s="3">
        <v>18.3906129466795</v>
      </c>
      <c r="H80" s="3">
        <v>15.202551834418299</v>
      </c>
      <c r="I80" s="3">
        <v>30.139721885604999</v>
      </c>
      <c r="J80" s="3">
        <v>22.174384600775898</v>
      </c>
      <c r="K80" s="3">
        <v>19.043900371957001</v>
      </c>
      <c r="L80" s="3">
        <v>20.553514486382198</v>
      </c>
      <c r="M80" s="3">
        <v>17.3840201739702</v>
      </c>
      <c r="N80" s="3">
        <v>15.1804070132994</v>
      </c>
    </row>
    <row r="81" spans="1:14" x14ac:dyDescent="0.35">
      <c r="A81" s="2">
        <v>44202</v>
      </c>
      <c r="B81" s="3">
        <v>34.876526912827899</v>
      </c>
      <c r="C81" s="3">
        <v>19.0553099874253</v>
      </c>
      <c r="D81" s="3">
        <v>16.147442427169398</v>
      </c>
      <c r="E81" s="3">
        <v>16.165002792431299</v>
      </c>
      <c r="F81" s="3">
        <v>18.142377129636799</v>
      </c>
      <c r="G81" s="3">
        <v>18.917452200602501</v>
      </c>
      <c r="H81" s="3">
        <v>15.0818035803724</v>
      </c>
      <c r="I81" s="3">
        <v>29.3768371111261</v>
      </c>
      <c r="J81" s="3">
        <v>22.276464178196701</v>
      </c>
      <c r="K81" s="3">
        <v>18.146855093721001</v>
      </c>
      <c r="L81" s="3">
        <v>20.815267545755901</v>
      </c>
      <c r="M81" s="3">
        <v>18.131709669513999</v>
      </c>
      <c r="N81" s="3">
        <v>15.064482572407901</v>
      </c>
    </row>
    <row r="82" spans="1:14" x14ac:dyDescent="0.35">
      <c r="A82" s="2">
        <v>44232</v>
      </c>
      <c r="B82" s="3">
        <v>33.070093490166201</v>
      </c>
      <c r="C82" s="3">
        <v>19.1059453987592</v>
      </c>
      <c r="D82" s="3">
        <v>16.0366049573975</v>
      </c>
      <c r="E82" s="3">
        <v>15.845467245430299</v>
      </c>
      <c r="F82" s="3">
        <v>18.701571269469799</v>
      </c>
      <c r="G82" s="3">
        <v>18.672392710793599</v>
      </c>
      <c r="H82" s="3">
        <v>13.8148033747624</v>
      </c>
      <c r="I82" s="3">
        <v>29.9671218696576</v>
      </c>
      <c r="J82" s="3">
        <v>22.066287528502102</v>
      </c>
      <c r="K82" s="3">
        <v>17.938231826317601</v>
      </c>
      <c r="L82" s="3">
        <v>21.842167931046902</v>
      </c>
      <c r="M82" s="3">
        <v>18.636049444265499</v>
      </c>
      <c r="N82" s="3">
        <v>14.1684624478274</v>
      </c>
    </row>
    <row r="83" spans="1:14" x14ac:dyDescent="0.35">
      <c r="A83" s="2">
        <v>44260</v>
      </c>
      <c r="B83" s="3">
        <v>31.692085825627</v>
      </c>
      <c r="C83" s="3">
        <v>17.9797579693345</v>
      </c>
      <c r="D83" s="3">
        <v>15.3415716872814</v>
      </c>
      <c r="E83" s="3">
        <v>15.374194115376699</v>
      </c>
      <c r="F83" s="3">
        <v>17.6261328028944</v>
      </c>
      <c r="G83" s="3">
        <v>18.092992172997601</v>
      </c>
      <c r="H83" s="3">
        <v>14.003053822210299</v>
      </c>
      <c r="I83" s="3">
        <v>27.235970991480102</v>
      </c>
      <c r="J83" s="3">
        <v>21.465574737907598</v>
      </c>
      <c r="K83" s="3">
        <v>17.849519120484899</v>
      </c>
      <c r="L83" s="3">
        <v>20.767451773225201</v>
      </c>
      <c r="M83" s="3">
        <v>19.0812398438371</v>
      </c>
      <c r="N83" s="3">
        <v>13.3944684231507</v>
      </c>
    </row>
    <row r="84" spans="1:14" x14ac:dyDescent="0.35">
      <c r="A84" s="2">
        <v>44292</v>
      </c>
      <c r="B84" s="3">
        <v>31.8515088175801</v>
      </c>
      <c r="C84" s="3">
        <v>17.8233773654636</v>
      </c>
      <c r="D84" s="3">
        <v>15.569407030967399</v>
      </c>
      <c r="E84" s="3">
        <v>16.2793409124825</v>
      </c>
      <c r="F84" s="3">
        <v>17.486552025546999</v>
      </c>
      <c r="G84" s="3">
        <v>18.9615071194576</v>
      </c>
      <c r="H84" s="3">
        <v>13.587489890014099</v>
      </c>
      <c r="I84" s="3">
        <v>28.901539263879901</v>
      </c>
      <c r="J84" s="3">
        <v>22.2770201552948</v>
      </c>
      <c r="K84" s="3">
        <v>18.355945367537299</v>
      </c>
      <c r="L84" s="3">
        <v>22.816351665221401</v>
      </c>
      <c r="M84" s="3">
        <v>20.436986702684798</v>
      </c>
      <c r="N84" s="3">
        <v>14.0822443841409</v>
      </c>
    </row>
    <row r="85" spans="1:14" x14ac:dyDescent="0.35">
      <c r="A85" s="2">
        <v>44322</v>
      </c>
      <c r="B85" s="3">
        <v>32.309739106247797</v>
      </c>
      <c r="C85" s="3">
        <v>17.941293576251098</v>
      </c>
      <c r="D85" s="3">
        <v>15.5045148372353</v>
      </c>
      <c r="E85" s="3">
        <v>14.960854725502401</v>
      </c>
      <c r="F85" s="3">
        <v>16.906921136120101</v>
      </c>
      <c r="G85" s="3">
        <v>18.9953248959287</v>
      </c>
      <c r="H85" s="3">
        <v>13.3486001183086</v>
      </c>
      <c r="I85" s="3">
        <v>27.174259878053199</v>
      </c>
      <c r="J85" s="3">
        <v>21.592075160664301</v>
      </c>
      <c r="K85" s="3">
        <v>17.877495173429601</v>
      </c>
      <c r="L85" s="3">
        <v>21.608212887370001</v>
      </c>
      <c r="M85" s="3">
        <v>18.120700629291498</v>
      </c>
      <c r="N85" s="3">
        <v>13.388160144898301</v>
      </c>
    </row>
    <row r="86" spans="1:14" x14ac:dyDescent="0.35">
      <c r="A86" s="2">
        <v>44351</v>
      </c>
      <c r="B86" s="3">
        <v>33.181841521010497</v>
      </c>
      <c r="C86" s="3">
        <v>18.441006314499798</v>
      </c>
      <c r="D86" s="3">
        <v>15.589017186383799</v>
      </c>
      <c r="E86" s="3">
        <v>15.0248160706633</v>
      </c>
      <c r="F86" s="3">
        <v>16.634587308078999</v>
      </c>
      <c r="G86" s="3">
        <v>19.613022446120301</v>
      </c>
      <c r="H86" s="3">
        <v>13.1803681250863</v>
      </c>
      <c r="I86" s="3">
        <v>27.025989998425999</v>
      </c>
      <c r="J86" s="3">
        <v>21.3040721777523</v>
      </c>
      <c r="K86" s="3">
        <v>17.8811494405902</v>
      </c>
      <c r="L86" s="3">
        <v>21.3284085323718</v>
      </c>
      <c r="M86" s="3">
        <v>18.678738663251298</v>
      </c>
      <c r="N86" s="3">
        <v>13.731968872828601</v>
      </c>
    </row>
    <row r="87" spans="1:14" x14ac:dyDescent="0.35">
      <c r="A87" s="2">
        <v>44383</v>
      </c>
      <c r="B87" s="3">
        <v>34.423996418630601</v>
      </c>
      <c r="C87" s="3">
        <v>17.223729491617899</v>
      </c>
      <c r="D87" s="3">
        <v>15.5902768812884</v>
      </c>
      <c r="E87" s="3">
        <v>14.6362219139912</v>
      </c>
      <c r="F87" s="3">
        <v>16.2760445351622</v>
      </c>
      <c r="G87" s="3">
        <v>19.704675766262199</v>
      </c>
      <c r="H87" s="3">
        <v>12.612888788921399</v>
      </c>
      <c r="I87" s="3">
        <v>28.690223456375001</v>
      </c>
      <c r="J87" s="3">
        <v>21.511350686308699</v>
      </c>
      <c r="K87" s="3">
        <v>17.2808569984667</v>
      </c>
      <c r="L87" s="3">
        <v>21.161468329683402</v>
      </c>
      <c r="M87" s="3">
        <v>18.687747444216399</v>
      </c>
      <c r="N87" s="3">
        <v>13.3792986847983</v>
      </c>
    </row>
    <row r="88" spans="1:14" x14ac:dyDescent="0.35">
      <c r="A88" s="2">
        <v>44414</v>
      </c>
      <c r="B88" s="3">
        <v>34.107437378308497</v>
      </c>
      <c r="C88" s="3">
        <v>17.186553482024902</v>
      </c>
      <c r="D88" s="3">
        <v>15.154059594762201</v>
      </c>
      <c r="E88" s="3">
        <v>14.3161399952549</v>
      </c>
      <c r="F88" s="3">
        <v>15.687835967337399</v>
      </c>
      <c r="G88" s="3">
        <v>19.749028197968901</v>
      </c>
      <c r="H88" s="3">
        <v>12.304873621714</v>
      </c>
      <c r="I88" s="3">
        <v>28.039286437292201</v>
      </c>
      <c r="J88" s="3">
        <v>21.0495192177776</v>
      </c>
      <c r="K88" s="3">
        <v>16.890190574138799</v>
      </c>
      <c r="L88" s="3">
        <v>21.6827918582973</v>
      </c>
      <c r="M88" s="3">
        <v>18.5422618342233</v>
      </c>
      <c r="N88" s="3">
        <v>12.2381983319551</v>
      </c>
    </row>
    <row r="89" spans="1:14" x14ac:dyDescent="0.35">
      <c r="A89" s="2">
        <v>44442</v>
      </c>
      <c r="B89" s="3">
        <v>35.055802509477203</v>
      </c>
      <c r="C89" s="3">
        <v>17.387460383849</v>
      </c>
      <c r="D89" s="3">
        <v>15.0059607722278</v>
      </c>
      <c r="E89" s="3">
        <v>14.1714929365441</v>
      </c>
      <c r="F89" s="3">
        <v>15.749138864864101</v>
      </c>
      <c r="G89" s="3">
        <v>19.751210786972599</v>
      </c>
      <c r="H89" s="3">
        <v>12.241956322634501</v>
      </c>
      <c r="I89" s="3">
        <v>28.740138713787701</v>
      </c>
      <c r="J89" s="3">
        <v>21.253105953031401</v>
      </c>
      <c r="K89" s="3">
        <v>16.289979559167499</v>
      </c>
      <c r="L89" s="3">
        <v>21.947895221012502</v>
      </c>
      <c r="M89" s="3">
        <v>18.621048767388601</v>
      </c>
      <c r="N89" s="3">
        <v>11.9288059196513</v>
      </c>
    </row>
    <row r="90" spans="1:14" x14ac:dyDescent="0.35">
      <c r="A90" s="2">
        <v>44475</v>
      </c>
      <c r="B90" s="3">
        <v>34.074697166532303</v>
      </c>
      <c r="C90" s="3">
        <v>16.868999141947899</v>
      </c>
      <c r="D90" s="3">
        <v>14.447681140276501</v>
      </c>
      <c r="E90" s="3">
        <v>13.301861095464901</v>
      </c>
      <c r="F90" s="3">
        <v>14.7564875611827</v>
      </c>
      <c r="G90" s="3">
        <v>18.1333055670943</v>
      </c>
      <c r="H90" s="3">
        <v>11.823127523927401</v>
      </c>
      <c r="I90" s="3">
        <v>26.981404644034601</v>
      </c>
      <c r="J90" s="3">
        <v>20.296886824585201</v>
      </c>
      <c r="K90" s="3">
        <v>15.395810603688499</v>
      </c>
      <c r="L90" s="3">
        <v>20.015720707404999</v>
      </c>
      <c r="M90" s="3">
        <v>17.512526088427499</v>
      </c>
      <c r="N90" s="3">
        <v>11.5057030202485</v>
      </c>
    </row>
    <row r="91" spans="1:14" x14ac:dyDescent="0.35">
      <c r="A91" s="2">
        <v>44505</v>
      </c>
      <c r="B91" s="3">
        <v>33.734397275243097</v>
      </c>
      <c r="C91" s="3">
        <v>17.6986701468017</v>
      </c>
      <c r="D91" s="3">
        <v>14.9975714125687</v>
      </c>
      <c r="E91" s="3">
        <v>13.905861155573399</v>
      </c>
      <c r="F91" s="3">
        <v>15.426314839672401</v>
      </c>
      <c r="G91" s="3">
        <v>19.2619217341405</v>
      </c>
      <c r="H91" s="3">
        <v>12.1358772167425</v>
      </c>
      <c r="I91" s="3">
        <v>29.650537779632899</v>
      </c>
      <c r="J91" s="3">
        <v>21.4617578871406</v>
      </c>
      <c r="K91" s="3">
        <v>15.9884831395738</v>
      </c>
      <c r="L91" s="3">
        <v>21.5606452541615</v>
      </c>
      <c r="M91" s="3">
        <v>18.614692688112601</v>
      </c>
      <c r="N91" s="3">
        <v>11.908719114319799</v>
      </c>
    </row>
    <row r="92" spans="1:14" x14ac:dyDescent="0.35">
      <c r="A92" s="2">
        <v>44536</v>
      </c>
      <c r="B92" s="3">
        <v>31.5727914571243</v>
      </c>
      <c r="C92" s="3">
        <v>16.921326780110899</v>
      </c>
      <c r="D92" s="3">
        <v>14.2037227621379</v>
      </c>
      <c r="E92" s="3">
        <v>13.0265691094255</v>
      </c>
      <c r="F92" s="3">
        <v>14.3649531295213</v>
      </c>
      <c r="G92" s="3">
        <v>18.920777131675202</v>
      </c>
      <c r="H92" s="3">
        <v>11.9065578345348</v>
      </c>
      <c r="I92" s="3">
        <v>28.415516802712101</v>
      </c>
      <c r="J92" s="3">
        <v>20.7496826605568</v>
      </c>
      <c r="K92" s="3">
        <v>15.326028613217</v>
      </c>
      <c r="L92" s="3">
        <v>19.899616206055299</v>
      </c>
      <c r="M92" s="3">
        <v>18.7644094961306</v>
      </c>
      <c r="N92" s="3">
        <v>10.8645616240828</v>
      </c>
    </row>
    <row r="93" spans="1:14" x14ac:dyDescent="0.35">
      <c r="A93" s="2">
        <v>44567</v>
      </c>
      <c r="B93" s="3">
        <v>32.025308922107101</v>
      </c>
      <c r="C93" s="3">
        <v>17.142215662700501</v>
      </c>
      <c r="D93" s="3">
        <v>14.3292163650846</v>
      </c>
      <c r="E93" s="3">
        <v>13.4874660628155</v>
      </c>
      <c r="F93" s="3">
        <v>14.535035614759201</v>
      </c>
      <c r="G93" s="3">
        <v>19.484293229401999</v>
      </c>
      <c r="H93" s="3">
        <v>12.30384122761</v>
      </c>
      <c r="I93" s="3">
        <v>28.117861359094601</v>
      </c>
      <c r="J93" s="3">
        <v>20.965129611150399</v>
      </c>
      <c r="K93" s="3">
        <v>15.917095863202199</v>
      </c>
      <c r="L93" s="3">
        <v>20.099715371216</v>
      </c>
      <c r="M93" s="3">
        <v>18.711930485911601</v>
      </c>
      <c r="N93" s="3">
        <v>11.2244232659344</v>
      </c>
    </row>
    <row r="94" spans="1:14" x14ac:dyDescent="0.35">
      <c r="A94" s="2">
        <v>44596</v>
      </c>
      <c r="B94" s="3">
        <v>30.278627011963401</v>
      </c>
      <c r="C94" s="3">
        <v>15.8324556469375</v>
      </c>
      <c r="D94" s="3">
        <v>14.1827105139414</v>
      </c>
      <c r="E94" s="3">
        <v>12.6296919472422</v>
      </c>
      <c r="F94" s="3">
        <v>13.7802967302216</v>
      </c>
      <c r="G94" s="3">
        <v>18.072222990406502</v>
      </c>
      <c r="H94" s="3">
        <v>12.226636107521401</v>
      </c>
      <c r="I94" s="3">
        <v>25.866913725532399</v>
      </c>
      <c r="J94" s="3">
        <v>19.8383787585873</v>
      </c>
      <c r="K94" s="3">
        <v>14.8151799421668</v>
      </c>
      <c r="L94" s="3">
        <v>18.260906767329299</v>
      </c>
      <c r="M94" s="3">
        <v>16.317333359377699</v>
      </c>
      <c r="N94" s="3">
        <v>10.5799456219617</v>
      </c>
    </row>
    <row r="95" spans="1:14" x14ac:dyDescent="0.35">
      <c r="A95" s="2">
        <v>44624</v>
      </c>
      <c r="B95" s="3">
        <v>29.459261062196202</v>
      </c>
      <c r="C95" s="3">
        <v>15.699185544893099</v>
      </c>
      <c r="D95" s="3">
        <v>13.9791952098913</v>
      </c>
      <c r="E95" s="3">
        <v>10.6512178505404</v>
      </c>
      <c r="F95" s="3">
        <v>12.7648424887294</v>
      </c>
      <c r="G95" s="3">
        <v>17.099265057397702</v>
      </c>
      <c r="H95" s="3">
        <v>11.1822219282581</v>
      </c>
      <c r="I95" s="3">
        <v>24.041684683634902</v>
      </c>
      <c r="J95" s="3">
        <v>18.860331896685</v>
      </c>
      <c r="K95" s="3">
        <v>12.5930133805326</v>
      </c>
      <c r="L95" s="3">
        <v>16.272087516147199</v>
      </c>
      <c r="M95" s="3">
        <v>14.025463431023899</v>
      </c>
      <c r="N95" s="3">
        <v>8.9315736712448199</v>
      </c>
    </row>
    <row r="96" spans="1:14" x14ac:dyDescent="0.35">
      <c r="A96" s="2">
        <v>44657</v>
      </c>
      <c r="B96" s="3">
        <v>28.66565260558</v>
      </c>
      <c r="C96" s="3">
        <v>16.019435584163599</v>
      </c>
      <c r="D96" s="3">
        <v>13.488476855778201</v>
      </c>
      <c r="E96" s="3">
        <v>11.4045182786887</v>
      </c>
      <c r="F96" s="3">
        <v>13.0725161683003</v>
      </c>
      <c r="G96" s="3">
        <v>18.4144594367596</v>
      </c>
      <c r="H96" s="3">
        <v>11.2473446731222</v>
      </c>
      <c r="I96" s="3">
        <v>24.960336862146299</v>
      </c>
      <c r="J96" s="3">
        <v>19.156691940335499</v>
      </c>
      <c r="K96" s="3">
        <v>13.0838898195802</v>
      </c>
      <c r="L96" s="3">
        <v>17.799898964795901</v>
      </c>
      <c r="M96" s="3">
        <v>15.0823374308483</v>
      </c>
      <c r="N96" s="3">
        <v>9.5496105637285194</v>
      </c>
    </row>
    <row r="97" spans="1:14" x14ac:dyDescent="0.35">
      <c r="A97" s="2">
        <v>44687</v>
      </c>
      <c r="B97" s="3">
        <v>28.708317110886298</v>
      </c>
      <c r="C97" s="3">
        <v>14.4983071737409</v>
      </c>
      <c r="D97" s="3">
        <v>12.3965682584384</v>
      </c>
      <c r="E97" s="3">
        <v>10.5976472781197</v>
      </c>
      <c r="F97" s="3">
        <v>12.9143558911101</v>
      </c>
      <c r="G97" s="3">
        <v>17.184870982509899</v>
      </c>
      <c r="H97" s="3">
        <v>10.3021784529593</v>
      </c>
      <c r="I97" s="3">
        <v>22.075003116249199</v>
      </c>
      <c r="J97" s="3">
        <v>17.444937241298899</v>
      </c>
      <c r="K97" s="3">
        <v>12.198652545790999</v>
      </c>
      <c r="L97" s="3">
        <v>16.2547323218642</v>
      </c>
      <c r="M97" s="3">
        <v>13.734253299426999</v>
      </c>
      <c r="N97" s="3">
        <v>9.0418151170855108</v>
      </c>
    </row>
    <row r="98" spans="1:14" x14ac:dyDescent="0.35">
      <c r="A98" s="2">
        <v>44718</v>
      </c>
      <c r="B98" s="3">
        <v>26.3678625928899</v>
      </c>
      <c r="C98" s="3">
        <v>14.2177744350121</v>
      </c>
      <c r="D98" s="3">
        <v>12.434510660876899</v>
      </c>
      <c r="E98" s="3">
        <v>11.170379432087699</v>
      </c>
      <c r="F98" s="3">
        <v>12.967301666536001</v>
      </c>
      <c r="G98" s="3">
        <v>16.7859704755347</v>
      </c>
      <c r="H98" s="3">
        <v>10.5396542265582</v>
      </c>
      <c r="I98" s="3">
        <v>21.711675727087702</v>
      </c>
      <c r="J98" s="3">
        <v>17.257876503485001</v>
      </c>
      <c r="K98" s="3">
        <v>12.5376957642317</v>
      </c>
      <c r="L98" s="3">
        <v>17.482815400472401</v>
      </c>
      <c r="M98" s="3">
        <v>15.9055529444813</v>
      </c>
      <c r="N98" s="3">
        <v>8.9050289863012697</v>
      </c>
    </row>
    <row r="99" spans="1:14" x14ac:dyDescent="0.35">
      <c r="A99" s="2">
        <v>44748</v>
      </c>
      <c r="B99" s="3">
        <v>26.1774033321289</v>
      </c>
      <c r="C99" s="3">
        <v>12.615861103123599</v>
      </c>
      <c r="D99" s="3">
        <v>11.030725911572199</v>
      </c>
      <c r="E99" s="3">
        <v>9.5573255142719606</v>
      </c>
      <c r="F99" s="3">
        <v>12.2452415555424</v>
      </c>
      <c r="G99" s="3">
        <v>15.884086998538599</v>
      </c>
      <c r="H99" s="3">
        <v>9.2809840843448193</v>
      </c>
      <c r="I99" s="3">
        <v>20.5303970320434</v>
      </c>
      <c r="J99" s="3">
        <v>16.0467893200261</v>
      </c>
      <c r="K99" s="3">
        <v>10.979609163242101</v>
      </c>
      <c r="L99" s="3">
        <v>15.731488978063799</v>
      </c>
      <c r="M99" s="3">
        <v>14.3943223234205</v>
      </c>
      <c r="N99" s="3">
        <v>7.5334066950441896</v>
      </c>
    </row>
    <row r="100" spans="1:14" x14ac:dyDescent="0.35">
      <c r="A100" s="2">
        <v>44778</v>
      </c>
      <c r="B100" s="3">
        <v>26.713673611817399</v>
      </c>
      <c r="C100" s="3">
        <v>13.890365831348401</v>
      </c>
      <c r="D100" s="3">
        <v>11.504987698382999</v>
      </c>
      <c r="E100" s="3">
        <v>10.201722216470399</v>
      </c>
      <c r="F100" s="3">
        <v>12.7678879798978</v>
      </c>
      <c r="G100" s="3">
        <v>16.7357902264594</v>
      </c>
      <c r="H100" s="3">
        <v>9.7423664898649101</v>
      </c>
      <c r="I100" s="3">
        <v>23.4492314385006</v>
      </c>
      <c r="J100" s="3">
        <v>17.4881973032697</v>
      </c>
      <c r="K100" s="3">
        <v>11.713910630755599</v>
      </c>
      <c r="L100" s="3">
        <v>17.8448634188039</v>
      </c>
      <c r="M100" s="3">
        <v>14.903684338886199</v>
      </c>
      <c r="N100" s="3">
        <v>7.6933539466974201</v>
      </c>
    </row>
    <row r="101" spans="1:14" x14ac:dyDescent="0.35">
      <c r="A101" s="2">
        <v>44810</v>
      </c>
      <c r="B101" s="3">
        <v>26.8185476282782</v>
      </c>
      <c r="C101" s="3">
        <v>13.512035801216699</v>
      </c>
      <c r="D101" s="3">
        <v>11.195231512904201</v>
      </c>
      <c r="E101" s="3">
        <v>9.6346873298495002</v>
      </c>
      <c r="F101" s="3">
        <v>12.585972358906499</v>
      </c>
      <c r="G101" s="3">
        <v>15.954283574354299</v>
      </c>
      <c r="H101" s="3">
        <v>9.2262982839773109</v>
      </c>
      <c r="I101" s="3">
        <v>21.296313970551498</v>
      </c>
      <c r="J101" s="3">
        <v>16.434556918457801</v>
      </c>
      <c r="K101" s="3">
        <v>11.0013673867838</v>
      </c>
      <c r="L101" s="3">
        <v>15.7948672677266</v>
      </c>
      <c r="M101" s="3">
        <v>13.817996003274001</v>
      </c>
      <c r="N101" s="3">
        <v>7.4810141326679203</v>
      </c>
    </row>
    <row r="102" spans="1:14" x14ac:dyDescent="0.35">
      <c r="A102" s="2">
        <v>44840</v>
      </c>
      <c r="B102" s="3">
        <v>24.143787415262199</v>
      </c>
      <c r="C102" s="3">
        <v>13.3286805752921</v>
      </c>
      <c r="D102" s="3">
        <v>11.0785042735308</v>
      </c>
      <c r="E102" s="3">
        <v>9.2385906507443796</v>
      </c>
      <c r="F102" s="3">
        <v>12.4421552354861</v>
      </c>
      <c r="G102" s="3">
        <v>15.1235769410399</v>
      </c>
      <c r="H102" s="3">
        <v>8.7207270079914796</v>
      </c>
      <c r="I102" s="3">
        <v>20.412625714490801</v>
      </c>
      <c r="J102" s="3">
        <v>15.8239212076721</v>
      </c>
      <c r="K102" s="3">
        <v>10.578400924668101</v>
      </c>
      <c r="L102" s="3">
        <v>15.051159854905</v>
      </c>
      <c r="M102" s="3">
        <v>13.3956586293732</v>
      </c>
      <c r="N102" s="3">
        <v>7.3250440435308199</v>
      </c>
    </row>
    <row r="103" spans="1:14" x14ac:dyDescent="0.35">
      <c r="A103" s="2">
        <v>44869</v>
      </c>
      <c r="B103" s="3">
        <v>23.5137564579036</v>
      </c>
      <c r="C103" s="3">
        <v>13.4695934600517</v>
      </c>
      <c r="D103" s="3">
        <v>11.518614667542099</v>
      </c>
      <c r="E103" s="3">
        <v>10.033085311993</v>
      </c>
      <c r="F103" s="3">
        <v>12.4068215482135</v>
      </c>
      <c r="G103" s="3">
        <v>15.9973445283015</v>
      </c>
      <c r="H103" s="3">
        <v>9.2107465412460297</v>
      </c>
      <c r="I103" s="3">
        <v>20.264359416364801</v>
      </c>
      <c r="J103" s="3">
        <v>16.319602184260301</v>
      </c>
      <c r="K103" s="3">
        <v>11.425481018993199</v>
      </c>
      <c r="L103" s="3">
        <v>14.9663822101944</v>
      </c>
      <c r="M103" s="3">
        <v>12.6357197291214</v>
      </c>
      <c r="N103" s="3">
        <v>8.0748708304560299</v>
      </c>
    </row>
    <row r="104" spans="1:14" x14ac:dyDescent="0.35">
      <c r="A104" s="2">
        <v>44901</v>
      </c>
      <c r="B104" s="3">
        <v>23.2911965512493</v>
      </c>
      <c r="C104" s="3">
        <v>14.575407904458</v>
      </c>
      <c r="D104" s="3">
        <v>12.175955358085201</v>
      </c>
      <c r="E104" s="3">
        <v>10.7109694800535</v>
      </c>
      <c r="F104" s="3">
        <v>12.714717190278799</v>
      </c>
      <c r="G104" s="3">
        <v>16.699487871436801</v>
      </c>
      <c r="H104" s="3">
        <v>9.9344889493685695</v>
      </c>
      <c r="I104" s="3">
        <v>21.437076023064002</v>
      </c>
      <c r="J104" s="3">
        <v>17.030680961376198</v>
      </c>
      <c r="K104" s="3">
        <v>12.103566325082801</v>
      </c>
      <c r="L104" s="3">
        <v>16.2345555698226</v>
      </c>
      <c r="M104" s="3">
        <v>13.0437549544767</v>
      </c>
      <c r="N104" s="3">
        <v>7.7669966921598501</v>
      </c>
    </row>
    <row r="105" spans="1:14" x14ac:dyDescent="0.35">
      <c r="A105" s="2">
        <v>44932</v>
      </c>
      <c r="B105" s="3">
        <v>23.4860208600488</v>
      </c>
      <c r="C105" s="3">
        <v>14.106649426659899</v>
      </c>
      <c r="D105" s="3">
        <v>12.2201575774045</v>
      </c>
      <c r="E105" s="3">
        <v>11.0496304104333</v>
      </c>
      <c r="F105" s="3">
        <v>12.168569326255501</v>
      </c>
      <c r="G105" s="3">
        <v>16.868135764274999</v>
      </c>
      <c r="H105" s="3">
        <v>10.1828519241928</v>
      </c>
      <c r="I105" s="3">
        <v>21.0619732121136</v>
      </c>
      <c r="J105" s="3">
        <v>16.918449730899098</v>
      </c>
      <c r="K105" s="3">
        <v>12.536003256385801</v>
      </c>
      <c r="L105" s="3">
        <v>16.3380873670115</v>
      </c>
      <c r="M105" s="3">
        <v>13.139702249576001</v>
      </c>
      <c r="N105" s="3">
        <v>8.0588750186282105</v>
      </c>
    </row>
    <row r="106" spans="1:14" x14ac:dyDescent="0.35">
      <c r="A106" s="2">
        <v>44963</v>
      </c>
      <c r="B106" s="3">
        <v>24.423868681285999</v>
      </c>
      <c r="C106" s="3">
        <v>14.9647807965494</v>
      </c>
      <c r="D106" s="3">
        <v>12.9778355967398</v>
      </c>
      <c r="E106" s="3">
        <v>11.6803113283807</v>
      </c>
      <c r="F106" s="3">
        <v>12.9222303243019</v>
      </c>
      <c r="G106" s="3">
        <v>17.255776264456902</v>
      </c>
      <c r="H106" s="3">
        <v>10.3657300945424</v>
      </c>
      <c r="I106" s="3">
        <v>24.069811028490101</v>
      </c>
      <c r="J106" s="3">
        <v>18.1362499987098</v>
      </c>
      <c r="K106" s="3">
        <v>13.2109995311614</v>
      </c>
      <c r="L106" s="3">
        <v>16.9998820587683</v>
      </c>
      <c r="M106" s="3">
        <v>14.2905891282012</v>
      </c>
      <c r="N106" s="3">
        <v>8.3509211428259391</v>
      </c>
    </row>
    <row r="107" spans="1:14" x14ac:dyDescent="0.35">
      <c r="A107" s="2">
        <v>44991</v>
      </c>
      <c r="B107" s="3">
        <v>23.612235280450399</v>
      </c>
      <c r="C107" s="3">
        <v>14.6094861766839</v>
      </c>
      <c r="D107" s="3">
        <v>12.9266925898701</v>
      </c>
      <c r="E107" s="3">
        <v>11.7058704254341</v>
      </c>
      <c r="F107" s="3">
        <v>13.418549899380301</v>
      </c>
      <c r="G107" s="3">
        <v>17.097035819853598</v>
      </c>
      <c r="H107" s="3">
        <v>10.5290888832024</v>
      </c>
      <c r="I107" s="3">
        <v>23.548018653229999</v>
      </c>
      <c r="J107" s="3">
        <v>17.801114620246199</v>
      </c>
      <c r="K107" s="3">
        <v>13.391441327662401</v>
      </c>
      <c r="L107" s="3">
        <v>16.646599337638399</v>
      </c>
      <c r="M107" s="3">
        <v>14.2840780766146</v>
      </c>
      <c r="N107" s="3">
        <v>8.8019228807797294</v>
      </c>
    </row>
    <row r="108" spans="1:14" x14ac:dyDescent="0.35">
      <c r="A108" s="2">
        <v>45022</v>
      </c>
      <c r="B108" s="3">
        <v>23.379210161230599</v>
      </c>
      <c r="C108" s="3">
        <v>14.4088833649342</v>
      </c>
      <c r="D108" s="3">
        <v>12.7642705625729</v>
      </c>
      <c r="E108" s="3">
        <v>11.3238314607596</v>
      </c>
      <c r="F108" s="3">
        <v>12.8980042563252</v>
      </c>
      <c r="G108" s="3">
        <v>17.3221795652853</v>
      </c>
      <c r="H108" s="3">
        <v>10.581631669777501</v>
      </c>
      <c r="I108" s="3">
        <v>24.802621267899401</v>
      </c>
      <c r="J108" s="3">
        <v>18.055789741050301</v>
      </c>
      <c r="K108" s="3">
        <v>13.352752825845601</v>
      </c>
      <c r="L108" s="3">
        <v>16.3025969272609</v>
      </c>
      <c r="M108" s="3">
        <v>13.463480812708699</v>
      </c>
      <c r="N108" s="3">
        <v>8.5751990288260291</v>
      </c>
    </row>
    <row r="109" spans="1:14" x14ac:dyDescent="0.35">
      <c r="A109" s="2">
        <v>45051</v>
      </c>
      <c r="B109" s="3">
        <v>23.429240772859998</v>
      </c>
      <c r="C109" s="3">
        <v>14.521848117362</v>
      </c>
      <c r="D109" s="3">
        <v>13.017143636261601</v>
      </c>
      <c r="E109" s="3">
        <v>11.2163098357458</v>
      </c>
      <c r="F109" s="3">
        <v>13.6269253564947</v>
      </c>
      <c r="G109" s="3">
        <v>17.681170655060999</v>
      </c>
      <c r="H109" s="3">
        <v>10.6292105586726</v>
      </c>
      <c r="I109" s="3">
        <v>24.553189140732002</v>
      </c>
      <c r="J109" s="3">
        <v>18.0138802144007</v>
      </c>
      <c r="K109" s="3">
        <v>13.5474729070507</v>
      </c>
      <c r="L109" s="3">
        <v>15.7952981779816</v>
      </c>
      <c r="M109" s="3">
        <v>13.6681760437012</v>
      </c>
      <c r="N109" s="3">
        <v>8.5087107525575796</v>
      </c>
    </row>
    <row r="110" spans="1:14" x14ac:dyDescent="0.35">
      <c r="A110" s="2">
        <v>45083</v>
      </c>
      <c r="B110" s="3">
        <v>21.0524652962659</v>
      </c>
      <c r="C110" s="3">
        <v>14.433647226017101</v>
      </c>
      <c r="D110" s="3">
        <v>12.9496419264447</v>
      </c>
      <c r="E110" s="3">
        <v>10.803816932461199</v>
      </c>
      <c r="F110" s="3">
        <v>14.6816674456173</v>
      </c>
      <c r="G110" s="3">
        <v>16.7448401798455</v>
      </c>
      <c r="H110" s="3">
        <v>10.30032585404</v>
      </c>
      <c r="I110" s="3">
        <v>26.092374736373198</v>
      </c>
      <c r="J110" s="3">
        <v>18.450382801838</v>
      </c>
      <c r="K110" s="3">
        <v>13.005901204758899</v>
      </c>
      <c r="L110" s="3">
        <v>15.6816887339779</v>
      </c>
      <c r="M110" s="3">
        <v>13.638788732586899</v>
      </c>
      <c r="N110" s="3">
        <v>8.5434102696433492</v>
      </c>
    </row>
    <row r="111" spans="1:14" x14ac:dyDescent="0.35">
      <c r="A111" s="2">
        <v>45113</v>
      </c>
      <c r="B111" s="3">
        <v>21.086858926012798</v>
      </c>
      <c r="C111" s="3">
        <v>14.8419931868111</v>
      </c>
      <c r="D111" s="3">
        <v>12.7687025797954</v>
      </c>
      <c r="E111" s="3">
        <v>10.4010541829728</v>
      </c>
      <c r="F111" s="3">
        <v>14.7729287795632</v>
      </c>
      <c r="G111" s="3">
        <v>16.078605265954302</v>
      </c>
      <c r="H111" s="3">
        <v>10.025084643801801</v>
      </c>
      <c r="I111" s="3">
        <v>26.559265886615599</v>
      </c>
      <c r="J111" s="3">
        <v>18.953040994259801</v>
      </c>
      <c r="K111" s="3">
        <v>12.6986534360182</v>
      </c>
      <c r="L111" s="3">
        <v>15.4755442489686</v>
      </c>
      <c r="M111" s="3">
        <v>13.149298644060099</v>
      </c>
      <c r="N111" s="3">
        <v>8.5584579054308794</v>
      </c>
    </row>
    <row r="112" spans="1:14" x14ac:dyDescent="0.35">
      <c r="A112" s="2">
        <v>45142</v>
      </c>
      <c r="B112" s="3">
        <v>20.9424546735886</v>
      </c>
      <c r="C112" s="3">
        <v>15.4026298204681</v>
      </c>
      <c r="D112" s="3">
        <v>13.208959184377701</v>
      </c>
      <c r="E112" s="3">
        <v>10.6651354219102</v>
      </c>
      <c r="F112" s="3">
        <v>14.439028114480401</v>
      </c>
      <c r="G112" s="3">
        <v>16.631718380807701</v>
      </c>
      <c r="H112" s="3">
        <v>10.5725881108624</v>
      </c>
      <c r="I112" s="3">
        <v>24.9004058224312</v>
      </c>
      <c r="J112" s="3">
        <v>19.013549978385999</v>
      </c>
      <c r="K112" s="3">
        <v>13.0453058406158</v>
      </c>
      <c r="L112" s="3">
        <v>15.672465334919799</v>
      </c>
      <c r="M112" s="3">
        <v>13.114855522945399</v>
      </c>
      <c r="N112" s="3">
        <v>8.3889777085031199</v>
      </c>
    </row>
    <row r="113" spans="1:25" x14ac:dyDescent="0.35">
      <c r="A113" s="2">
        <v>45175</v>
      </c>
      <c r="B113" s="3">
        <v>20.4778576707787</v>
      </c>
      <c r="C113" s="3">
        <v>15.4204917069428</v>
      </c>
      <c r="D113" s="3">
        <v>13.129134627742999</v>
      </c>
      <c r="E113" s="3">
        <v>10.5756062043345</v>
      </c>
      <c r="F113" s="3">
        <v>14.9101082302624</v>
      </c>
      <c r="G113" s="3">
        <v>16.359493944826401</v>
      </c>
      <c r="H113" s="3">
        <v>10.2621314150314</v>
      </c>
      <c r="I113" s="3">
        <v>24.3891295301089</v>
      </c>
      <c r="J113" s="3">
        <v>18.6461879151848</v>
      </c>
      <c r="K113" s="3">
        <v>12.7206676761627</v>
      </c>
      <c r="L113" s="3">
        <v>14.6061045005435</v>
      </c>
      <c r="M113" s="3">
        <v>13.124114364139601</v>
      </c>
      <c r="N113" s="3">
        <v>8.3497715492293505</v>
      </c>
    </row>
    <row r="114" spans="1:25" x14ac:dyDescent="0.35">
      <c r="A114" s="2">
        <v>45205</v>
      </c>
      <c r="B114" s="3">
        <v>19.9112123171235</v>
      </c>
      <c r="C114" s="3">
        <v>14.514142221814099</v>
      </c>
      <c r="D114" s="3">
        <v>12.367385464674101</v>
      </c>
      <c r="E114" s="3">
        <v>10.207625745160801</v>
      </c>
      <c r="F114" s="3">
        <v>13.9672916710377</v>
      </c>
      <c r="G114" s="3">
        <v>15.9277955922243</v>
      </c>
      <c r="H114" s="3">
        <v>10.243615711363001</v>
      </c>
      <c r="I114" s="3">
        <v>23.5248442177638</v>
      </c>
      <c r="J114" s="3">
        <v>17.919852931819101</v>
      </c>
      <c r="K114" s="3">
        <v>12.345920801816099</v>
      </c>
      <c r="L114" s="3">
        <v>13.507392187788099</v>
      </c>
      <c r="M114" s="3">
        <v>12.8551416679339</v>
      </c>
      <c r="N114" s="3">
        <v>8.08333039251632</v>
      </c>
    </row>
    <row r="115" spans="1:25" x14ac:dyDescent="0.35">
      <c r="A115" s="2">
        <v>45236</v>
      </c>
      <c r="B115" s="3">
        <v>20.3857190643667</v>
      </c>
      <c r="C115" s="3">
        <v>14.941244954752401</v>
      </c>
      <c r="D115" s="3">
        <v>12.5347657343865</v>
      </c>
      <c r="E115" s="3">
        <v>10.116377715462599</v>
      </c>
      <c r="F115" s="3">
        <v>14.384863871963899</v>
      </c>
      <c r="G115" s="3">
        <v>15.735739422618799</v>
      </c>
      <c r="H115" s="3">
        <v>10.269910678014901</v>
      </c>
      <c r="I115" s="3">
        <v>23.4285067189724</v>
      </c>
      <c r="J115" s="3">
        <v>18.0536477328505</v>
      </c>
      <c r="K115" s="3">
        <v>12.390909159414599</v>
      </c>
      <c r="L115" s="3">
        <v>13.804287942195399</v>
      </c>
      <c r="M115" s="3">
        <v>12.8331383217583</v>
      </c>
      <c r="N115" s="3">
        <v>8.1530887561388194</v>
      </c>
    </row>
    <row r="116" spans="1:25" x14ac:dyDescent="0.35">
      <c r="A116" s="2">
        <v>45266</v>
      </c>
      <c r="B116" s="3">
        <v>21.7325348887119</v>
      </c>
      <c r="C116" s="3">
        <v>15.4036805345046</v>
      </c>
      <c r="D116" s="3">
        <v>12.9990138081577</v>
      </c>
      <c r="E116" s="3">
        <v>11.216206241339099</v>
      </c>
      <c r="F116" s="3">
        <v>14.2678440941266</v>
      </c>
      <c r="G116" s="3">
        <v>16.4863008675343</v>
      </c>
      <c r="H116" s="3">
        <v>10.518559518398799</v>
      </c>
      <c r="I116" s="3">
        <v>23.921312446650798</v>
      </c>
      <c r="J116" s="3">
        <v>18.611898138224799</v>
      </c>
      <c r="K116" s="3">
        <v>13.1445972833722</v>
      </c>
      <c r="L116" s="3">
        <v>14.7349029488305</v>
      </c>
      <c r="M116" s="3">
        <v>14.967935128500701</v>
      </c>
      <c r="N116" s="3">
        <v>8.7942083632605801</v>
      </c>
    </row>
    <row r="117" spans="1:25" x14ac:dyDescent="0.35">
      <c r="A117" s="2">
        <v>45296</v>
      </c>
      <c r="B117" s="3">
        <v>22.7887186845584</v>
      </c>
      <c r="C117" s="3">
        <v>16.186897153915201</v>
      </c>
      <c r="D117" s="3">
        <v>13.6417179963574</v>
      </c>
      <c r="E117" s="3">
        <v>11.0404001224321</v>
      </c>
      <c r="F117" s="3">
        <v>14.150672595243</v>
      </c>
      <c r="G117" s="3">
        <v>16.920505557958901</v>
      </c>
      <c r="H117" s="3">
        <v>11.0377465597886</v>
      </c>
      <c r="I117" s="3">
        <v>24.2508432947538</v>
      </c>
      <c r="J117" s="3">
        <v>19.2062981299927</v>
      </c>
      <c r="K117" s="3">
        <v>13.2133707013845</v>
      </c>
      <c r="L117" s="3">
        <v>14.715260711085399</v>
      </c>
      <c r="M117" s="3">
        <v>15.225691858923399</v>
      </c>
      <c r="N117" s="3">
        <v>8.9524141174061995</v>
      </c>
    </row>
    <row r="118" spans="1:25" x14ac:dyDescent="0.35">
      <c r="A118" s="2">
        <v>45328</v>
      </c>
      <c r="B118" s="3">
        <v>22.576624119567001</v>
      </c>
      <c r="C118" s="3">
        <v>16.304903133800401</v>
      </c>
      <c r="D118" s="3">
        <v>13.793554581947999</v>
      </c>
      <c r="E118" s="3">
        <v>11.605204759844201</v>
      </c>
      <c r="F118" s="3">
        <v>14.890988240620199</v>
      </c>
      <c r="G118" s="3">
        <v>17.1801449760606</v>
      </c>
      <c r="H118" s="3">
        <v>11.138012676961299</v>
      </c>
      <c r="I118" s="3">
        <v>25.834671895403702</v>
      </c>
      <c r="J118" s="3">
        <v>20.1162833187743</v>
      </c>
      <c r="K118" s="3">
        <v>13.715780120270299</v>
      </c>
      <c r="L118" s="3">
        <v>15.923165403825999</v>
      </c>
      <c r="M118" s="3">
        <v>15.5941384268243</v>
      </c>
      <c r="N118" s="3">
        <v>9.0606872339080908</v>
      </c>
    </row>
    <row r="119" spans="1:25" x14ac:dyDescent="0.35">
      <c r="A119" s="2">
        <v>45357</v>
      </c>
      <c r="B119" s="3">
        <v>24.755243657863701</v>
      </c>
      <c r="C119" s="3">
        <v>16.642029518895502</v>
      </c>
      <c r="D119" s="3">
        <v>14.3488421118531</v>
      </c>
      <c r="E119" s="3">
        <v>12.022094759333299</v>
      </c>
      <c r="F119" s="3">
        <v>15.8770756377629</v>
      </c>
      <c r="G119" s="3">
        <v>17.534156019976798</v>
      </c>
      <c r="H119" s="3">
        <v>11.249213529301899</v>
      </c>
      <c r="I119" s="3">
        <v>26.080062885826099</v>
      </c>
      <c r="J119" s="3">
        <v>20.461611848451099</v>
      </c>
      <c r="K119" s="3">
        <v>14.344974311102201</v>
      </c>
      <c r="L119" s="3">
        <v>16.130535797345502</v>
      </c>
      <c r="M119" s="3">
        <v>16.346665465206499</v>
      </c>
      <c r="N119" s="3">
        <v>9.4479972345451309</v>
      </c>
    </row>
    <row r="120" spans="1:25" x14ac:dyDescent="0.35">
      <c r="A120" s="2">
        <v>45387</v>
      </c>
      <c r="B120" s="3">
        <v>25.104527867583201</v>
      </c>
      <c r="C120" s="3">
        <v>16.665670207646201</v>
      </c>
      <c r="D120" s="3">
        <v>14.665316044381701</v>
      </c>
      <c r="E120" s="3">
        <v>12.170461880776299</v>
      </c>
      <c r="F120" s="3">
        <v>15.4498865491275</v>
      </c>
      <c r="G120" s="3">
        <v>17.2791385715663</v>
      </c>
      <c r="H120" s="3">
        <v>11.473546514710399</v>
      </c>
      <c r="I120" s="3">
        <v>25.915611475327101</v>
      </c>
      <c r="J120" s="3">
        <v>20.690637662915599</v>
      </c>
      <c r="K120" s="3">
        <v>14.473857709249</v>
      </c>
      <c r="L120" s="3">
        <v>16.260436131444401</v>
      </c>
      <c r="M120" s="3">
        <v>16.274528981970299</v>
      </c>
      <c r="N120" s="3">
        <v>9.5878412003537292</v>
      </c>
    </row>
    <row r="121" spans="1:25" x14ac:dyDescent="0.35">
      <c r="A121" s="2">
        <v>45418</v>
      </c>
      <c r="B121" s="3">
        <v>25.124455300013899</v>
      </c>
      <c r="C121" s="3">
        <v>16.5995792668412</v>
      </c>
      <c r="D121" s="3">
        <v>14.457573625930699</v>
      </c>
      <c r="E121" s="3">
        <v>12.0220544223688</v>
      </c>
      <c r="F121" s="3">
        <v>15.4313852337695</v>
      </c>
      <c r="G121" s="3">
        <v>16.750429046287099</v>
      </c>
      <c r="H121" s="3">
        <v>11.636409865565</v>
      </c>
      <c r="I121" s="3">
        <v>25.574721057571601</v>
      </c>
      <c r="J121" s="3">
        <v>20.330649641522101</v>
      </c>
      <c r="K121" s="3">
        <v>14.397671557119599</v>
      </c>
      <c r="L121" s="3">
        <v>15.8494925890405</v>
      </c>
      <c r="M121" s="3">
        <v>16.062929931031501</v>
      </c>
      <c r="N121" s="3">
        <v>9.6402286532537094</v>
      </c>
    </row>
    <row r="122" spans="1:25" x14ac:dyDescent="0.35">
      <c r="A122" s="2">
        <v>45446</v>
      </c>
      <c r="B122" s="3">
        <v>24.3289399276116</v>
      </c>
      <c r="C122" s="3">
        <v>16.699633225816601</v>
      </c>
      <c r="D122" s="3">
        <v>14.073631654769001</v>
      </c>
      <c r="E122" s="3">
        <v>11.9874865224613</v>
      </c>
      <c r="F122" s="3">
        <v>15.7529227384706</v>
      </c>
      <c r="G122" s="3">
        <v>17.2609570230609</v>
      </c>
      <c r="H122" s="3">
        <v>11.636583440462299</v>
      </c>
      <c r="I122" s="3">
        <v>26.353011031624401</v>
      </c>
      <c r="J122" s="3">
        <v>20.489784568601799</v>
      </c>
      <c r="K122" s="3">
        <v>14.3449380417246</v>
      </c>
      <c r="L122" s="3">
        <v>16.2123023575543</v>
      </c>
      <c r="M122" s="3">
        <v>16.261228344961701</v>
      </c>
      <c r="N122" s="3">
        <v>9.6719531188657299</v>
      </c>
    </row>
    <row r="124" spans="1:25" x14ac:dyDescent="0.35">
      <c r="A124" s="2" t="s">
        <v>91</v>
      </c>
      <c r="B124" s="3" cm="1">
        <f t="array" ref="B124">MIN(_xlfn._xlws.FILTER(B1:B122, ISNUMBER(B1:B122)))</f>
        <v>16.9995835657644</v>
      </c>
      <c r="C124" s="3" cm="1">
        <f t="array" ref="C124">MIN(_xlfn._xlws.FILTER(C1:C122, ISNUMBER(C1:C122)))</f>
        <v>12.615861103123599</v>
      </c>
      <c r="D124" s="3" cm="1">
        <f t="array" ref="D124">MIN(_xlfn._xlws.FILTER(D1:D122, ISNUMBER(D1:D122)))</f>
        <v>11.030725911572199</v>
      </c>
      <c r="E124" s="3" cm="1">
        <f t="array" ref="E124">MIN(_xlfn._xlws.FILTER(E1:E122, ISNUMBER(E1:E122)))</f>
        <v>9.2385906507443796</v>
      </c>
      <c r="F124" s="3" cm="1">
        <f t="array" ref="F124">MIN(_xlfn._xlws.FILTER(F1:F122, ISNUMBER(F1:F122)))</f>
        <v>10.954834020876101</v>
      </c>
      <c r="G124" s="3" cm="1">
        <f t="array" ref="G124">MIN(_xlfn._xlws.FILTER(G1:G122, ISNUMBER(G1:G122)))</f>
        <v>14.7844400374552</v>
      </c>
      <c r="H124" s="3" cm="1">
        <f t="array" ref="H124">MIN(_xlfn._xlws.FILTER(H1:H122, ISNUMBER(H1:H122)))</f>
        <v>8.7207270079914796</v>
      </c>
      <c r="I124" s="3" cm="1">
        <f t="array" ref="I124">MIN(_xlfn._xlws.FILTER(I1:I122, ISNUMBER(I1:I122)))</f>
        <v>16.271578394694899</v>
      </c>
      <c r="J124" s="3" cm="1">
        <f t="array" ref="J124">MIN(_xlfn._xlws.FILTER(J1:J122, ISNUMBER(J1:J122)))</f>
        <v>14.6350443624539</v>
      </c>
      <c r="K124" s="3" cm="1">
        <f t="array" ref="K124">MIN(_xlfn._xlws.FILTER(K1:K122, ISNUMBER(K1:K122)))</f>
        <v>10.578400924668101</v>
      </c>
      <c r="L124" s="3" cm="1">
        <f t="array" ref="L124">MIN(_xlfn._xlws.FILTER(L1:L122, ISNUMBER(L1:L122)))</f>
        <v>13.120370306583</v>
      </c>
      <c r="M124" s="3" cm="1">
        <f t="array" ref="M124">MIN(_xlfn._xlws.FILTER(M1:M122, ISNUMBER(M1:M122)))</f>
        <v>12.6357197291214</v>
      </c>
      <c r="N124" s="3" cm="1">
        <f t="array" ref="N124">MIN(_xlfn._xlws.FILTER(N1:N122, ISNUMBER(N1:N122)))</f>
        <v>7.3250440435308199</v>
      </c>
    </row>
    <row r="125" spans="1:25" x14ac:dyDescent="0.35">
      <c r="A125" s="2" t="s">
        <v>92</v>
      </c>
      <c r="B125" s="3" cm="1">
        <f t="array" ref="B125">MAX(_xlfn._xlws.FILTER(B1:B122, ISNUMBER(B1:B122)))</f>
        <v>35.055802509477203</v>
      </c>
      <c r="C125" s="3" cm="1">
        <f t="array" ref="C125">MAX(_xlfn._xlws.FILTER(C1:C122, ISNUMBER(C1:C122)))</f>
        <v>19.895533141163298</v>
      </c>
      <c r="D125" s="3" cm="1">
        <f t="array" ref="D125">MAX(_xlfn._xlws.FILTER(D1:D122, ISNUMBER(D1:D122)))</f>
        <v>18.5972743230184</v>
      </c>
      <c r="E125" s="3" cm="1">
        <f t="array" ref="E125">MAX(_xlfn._xlws.FILTER(E1:E122, ISNUMBER(E1:E122)))</f>
        <v>18.433436694067002</v>
      </c>
      <c r="F125" s="3" cm="1">
        <f t="array" ref="F125">MAX(_xlfn._xlws.FILTER(F1:F122, ISNUMBER(F1:F122)))</f>
        <v>18.701571269469799</v>
      </c>
      <c r="G125" s="3" cm="1">
        <f t="array" ref="G125">MAX(_xlfn._xlws.FILTER(G1:G122, ISNUMBER(G1:G122)))</f>
        <v>19.751210786972599</v>
      </c>
      <c r="H125" s="3" cm="1">
        <f t="array" ref="H125">MAX(_xlfn._xlws.FILTER(H1:H122, ISNUMBER(H1:H122)))</f>
        <v>16.990901933621601</v>
      </c>
      <c r="I125" s="3" cm="1">
        <f t="array" ref="I125">MAX(_xlfn._xlws.FILTER(I1:I122, ISNUMBER(I1:I122)))</f>
        <v>30.1632566756378</v>
      </c>
      <c r="J125" s="3" cm="1">
        <f t="array" ref="J125">MAX(_xlfn._xlws.FILTER(J1:J122, ISNUMBER(J1:J122)))</f>
        <v>22.6403510993092</v>
      </c>
      <c r="K125" s="3" cm="1">
        <f t="array" ref="K125">MAX(_xlfn._xlws.FILTER(K1:K122, ISNUMBER(K1:K122)))</f>
        <v>19.6296350648839</v>
      </c>
      <c r="L125" s="3" cm="1">
        <f t="array" ref="L125">MAX(_xlfn._xlws.FILTER(L1:L122, ISNUMBER(L1:L122)))</f>
        <v>22.816351665221401</v>
      </c>
      <c r="M125" s="3" cm="1">
        <f t="array" ref="M125">MAX(_xlfn._xlws.FILTER(M1:M122, ISNUMBER(M1:M122)))</f>
        <v>20.436986702684798</v>
      </c>
      <c r="N125" s="3" cm="1">
        <f t="array" ref="N125">MAX(_xlfn._xlws.FILTER(N1:N122, ISNUMBER(N1:N122)))</f>
        <v>18.127879410310701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0.65500000000000003</v>
      </c>
      <c r="C127" s="9" cm="1">
        <f t="array" ref="C127">_xlfn.PERCENTRANK.EXC(_xlfn._xlws.FILTER(C1:C122, ISNUMBER(C1:C122)),C122)</f>
        <v>0.78600000000000003</v>
      </c>
      <c r="D127" s="9" cm="1">
        <f t="array" ref="D127">_xlfn.PERCENTRANK.EXC(_xlfn._xlws.FILTER(D1:D122, ISNUMBER(D1:D122)),D122)</f>
        <v>0.33600000000000002</v>
      </c>
      <c r="E127" s="9" cm="1">
        <f t="array" ref="E127">_xlfn.PERCENTRANK.EXC(_xlfn._xlws.FILTER(E1:E122, ISNUMBER(E1:E122)),E122)</f>
        <v>0.254</v>
      </c>
      <c r="F127" s="9" cm="1">
        <f t="array" ref="F127">_xlfn.PERCENTRANK.EXC(_xlfn._xlws.FILTER(F1:F122, ISNUMBER(F1:F122)),F122)</f>
        <v>0.86</v>
      </c>
      <c r="G127" s="9" cm="1">
        <f t="array" ref="G127">_xlfn.PERCENTRANK.EXC(_xlfn._xlws.FILTER(G1:G122, ISNUMBER(G1:G122)),G122)</f>
        <v>0.58099999999999996</v>
      </c>
      <c r="H127" s="9" cm="1">
        <f t="array" ref="H127">_xlfn.PERCENTRANK.EXC(_xlfn._xlws.FILTER(H1:H122, ISNUMBER(H1:H122)),H122)</f>
        <v>0.245</v>
      </c>
      <c r="I127" s="9" cm="1">
        <f t="array" ref="I127">_xlfn.PERCENTRANK.EXC(_xlfn._xlws.FILTER(I1:I122, ISNUMBER(I1:I122)),I122)</f>
        <v>0.81899999999999995</v>
      </c>
      <c r="J127" s="9" cm="1">
        <f t="array" ref="J127">_xlfn.PERCENTRANK.EXC(_xlfn._xlws.FILTER(J1:J122, ISNUMBER(J1:J122)),J122)</f>
        <v>0.82699999999999996</v>
      </c>
      <c r="K127" s="9" cm="1">
        <f t="array" ref="K127">_xlfn.PERCENTRANK.EXC(_xlfn._xlws.FILTER(K1:K122, ISNUMBER(K1:K122)),K122)</f>
        <v>0.53200000000000003</v>
      </c>
      <c r="L127" s="9" cm="1">
        <f t="array" ref="L127">_xlfn.PERCENTRANK.EXC(_xlfn._xlws.FILTER(L1:L122, ISNUMBER(L1:L122)),L122)</f>
        <v>0.622</v>
      </c>
      <c r="M127" s="9" cm="1">
        <f t="array" ref="M127">_xlfn.PERCENTRANK.EXC(_xlfn._xlws.FILTER(M1:M122, ISNUMBER(M1:M122)),M122)</f>
        <v>0.67200000000000004</v>
      </c>
      <c r="N127" s="9" cm="1">
        <f t="array" ref="N127">_xlfn.PERCENTRANK.EXC(_xlfn._xlws.FILTER(N1:N122, ISNUMBER(N1:N122)),N122)</f>
        <v>0.245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41796</v>
      </c>
      <c r="B2" s="3" cm="1">
        <f t="array" ref="B2:B122">_xll.FDS(B1,"FMA_DIV_YLD(NTMA,-10AY,0,AM,""PORTAGG"",""MEANR"")")</f>
        <v>4.1990933687174099</v>
      </c>
      <c r="C2" s="3" cm="1">
        <f t="array" ref="C2:C122">_xll.FDS(C1,"FMA_DIV_YLD(NTMA,-10AY,0,AM,""PORTAGG"",""MEANR"")")</f>
        <v>4.79263727370508</v>
      </c>
      <c r="D2" s="3" cm="1">
        <f t="array" ref="D2:D122">_xll.FDS(D1,"FMA_DIV_YLD(NTMA,-10AY,0,AM,""PORTAGG"",""MEANR"")")</f>
        <v>2.8573220759314899</v>
      </c>
      <c r="E2" s="3" cm="1">
        <f t="array" ref="E2:E122">_xll.FDS(E1,"FMA_DIV_YLD(NTMA,-10AY,0,AM,""PORTAGG"",""MEANR"")")</f>
        <v>2.9538234214718999</v>
      </c>
      <c r="F2" s="3" cm="1">
        <f t="array" ref="F2:F122">_xll.FDS(F1,"FMA_DIV_YLD(NTMA,-10AY,0,AM,""PORTAGG"",""MEANR"")")</f>
        <v>2.1060127762910499</v>
      </c>
      <c r="G2" s="3" cm="1">
        <f t="array" ref="G2:G122">_xll.FDS(G1,"FMA_DIV_YLD(NTMA,-10AY,0,AM,""PORTAGG"",""MEANR"")")</f>
        <v>3.2122661034651401</v>
      </c>
      <c r="H2" s="3" cm="1">
        <f t="array" ref="H2:H122">_xll.FDS(H1,"FMA_DIV_YLD(NTMA,-10AY,0,AM,""PORTAGG"",""MEANR"")")</f>
        <v>3.83624820576473</v>
      </c>
      <c r="I2" s="3" cm="1">
        <f t="array" ref="I2:I122">_xll.FDS(I1,"FMA_DIV_YLD(NTMA,-10AY,0,AM,""PORTAGG"",""MEANR"")")</f>
        <v>1.2935133528735001</v>
      </c>
      <c r="J2" s="3" cm="1">
        <f t="array" ref="J2:J122">_xll.FDS(J1,"FMA_DIV_YLD(NTMA,-10AY,0,AM,""PORTAGG"",""MEANR"")")</f>
        <v>2.0987495005316701</v>
      </c>
      <c r="K2" s="3" cm="1">
        <f t="array" ref="K2:K122">_xll.FDS(K1,"FMA_DIV_YLD(NTMA,-10AY,0,AM,""PORTAGG"",""MEANR"")")</f>
        <v>3.34162246722842</v>
      </c>
      <c r="L2" s="3" cm="1">
        <f t="array" ref="L2:L122">_xll.FDS(L1,"FMA_DIV_YLD(NTMA,-10AY,0,AM,""PORTAGG"",""MEANR"")")</f>
        <v>2.7809666663983599</v>
      </c>
      <c r="M2" s="3" cm="1">
        <f t="array" ref="M2:M122">_xll.FDS(M1,"FMA_DIV_YLD(NTMA,-10AY,0,AM,""PORTAGG"",""MEANR"")")</f>
        <v>4.0940634051230402</v>
      </c>
      <c r="N2" s="3" cm="1">
        <f t="array" ref="N2:N122">_xll.FDS(N1,"FMA_DIV_YLD(NTMA,-10AY,0,AM,""PORTAGG"",""MEANR"")")</f>
        <v>3.37685017046477</v>
      </c>
    </row>
    <row r="3" spans="1:14" x14ac:dyDescent="0.35">
      <c r="A3" s="2">
        <v>41823</v>
      </c>
      <c r="B3" s="3">
        <v>4.421391511775</v>
      </c>
      <c r="C3" s="3">
        <v>4.7895479661527602</v>
      </c>
      <c r="D3" s="3">
        <v>2.7969086060078299</v>
      </c>
      <c r="E3" s="3">
        <v>2.97712171938965</v>
      </c>
      <c r="F3" s="3">
        <v>2.04869438770492</v>
      </c>
      <c r="G3" s="3">
        <v>3.2778253014955201</v>
      </c>
      <c r="H3" s="3">
        <v>3.8006162773929701</v>
      </c>
      <c r="I3" s="3">
        <v>1.2429523936479501</v>
      </c>
      <c r="J3" s="3">
        <v>2.0728783812713201</v>
      </c>
      <c r="K3" s="3">
        <v>3.3946654796295301</v>
      </c>
      <c r="L3" s="3">
        <v>2.74809731260379</v>
      </c>
      <c r="M3" s="3">
        <v>4.0513519981743098</v>
      </c>
      <c r="N3" s="3">
        <v>3.2772915824992901</v>
      </c>
    </row>
    <row r="4" spans="1:14" x14ac:dyDescent="0.35">
      <c r="A4" s="2">
        <v>41857</v>
      </c>
      <c r="B4" s="3">
        <v>4.51210564026304</v>
      </c>
      <c r="C4" s="3">
        <v>4.7471136355466301</v>
      </c>
      <c r="D4" s="3">
        <v>2.8062989994612901</v>
      </c>
      <c r="E4" s="3">
        <v>3.2814440357792298</v>
      </c>
      <c r="F4" s="3">
        <v>2.1098213953028702</v>
      </c>
      <c r="G4" s="3">
        <v>3.4500932510551801</v>
      </c>
      <c r="H4" s="3">
        <v>3.9682409768500202</v>
      </c>
      <c r="I4" s="3">
        <v>1.27262744350757</v>
      </c>
      <c r="J4" s="3">
        <v>2.1644283197593799</v>
      </c>
      <c r="K4" s="3">
        <v>3.6477060876869301</v>
      </c>
      <c r="L4" s="3">
        <v>3.05935856195538</v>
      </c>
      <c r="M4" s="3">
        <v>4.3326438752921801</v>
      </c>
      <c r="N4" s="3">
        <v>3.7274170951938599</v>
      </c>
    </row>
    <row r="5" spans="1:14" x14ac:dyDescent="0.35">
      <c r="A5" s="2">
        <v>41887</v>
      </c>
      <c r="B5" s="3">
        <v>4.5253492116317204</v>
      </c>
      <c r="C5" s="3">
        <v>4.7125277594643302</v>
      </c>
      <c r="D5" s="3">
        <v>2.7569493359575001</v>
      </c>
      <c r="E5" s="3">
        <v>3.0848198094480299</v>
      </c>
      <c r="F5" s="3">
        <v>2.0631953862819299</v>
      </c>
      <c r="G5" s="3">
        <v>3.2757776239486001</v>
      </c>
      <c r="H5" s="3">
        <v>3.8818166126937999</v>
      </c>
      <c r="I5" s="3">
        <v>1.2097027697175999</v>
      </c>
      <c r="J5" s="3">
        <v>2.08219627248286</v>
      </c>
      <c r="K5" s="3">
        <v>3.4674989972449102</v>
      </c>
      <c r="L5" s="3">
        <v>2.93033574002951</v>
      </c>
      <c r="M5" s="3">
        <v>4.2202204748862204</v>
      </c>
      <c r="N5" s="3">
        <v>3.4570551541665702</v>
      </c>
    </row>
    <row r="6" spans="1:14" x14ac:dyDescent="0.35">
      <c r="A6" s="2">
        <v>41918</v>
      </c>
      <c r="B6" s="3">
        <v>4.6019138364753998</v>
      </c>
      <c r="C6" s="3">
        <v>5.0705843163678601</v>
      </c>
      <c r="D6" s="3">
        <v>2.9260750775833801</v>
      </c>
      <c r="E6" s="3">
        <v>3.2839523851093699</v>
      </c>
      <c r="F6" s="3">
        <v>2.0749395309813998</v>
      </c>
      <c r="G6" s="3">
        <v>3.38160433250165</v>
      </c>
      <c r="H6" s="3">
        <v>4.1081047377074</v>
      </c>
      <c r="I6" s="3">
        <v>1.2502319643698301</v>
      </c>
      <c r="J6" s="3">
        <v>2.1430840624908698</v>
      </c>
      <c r="K6" s="3">
        <v>3.6582343043099801</v>
      </c>
      <c r="L6" s="3">
        <v>3.062542624128</v>
      </c>
      <c r="M6" s="3">
        <v>4.3252039579003698</v>
      </c>
      <c r="N6" s="3">
        <v>3.7924125734102501</v>
      </c>
    </row>
    <row r="7" spans="1:14" x14ac:dyDescent="0.35">
      <c r="A7" s="2">
        <v>41949</v>
      </c>
      <c r="B7" s="3">
        <v>4.5010551876933897</v>
      </c>
      <c r="C7" s="3">
        <v>4.8712336822123197</v>
      </c>
      <c r="D7" s="3">
        <v>2.9779284856394099</v>
      </c>
      <c r="E7" s="3">
        <v>3.2554449857172001</v>
      </c>
      <c r="F7" s="3">
        <v>1.9884166075804599</v>
      </c>
      <c r="G7" s="3">
        <v>3.3122255896470199</v>
      </c>
      <c r="H7" s="3">
        <v>4.1037158946040702</v>
      </c>
      <c r="I7" s="3">
        <v>1.2247896938023399</v>
      </c>
      <c r="J7" s="3">
        <v>2.09562236670916</v>
      </c>
      <c r="K7" s="3">
        <v>3.6998619334260598</v>
      </c>
      <c r="L7" s="3">
        <v>3.0970992947183502</v>
      </c>
      <c r="M7" s="3">
        <v>4.1720377972067002</v>
      </c>
      <c r="N7" s="3">
        <v>3.9751184990434099</v>
      </c>
    </row>
    <row r="8" spans="1:14" x14ac:dyDescent="0.35">
      <c r="A8" s="2">
        <v>41978</v>
      </c>
      <c r="B8" s="3">
        <v>4.4952084813942896</v>
      </c>
      <c r="C8" s="3">
        <v>5.0255267863389399</v>
      </c>
      <c r="D8" s="3">
        <v>2.9835577783453902</v>
      </c>
      <c r="E8" s="3">
        <v>3.0951867599607001</v>
      </c>
      <c r="F8" s="3">
        <v>1.9097093964332501</v>
      </c>
      <c r="G8" s="3">
        <v>3.2162590642621902</v>
      </c>
      <c r="H8" s="3">
        <v>4.0222185865116797</v>
      </c>
      <c r="I8" s="3">
        <v>1.19951148862498</v>
      </c>
      <c r="J8" s="3">
        <v>2.07069378160549</v>
      </c>
      <c r="K8" s="3">
        <v>3.53290061991129</v>
      </c>
      <c r="L8" s="3">
        <v>2.9578426085401301</v>
      </c>
      <c r="M8" s="3">
        <v>4.0446572454958201</v>
      </c>
      <c r="N8" s="3">
        <v>3.8071381502552</v>
      </c>
    </row>
    <row r="9" spans="1:14" x14ac:dyDescent="0.35">
      <c r="A9" s="2">
        <v>42010</v>
      </c>
      <c r="B9" s="3">
        <v>4.4440269862455404</v>
      </c>
      <c r="C9" s="3">
        <v>5.0262564871739199</v>
      </c>
      <c r="D9" s="3">
        <v>3.0204343555549902</v>
      </c>
      <c r="E9" s="3">
        <v>3.3044319062713399</v>
      </c>
      <c r="F9" s="3">
        <v>2.05495140446159</v>
      </c>
      <c r="G9" s="3">
        <v>3.3727005985055198</v>
      </c>
      <c r="H9" s="3">
        <v>4.3159477971501499</v>
      </c>
      <c r="I9" s="3">
        <v>1.2442141163812701</v>
      </c>
      <c r="J9" s="3">
        <v>2.1635704184471698</v>
      </c>
      <c r="K9" s="3">
        <v>3.80392064646133</v>
      </c>
      <c r="L9" s="3">
        <v>3.1796350855673099</v>
      </c>
      <c r="M9" s="3">
        <v>4.1203717833919997</v>
      </c>
      <c r="N9" s="3">
        <v>4.27787159347751</v>
      </c>
    </row>
    <row r="10" spans="1:14" x14ac:dyDescent="0.35">
      <c r="A10" s="2">
        <v>42041</v>
      </c>
      <c r="B10" s="3">
        <v>4.2726832111982098</v>
      </c>
      <c r="C10" s="3">
        <v>4.65700931634745</v>
      </c>
      <c r="D10" s="3">
        <v>2.8748394089956699</v>
      </c>
      <c r="E10" s="3">
        <v>2.9158625377932901</v>
      </c>
      <c r="F10" s="3">
        <v>2.0029514155369901</v>
      </c>
      <c r="G10" s="3">
        <v>3.2972711028196802</v>
      </c>
      <c r="H10" s="3">
        <v>3.9928118762105602</v>
      </c>
      <c r="I10" s="3">
        <v>1.2637898165503101</v>
      </c>
      <c r="J10" s="3">
        <v>2.1422587398189501</v>
      </c>
      <c r="K10" s="3">
        <v>3.3040403951340398</v>
      </c>
      <c r="L10" s="3">
        <v>2.8869731248812598</v>
      </c>
      <c r="M10" s="3">
        <v>3.7831322328702699</v>
      </c>
      <c r="N10" s="3">
        <v>3.73023311296931</v>
      </c>
    </row>
    <row r="11" spans="1:14" x14ac:dyDescent="0.35">
      <c r="A11" s="2">
        <v>42069</v>
      </c>
      <c r="B11" s="3">
        <v>4.2581112018752298</v>
      </c>
      <c r="C11" s="3">
        <v>4.5872181011243596</v>
      </c>
      <c r="D11" s="3">
        <v>2.9051710264531199</v>
      </c>
      <c r="E11" s="3">
        <v>2.7480609610743798</v>
      </c>
      <c r="F11" s="3">
        <v>1.86480719478219</v>
      </c>
      <c r="G11" s="3">
        <v>3.1710642393227499</v>
      </c>
      <c r="H11" s="3">
        <v>3.9299877694523202</v>
      </c>
      <c r="I11" s="3">
        <v>1.24707005571013</v>
      </c>
      <c r="J11" s="3">
        <v>2.1702393951858401</v>
      </c>
      <c r="K11" s="3">
        <v>3.2016174206998902</v>
      </c>
      <c r="L11" s="3">
        <v>2.6621738393186298</v>
      </c>
      <c r="M11" s="3">
        <v>3.6796960286056901</v>
      </c>
      <c r="N11" s="3">
        <v>3.44645041305917</v>
      </c>
    </row>
    <row r="12" spans="1:14" x14ac:dyDescent="0.35">
      <c r="A12" s="2">
        <v>42100</v>
      </c>
      <c r="B12" s="3">
        <v>4.4168702488687099</v>
      </c>
      <c r="C12" s="3">
        <v>4.6031238930829499</v>
      </c>
      <c r="D12" s="3">
        <v>2.8712149583264202</v>
      </c>
      <c r="E12" s="3">
        <v>2.6933378129780499</v>
      </c>
      <c r="F12" s="3">
        <v>1.8704277810433101</v>
      </c>
      <c r="G12" s="3">
        <v>3.10488770562606</v>
      </c>
      <c r="H12" s="3">
        <v>4.0089312057607502</v>
      </c>
      <c r="I12" s="3">
        <v>1.27301150113455</v>
      </c>
      <c r="J12" s="3">
        <v>2.1668528412546899</v>
      </c>
      <c r="K12" s="3">
        <v>3.1636525052778199</v>
      </c>
      <c r="L12" s="3">
        <v>2.6585064240081202</v>
      </c>
      <c r="M12" s="3">
        <v>3.66071548762236</v>
      </c>
      <c r="N12" s="3">
        <v>3.1362475369083498</v>
      </c>
    </row>
    <row r="13" spans="1:14" x14ac:dyDescent="0.35">
      <c r="A13" s="2">
        <v>42130</v>
      </c>
      <c r="B13" s="3">
        <v>4.4847299615986298</v>
      </c>
      <c r="C13" s="3">
        <v>4.7235628891714496</v>
      </c>
      <c r="D13" s="3">
        <v>2.88499545762234</v>
      </c>
      <c r="E13" s="3">
        <v>2.9037882463054601</v>
      </c>
      <c r="F13" s="3">
        <v>1.8665816758340801</v>
      </c>
      <c r="G13" s="3">
        <v>3.1600113905393501</v>
      </c>
      <c r="H13" s="3">
        <v>3.9433136669239199</v>
      </c>
      <c r="I13" s="3">
        <v>1.2669829701530999</v>
      </c>
      <c r="J13" s="3">
        <v>2.1805594964447899</v>
      </c>
      <c r="K13" s="3">
        <v>3.2914246239486502</v>
      </c>
      <c r="L13" s="3">
        <v>2.8147701625055301</v>
      </c>
      <c r="M13" s="3">
        <v>3.9155836337702898</v>
      </c>
      <c r="N13" s="3">
        <v>3.2580862171779201</v>
      </c>
    </row>
    <row r="14" spans="1:14" x14ac:dyDescent="0.35">
      <c r="A14" s="2">
        <v>42160</v>
      </c>
      <c r="B14" s="3">
        <v>4.4279017909187104</v>
      </c>
      <c r="C14" s="3">
        <v>4.9567301006172997</v>
      </c>
      <c r="D14" s="3">
        <v>2.9107486286531201</v>
      </c>
      <c r="E14" s="3">
        <v>3.0039135230782499</v>
      </c>
      <c r="F14" s="3">
        <v>1.8588122317646201</v>
      </c>
      <c r="G14" s="3">
        <v>3.1763574249170299</v>
      </c>
      <c r="H14" s="3">
        <v>4.0329701068433899</v>
      </c>
      <c r="I14" s="3">
        <v>1.2487412418383299</v>
      </c>
      <c r="J14" s="3">
        <v>2.1773774256094298</v>
      </c>
      <c r="K14" s="3">
        <v>3.3565529438226198</v>
      </c>
      <c r="L14" s="3">
        <v>2.9141590274176501</v>
      </c>
      <c r="M14" s="3">
        <v>3.8975193299867401</v>
      </c>
      <c r="N14" s="3">
        <v>3.29556379506172</v>
      </c>
    </row>
    <row r="15" spans="1:14" x14ac:dyDescent="0.35">
      <c r="A15" s="2">
        <v>42191</v>
      </c>
      <c r="B15" s="3">
        <v>4.6628250020572803</v>
      </c>
      <c r="C15" s="3">
        <v>4.9785236080569</v>
      </c>
      <c r="D15" s="3">
        <v>3.0139769594097001</v>
      </c>
      <c r="E15" s="3">
        <v>3.1162547684872899</v>
      </c>
      <c r="F15" s="3">
        <v>1.93607702880632</v>
      </c>
      <c r="G15" s="3">
        <v>3.27845700317194</v>
      </c>
      <c r="H15" s="3">
        <v>4.2138852573467496</v>
      </c>
      <c r="I15" s="3">
        <v>1.26799587881068</v>
      </c>
      <c r="J15" s="3">
        <v>2.2023677297656601</v>
      </c>
      <c r="K15" s="3">
        <v>3.5147824642480399</v>
      </c>
      <c r="L15" s="3">
        <v>3.0166868978893899</v>
      </c>
      <c r="M15" s="3">
        <v>4.1258512861908203</v>
      </c>
      <c r="N15" s="3">
        <v>3.48738058414897</v>
      </c>
    </row>
    <row r="16" spans="1:14" x14ac:dyDescent="0.35">
      <c r="A16" s="2">
        <v>42222</v>
      </c>
      <c r="B16" s="3">
        <v>4.5376086678479801</v>
      </c>
      <c r="C16" s="3">
        <v>4.8768102155750697</v>
      </c>
      <c r="D16" s="3">
        <v>3.0732913778570601</v>
      </c>
      <c r="E16" s="3">
        <v>2.9418618120665299</v>
      </c>
      <c r="F16" s="3">
        <v>1.8875263428304301</v>
      </c>
      <c r="G16" s="3">
        <v>3.1075183034594498</v>
      </c>
      <c r="H16" s="3">
        <v>4.0451354725388899</v>
      </c>
      <c r="I16" s="3">
        <v>1.28097346647296</v>
      </c>
      <c r="J16" s="3">
        <v>2.2155850248370501</v>
      </c>
      <c r="K16" s="3">
        <v>3.2406423197821499</v>
      </c>
      <c r="L16" s="3">
        <v>2.9694798906355602</v>
      </c>
      <c r="M16" s="3">
        <v>3.9590238087616401</v>
      </c>
      <c r="N16" s="3">
        <v>3.10147831905681</v>
      </c>
    </row>
    <row r="17" spans="1:14" x14ac:dyDescent="0.35">
      <c r="A17" s="2">
        <v>42251</v>
      </c>
      <c r="B17" s="3">
        <v>5.22260074814821</v>
      </c>
      <c r="C17" s="3">
        <v>5.51200695998104</v>
      </c>
      <c r="D17" s="3">
        <v>3.2566041998067798</v>
      </c>
      <c r="E17" s="3">
        <v>3.4008612431173901</v>
      </c>
      <c r="F17" s="3">
        <v>2.20556783206123</v>
      </c>
      <c r="G17" s="3">
        <v>3.3934667117799302</v>
      </c>
      <c r="H17" s="3">
        <v>4.5752074776156197</v>
      </c>
      <c r="I17" s="3">
        <v>1.39250307387024</v>
      </c>
      <c r="J17" s="3">
        <v>2.4153190608063202</v>
      </c>
      <c r="K17" s="3">
        <v>3.7202261220455699</v>
      </c>
      <c r="L17" s="3">
        <v>3.4837398594693698</v>
      </c>
      <c r="M17" s="3">
        <v>4.4089477179791396</v>
      </c>
      <c r="N17" s="3">
        <v>3.4494806855654199</v>
      </c>
    </row>
    <row r="18" spans="1:14" x14ac:dyDescent="0.35">
      <c r="A18" s="2">
        <v>42283</v>
      </c>
      <c r="B18" s="3">
        <v>5.2170339281533797</v>
      </c>
      <c r="C18" s="3">
        <v>5.31522494580806</v>
      </c>
      <c r="D18" s="3">
        <v>3.2313704757621</v>
      </c>
      <c r="E18" s="3">
        <v>3.3738890874173801</v>
      </c>
      <c r="F18" s="3">
        <v>2.16803050830644</v>
      </c>
      <c r="G18" s="3">
        <v>3.3341750854023098</v>
      </c>
      <c r="H18" s="3">
        <v>4.29115442857226</v>
      </c>
      <c r="I18" s="3">
        <v>1.3561827241918201</v>
      </c>
      <c r="J18" s="3">
        <v>2.3484988761068699</v>
      </c>
      <c r="K18" s="3">
        <v>3.5958230544562801</v>
      </c>
      <c r="L18" s="3">
        <v>3.4603088285486101</v>
      </c>
      <c r="M18" s="3">
        <v>4.4155675736152702</v>
      </c>
      <c r="N18" s="3">
        <v>3.5687278763197599</v>
      </c>
    </row>
    <row r="19" spans="1:14" x14ac:dyDescent="0.35">
      <c r="A19" s="2">
        <v>42314</v>
      </c>
      <c r="B19" s="3">
        <v>4.8520561349784597</v>
      </c>
      <c r="C19" s="3">
        <v>5.2678468251067496</v>
      </c>
      <c r="D19" s="3">
        <v>3.2603838427102398</v>
      </c>
      <c r="E19" s="3">
        <v>2.9659725764350502</v>
      </c>
      <c r="F19" s="3">
        <v>2.0503879273474199</v>
      </c>
      <c r="G19" s="3">
        <v>3.24257617645985</v>
      </c>
      <c r="H19" s="3">
        <v>4.25732439791914</v>
      </c>
      <c r="I19" s="3">
        <v>1.2569512896408499</v>
      </c>
      <c r="J19" s="3">
        <v>2.2366527827119902</v>
      </c>
      <c r="K19" s="3">
        <v>3.3893872254008</v>
      </c>
      <c r="L19" s="3">
        <v>3.1533628701906098</v>
      </c>
      <c r="M19" s="3">
        <v>4.1302430859664696</v>
      </c>
      <c r="N19" s="3">
        <v>3.56419118153809</v>
      </c>
    </row>
    <row r="20" spans="1:14" x14ac:dyDescent="0.35">
      <c r="A20" s="2">
        <v>42342</v>
      </c>
      <c r="B20" s="3">
        <v>4.78887374216258</v>
      </c>
      <c r="C20" s="3">
        <v>5.2746795711733201</v>
      </c>
      <c r="D20" s="3">
        <v>3.3127328869269101</v>
      </c>
      <c r="E20" s="3">
        <v>3.02327542846115</v>
      </c>
      <c r="F20" s="3">
        <v>2.0516927131749001</v>
      </c>
      <c r="G20" s="3">
        <v>3.2845116199108899</v>
      </c>
      <c r="H20" s="3">
        <v>4.2863550785478903</v>
      </c>
      <c r="I20" s="3">
        <v>1.2594201906243001</v>
      </c>
      <c r="J20" s="3">
        <v>2.2641211874548</v>
      </c>
      <c r="K20" s="3">
        <v>3.5326087758085598</v>
      </c>
      <c r="L20" s="3">
        <v>3.2459220238840798</v>
      </c>
      <c r="M20" s="3">
        <v>4.2157138131563903</v>
      </c>
      <c r="N20" s="3">
        <v>3.6609645805887499</v>
      </c>
    </row>
    <row r="21" spans="1:14" x14ac:dyDescent="0.35">
      <c r="A21" s="2">
        <v>42375</v>
      </c>
      <c r="B21" s="3">
        <v>4.7812493987450502</v>
      </c>
      <c r="C21" s="3">
        <v>5.3051422979794296</v>
      </c>
      <c r="D21" s="3">
        <v>3.4461849638170898</v>
      </c>
      <c r="E21" s="3">
        <v>3.19196911100956</v>
      </c>
      <c r="F21" s="3">
        <v>2.18476046920475</v>
      </c>
      <c r="G21" s="3">
        <v>3.3681383892502299</v>
      </c>
      <c r="H21" s="3">
        <v>4.4402332072220103</v>
      </c>
      <c r="I21" s="3">
        <v>1.3040370770278999</v>
      </c>
      <c r="J21" s="3">
        <v>2.3813571697291902</v>
      </c>
      <c r="K21" s="3">
        <v>3.7334113810670502</v>
      </c>
      <c r="L21" s="3">
        <v>3.2480981401416602</v>
      </c>
      <c r="M21" s="3">
        <v>4.4980032195956001</v>
      </c>
      <c r="N21" s="3">
        <v>4.0287374298026801</v>
      </c>
    </row>
    <row r="22" spans="1:14" x14ac:dyDescent="0.35">
      <c r="A22" s="2">
        <v>42405</v>
      </c>
      <c r="B22" s="3">
        <v>4.8547242423468804</v>
      </c>
      <c r="C22" s="3">
        <v>5.1613697083685501</v>
      </c>
      <c r="D22" s="3">
        <v>3.3857542233611899</v>
      </c>
      <c r="E22" s="3">
        <v>3.5275240512705399</v>
      </c>
      <c r="F22" s="3">
        <v>2.3825267420310698</v>
      </c>
      <c r="G22" s="3">
        <v>3.5226429923350402</v>
      </c>
      <c r="H22" s="3">
        <v>4.5767685691285704</v>
      </c>
      <c r="I22" s="3">
        <v>1.4612001312052101</v>
      </c>
      <c r="J22" s="3">
        <v>2.4518202590146898</v>
      </c>
      <c r="K22" s="3">
        <v>3.9395355818213602</v>
      </c>
      <c r="L22" s="3">
        <v>3.4362470339898699</v>
      </c>
      <c r="M22" s="3">
        <v>4.5118476951910997</v>
      </c>
      <c r="N22" s="3">
        <v>4.6886322358070203</v>
      </c>
    </row>
    <row r="23" spans="1:14" x14ac:dyDescent="0.35">
      <c r="A23" s="2">
        <v>42433</v>
      </c>
      <c r="B23" s="3">
        <v>4.7355690434556204</v>
      </c>
      <c r="C23" s="3">
        <v>4.8076398435173999</v>
      </c>
      <c r="D23" s="3">
        <v>3.25532814973938</v>
      </c>
      <c r="E23" s="3">
        <v>3.3580765193853099</v>
      </c>
      <c r="F23" s="3">
        <v>2.3348712620541701</v>
      </c>
      <c r="G23" s="3">
        <v>3.48595322964661</v>
      </c>
      <c r="H23" s="3">
        <v>4.3451297176959001</v>
      </c>
      <c r="I23" s="3">
        <v>1.3752583445411299</v>
      </c>
      <c r="J23" s="3">
        <v>2.4751977345461702</v>
      </c>
      <c r="K23" s="3">
        <v>3.7332835280433501</v>
      </c>
      <c r="L23" s="3">
        <v>3.30689514791493</v>
      </c>
      <c r="M23" s="3">
        <v>4.2724422741614401</v>
      </c>
      <c r="N23" s="3">
        <v>4.3335672392327496</v>
      </c>
    </row>
    <row r="24" spans="1:14" x14ac:dyDescent="0.35">
      <c r="A24" s="2">
        <v>42466</v>
      </c>
      <c r="B24" s="3">
        <v>4.5572344063684103</v>
      </c>
      <c r="C24" s="3">
        <v>4.9978036505543697</v>
      </c>
      <c r="D24" s="3">
        <v>3.1945860641088601</v>
      </c>
      <c r="E24" s="3">
        <v>3.3993930188673298</v>
      </c>
      <c r="F24" s="3">
        <v>2.5482097829248498</v>
      </c>
      <c r="G24" s="3">
        <v>3.5603585330934702</v>
      </c>
      <c r="H24" s="3">
        <v>4.3979232204477201</v>
      </c>
      <c r="I24" s="3">
        <v>1.3168651282814701</v>
      </c>
      <c r="J24" s="3">
        <v>2.2917987413403398</v>
      </c>
      <c r="K24" s="3">
        <v>3.8581400009431199</v>
      </c>
      <c r="L24" s="3">
        <v>3.3640318275066501</v>
      </c>
      <c r="M24" s="3">
        <v>4.4463612897796603</v>
      </c>
      <c r="N24" s="3">
        <v>4.6467899282816596</v>
      </c>
    </row>
    <row r="25" spans="1:14" x14ac:dyDescent="0.35">
      <c r="A25" s="2">
        <v>42496</v>
      </c>
      <c r="B25" s="3">
        <v>4.5315968173533001</v>
      </c>
      <c r="C25" s="3">
        <v>4.6300425810039503</v>
      </c>
      <c r="D25" s="3">
        <v>3.1178617805223601</v>
      </c>
      <c r="E25" s="3">
        <v>3.37596338814692</v>
      </c>
      <c r="F25" s="3">
        <v>2.4707904969339101</v>
      </c>
      <c r="G25" s="3">
        <v>3.6041640624219902</v>
      </c>
      <c r="H25" s="3">
        <v>4.3765577537847999</v>
      </c>
      <c r="I25" s="3">
        <v>1.3963498690709899</v>
      </c>
      <c r="J25" s="3">
        <v>2.2927014117324598</v>
      </c>
      <c r="K25" s="3">
        <v>3.8246589992731002</v>
      </c>
      <c r="L25" s="3">
        <v>3.4428464161163101</v>
      </c>
      <c r="M25" s="3">
        <v>4.47857212561496</v>
      </c>
      <c r="N25" s="3">
        <v>4.5116623603918198</v>
      </c>
    </row>
    <row r="26" spans="1:14" x14ac:dyDescent="0.35">
      <c r="A26" s="2">
        <v>42527</v>
      </c>
      <c r="B26" s="3">
        <v>4.3280414197634203</v>
      </c>
      <c r="C26" s="3">
        <v>4.5683765675109296</v>
      </c>
      <c r="D26" s="3">
        <v>3.0067295195996202</v>
      </c>
      <c r="E26" s="3">
        <v>3.3215450267734399</v>
      </c>
      <c r="F26" s="3">
        <v>2.3762039746199899</v>
      </c>
      <c r="G26" s="3">
        <v>3.4572372966176599</v>
      </c>
      <c r="H26" s="3">
        <v>4.2598781342211796</v>
      </c>
      <c r="I26" s="3">
        <v>1.34219937845684</v>
      </c>
      <c r="J26" s="3">
        <v>2.26176671969918</v>
      </c>
      <c r="K26" s="3">
        <v>3.74144535894815</v>
      </c>
      <c r="L26" s="3">
        <v>3.1542386063694998</v>
      </c>
      <c r="M26" s="3">
        <v>4.4515852664397197</v>
      </c>
      <c r="N26" s="3">
        <v>4.6496876342336302</v>
      </c>
    </row>
    <row r="27" spans="1:14" x14ac:dyDescent="0.35">
      <c r="A27" s="2">
        <v>42557</v>
      </c>
      <c r="B27" s="3">
        <v>4.3666229682317299</v>
      </c>
      <c r="C27" s="3">
        <v>4.7307529058926798</v>
      </c>
      <c r="D27" s="3">
        <v>3.05148950684569</v>
      </c>
      <c r="E27" s="3">
        <v>3.5940478030584302</v>
      </c>
      <c r="F27" s="3">
        <v>2.5622479866668701</v>
      </c>
      <c r="G27" s="3">
        <v>3.6166095255295598</v>
      </c>
      <c r="H27" s="3">
        <v>4.3166230515572996</v>
      </c>
      <c r="I27" s="3">
        <v>1.35854718278324</v>
      </c>
      <c r="J27" s="3">
        <v>2.2806749481722299</v>
      </c>
      <c r="K27" s="3">
        <v>4.0508146853554701</v>
      </c>
      <c r="L27" s="3">
        <v>3.4566595952967001</v>
      </c>
      <c r="M27" s="3">
        <v>4.6644581333482398</v>
      </c>
      <c r="N27" s="3">
        <v>5.2462534480405898</v>
      </c>
    </row>
    <row r="28" spans="1:14" x14ac:dyDescent="0.35">
      <c r="A28" s="2">
        <v>42587</v>
      </c>
      <c r="B28" s="3">
        <v>4.1668441787847801</v>
      </c>
      <c r="C28" s="3">
        <v>4.4907266929529497</v>
      </c>
      <c r="D28" s="3">
        <v>2.9671889283553501</v>
      </c>
      <c r="E28" s="3">
        <v>3.2483910549428301</v>
      </c>
      <c r="F28" s="3">
        <v>2.4586371088056902</v>
      </c>
      <c r="G28" s="3">
        <v>3.47730822009615</v>
      </c>
      <c r="H28" s="3">
        <v>4.1106072136204199</v>
      </c>
      <c r="I28" s="3">
        <v>1.2775436086911101</v>
      </c>
      <c r="J28" s="3">
        <v>2.2025144554546499</v>
      </c>
      <c r="K28" s="3">
        <v>3.7561868258025499</v>
      </c>
      <c r="L28" s="3">
        <v>3.1945896072935498</v>
      </c>
      <c r="M28" s="3">
        <v>4.3282773507648002</v>
      </c>
      <c r="N28" s="3">
        <v>4.79515990107208</v>
      </c>
    </row>
    <row r="29" spans="1:14" x14ac:dyDescent="0.35">
      <c r="A29" s="2">
        <v>42619</v>
      </c>
      <c r="B29" s="3">
        <v>4.13982194790254</v>
      </c>
      <c r="C29" s="3">
        <v>4.5407588906288696</v>
      </c>
      <c r="D29" s="3">
        <v>2.93496978590098</v>
      </c>
      <c r="E29" s="3">
        <v>3.15870573763207</v>
      </c>
      <c r="F29" s="3">
        <v>2.32580578572147</v>
      </c>
      <c r="G29" s="3">
        <v>3.4234525134048299</v>
      </c>
      <c r="H29" s="3">
        <v>4.1084989482918104</v>
      </c>
      <c r="I29" s="3">
        <v>1.2761219440418501</v>
      </c>
      <c r="J29" s="3">
        <v>2.20804672211248</v>
      </c>
      <c r="K29" s="3">
        <v>3.65757840124432</v>
      </c>
      <c r="L29" s="3">
        <v>3.08812108969689</v>
      </c>
      <c r="M29" s="3">
        <v>4.2028049631512499</v>
      </c>
      <c r="N29" s="3">
        <v>4.7466542639721601</v>
      </c>
    </row>
    <row r="30" spans="1:14" x14ac:dyDescent="0.35">
      <c r="A30" s="2">
        <v>42649</v>
      </c>
      <c r="B30" s="3">
        <v>4.4153395596609899</v>
      </c>
      <c r="C30" s="3">
        <v>4.5094893568519101</v>
      </c>
      <c r="D30" s="3">
        <v>2.9548002511861702</v>
      </c>
      <c r="E30" s="3">
        <v>3.1426416959339099</v>
      </c>
      <c r="F30" s="3">
        <v>2.3535447761360699</v>
      </c>
      <c r="G30" s="3">
        <v>3.4977224316990898</v>
      </c>
      <c r="H30" s="3">
        <v>4.1983031544084302</v>
      </c>
      <c r="I30" s="3">
        <v>1.2615533863872199</v>
      </c>
      <c r="J30" s="3">
        <v>2.2292129177137299</v>
      </c>
      <c r="K30" s="3">
        <v>3.72806610715344</v>
      </c>
      <c r="L30" s="3">
        <v>3.0930357561108099</v>
      </c>
      <c r="M30" s="3">
        <v>4.1396974736806103</v>
      </c>
      <c r="N30" s="3">
        <v>4.9529097740663497</v>
      </c>
    </row>
    <row r="31" spans="1:14" x14ac:dyDescent="0.35">
      <c r="A31" s="2">
        <v>42678</v>
      </c>
      <c r="B31" s="3">
        <v>4.7555480054140702</v>
      </c>
      <c r="C31" s="3">
        <v>4.7768930052530898</v>
      </c>
      <c r="D31" s="3">
        <v>2.9927632344179398</v>
      </c>
      <c r="E31" s="3">
        <v>3.27905138003926</v>
      </c>
      <c r="F31" s="3">
        <v>2.3909010067058398</v>
      </c>
      <c r="G31" s="3">
        <v>3.71827232610039</v>
      </c>
      <c r="H31" s="3">
        <v>4.4726564020469697</v>
      </c>
      <c r="I31" s="3">
        <v>1.33313270243846</v>
      </c>
      <c r="J31" s="3">
        <v>2.3238411603778601</v>
      </c>
      <c r="K31" s="3">
        <v>3.8420670036528199</v>
      </c>
      <c r="L31" s="3">
        <v>3.2294777760324802</v>
      </c>
      <c r="M31" s="3">
        <v>4.2457055587185097</v>
      </c>
      <c r="N31" s="3">
        <v>4.9969074976834698</v>
      </c>
    </row>
    <row r="32" spans="1:14" x14ac:dyDescent="0.35">
      <c r="A32" s="2">
        <v>42710</v>
      </c>
      <c r="B32" s="3">
        <v>4.5902361944949197</v>
      </c>
      <c r="C32" s="3">
        <v>4.62539792419898</v>
      </c>
      <c r="D32" s="3">
        <v>2.8713924802940101</v>
      </c>
      <c r="E32" s="3">
        <v>3.1554780127738602</v>
      </c>
      <c r="F32" s="3">
        <v>2.1692287316563701</v>
      </c>
      <c r="G32" s="3">
        <v>3.6585263216061201</v>
      </c>
      <c r="H32" s="3">
        <v>4.4057269029139503</v>
      </c>
      <c r="I32" s="3">
        <v>1.3009121602181</v>
      </c>
      <c r="J32" s="3">
        <v>2.2028665861175698</v>
      </c>
      <c r="K32" s="3">
        <v>3.6170837807207001</v>
      </c>
      <c r="L32" s="3">
        <v>3.10770187246542</v>
      </c>
      <c r="M32" s="3">
        <v>3.9843401988838401</v>
      </c>
      <c r="N32" s="3">
        <v>4.6535749873066203</v>
      </c>
    </row>
    <row r="33" spans="1:14" x14ac:dyDescent="0.35">
      <c r="A33" s="2">
        <v>42741</v>
      </c>
      <c r="B33" s="3">
        <v>4.5507453100298303</v>
      </c>
      <c r="C33" s="3">
        <v>4.4583638900890303</v>
      </c>
      <c r="D33" s="3">
        <v>2.81333912472327</v>
      </c>
      <c r="E33" s="3">
        <v>2.94677034624954</v>
      </c>
      <c r="F33" s="3">
        <v>2.0816014874891202</v>
      </c>
      <c r="G33" s="3">
        <v>3.4785339806078701</v>
      </c>
      <c r="H33" s="3">
        <v>4.2428973268502199</v>
      </c>
      <c r="I33" s="3">
        <v>1.26571296089826</v>
      </c>
      <c r="J33" s="3">
        <v>2.1546053990359502</v>
      </c>
      <c r="K33" s="3">
        <v>3.43831566040366</v>
      </c>
      <c r="L33" s="3">
        <v>2.9514950570331</v>
      </c>
      <c r="M33" s="3">
        <v>3.8903266903373099</v>
      </c>
      <c r="N33" s="3">
        <v>4.2444102280897802</v>
      </c>
    </row>
    <row r="34" spans="1:14" x14ac:dyDescent="0.35">
      <c r="A34" s="2">
        <v>42772</v>
      </c>
      <c r="B34" s="3">
        <v>4.4904593853088501</v>
      </c>
      <c r="C34" s="3">
        <v>4.6008832171750704</v>
      </c>
      <c r="D34" s="3">
        <v>2.83594049466162</v>
      </c>
      <c r="E34" s="3">
        <v>3.0118521351627101</v>
      </c>
      <c r="F34" s="3">
        <v>2.1590257968910702</v>
      </c>
      <c r="G34" s="3">
        <v>3.4588023098798799</v>
      </c>
      <c r="H34" s="3">
        <v>4.31578341613052</v>
      </c>
      <c r="I34" s="3">
        <v>1.23848217527212</v>
      </c>
      <c r="J34" s="3">
        <v>2.1596770538180801</v>
      </c>
      <c r="K34" s="3">
        <v>3.5233453755529802</v>
      </c>
      <c r="L34" s="3">
        <v>2.9654894011147301</v>
      </c>
      <c r="M34" s="3">
        <v>3.7021346930222698</v>
      </c>
      <c r="N34" s="3">
        <v>4.4812164479213497</v>
      </c>
    </row>
    <row r="35" spans="1:14" x14ac:dyDescent="0.35">
      <c r="A35" s="2">
        <v>42800</v>
      </c>
      <c r="B35" s="3">
        <v>4.5290210595730098</v>
      </c>
      <c r="C35" s="3">
        <v>4.54893765787038</v>
      </c>
      <c r="D35" s="3">
        <v>2.87255082660017</v>
      </c>
      <c r="E35" s="3">
        <v>2.9312283285210401</v>
      </c>
      <c r="F35" s="3">
        <v>2.1419134490247398</v>
      </c>
      <c r="G35" s="3">
        <v>3.3531763657888001</v>
      </c>
      <c r="H35" s="3">
        <v>4.3062263895521298</v>
      </c>
      <c r="I35" s="3">
        <v>1.2197735862425301</v>
      </c>
      <c r="J35" s="3">
        <v>2.09732360866114</v>
      </c>
      <c r="K35" s="3">
        <v>3.4476316388856598</v>
      </c>
      <c r="L35" s="3">
        <v>2.8308046853416502</v>
      </c>
      <c r="M35" s="3">
        <v>3.6557029363694098</v>
      </c>
      <c r="N35" s="3">
        <v>4.1105927292252398</v>
      </c>
    </row>
    <row r="36" spans="1:14" x14ac:dyDescent="0.35">
      <c r="A36" s="2">
        <v>42831</v>
      </c>
      <c r="B36" s="3">
        <v>4.5090462987911399</v>
      </c>
      <c r="C36" s="3">
        <v>4.53296286727773</v>
      </c>
      <c r="D36" s="3">
        <v>2.8981521101169601</v>
      </c>
      <c r="E36" s="3">
        <v>2.91112720009072</v>
      </c>
      <c r="F36" s="3">
        <v>2.2699727849543199</v>
      </c>
      <c r="G36" s="3">
        <v>3.4294289925775301</v>
      </c>
      <c r="H36" s="3">
        <v>4.35128581591594</v>
      </c>
      <c r="I36" s="3">
        <v>1.21280009704935</v>
      </c>
      <c r="J36" s="3">
        <v>2.1221327652734199</v>
      </c>
      <c r="K36" s="3">
        <v>3.35361529526998</v>
      </c>
      <c r="L36" s="3">
        <v>2.7801853978884199</v>
      </c>
      <c r="M36" s="3">
        <v>3.6732530808083199</v>
      </c>
      <c r="N36" s="3">
        <v>3.9424559244275899</v>
      </c>
    </row>
    <row r="37" spans="1:14" x14ac:dyDescent="0.35">
      <c r="A37" s="2">
        <v>42860</v>
      </c>
      <c r="B37" s="3">
        <v>4.5005533005029896</v>
      </c>
      <c r="C37" s="3">
        <v>4.5662386870002196</v>
      </c>
      <c r="D37" s="3">
        <v>2.9354569698426101</v>
      </c>
      <c r="E37" s="3">
        <v>2.85886108568954</v>
      </c>
      <c r="F37" s="3">
        <v>2.19003384652388</v>
      </c>
      <c r="G37" s="3">
        <v>3.3009532494323701</v>
      </c>
      <c r="H37" s="3">
        <v>4.3237325507912203</v>
      </c>
      <c r="I37" s="3">
        <v>1.1790397847610801</v>
      </c>
      <c r="J37" s="3">
        <v>2.0985501086393801</v>
      </c>
      <c r="K37" s="3">
        <v>3.1703244663841299</v>
      </c>
      <c r="L37" s="3">
        <v>2.6873224353533902</v>
      </c>
      <c r="M37" s="3">
        <v>3.5114849282093901</v>
      </c>
      <c r="N37" s="3">
        <v>3.7652442429789699</v>
      </c>
    </row>
    <row r="38" spans="1:14" x14ac:dyDescent="0.35">
      <c r="A38" s="2">
        <v>42892</v>
      </c>
      <c r="B38" s="3">
        <v>4.4176860886035803</v>
      </c>
      <c r="C38" s="3">
        <v>4.7059465768205504</v>
      </c>
      <c r="D38" s="3">
        <v>2.9825371472428301</v>
      </c>
      <c r="E38" s="3">
        <v>2.92681170590506</v>
      </c>
      <c r="F38" s="3">
        <v>2.1623683766773198</v>
      </c>
      <c r="G38" s="3">
        <v>3.3171899031941798</v>
      </c>
      <c r="H38" s="3">
        <v>4.2316835922565899</v>
      </c>
      <c r="I38" s="3">
        <v>1.14745005122761</v>
      </c>
      <c r="J38" s="3">
        <v>2.0851255624610801</v>
      </c>
      <c r="K38" s="3">
        <v>3.2728079011484601</v>
      </c>
      <c r="L38" s="3">
        <v>2.72639918577232</v>
      </c>
      <c r="M38" s="3">
        <v>3.5745626434170101</v>
      </c>
      <c r="N38" s="3">
        <v>3.8227361601969401</v>
      </c>
    </row>
    <row r="39" spans="1:14" x14ac:dyDescent="0.35">
      <c r="A39" s="2">
        <v>42922</v>
      </c>
      <c r="B39" s="3">
        <v>4.3957131325592904</v>
      </c>
      <c r="C39" s="3">
        <v>4.6044886738777402</v>
      </c>
      <c r="D39" s="3">
        <v>3.0670522955389399</v>
      </c>
      <c r="E39" s="3">
        <v>3.02472239825364</v>
      </c>
      <c r="F39" s="3">
        <v>2.1668849505232401</v>
      </c>
      <c r="G39" s="3">
        <v>3.3036887480938999</v>
      </c>
      <c r="H39" s="3">
        <v>4.33895314010375</v>
      </c>
      <c r="I39" s="3">
        <v>1.2270696254848401</v>
      </c>
      <c r="J39" s="3">
        <v>2.12514311538192</v>
      </c>
      <c r="K39" s="3">
        <v>3.3806738182401199</v>
      </c>
      <c r="L39" s="3">
        <v>2.8161319655584198</v>
      </c>
      <c r="M39" s="3">
        <v>3.5759750586143801</v>
      </c>
      <c r="N39" s="3">
        <v>3.81758879268317</v>
      </c>
    </row>
    <row r="40" spans="1:14" x14ac:dyDescent="0.35">
      <c r="A40" s="2">
        <v>42951</v>
      </c>
      <c r="B40" s="3">
        <v>4.3617634683403699</v>
      </c>
      <c r="C40" s="3">
        <v>4.6026109278046397</v>
      </c>
      <c r="D40" s="3">
        <v>3.01971169312734</v>
      </c>
      <c r="E40" s="3">
        <v>3.0466426738721402</v>
      </c>
      <c r="F40" s="3">
        <v>2.1645406637068598</v>
      </c>
      <c r="G40" s="3">
        <v>3.2385510174472198</v>
      </c>
      <c r="H40" s="3">
        <v>4.2279744618422397</v>
      </c>
      <c r="I40" s="3">
        <v>1.1733588326675</v>
      </c>
      <c r="J40" s="3">
        <v>2.0822004347271101</v>
      </c>
      <c r="K40" s="3">
        <v>3.3498223415706199</v>
      </c>
      <c r="L40" s="3">
        <v>2.7501230696009502</v>
      </c>
      <c r="M40" s="3">
        <v>3.6872827469713201</v>
      </c>
      <c r="N40" s="3">
        <v>3.7112126741980398</v>
      </c>
    </row>
    <row r="41" spans="1:14" x14ac:dyDescent="0.35">
      <c r="A41" s="2">
        <v>42984</v>
      </c>
      <c r="B41" s="3">
        <v>4.4088517726314196</v>
      </c>
      <c r="C41" s="3">
        <v>4.6046576503947101</v>
      </c>
      <c r="D41" s="3">
        <v>3.10212709615005</v>
      </c>
      <c r="E41" s="3">
        <v>3.1172786883356798</v>
      </c>
      <c r="F41" s="3">
        <v>2.2506976759070501</v>
      </c>
      <c r="G41" s="3">
        <v>3.3419761438219502</v>
      </c>
      <c r="H41" s="3">
        <v>4.3490263912475404</v>
      </c>
      <c r="I41" s="3">
        <v>1.16699696702331</v>
      </c>
      <c r="J41" s="3">
        <v>2.1042575567900101</v>
      </c>
      <c r="K41" s="3">
        <v>3.4168158139106701</v>
      </c>
      <c r="L41" s="3">
        <v>2.8836602224700298</v>
      </c>
      <c r="M41" s="3">
        <v>3.7881343069154001</v>
      </c>
      <c r="N41" s="3">
        <v>3.77732274653986</v>
      </c>
    </row>
    <row r="42" spans="1:14" x14ac:dyDescent="0.35">
      <c r="A42" s="2">
        <v>43014</v>
      </c>
      <c r="B42" s="3">
        <v>4.4100663555381399</v>
      </c>
      <c r="C42" s="3">
        <v>4.6160278752328301</v>
      </c>
      <c r="D42" s="3">
        <v>2.9633909921758601</v>
      </c>
      <c r="E42" s="3">
        <v>2.9595091627242001</v>
      </c>
      <c r="F42" s="3">
        <v>2.1478409816597099</v>
      </c>
      <c r="G42" s="3">
        <v>3.2481979718508498</v>
      </c>
      <c r="H42" s="3">
        <v>4.27894317617627</v>
      </c>
      <c r="I42" s="3">
        <v>1.1468209250925101</v>
      </c>
      <c r="J42" s="3">
        <v>2.0383739961597098</v>
      </c>
      <c r="K42" s="3">
        <v>3.29009593732754</v>
      </c>
      <c r="L42" s="3">
        <v>2.7775807144394302</v>
      </c>
      <c r="M42" s="3">
        <v>3.5428131151973399</v>
      </c>
      <c r="N42" s="3">
        <v>3.8059359967106698</v>
      </c>
    </row>
    <row r="43" spans="1:14" x14ac:dyDescent="0.35">
      <c r="A43" s="2">
        <v>43045</v>
      </c>
      <c r="B43" s="3">
        <v>4.4154624410455101</v>
      </c>
      <c r="C43" s="3">
        <v>4.4731283713931402</v>
      </c>
      <c r="D43" s="3">
        <v>2.90481753356966</v>
      </c>
      <c r="E43" s="3">
        <v>2.8560920520228099</v>
      </c>
      <c r="F43" s="3">
        <v>2.0424794240485098</v>
      </c>
      <c r="G43" s="3">
        <v>3.2404235534408201</v>
      </c>
      <c r="H43" s="3">
        <v>4.2839963420689697</v>
      </c>
      <c r="I43" s="3">
        <v>1.11093350359066</v>
      </c>
      <c r="J43" s="3">
        <v>2.02316272382373</v>
      </c>
      <c r="K43" s="3">
        <v>3.2371971608721801</v>
      </c>
      <c r="L43" s="3">
        <v>2.74932599688993</v>
      </c>
      <c r="M43" s="3">
        <v>3.5166463213322299</v>
      </c>
      <c r="N43" s="3">
        <v>3.7452116938761701</v>
      </c>
    </row>
    <row r="44" spans="1:14" x14ac:dyDescent="0.35">
      <c r="A44" s="2">
        <v>43075</v>
      </c>
      <c r="B44" s="3">
        <v>4.3780035117402996</v>
      </c>
      <c r="C44" s="3">
        <v>4.5396652396541599</v>
      </c>
      <c r="D44" s="3">
        <v>2.94541782647687</v>
      </c>
      <c r="E44" s="3">
        <v>2.9232462916351798</v>
      </c>
      <c r="F44" s="3">
        <v>2.1118944029317599</v>
      </c>
      <c r="G44" s="3">
        <v>3.24240041298878</v>
      </c>
      <c r="H44" s="3">
        <v>4.3906382790315197</v>
      </c>
      <c r="I44" s="3">
        <v>1.11723491602821</v>
      </c>
      <c r="J44" s="3">
        <v>1.9861451371829499</v>
      </c>
      <c r="K44" s="3">
        <v>3.28074443317306</v>
      </c>
      <c r="L44" s="3">
        <v>2.8468631977972398</v>
      </c>
      <c r="M44" s="3">
        <v>3.7275496563910999</v>
      </c>
      <c r="N44" s="3">
        <v>3.8865804696557</v>
      </c>
    </row>
    <row r="45" spans="1:14" x14ac:dyDescent="0.35">
      <c r="A45" s="2">
        <v>43105</v>
      </c>
      <c r="B45" s="3">
        <v>4.1799578842127598</v>
      </c>
      <c r="C45" s="3">
        <v>4.4159157837607896</v>
      </c>
      <c r="D45" s="3">
        <v>2.88691410143745</v>
      </c>
      <c r="E45" s="3">
        <v>2.86620808405078</v>
      </c>
      <c r="F45" s="3">
        <v>1.98855582613455</v>
      </c>
      <c r="G45" s="3">
        <v>3.1647762043994798</v>
      </c>
      <c r="H45" s="3">
        <v>4.1715266521557597</v>
      </c>
      <c r="I45" s="3">
        <v>1.0604888121495299</v>
      </c>
      <c r="J45" s="3">
        <v>1.9157738689898201</v>
      </c>
      <c r="K45" s="3">
        <v>3.23442388689356</v>
      </c>
      <c r="L45" s="3">
        <v>2.7970180458814702</v>
      </c>
      <c r="M45" s="3">
        <v>3.6770196834248101</v>
      </c>
      <c r="N45" s="3">
        <v>3.8513849030038698</v>
      </c>
    </row>
    <row r="46" spans="1:14" x14ac:dyDescent="0.35">
      <c r="A46" s="2">
        <v>43137</v>
      </c>
      <c r="B46" s="3">
        <v>4.32044067871976</v>
      </c>
      <c r="C46" s="3">
        <v>4.6904679503004703</v>
      </c>
      <c r="D46" s="3">
        <v>3.09228256343407</v>
      </c>
      <c r="E46" s="3">
        <v>3.1350645069060401</v>
      </c>
      <c r="F46" s="3">
        <v>2.1792226216993198</v>
      </c>
      <c r="G46" s="3">
        <v>3.38465804090773</v>
      </c>
      <c r="H46" s="3">
        <v>4.4977472829282998</v>
      </c>
      <c r="I46" s="3">
        <v>1.0796776549759799</v>
      </c>
      <c r="J46" s="3">
        <v>1.97894825160735</v>
      </c>
      <c r="K46" s="3">
        <v>3.4239924735101201</v>
      </c>
      <c r="L46" s="3">
        <v>2.9645357195526398</v>
      </c>
      <c r="M46" s="3">
        <v>3.9979170382510798</v>
      </c>
      <c r="N46" s="3">
        <v>3.9794946789886199</v>
      </c>
    </row>
    <row r="47" spans="1:14" x14ac:dyDescent="0.35">
      <c r="A47" s="2">
        <v>43165</v>
      </c>
      <c r="B47" s="3">
        <v>4.2771288269601104</v>
      </c>
      <c r="C47" s="3">
        <v>4.6360955699080701</v>
      </c>
      <c r="D47" s="3">
        <v>3.13993310135888</v>
      </c>
      <c r="E47" s="3">
        <v>3.2095290392956999</v>
      </c>
      <c r="F47" s="3">
        <v>2.2617802497311201</v>
      </c>
      <c r="G47" s="3">
        <v>3.4732424002699598</v>
      </c>
      <c r="H47" s="3">
        <v>4.5164850381698001</v>
      </c>
      <c r="I47" s="3">
        <v>1.05687543481637</v>
      </c>
      <c r="J47" s="3">
        <v>1.9804944768889801</v>
      </c>
      <c r="K47" s="3">
        <v>3.4493832781361302</v>
      </c>
      <c r="L47" s="3">
        <v>2.96678446839798</v>
      </c>
      <c r="M47" s="3">
        <v>3.9032126110643501</v>
      </c>
      <c r="N47" s="3">
        <v>4.0957225644442596</v>
      </c>
    </row>
    <row r="48" spans="1:14" x14ac:dyDescent="0.35">
      <c r="A48" s="2">
        <v>43196</v>
      </c>
      <c r="B48" s="3">
        <v>4.2719368338083497</v>
      </c>
      <c r="C48" s="3">
        <v>4.8135657588865799</v>
      </c>
      <c r="D48" s="3">
        <v>3.22638768948066</v>
      </c>
      <c r="E48" s="3">
        <v>3.2287803972448299</v>
      </c>
      <c r="F48" s="3">
        <v>2.2724461738331398</v>
      </c>
      <c r="G48" s="3">
        <v>3.5209148401610002</v>
      </c>
      <c r="H48" s="3">
        <v>4.4815877546583804</v>
      </c>
      <c r="I48" s="3">
        <v>1.15165503253931</v>
      </c>
      <c r="J48" s="3">
        <v>2.0900680551934099</v>
      </c>
      <c r="K48" s="3">
        <v>3.4157655618276199</v>
      </c>
      <c r="L48" s="3">
        <v>2.9593392783206398</v>
      </c>
      <c r="M48" s="3">
        <v>4.1399721366780398</v>
      </c>
      <c r="N48" s="3">
        <v>4.0166962319741897</v>
      </c>
    </row>
    <row r="49" spans="1:14" x14ac:dyDescent="0.35">
      <c r="A49" s="2">
        <v>43224</v>
      </c>
      <c r="B49" s="3">
        <v>4.2158892253853999</v>
      </c>
      <c r="C49" s="3">
        <v>4.67529411445381</v>
      </c>
      <c r="D49" s="3">
        <v>3.1334356872658198</v>
      </c>
      <c r="E49" s="3">
        <v>3.1195843423405099</v>
      </c>
      <c r="F49" s="3">
        <v>2.2151202571347799</v>
      </c>
      <c r="G49" s="3">
        <v>3.4711290525709999</v>
      </c>
      <c r="H49" s="3">
        <v>4.3546189047231199</v>
      </c>
      <c r="I49" s="3">
        <v>1.11070277517455</v>
      </c>
      <c r="J49" s="3">
        <v>2.0663921065984798</v>
      </c>
      <c r="K49" s="3">
        <v>3.3037109831064702</v>
      </c>
      <c r="L49" s="3">
        <v>2.9320710356759898</v>
      </c>
      <c r="M49" s="3">
        <v>4.0337433824572697</v>
      </c>
      <c r="N49" s="3">
        <v>3.8397496963501401</v>
      </c>
    </row>
    <row r="50" spans="1:14" x14ac:dyDescent="0.35">
      <c r="A50" s="2">
        <v>43257</v>
      </c>
      <c r="B50" s="3">
        <v>4.0854040057380701</v>
      </c>
      <c r="C50" s="3">
        <v>4.7398969323640996</v>
      </c>
      <c r="D50" s="3">
        <v>3.0732482814439299</v>
      </c>
      <c r="E50" s="3">
        <v>3.1339287888583298</v>
      </c>
      <c r="F50" s="3">
        <v>2.2373528973354899</v>
      </c>
      <c r="G50" s="3">
        <v>3.5691941756333998</v>
      </c>
      <c r="H50" s="3">
        <v>4.3235719037762399</v>
      </c>
      <c r="I50" s="3">
        <v>1.04736643412129</v>
      </c>
      <c r="J50" s="3">
        <v>1.99831090663892</v>
      </c>
      <c r="K50" s="3">
        <v>3.3102647181899201</v>
      </c>
      <c r="L50" s="3">
        <v>2.8659135385568599</v>
      </c>
      <c r="M50" s="3">
        <v>4.1018468197273199</v>
      </c>
      <c r="N50" s="3">
        <v>4.3947002598884799</v>
      </c>
    </row>
    <row r="51" spans="1:14" x14ac:dyDescent="0.35">
      <c r="A51" s="2">
        <v>43287</v>
      </c>
      <c r="B51" s="3">
        <v>4.0083458312092803</v>
      </c>
      <c r="C51" s="3">
        <v>4.5497052212200098</v>
      </c>
      <c r="D51" s="3">
        <v>3.0577019166596902</v>
      </c>
      <c r="E51" s="3">
        <v>3.2281356013279798</v>
      </c>
      <c r="F51" s="3">
        <v>2.3525309930360798</v>
      </c>
      <c r="G51" s="3">
        <v>3.5193425423536899</v>
      </c>
      <c r="H51" s="3">
        <v>4.4128140541627499</v>
      </c>
      <c r="I51" s="3">
        <v>1.0531830410769301</v>
      </c>
      <c r="J51" s="3">
        <v>2.0289968806892502</v>
      </c>
      <c r="K51" s="3">
        <v>3.4247650182210201</v>
      </c>
      <c r="L51" s="3">
        <v>2.96218341495329</v>
      </c>
      <c r="M51" s="3">
        <v>4.2201328498508399</v>
      </c>
      <c r="N51" s="3">
        <v>4.4482803632480801</v>
      </c>
    </row>
    <row r="52" spans="1:14" x14ac:dyDescent="0.35">
      <c r="A52" s="2">
        <v>43318</v>
      </c>
      <c r="B52" s="3">
        <v>4.1217927851709497</v>
      </c>
      <c r="C52" s="3">
        <v>4.6040475079303604</v>
      </c>
      <c r="D52" s="3">
        <v>3.07248824923286</v>
      </c>
      <c r="E52" s="3">
        <v>3.2083791348544102</v>
      </c>
      <c r="F52" s="3">
        <v>2.3052195710134198</v>
      </c>
      <c r="G52" s="3">
        <v>3.3823088460167301</v>
      </c>
      <c r="H52" s="3">
        <v>4.4370097231211796</v>
      </c>
      <c r="I52" s="3">
        <v>1.0736753893705899</v>
      </c>
      <c r="J52" s="3">
        <v>1.9828972472619699</v>
      </c>
      <c r="K52" s="3">
        <v>3.4008266586987799</v>
      </c>
      <c r="L52" s="3">
        <v>2.84038256548271</v>
      </c>
      <c r="M52" s="3">
        <v>4.10751615831298</v>
      </c>
      <c r="N52" s="3">
        <v>4.4468235085706898</v>
      </c>
    </row>
    <row r="53" spans="1:14" x14ac:dyDescent="0.35">
      <c r="A53" s="2">
        <v>43349</v>
      </c>
      <c r="B53" s="3">
        <v>4.0141500900908396</v>
      </c>
      <c r="C53" s="3">
        <v>4.75631089406569</v>
      </c>
      <c r="D53" s="3">
        <v>3.1565325761296599</v>
      </c>
      <c r="E53" s="3">
        <v>3.3742799055254902</v>
      </c>
      <c r="F53" s="3">
        <v>2.3760156992678199</v>
      </c>
      <c r="G53" s="3">
        <v>3.4717709796803899</v>
      </c>
      <c r="H53" s="3">
        <v>4.6646765883981098</v>
      </c>
      <c r="I53" s="3">
        <v>1.0794558015537601</v>
      </c>
      <c r="J53" s="3">
        <v>1.9733609324972801</v>
      </c>
      <c r="K53" s="3">
        <v>3.55802440746147</v>
      </c>
      <c r="L53" s="3">
        <v>3.0170069396786201</v>
      </c>
      <c r="M53" s="3">
        <v>4.0860479391065399</v>
      </c>
      <c r="N53" s="3">
        <v>4.7203958824868</v>
      </c>
    </row>
    <row r="54" spans="1:14" x14ac:dyDescent="0.35">
      <c r="A54" s="2">
        <v>43378</v>
      </c>
      <c r="B54" s="3">
        <v>4.0544822884063096</v>
      </c>
      <c r="C54" s="3">
        <v>4.7886893193757301</v>
      </c>
      <c r="D54" s="3">
        <v>3.1979606815110602</v>
      </c>
      <c r="E54" s="3">
        <v>3.362331966612</v>
      </c>
      <c r="F54" s="3">
        <v>2.2493551226857802</v>
      </c>
      <c r="G54" s="3">
        <v>3.46864616560649</v>
      </c>
      <c r="H54" s="3">
        <v>4.6269405141039703</v>
      </c>
      <c r="I54" s="3">
        <v>1.09618532527142</v>
      </c>
      <c r="J54" s="3">
        <v>1.9804005826234901</v>
      </c>
      <c r="K54" s="3">
        <v>3.52274892922425</v>
      </c>
      <c r="L54" s="3">
        <v>3.07769270807318</v>
      </c>
      <c r="M54" s="3">
        <v>4.0944767470971497</v>
      </c>
      <c r="N54" s="3">
        <v>4.7912200536952998</v>
      </c>
    </row>
    <row r="55" spans="1:14" x14ac:dyDescent="0.35">
      <c r="A55" s="2">
        <v>43410</v>
      </c>
      <c r="B55" s="3">
        <v>4.2244742442942496</v>
      </c>
      <c r="C55" s="3">
        <v>5.0380654288532503</v>
      </c>
      <c r="D55" s="3">
        <v>3.3554043690100301</v>
      </c>
      <c r="E55" s="3">
        <v>3.6121935247986299</v>
      </c>
      <c r="F55" s="3">
        <v>2.4448664588201798</v>
      </c>
      <c r="G55" s="3">
        <v>3.5167474526898799</v>
      </c>
      <c r="H55" s="3">
        <v>4.8623795801992804</v>
      </c>
      <c r="I55" s="3">
        <v>1.1771669572525501</v>
      </c>
      <c r="J55" s="3">
        <v>2.0772359967244198</v>
      </c>
      <c r="K55" s="3">
        <v>3.7203441243337401</v>
      </c>
      <c r="L55" s="3">
        <v>3.2076634068211098</v>
      </c>
      <c r="M55" s="3">
        <v>4.3660136622508903</v>
      </c>
      <c r="N55" s="3">
        <v>5.0704140031073202</v>
      </c>
    </row>
    <row r="56" spans="1:14" x14ac:dyDescent="0.35">
      <c r="A56" s="2">
        <v>43440</v>
      </c>
      <c r="B56" s="3">
        <v>4.17336817582233</v>
      </c>
      <c r="C56" s="3">
        <v>5.3375224925460296</v>
      </c>
      <c r="D56" s="3">
        <v>3.4454070791509799</v>
      </c>
      <c r="E56" s="3">
        <v>3.8359025925647798</v>
      </c>
      <c r="F56" s="3">
        <v>2.54415148612394</v>
      </c>
      <c r="G56" s="3">
        <v>3.6671701620793402</v>
      </c>
      <c r="H56" s="3">
        <v>5.1877955685866803</v>
      </c>
      <c r="I56" s="3">
        <v>1.2113705143003499</v>
      </c>
      <c r="J56" s="3">
        <v>2.1385968739424901</v>
      </c>
      <c r="K56" s="3">
        <v>3.9597328495695199</v>
      </c>
      <c r="L56" s="3">
        <v>3.35803183996333</v>
      </c>
      <c r="M56" s="3">
        <v>4.6780271546841199</v>
      </c>
      <c r="N56" s="3">
        <v>5.3550671074254499</v>
      </c>
    </row>
    <row r="57" spans="1:14" x14ac:dyDescent="0.35">
      <c r="A57" s="2">
        <v>43469</v>
      </c>
      <c r="B57" s="3">
        <v>4.19553378891551</v>
      </c>
      <c r="C57" s="3">
        <v>5.3555576445058302</v>
      </c>
      <c r="D57" s="3">
        <v>3.5743536428213201</v>
      </c>
      <c r="E57" s="3">
        <v>3.8803184061531</v>
      </c>
      <c r="F57" s="3">
        <v>2.7942279675749502</v>
      </c>
      <c r="G57" s="3">
        <v>3.636441554693</v>
      </c>
      <c r="H57" s="3">
        <v>5.2568020275078302</v>
      </c>
      <c r="I57" s="3">
        <v>1.3035472974435101</v>
      </c>
      <c r="J57" s="3">
        <v>2.2990818870937701</v>
      </c>
      <c r="K57" s="3">
        <v>4.0029931113699</v>
      </c>
      <c r="L57" s="3">
        <v>3.4555205597822698</v>
      </c>
      <c r="M57" s="3">
        <v>4.6446982944077604</v>
      </c>
      <c r="N57" s="3">
        <v>5.2786932270062303</v>
      </c>
    </row>
    <row r="58" spans="1:14" x14ac:dyDescent="0.35">
      <c r="A58" s="2">
        <v>43502</v>
      </c>
      <c r="B58" s="3">
        <v>4.0675461804920996</v>
      </c>
      <c r="C58" s="3">
        <v>4.9827089497130199</v>
      </c>
      <c r="D58" s="3">
        <v>3.3039580418213901</v>
      </c>
      <c r="E58" s="3">
        <v>3.65921042716906</v>
      </c>
      <c r="F58" s="3">
        <v>2.61215552904177</v>
      </c>
      <c r="G58" s="3">
        <v>3.4070359812861102</v>
      </c>
      <c r="H58" s="3">
        <v>4.9613054677528403</v>
      </c>
      <c r="I58" s="3">
        <v>1.2061824938799901</v>
      </c>
      <c r="J58" s="3">
        <v>2.14321607957628</v>
      </c>
      <c r="K58" s="3">
        <v>3.73789356344315</v>
      </c>
      <c r="L58" s="3">
        <v>3.1614601714941601</v>
      </c>
      <c r="M58" s="3">
        <v>4.2501245130400402</v>
      </c>
      <c r="N58" s="3">
        <v>5.0058291069499203</v>
      </c>
    </row>
    <row r="59" spans="1:14" x14ac:dyDescent="0.35">
      <c r="A59" s="2">
        <v>43530</v>
      </c>
      <c r="B59" s="3">
        <v>3.8840174851852001</v>
      </c>
      <c r="C59" s="3">
        <v>4.8968316453985503</v>
      </c>
      <c r="D59" s="3">
        <v>3.2583543670141699</v>
      </c>
      <c r="E59" s="3">
        <v>3.5801996385847099</v>
      </c>
      <c r="F59" s="3">
        <v>2.5537259912211798</v>
      </c>
      <c r="G59" s="3">
        <v>3.3490375948692299</v>
      </c>
      <c r="H59" s="3">
        <v>4.9385827715295596</v>
      </c>
      <c r="I59" s="3">
        <v>1.17722773392464</v>
      </c>
      <c r="J59" s="3">
        <v>2.1205148353130499</v>
      </c>
      <c r="K59" s="3">
        <v>3.6151912497503398</v>
      </c>
      <c r="L59" s="3">
        <v>3.12135250148404</v>
      </c>
      <c r="M59" s="3">
        <v>4.1601004394809697</v>
      </c>
      <c r="N59" s="3">
        <v>4.7395067337937498</v>
      </c>
    </row>
    <row r="60" spans="1:14" x14ac:dyDescent="0.35">
      <c r="A60" s="2">
        <v>43560</v>
      </c>
      <c r="B60" s="3">
        <v>3.7604000760257699</v>
      </c>
      <c r="C60" s="3">
        <v>4.9467614713688999</v>
      </c>
      <c r="D60" s="3">
        <v>3.2162076229909702</v>
      </c>
      <c r="E60" s="3">
        <v>3.47987791597743</v>
      </c>
      <c r="F60" s="3">
        <v>2.55054687766502</v>
      </c>
      <c r="G60" s="3">
        <v>3.2995689022489998</v>
      </c>
      <c r="H60" s="3">
        <v>4.8120006712258103</v>
      </c>
      <c r="I60" s="3">
        <v>1.10989012907364</v>
      </c>
      <c r="J60" s="3">
        <v>2.0507486019576402</v>
      </c>
      <c r="K60" s="3">
        <v>3.5247359266052398</v>
      </c>
      <c r="L60" s="3">
        <v>3.0026521833625299</v>
      </c>
      <c r="M60" s="3">
        <v>4.05990732302421</v>
      </c>
      <c r="N60" s="3">
        <v>4.60943346111865</v>
      </c>
    </row>
    <row r="61" spans="1:14" x14ac:dyDescent="0.35">
      <c r="A61" s="2">
        <v>43591</v>
      </c>
      <c r="B61" s="3">
        <v>3.7361654067734502</v>
      </c>
      <c r="C61" s="3">
        <v>4.9142834067452199</v>
      </c>
      <c r="D61" s="3">
        <v>3.2239749864236802</v>
      </c>
      <c r="E61" s="3">
        <v>3.4297838204394</v>
      </c>
      <c r="F61" s="3">
        <v>2.56875843878194</v>
      </c>
      <c r="G61" s="3">
        <v>3.2908340391452802</v>
      </c>
      <c r="H61" s="3">
        <v>4.85713888336001</v>
      </c>
      <c r="I61" s="3">
        <v>1.0875004552940299</v>
      </c>
      <c r="J61" s="3">
        <v>2.03299881556124</v>
      </c>
      <c r="K61" s="3">
        <v>3.5263844265498898</v>
      </c>
      <c r="L61" s="3">
        <v>2.9832657303837</v>
      </c>
      <c r="M61" s="3">
        <v>4.0809122599038101</v>
      </c>
      <c r="N61" s="3">
        <v>4.7140691235322496</v>
      </c>
    </row>
    <row r="62" spans="1:14" x14ac:dyDescent="0.35">
      <c r="A62" s="2">
        <v>43622</v>
      </c>
      <c r="B62" s="3">
        <v>3.7529774812754702</v>
      </c>
      <c r="C62" s="3">
        <v>4.8123464208541504</v>
      </c>
      <c r="D62" s="3">
        <v>3.3433329318321898</v>
      </c>
      <c r="E62" s="3">
        <v>3.60834172288016</v>
      </c>
      <c r="F62" s="3">
        <v>2.7318564665844201</v>
      </c>
      <c r="G62" s="3">
        <v>3.2844259455256402</v>
      </c>
      <c r="H62" s="3">
        <v>4.8764185856386701</v>
      </c>
      <c r="I62" s="3">
        <v>1.1770963985545</v>
      </c>
      <c r="J62" s="3">
        <v>2.11116395593936</v>
      </c>
      <c r="K62" s="3">
        <v>3.6802580431405998</v>
      </c>
      <c r="L62" s="3">
        <v>3.1473019933491901</v>
      </c>
      <c r="M62" s="3">
        <v>4.3599152141516404</v>
      </c>
      <c r="N62" s="3">
        <v>5.0724621845600799</v>
      </c>
    </row>
    <row r="63" spans="1:14" x14ac:dyDescent="0.35">
      <c r="A63" s="2">
        <v>43651</v>
      </c>
      <c r="B63" s="3">
        <v>3.50019431866391</v>
      </c>
      <c r="C63" s="3">
        <v>4.5496805296778602</v>
      </c>
      <c r="D63" s="3">
        <v>3.2931928227912302</v>
      </c>
      <c r="E63" s="3">
        <v>3.4404400001603501</v>
      </c>
      <c r="F63" s="3">
        <v>2.6215762336567701</v>
      </c>
      <c r="G63" s="3">
        <v>3.2140849252473598</v>
      </c>
      <c r="H63" s="3">
        <v>4.7497675994122197</v>
      </c>
      <c r="I63" s="3">
        <v>1.0911487801834201</v>
      </c>
      <c r="J63" s="3">
        <v>2.0157211864536801</v>
      </c>
      <c r="K63" s="3">
        <v>3.50449494052289</v>
      </c>
      <c r="L63" s="3">
        <v>2.9659819613737799</v>
      </c>
      <c r="M63" s="3">
        <v>4.1290342756852398</v>
      </c>
      <c r="N63" s="3">
        <v>4.6701550111078198</v>
      </c>
    </row>
    <row r="64" spans="1:14" x14ac:dyDescent="0.35">
      <c r="A64" s="2">
        <v>43683</v>
      </c>
      <c r="B64" s="3">
        <v>3.4944582058922902</v>
      </c>
      <c r="C64" s="3">
        <v>4.7538097156620198</v>
      </c>
      <c r="D64" s="3">
        <v>3.43641502962915</v>
      </c>
      <c r="E64" s="3">
        <v>3.6411498357804102</v>
      </c>
      <c r="F64" s="3">
        <v>2.7809124269541701</v>
      </c>
      <c r="G64" s="3">
        <v>3.3370264191434602</v>
      </c>
      <c r="H64" s="3">
        <v>5.1055459399616403</v>
      </c>
      <c r="I64" s="3">
        <v>1.14228399602296</v>
      </c>
      <c r="J64" s="3">
        <v>2.1033264753182301</v>
      </c>
      <c r="K64" s="3">
        <v>3.7493365000636198</v>
      </c>
      <c r="L64" s="3">
        <v>3.0605107274285102</v>
      </c>
      <c r="M64" s="3">
        <v>4.2725077098142501</v>
      </c>
      <c r="N64" s="3">
        <v>5.0132006926244301</v>
      </c>
    </row>
    <row r="65" spans="1:14" x14ac:dyDescent="0.35">
      <c r="A65" s="2">
        <v>43714</v>
      </c>
      <c r="B65" s="3">
        <v>3.2314916372154201</v>
      </c>
      <c r="C65" s="3">
        <v>4.5229883117362002</v>
      </c>
      <c r="D65" s="3">
        <v>3.3624681017053399</v>
      </c>
      <c r="E65" s="3">
        <v>3.4417028219698498</v>
      </c>
      <c r="F65" s="3">
        <v>2.6989374577610401</v>
      </c>
      <c r="G65" s="3">
        <v>3.1688809272602998</v>
      </c>
      <c r="H65" s="3">
        <v>4.9915367236227599</v>
      </c>
      <c r="I65" s="3">
        <v>1.09598663225616</v>
      </c>
      <c r="J65" s="3">
        <v>2.0461837942363998</v>
      </c>
      <c r="K65" s="3">
        <v>3.52685884446085</v>
      </c>
      <c r="L65" s="3">
        <v>2.87614101894872</v>
      </c>
      <c r="M65" s="3">
        <v>4.0968755897554603</v>
      </c>
      <c r="N65" s="3">
        <v>4.7643348579643803</v>
      </c>
    </row>
    <row r="66" spans="1:14" x14ac:dyDescent="0.35">
      <c r="A66" s="2">
        <v>43742</v>
      </c>
      <c r="B66" s="3">
        <v>3.3454783724441302</v>
      </c>
      <c r="C66" s="3">
        <v>4.55438622426741</v>
      </c>
      <c r="D66" s="3">
        <v>3.38862059274526</v>
      </c>
      <c r="E66" s="3">
        <v>3.4970880139619598</v>
      </c>
      <c r="F66" s="3">
        <v>2.6508704362089199</v>
      </c>
      <c r="G66" s="3">
        <v>3.27933245349102</v>
      </c>
      <c r="H66" s="3">
        <v>5.0593190795531102</v>
      </c>
      <c r="I66" s="3">
        <v>1.11610304227057</v>
      </c>
      <c r="J66" s="3">
        <v>2.0732652104928002</v>
      </c>
      <c r="K66" s="3">
        <v>3.6019278659170002</v>
      </c>
      <c r="L66" s="3">
        <v>2.81032375622627</v>
      </c>
      <c r="M66" s="3">
        <v>4.0402871612754803</v>
      </c>
      <c r="N66" s="3">
        <v>4.8800723202173604</v>
      </c>
    </row>
    <row r="67" spans="1:14" x14ac:dyDescent="0.35">
      <c r="A67" s="2">
        <v>43775</v>
      </c>
      <c r="B67" s="3">
        <v>3.39226170507879</v>
      </c>
      <c r="C67" s="3">
        <v>4.3861296715258504</v>
      </c>
      <c r="D67" s="3">
        <v>3.3000842925573499</v>
      </c>
      <c r="E67" s="3">
        <v>3.1884683619265499</v>
      </c>
      <c r="F67" s="3">
        <v>2.4744397920721499</v>
      </c>
      <c r="G67" s="3">
        <v>3.1289463957936801</v>
      </c>
      <c r="H67" s="3">
        <v>4.7624926279468598</v>
      </c>
      <c r="I67" s="3">
        <v>1.0705056858425299</v>
      </c>
      <c r="J67" s="3">
        <v>2.00561938425257</v>
      </c>
      <c r="K67" s="3">
        <v>3.3832420373611001</v>
      </c>
      <c r="L67" s="3">
        <v>2.6683001080580202</v>
      </c>
      <c r="M67" s="3">
        <v>3.6748895737080902</v>
      </c>
      <c r="N67" s="3">
        <v>4.5455160699413097</v>
      </c>
    </row>
    <row r="68" spans="1:14" x14ac:dyDescent="0.35">
      <c r="A68" s="2">
        <v>43805</v>
      </c>
      <c r="B68" s="3">
        <v>3.2490840732028201</v>
      </c>
      <c r="C68" s="3">
        <v>4.3375944676605602</v>
      </c>
      <c r="D68" s="3">
        <v>3.2608191064873</v>
      </c>
      <c r="E68" s="3">
        <v>3.1146098266537501</v>
      </c>
      <c r="F68" s="3">
        <v>2.45117905822663</v>
      </c>
      <c r="G68" s="3">
        <v>3.0980138142477198</v>
      </c>
      <c r="H68" s="3">
        <v>4.7847899869114299</v>
      </c>
      <c r="I68" s="3">
        <v>1.0739003682249599</v>
      </c>
      <c r="J68" s="3">
        <v>1.97284994136286</v>
      </c>
      <c r="K68" s="3">
        <v>3.3997386067019999</v>
      </c>
      <c r="L68" s="3">
        <v>2.6293950761268401</v>
      </c>
      <c r="M68" s="3">
        <v>3.6832193395664699</v>
      </c>
      <c r="N68" s="3">
        <v>4.5664325535344901</v>
      </c>
    </row>
    <row r="69" spans="1:14" x14ac:dyDescent="0.35">
      <c r="A69" s="2">
        <v>43836</v>
      </c>
      <c r="B69" s="3">
        <v>3.1412173134918802</v>
      </c>
      <c r="C69" s="3">
        <v>4.2915399517883497</v>
      </c>
      <c r="D69" s="3">
        <v>3.2669680606184501</v>
      </c>
      <c r="E69" s="3">
        <v>3.1234981667914998</v>
      </c>
      <c r="F69" s="3">
        <v>2.4821055660892002</v>
      </c>
      <c r="G69" s="3">
        <v>3.0312071381872498</v>
      </c>
      <c r="H69" s="3">
        <v>4.5661853746722398</v>
      </c>
      <c r="I69" s="3">
        <v>1.0352324231786301</v>
      </c>
      <c r="J69" s="3">
        <v>1.9255589110513101</v>
      </c>
      <c r="K69" s="3">
        <v>3.3401413204128501</v>
      </c>
      <c r="L69" s="3">
        <v>2.59689479567965</v>
      </c>
      <c r="M69" s="3">
        <v>3.5991859858378299</v>
      </c>
      <c r="N69" s="3">
        <v>4.50020485331118</v>
      </c>
    </row>
    <row r="70" spans="1:14" x14ac:dyDescent="0.35">
      <c r="A70" s="2">
        <v>43867</v>
      </c>
      <c r="B70" s="3">
        <v>3.12358209283689</v>
      </c>
      <c r="C70" s="3">
        <v>4.1349093245121002</v>
      </c>
      <c r="D70" s="3">
        <v>3.2048837854666399</v>
      </c>
      <c r="E70" s="3">
        <v>3.0465583785612198</v>
      </c>
      <c r="F70" s="3">
        <v>2.4261213317657999</v>
      </c>
      <c r="G70" s="3">
        <v>2.9552499150622298</v>
      </c>
      <c r="H70" s="3">
        <v>4.6538531091324504</v>
      </c>
      <c r="I70" s="3">
        <v>0.97623546746779</v>
      </c>
      <c r="J70" s="3">
        <v>1.88569815484305</v>
      </c>
      <c r="K70" s="3">
        <v>3.3200747581656</v>
      </c>
      <c r="L70" s="3">
        <v>2.5277547723374201</v>
      </c>
      <c r="M70" s="3">
        <v>3.4873420420111598</v>
      </c>
      <c r="N70" s="3">
        <v>4.4444045039186504</v>
      </c>
    </row>
    <row r="71" spans="1:14" x14ac:dyDescent="0.35">
      <c r="A71" s="2">
        <v>43896</v>
      </c>
      <c r="B71" s="3">
        <v>3.1256282279875598</v>
      </c>
      <c r="C71" s="3">
        <v>4.6145067275782798</v>
      </c>
      <c r="D71" s="3">
        <v>3.57666978187694</v>
      </c>
      <c r="E71" s="3">
        <v>3.5428061852963602</v>
      </c>
      <c r="F71" s="3">
        <v>2.8312708139342799</v>
      </c>
      <c r="G71" s="3">
        <v>3.2898331943231698</v>
      </c>
      <c r="H71" s="3">
        <v>5.3880205017303098</v>
      </c>
      <c r="I71" s="3">
        <v>1.0869841983711499</v>
      </c>
      <c r="J71" s="3">
        <v>2.1347075328230898</v>
      </c>
      <c r="K71" s="3">
        <v>3.8139465335949998</v>
      </c>
      <c r="L71" s="3">
        <v>2.9161850855138698</v>
      </c>
      <c r="M71" s="3">
        <v>3.9228849109852302</v>
      </c>
      <c r="N71" s="3">
        <v>5.2362499031819301</v>
      </c>
    </row>
    <row r="72" spans="1:14" x14ac:dyDescent="0.35">
      <c r="A72" s="2">
        <v>43927</v>
      </c>
      <c r="B72" s="3">
        <v>3.1144341682296499</v>
      </c>
      <c r="C72" s="3">
        <v>4.8662066718417902</v>
      </c>
      <c r="D72" s="3">
        <v>4.20831163585326</v>
      </c>
      <c r="E72" s="3">
        <v>3.79423014019121</v>
      </c>
      <c r="F72" s="3">
        <v>3.02469216929993</v>
      </c>
      <c r="G72" s="3">
        <v>3.4450683796352801</v>
      </c>
      <c r="H72" s="3">
        <v>6.1893767227512297</v>
      </c>
      <c r="I72" s="3">
        <v>1.1473541017048801</v>
      </c>
      <c r="J72" s="3">
        <v>2.3422884657663499</v>
      </c>
      <c r="K72" s="3">
        <v>4.2729318029738002</v>
      </c>
      <c r="L72" s="3">
        <v>3.05588396092076</v>
      </c>
      <c r="M72" s="3">
        <v>3.83886517944245</v>
      </c>
      <c r="N72" s="3">
        <v>6.0653418086828896</v>
      </c>
    </row>
    <row r="73" spans="1:14" x14ac:dyDescent="0.35">
      <c r="A73" s="2">
        <v>43957</v>
      </c>
      <c r="B73" s="3">
        <v>2.6739070396250502</v>
      </c>
      <c r="C73" s="3">
        <v>3.9248322913134701</v>
      </c>
      <c r="D73" s="3">
        <v>3.8485083097566402</v>
      </c>
      <c r="E73" s="3">
        <v>3.4125826718067902</v>
      </c>
      <c r="F73" s="3">
        <v>2.8637842040478598</v>
      </c>
      <c r="G73" s="3">
        <v>3.3245954042911601</v>
      </c>
      <c r="H73" s="3">
        <v>4.7438074619314499</v>
      </c>
      <c r="I73" s="3">
        <v>1.0144535234698</v>
      </c>
      <c r="J73" s="3">
        <v>2.1325608741808799</v>
      </c>
      <c r="K73" s="3">
        <v>3.6105155349501601</v>
      </c>
      <c r="L73" s="3">
        <v>2.72142346644344</v>
      </c>
      <c r="M73" s="3">
        <v>3.4050070593019202</v>
      </c>
      <c r="N73" s="3">
        <v>5.1444272400216597</v>
      </c>
    </row>
    <row r="74" spans="1:14" x14ac:dyDescent="0.35">
      <c r="A74" s="2">
        <v>43987</v>
      </c>
      <c r="B74" s="3">
        <v>2.55857496601101</v>
      </c>
      <c r="C74" s="3">
        <v>3.34360422616842</v>
      </c>
      <c r="D74" s="3">
        <v>3.4679865140888002</v>
      </c>
      <c r="E74" s="3">
        <v>2.7877044681324801</v>
      </c>
      <c r="F74" s="3">
        <v>2.45690917410835</v>
      </c>
      <c r="G74" s="3">
        <v>3.0635304381136002</v>
      </c>
      <c r="H74" s="3">
        <v>3.8900031517696898</v>
      </c>
      <c r="I74" s="3">
        <v>0.92401285742195705</v>
      </c>
      <c r="J74" s="3">
        <v>1.8887263589928101</v>
      </c>
      <c r="K74" s="3">
        <v>2.9938174155803501</v>
      </c>
      <c r="L74" s="3">
        <v>2.34175617970438</v>
      </c>
      <c r="M74" s="3">
        <v>2.8908897489130201</v>
      </c>
      <c r="N74" s="3">
        <v>4.1293755923968201</v>
      </c>
    </row>
    <row r="75" spans="1:14" x14ac:dyDescent="0.35">
      <c r="A75" s="2">
        <v>44018</v>
      </c>
      <c r="B75" s="3">
        <v>2.4273209580883002</v>
      </c>
      <c r="C75" s="3">
        <v>3.40914498948037</v>
      </c>
      <c r="D75" s="3">
        <v>3.5203983957472702</v>
      </c>
      <c r="E75" s="3">
        <v>2.8330724312996698</v>
      </c>
      <c r="F75" s="3">
        <v>2.4799074369283498</v>
      </c>
      <c r="G75" s="3">
        <v>3.0160673408685699</v>
      </c>
      <c r="H75" s="3">
        <v>4.0572042908940604</v>
      </c>
      <c r="I75" s="3">
        <v>0.85861650129727296</v>
      </c>
      <c r="J75" s="3">
        <v>1.8790093664196399</v>
      </c>
      <c r="K75" s="3">
        <v>3.0625581861956399</v>
      </c>
      <c r="L75" s="3">
        <v>2.3074528364960099</v>
      </c>
      <c r="M75" s="3">
        <v>2.9594314839800102</v>
      </c>
      <c r="N75" s="3">
        <v>4.2599779781193297</v>
      </c>
    </row>
    <row r="76" spans="1:14" x14ac:dyDescent="0.35">
      <c r="A76" s="2">
        <v>44049</v>
      </c>
      <c r="B76" s="3">
        <v>2.3466030859345599</v>
      </c>
      <c r="C76" s="3">
        <v>3.3712677821972101</v>
      </c>
      <c r="D76" s="3">
        <v>3.33810075045551</v>
      </c>
      <c r="E76" s="3">
        <v>2.8744299795882902</v>
      </c>
      <c r="F76" s="3">
        <v>2.5056012913183201</v>
      </c>
      <c r="G76" s="3">
        <v>2.9780446139853698</v>
      </c>
      <c r="H76" s="3">
        <v>4.0141273671553996</v>
      </c>
      <c r="I76" s="3">
        <v>0.80994060719219996</v>
      </c>
      <c r="J76" s="3">
        <v>1.77730609910617</v>
      </c>
      <c r="K76" s="3">
        <v>3.16876627272151</v>
      </c>
      <c r="L76" s="3">
        <v>2.3696842455730902</v>
      </c>
      <c r="M76" s="3">
        <v>3.02808858099031</v>
      </c>
      <c r="N76" s="3">
        <v>3.97888240463441</v>
      </c>
    </row>
    <row r="77" spans="1:14" x14ac:dyDescent="0.35">
      <c r="A77" s="2">
        <v>44078</v>
      </c>
      <c r="B77" s="3">
        <v>2.3912737862189299</v>
      </c>
      <c r="C77" s="3">
        <v>3.5095581192595802</v>
      </c>
      <c r="D77" s="3">
        <v>3.41112968466877</v>
      </c>
      <c r="E77" s="3">
        <v>2.8591247161175102</v>
      </c>
      <c r="F77" s="3">
        <v>2.3806223071356301</v>
      </c>
      <c r="G77" s="3">
        <v>2.9828708783322302</v>
      </c>
      <c r="H77" s="3">
        <v>4.1844964258687902</v>
      </c>
      <c r="I77" s="3">
        <v>0.78685076828295497</v>
      </c>
      <c r="J77" s="3">
        <v>1.74173338276709</v>
      </c>
      <c r="K77" s="3">
        <v>3.1509558520801799</v>
      </c>
      <c r="L77" s="3">
        <v>2.3577811198422101</v>
      </c>
      <c r="M77" s="3">
        <v>3.0457065962110201</v>
      </c>
      <c r="N77" s="3">
        <v>4.1045846920680198</v>
      </c>
    </row>
    <row r="78" spans="1:14" x14ac:dyDescent="0.35">
      <c r="A78" s="2">
        <v>44110</v>
      </c>
      <c r="B78" s="3">
        <v>2.42104644279756</v>
      </c>
      <c r="C78" s="3">
        <v>3.6349254743445498</v>
      </c>
      <c r="D78" s="3">
        <v>3.43090187378878</v>
      </c>
      <c r="E78" s="3">
        <v>2.8487368745448101</v>
      </c>
      <c r="F78" s="3">
        <v>2.3675629935312701</v>
      </c>
      <c r="G78" s="3">
        <v>2.95497709682438</v>
      </c>
      <c r="H78" s="3">
        <v>4.2157351668403296</v>
      </c>
      <c r="I78" s="3">
        <v>0.81053524004384003</v>
      </c>
      <c r="J78" s="3">
        <v>1.7770586359796801</v>
      </c>
      <c r="K78" s="3">
        <v>3.2244590471767398</v>
      </c>
      <c r="L78" s="3">
        <v>2.3322820269597102</v>
      </c>
      <c r="M78" s="3">
        <v>3.0029592895103101</v>
      </c>
      <c r="N78" s="3">
        <v>4.1417874463491904</v>
      </c>
    </row>
    <row r="79" spans="1:14" x14ac:dyDescent="0.35">
      <c r="A79" s="2">
        <v>44141</v>
      </c>
      <c r="B79" s="3">
        <v>2.3790170713266101</v>
      </c>
      <c r="C79" s="3">
        <v>3.61577427599308</v>
      </c>
      <c r="D79" s="3">
        <v>3.4167673501791098</v>
      </c>
      <c r="E79" s="3">
        <v>2.9842729860966299</v>
      </c>
      <c r="F79" s="3">
        <v>2.3455455237645499</v>
      </c>
      <c r="G79" s="3">
        <v>2.91872827225348</v>
      </c>
      <c r="H79" s="3">
        <v>4.34490548673294</v>
      </c>
      <c r="I79" s="3">
        <v>0.76644416988008701</v>
      </c>
      <c r="J79" s="3">
        <v>1.7080161260320801</v>
      </c>
      <c r="K79" s="3">
        <v>3.19663901830141</v>
      </c>
      <c r="L79" s="3">
        <v>2.2429272658033201</v>
      </c>
      <c r="M79" s="3">
        <v>3.13511673163128</v>
      </c>
      <c r="N79" s="3">
        <v>4.2036157733850201</v>
      </c>
    </row>
    <row r="80" spans="1:14" x14ac:dyDescent="0.35">
      <c r="A80" s="2">
        <v>44169</v>
      </c>
      <c r="B80" s="3">
        <v>2.41266385854858</v>
      </c>
      <c r="C80" s="3">
        <v>3.4243803648986102</v>
      </c>
      <c r="D80" s="3">
        <v>3.1250323502730399</v>
      </c>
      <c r="E80" s="3">
        <v>2.77894699151275</v>
      </c>
      <c r="F80" s="3">
        <v>2.1633150872730398</v>
      </c>
      <c r="G80" s="3">
        <v>2.9220097538317198</v>
      </c>
      <c r="H80" s="3">
        <v>3.8485880842484099</v>
      </c>
      <c r="I80" s="3">
        <v>0.74136195603362498</v>
      </c>
      <c r="J80" s="3">
        <v>1.6220832393326301</v>
      </c>
      <c r="K80" s="3">
        <v>2.85953983055325</v>
      </c>
      <c r="L80" s="3">
        <v>2.0551381142263798</v>
      </c>
      <c r="M80" s="3">
        <v>3.0123108392241802</v>
      </c>
      <c r="N80" s="3">
        <v>3.9368062781048798</v>
      </c>
    </row>
    <row r="81" spans="1:14" x14ac:dyDescent="0.35">
      <c r="A81" s="2">
        <v>44202</v>
      </c>
      <c r="B81" s="3">
        <v>2.3693050521576602</v>
      </c>
      <c r="C81" s="3">
        <v>3.5674641426198299</v>
      </c>
      <c r="D81" s="3">
        <v>3.0587553646458199</v>
      </c>
      <c r="E81" s="3">
        <v>2.7077536570106799</v>
      </c>
      <c r="F81" s="3">
        <v>2.1564562944325201</v>
      </c>
      <c r="G81" s="3">
        <v>2.81254139954437</v>
      </c>
      <c r="H81" s="3">
        <v>3.7626453583326902</v>
      </c>
      <c r="I81" s="3">
        <v>0.780109081414191</v>
      </c>
      <c r="J81" s="3">
        <v>1.5814487981916301</v>
      </c>
      <c r="K81" s="3">
        <v>2.9036508191424999</v>
      </c>
      <c r="L81" s="3">
        <v>1.9458044904279601</v>
      </c>
      <c r="M81" s="3">
        <v>3.09031533401139</v>
      </c>
      <c r="N81" s="3">
        <v>3.8732190785974998</v>
      </c>
    </row>
    <row r="82" spans="1:14" x14ac:dyDescent="0.35">
      <c r="A82" s="2">
        <v>44232</v>
      </c>
      <c r="B82" s="3">
        <v>2.4931645047380102</v>
      </c>
      <c r="C82" s="3">
        <v>3.5665077076118301</v>
      </c>
      <c r="D82" s="3">
        <v>3.0029121396072602</v>
      </c>
      <c r="E82" s="3">
        <v>2.7298460529556099</v>
      </c>
      <c r="F82" s="3">
        <v>2.0679407613924901</v>
      </c>
      <c r="G82" s="3">
        <v>2.8477819051206601</v>
      </c>
      <c r="H82" s="3">
        <v>4.0669904205538501</v>
      </c>
      <c r="I82" s="3">
        <v>0.73049774408290002</v>
      </c>
      <c r="J82" s="3">
        <v>1.5427661051814701</v>
      </c>
      <c r="K82" s="3">
        <v>2.9204619771079301</v>
      </c>
      <c r="L82" s="3">
        <v>1.9404170619680901</v>
      </c>
      <c r="M82" s="3">
        <v>3.02134928803651</v>
      </c>
      <c r="N82" s="3">
        <v>3.9497066027830798</v>
      </c>
    </row>
    <row r="83" spans="1:14" x14ac:dyDescent="0.35">
      <c r="A83" s="2">
        <v>44260</v>
      </c>
      <c r="B83" s="3">
        <v>2.6197949718476399</v>
      </c>
      <c r="C83" s="3">
        <v>3.9133147846854901</v>
      </c>
      <c r="D83" s="3">
        <v>2.9177635802771298</v>
      </c>
      <c r="E83" s="3">
        <v>2.8404265453096502</v>
      </c>
      <c r="F83" s="3">
        <v>2.1042156216275498</v>
      </c>
      <c r="G83" s="3">
        <v>2.9306160719392</v>
      </c>
      <c r="H83" s="3">
        <v>3.9941910162786098</v>
      </c>
      <c r="I83" s="3">
        <v>0.79055245843897204</v>
      </c>
      <c r="J83" s="3">
        <v>1.56901380446748</v>
      </c>
      <c r="K83" s="3">
        <v>2.8519837494752101</v>
      </c>
      <c r="L83" s="3">
        <v>2.1109387414674701</v>
      </c>
      <c r="M83" s="3">
        <v>2.93183873284771</v>
      </c>
      <c r="N83" s="3">
        <v>4.2113991689530996</v>
      </c>
    </row>
    <row r="84" spans="1:14" x14ac:dyDescent="0.35">
      <c r="A84" s="2">
        <v>44292</v>
      </c>
      <c r="B84" s="3">
        <v>2.6158012729535698</v>
      </c>
      <c r="C84" s="3">
        <v>3.9361364081574801</v>
      </c>
      <c r="D84" s="3">
        <v>2.78459379357137</v>
      </c>
      <c r="E84" s="3">
        <v>2.6847881569558201</v>
      </c>
      <c r="F84" s="3">
        <v>2.0702887365348102</v>
      </c>
      <c r="G84" s="3">
        <v>2.7652730935329202</v>
      </c>
      <c r="H84" s="3">
        <v>3.9840761536779601</v>
      </c>
      <c r="I84" s="3">
        <v>0.74100370678616601</v>
      </c>
      <c r="J84" s="3">
        <v>1.4882765109862901</v>
      </c>
      <c r="K84" s="3">
        <v>2.7287522802873498</v>
      </c>
      <c r="L84" s="3">
        <v>1.90950687525217</v>
      </c>
      <c r="M84" s="3">
        <v>2.7268968461141201</v>
      </c>
      <c r="N84" s="3">
        <v>3.9882427331112398</v>
      </c>
    </row>
    <row r="85" spans="1:14" x14ac:dyDescent="0.35">
      <c r="A85" s="2">
        <v>44322</v>
      </c>
      <c r="B85" s="3">
        <v>2.5756157344164898</v>
      </c>
      <c r="C85" s="3">
        <v>3.9169457344942802</v>
      </c>
      <c r="D85" s="3">
        <v>2.7562690538510699</v>
      </c>
      <c r="E85" s="3">
        <v>2.8120119586589398</v>
      </c>
      <c r="F85" s="3">
        <v>2.1290672258115801</v>
      </c>
      <c r="G85" s="3">
        <v>2.7608292638476599</v>
      </c>
      <c r="H85" s="3">
        <v>3.9055632528382702</v>
      </c>
      <c r="I85" s="3">
        <v>0.74463411475913599</v>
      </c>
      <c r="J85" s="3">
        <v>1.4535510376685701</v>
      </c>
      <c r="K85" s="3">
        <v>2.6883159686226699</v>
      </c>
      <c r="L85" s="3">
        <v>1.9515722007447001</v>
      </c>
      <c r="M85" s="3">
        <v>2.81030964736473</v>
      </c>
      <c r="N85" s="3">
        <v>4.1978566965222903</v>
      </c>
    </row>
    <row r="86" spans="1:14" x14ac:dyDescent="0.35">
      <c r="A86" s="2">
        <v>44351</v>
      </c>
      <c r="B86" s="3">
        <v>2.6850615959980701</v>
      </c>
      <c r="C86" s="3">
        <v>3.8208968694180601</v>
      </c>
      <c r="D86" s="3">
        <v>2.5945381468635</v>
      </c>
      <c r="E86" s="3">
        <v>2.7778429559406002</v>
      </c>
      <c r="F86" s="3">
        <v>2.14244312815284</v>
      </c>
      <c r="G86" s="3">
        <v>2.6723385570607698</v>
      </c>
      <c r="H86" s="3">
        <v>3.88651397388147</v>
      </c>
      <c r="I86" s="3">
        <v>0.739173930389873</v>
      </c>
      <c r="J86" s="3">
        <v>1.4531943841744299</v>
      </c>
      <c r="K86" s="3">
        <v>2.6710612303236001</v>
      </c>
      <c r="L86" s="3">
        <v>2.00071758896601</v>
      </c>
      <c r="M86" s="3">
        <v>2.6761497904728699</v>
      </c>
      <c r="N86" s="3">
        <v>4.0578080931420999</v>
      </c>
    </row>
    <row r="87" spans="1:14" x14ac:dyDescent="0.35">
      <c r="A87" s="2">
        <v>44383</v>
      </c>
      <c r="B87" s="3">
        <v>2.6079198683421501</v>
      </c>
      <c r="C87" s="3">
        <v>4.0817762763334802</v>
      </c>
      <c r="D87" s="3">
        <v>2.6941076240441402</v>
      </c>
      <c r="E87" s="3">
        <v>2.8221912577213102</v>
      </c>
      <c r="F87" s="3">
        <v>2.1867278906311598</v>
      </c>
      <c r="G87" s="3">
        <v>2.6332034759205798</v>
      </c>
      <c r="H87" s="3">
        <v>4.0160847862240301</v>
      </c>
      <c r="I87" s="3">
        <v>0.69390960312249494</v>
      </c>
      <c r="J87" s="3">
        <v>1.4317884354828101</v>
      </c>
      <c r="K87" s="3">
        <v>2.7112508777800501</v>
      </c>
      <c r="L87" s="3">
        <v>2.0207257353106201</v>
      </c>
      <c r="M87" s="3">
        <v>2.6864222951434802</v>
      </c>
      <c r="N87" s="3">
        <v>4.1487857787342302</v>
      </c>
    </row>
    <row r="88" spans="1:14" x14ac:dyDescent="0.35">
      <c r="A88" s="2">
        <v>44414</v>
      </c>
      <c r="B88" s="3">
        <v>2.6523268087499798</v>
      </c>
      <c r="C88" s="3">
        <v>4.0320328972233197</v>
      </c>
      <c r="D88" s="3">
        <v>2.6797012757016998</v>
      </c>
      <c r="E88" s="3">
        <v>2.85004404179017</v>
      </c>
      <c r="F88" s="3">
        <v>2.2423044103700001</v>
      </c>
      <c r="G88" s="3">
        <v>2.5913432942204802</v>
      </c>
      <c r="H88" s="3">
        <v>4.1482329465485401</v>
      </c>
      <c r="I88" s="3">
        <v>0.69903967973020298</v>
      </c>
      <c r="J88" s="3">
        <v>1.4179716060129199</v>
      </c>
      <c r="K88" s="3">
        <v>2.68634461042384</v>
      </c>
      <c r="L88" s="3">
        <v>1.92941157811738</v>
      </c>
      <c r="M88" s="3">
        <v>2.7247795992719599</v>
      </c>
      <c r="N88" s="3">
        <v>4.3169214261289497</v>
      </c>
    </row>
    <row r="89" spans="1:14" x14ac:dyDescent="0.35">
      <c r="A89" s="2">
        <v>44442</v>
      </c>
      <c r="B89" s="3">
        <v>2.5643717151279</v>
      </c>
      <c r="C89" s="3">
        <v>4.0138660273057596</v>
      </c>
      <c r="D89" s="3">
        <v>2.7130578577917199</v>
      </c>
      <c r="E89" s="3">
        <v>2.84332633997915</v>
      </c>
      <c r="F89" s="3">
        <v>2.1925258173181099</v>
      </c>
      <c r="G89" s="3">
        <v>2.5755871069350902</v>
      </c>
      <c r="H89" s="3">
        <v>4.1645028849373702</v>
      </c>
      <c r="I89" s="3">
        <v>0.67707934468187003</v>
      </c>
      <c r="J89" s="3">
        <v>1.3970979946406801</v>
      </c>
      <c r="K89" s="3">
        <v>2.75631012567026</v>
      </c>
      <c r="L89" s="3">
        <v>1.8382556893575801</v>
      </c>
      <c r="M89" s="3">
        <v>2.7295762704598601</v>
      </c>
      <c r="N89" s="3">
        <v>4.4217926580870897</v>
      </c>
    </row>
    <row r="90" spans="1:14" x14ac:dyDescent="0.35">
      <c r="A90" s="2">
        <v>44475</v>
      </c>
      <c r="B90" s="3">
        <v>2.6421364091510302</v>
      </c>
      <c r="C90" s="3">
        <v>4.1233491979991399</v>
      </c>
      <c r="D90" s="3">
        <v>2.8166221917630501</v>
      </c>
      <c r="E90" s="3">
        <v>3.0421845613149299</v>
      </c>
      <c r="F90" s="3">
        <v>2.3101806113018899</v>
      </c>
      <c r="G90" s="3">
        <v>2.7851801848636799</v>
      </c>
      <c r="H90" s="3">
        <v>4.2177401853704897</v>
      </c>
      <c r="I90" s="3">
        <v>0.72491872765941301</v>
      </c>
      <c r="J90" s="3">
        <v>1.4588405085629199</v>
      </c>
      <c r="K90" s="3">
        <v>2.8924174667737002</v>
      </c>
      <c r="L90" s="3">
        <v>1.99447185845894</v>
      </c>
      <c r="M90" s="3">
        <v>2.9585817079120398</v>
      </c>
      <c r="N90" s="3">
        <v>4.5616248821656997</v>
      </c>
    </row>
    <row r="91" spans="1:14" x14ac:dyDescent="0.35">
      <c r="A91" s="2">
        <v>44505</v>
      </c>
      <c r="B91" s="3">
        <v>2.6617941247068</v>
      </c>
      <c r="C91" s="3">
        <v>3.9162623930717202</v>
      </c>
      <c r="D91" s="3">
        <v>2.7107742339469501</v>
      </c>
      <c r="E91" s="3">
        <v>2.9191087443932799</v>
      </c>
      <c r="F91" s="3">
        <v>2.2139825302070402</v>
      </c>
      <c r="G91" s="3">
        <v>2.5973640165792902</v>
      </c>
      <c r="H91" s="3">
        <v>4.0333118942351804</v>
      </c>
      <c r="I91" s="3">
        <v>0.65778583939471902</v>
      </c>
      <c r="J91" s="3">
        <v>1.3664570342906901</v>
      </c>
      <c r="K91" s="3">
        <v>2.7263844499947099</v>
      </c>
      <c r="L91" s="3">
        <v>1.84750184152742</v>
      </c>
      <c r="M91" s="3">
        <v>2.98389108951211</v>
      </c>
      <c r="N91" s="3">
        <v>4.2890684287768197</v>
      </c>
    </row>
    <row r="92" spans="1:14" x14ac:dyDescent="0.35">
      <c r="A92" s="2">
        <v>44536</v>
      </c>
      <c r="B92" s="3">
        <v>2.8272064054240702</v>
      </c>
      <c r="C92" s="3">
        <v>4.0319895590865302</v>
      </c>
      <c r="D92" s="3">
        <v>2.8452306094320399</v>
      </c>
      <c r="E92" s="3">
        <v>3.1141564373602102</v>
      </c>
      <c r="F92" s="3">
        <v>2.3515231219536199</v>
      </c>
      <c r="G92" s="3">
        <v>2.6339933846597599</v>
      </c>
      <c r="H92" s="3">
        <v>4.0531292181518497</v>
      </c>
      <c r="I92" s="3">
        <v>0.68477469860358098</v>
      </c>
      <c r="J92" s="3">
        <v>1.40425336163496</v>
      </c>
      <c r="K92" s="3">
        <v>2.8343890884207501</v>
      </c>
      <c r="L92" s="3">
        <v>2.00763951023225</v>
      </c>
      <c r="M92" s="3">
        <v>2.96405963732323</v>
      </c>
      <c r="N92" s="3">
        <v>4.6471767361434404</v>
      </c>
    </row>
    <row r="93" spans="1:14" x14ac:dyDescent="0.35">
      <c r="A93" s="2">
        <v>44567</v>
      </c>
      <c r="B93" s="3">
        <v>2.78205004239065</v>
      </c>
      <c r="C93" s="3">
        <v>3.9475970945307299</v>
      </c>
      <c r="D93" s="3">
        <v>2.8010989914787499</v>
      </c>
      <c r="E93" s="3">
        <v>3.0306756561872801</v>
      </c>
      <c r="F93" s="3">
        <v>2.3097156900378502</v>
      </c>
      <c r="G93" s="3">
        <v>2.5630605021047601</v>
      </c>
      <c r="H93" s="3">
        <v>3.8696958465887898</v>
      </c>
      <c r="I93" s="3">
        <v>0.69374646674621798</v>
      </c>
      <c r="J93" s="3">
        <v>1.3775778921920701</v>
      </c>
      <c r="K93" s="3">
        <v>2.7151763843803498</v>
      </c>
      <c r="L93" s="3">
        <v>1.9792717586111701</v>
      </c>
      <c r="M93" s="3">
        <v>2.82626810195418</v>
      </c>
      <c r="N93" s="3">
        <v>4.5607786639030596</v>
      </c>
    </row>
    <row r="94" spans="1:14" x14ac:dyDescent="0.35">
      <c r="A94" s="2">
        <v>44596</v>
      </c>
      <c r="B94" s="3">
        <v>2.9481547308778802</v>
      </c>
      <c r="C94" s="3">
        <v>4.3114491725965998</v>
      </c>
      <c r="D94" s="3">
        <v>2.8036267952063199</v>
      </c>
      <c r="E94" s="3">
        <v>3.2422945292583698</v>
      </c>
      <c r="F94" s="3">
        <v>2.43842931263453</v>
      </c>
      <c r="G94" s="3">
        <v>2.7748580148498898</v>
      </c>
      <c r="H94" s="3">
        <v>3.83763462481412</v>
      </c>
      <c r="I94" s="3">
        <v>0.75345213905687103</v>
      </c>
      <c r="J94" s="3">
        <v>1.45574928485835</v>
      </c>
      <c r="K94" s="3">
        <v>2.891724229686</v>
      </c>
      <c r="L94" s="3">
        <v>2.2318437519741199</v>
      </c>
      <c r="M94" s="3">
        <v>2.94404820193675</v>
      </c>
      <c r="N94" s="3">
        <v>4.8217482873471997</v>
      </c>
    </row>
    <row r="95" spans="1:14" x14ac:dyDescent="0.35">
      <c r="A95" s="2">
        <v>44624</v>
      </c>
      <c r="B95" s="3">
        <v>3.0044200844493401</v>
      </c>
      <c r="C95" s="3">
        <v>4.3056108704206197</v>
      </c>
      <c r="D95" s="3">
        <v>2.8455788547432102</v>
      </c>
      <c r="E95" s="3">
        <v>3.8606146788540499</v>
      </c>
      <c r="F95" s="3">
        <v>2.6226796834548098</v>
      </c>
      <c r="G95" s="3">
        <v>2.9672191578394198</v>
      </c>
      <c r="H95" s="3">
        <v>4.1826931333994599</v>
      </c>
      <c r="I95" s="3">
        <v>0.81131091219672702</v>
      </c>
      <c r="J95" s="3">
        <v>1.5274658055394399</v>
      </c>
      <c r="K95" s="3">
        <v>3.4007006710534302</v>
      </c>
      <c r="L95" s="3">
        <v>2.4978094853736001</v>
      </c>
      <c r="M95" s="3">
        <v>3.3700790924706201</v>
      </c>
      <c r="N95" s="3">
        <v>5.6503761022117498</v>
      </c>
    </row>
    <row r="96" spans="1:14" x14ac:dyDescent="0.35">
      <c r="A96" s="2">
        <v>44657</v>
      </c>
      <c r="B96" s="3">
        <v>3.0817711558824401</v>
      </c>
      <c r="C96" s="3">
        <v>4.3143785079962997</v>
      </c>
      <c r="D96" s="3">
        <v>2.84730240915564</v>
      </c>
      <c r="E96" s="3">
        <v>3.6030002948745601</v>
      </c>
      <c r="F96" s="3">
        <v>2.5506808860922501</v>
      </c>
      <c r="G96" s="3">
        <v>2.7722003882917998</v>
      </c>
      <c r="H96" s="3">
        <v>3.9408241855362802</v>
      </c>
      <c r="I96" s="3">
        <v>0.77733711106925496</v>
      </c>
      <c r="J96" s="3">
        <v>1.4718433582697901</v>
      </c>
      <c r="K96" s="3">
        <v>3.1658982219307599</v>
      </c>
      <c r="L96" s="3">
        <v>2.2992873361868602</v>
      </c>
      <c r="M96" s="3">
        <v>3.1430442118514001</v>
      </c>
      <c r="N96" s="3">
        <v>5.14754347177242</v>
      </c>
    </row>
    <row r="97" spans="1:14" x14ac:dyDescent="0.35">
      <c r="A97" s="2">
        <v>44687</v>
      </c>
      <c r="B97" s="3">
        <v>3.1243314300460798</v>
      </c>
      <c r="C97" s="3">
        <v>4.6301150682988901</v>
      </c>
      <c r="D97" s="3">
        <v>3.09809463205786</v>
      </c>
      <c r="E97" s="3">
        <v>3.9019140584658301</v>
      </c>
      <c r="F97" s="3">
        <v>2.5762710036584102</v>
      </c>
      <c r="G97" s="3">
        <v>2.9506141177815999</v>
      </c>
      <c r="H97" s="3">
        <v>4.1791956557235501</v>
      </c>
      <c r="I97" s="3">
        <v>0.89202512741680295</v>
      </c>
      <c r="J97" s="3">
        <v>1.6051774814970099</v>
      </c>
      <c r="K97" s="3">
        <v>3.3141227349395801</v>
      </c>
      <c r="L97" s="3">
        <v>2.55406401291734</v>
      </c>
      <c r="M97" s="3">
        <v>3.49104252459402</v>
      </c>
      <c r="N97" s="3">
        <v>5.25804342280522</v>
      </c>
    </row>
    <row r="98" spans="1:14" x14ac:dyDescent="0.35">
      <c r="A98" s="2">
        <v>44718</v>
      </c>
      <c r="B98" s="3">
        <v>3.2028864875450398</v>
      </c>
      <c r="C98" s="3">
        <v>4.6841714490433803</v>
      </c>
      <c r="D98" s="3">
        <v>3.09892909268655</v>
      </c>
      <c r="E98" s="3">
        <v>3.6835767865996698</v>
      </c>
      <c r="F98" s="3">
        <v>2.5749241736528798</v>
      </c>
      <c r="G98" s="3">
        <v>2.9837277985574699</v>
      </c>
      <c r="H98" s="3">
        <v>4.02361484259331</v>
      </c>
      <c r="I98" s="3">
        <v>0.905698395238555</v>
      </c>
      <c r="J98" s="3">
        <v>1.6153445522330601</v>
      </c>
      <c r="K98" s="3">
        <v>3.17974156376714</v>
      </c>
      <c r="L98" s="3">
        <v>2.5199000804981</v>
      </c>
      <c r="M98" s="3">
        <v>3.24801495679539</v>
      </c>
      <c r="N98" s="3">
        <v>5.1770889020812199</v>
      </c>
    </row>
    <row r="99" spans="1:14" x14ac:dyDescent="0.35">
      <c r="A99" s="2">
        <v>44748</v>
      </c>
      <c r="B99" s="3">
        <v>3.29055912694563</v>
      </c>
      <c r="C99" s="3">
        <v>5.2684543927208303</v>
      </c>
      <c r="D99" s="3">
        <v>3.4592460786353598</v>
      </c>
      <c r="E99" s="3">
        <v>4.2871485092750401</v>
      </c>
      <c r="F99" s="3">
        <v>2.7271044680068002</v>
      </c>
      <c r="G99" s="3">
        <v>3.1880408984758799</v>
      </c>
      <c r="H99" s="3">
        <v>4.3889347909068404</v>
      </c>
      <c r="I99" s="3">
        <v>0.97111566478302103</v>
      </c>
      <c r="J99" s="3">
        <v>1.7476248420259901</v>
      </c>
      <c r="K99" s="3">
        <v>3.5609894928668</v>
      </c>
      <c r="L99" s="3">
        <v>3.4865218256622699</v>
      </c>
      <c r="M99" s="3">
        <v>3.6150982384719699</v>
      </c>
      <c r="N99" s="3">
        <v>6.04542909134965</v>
      </c>
    </row>
    <row r="100" spans="1:14" x14ac:dyDescent="0.35">
      <c r="A100" s="2">
        <v>44778</v>
      </c>
      <c r="B100" s="3">
        <v>3.1882464050318502</v>
      </c>
      <c r="C100" s="3">
        <v>4.7955547211338097</v>
      </c>
      <c r="D100" s="3">
        <v>3.3419175608108</v>
      </c>
      <c r="E100" s="3">
        <v>3.9883358210120501</v>
      </c>
      <c r="F100" s="3">
        <v>2.60703729282843</v>
      </c>
      <c r="G100" s="3">
        <v>3.0873331706824798</v>
      </c>
      <c r="H100" s="3">
        <v>4.2042737964336601</v>
      </c>
      <c r="I100" s="3">
        <v>0.87698614132382302</v>
      </c>
      <c r="J100" s="3">
        <v>1.63707192555468</v>
      </c>
      <c r="K100" s="3">
        <v>3.2884424753310402</v>
      </c>
      <c r="L100" s="3">
        <v>3.1042459365170498</v>
      </c>
      <c r="M100" s="3">
        <v>3.5138192196579299</v>
      </c>
      <c r="N100" s="3">
        <v>5.79492623663874</v>
      </c>
    </row>
    <row r="101" spans="1:14" x14ac:dyDescent="0.35">
      <c r="A101" s="2">
        <v>44810</v>
      </c>
      <c r="B101" s="3">
        <v>3.2153424169744098</v>
      </c>
      <c r="C101" s="3">
        <v>4.8964522757999598</v>
      </c>
      <c r="D101" s="3">
        <v>3.5099837216629899</v>
      </c>
      <c r="E101" s="3">
        <v>4.1928710424459696</v>
      </c>
      <c r="F101" s="3">
        <v>2.6493020703338299</v>
      </c>
      <c r="G101" s="3">
        <v>3.2265612280554601</v>
      </c>
      <c r="H101" s="3">
        <v>4.4289973925916</v>
      </c>
      <c r="I101" s="3">
        <v>0.97023466839821104</v>
      </c>
      <c r="J101" s="3">
        <v>1.7497418335563</v>
      </c>
      <c r="K101" s="3">
        <v>3.5365723063196999</v>
      </c>
      <c r="L101" s="3">
        <v>3.8021429162207698</v>
      </c>
      <c r="M101" s="3">
        <v>3.7419795064740402</v>
      </c>
      <c r="N101" s="3">
        <v>5.7765193640231702</v>
      </c>
    </row>
    <row r="102" spans="1:14" x14ac:dyDescent="0.35">
      <c r="A102" s="2">
        <v>44840</v>
      </c>
      <c r="B102" s="3">
        <v>3.40101488601027</v>
      </c>
      <c r="C102" s="3">
        <v>4.9520016537264402</v>
      </c>
      <c r="D102" s="3">
        <v>3.53733352849732</v>
      </c>
      <c r="E102" s="3">
        <v>4.3562416961650001</v>
      </c>
      <c r="F102" s="3">
        <v>2.6856550705335498</v>
      </c>
      <c r="G102" s="3">
        <v>3.3889118476022699</v>
      </c>
      <c r="H102" s="3">
        <v>4.6286031300443202</v>
      </c>
      <c r="I102" s="3">
        <v>1.02342081010161</v>
      </c>
      <c r="J102" s="3">
        <v>1.8318902178059899</v>
      </c>
      <c r="K102" s="3">
        <v>3.6653848063682601</v>
      </c>
      <c r="L102" s="3">
        <v>2.9395498608179098</v>
      </c>
      <c r="M102" s="3">
        <v>3.68979884125056</v>
      </c>
      <c r="N102" s="3">
        <v>6.0898457228276701</v>
      </c>
    </row>
    <row r="103" spans="1:14" x14ac:dyDescent="0.35">
      <c r="A103" s="2">
        <v>44869</v>
      </c>
      <c r="B103" s="3">
        <v>3.40173226780716</v>
      </c>
      <c r="C103" s="3">
        <v>4.9267094317270503</v>
      </c>
      <c r="D103" s="3">
        <v>3.46403487133021</v>
      </c>
      <c r="E103" s="3">
        <v>4.06163412591048</v>
      </c>
      <c r="F103" s="3">
        <v>2.69459021734616</v>
      </c>
      <c r="G103" s="3">
        <v>3.28862045824417</v>
      </c>
      <c r="H103" s="3">
        <v>4.4438586664504802</v>
      </c>
      <c r="I103" s="3">
        <v>1.0907144875189001</v>
      </c>
      <c r="J103" s="3">
        <v>1.8332845837481799</v>
      </c>
      <c r="K103" s="3">
        <v>3.42318174817808</v>
      </c>
      <c r="L103" s="3">
        <v>2.9488402356460299</v>
      </c>
      <c r="M103" s="3">
        <v>3.7166108431256499</v>
      </c>
      <c r="N103" s="3">
        <v>5.54664553856193</v>
      </c>
    </row>
    <row r="104" spans="1:14" x14ac:dyDescent="0.35">
      <c r="A104" s="2">
        <v>44901</v>
      </c>
      <c r="B104" s="3">
        <v>3.3917811144880501</v>
      </c>
      <c r="C104" s="3">
        <v>4.4311559939454801</v>
      </c>
      <c r="D104" s="3">
        <v>3.3607546806842201</v>
      </c>
      <c r="E104" s="3">
        <v>3.7549935555823901</v>
      </c>
      <c r="F104" s="3">
        <v>2.6508127607856702</v>
      </c>
      <c r="G104" s="3">
        <v>3.1289555893982799</v>
      </c>
      <c r="H104" s="3">
        <v>4.2375331030908301</v>
      </c>
      <c r="I104" s="3">
        <v>1.0257113611794</v>
      </c>
      <c r="J104" s="3">
        <v>1.7594700832958601</v>
      </c>
      <c r="K104" s="3">
        <v>3.2931618044136099</v>
      </c>
      <c r="L104" s="3">
        <v>2.6713909159807701</v>
      </c>
      <c r="M104" s="3">
        <v>3.6075084460932998</v>
      </c>
      <c r="N104" s="3">
        <v>5.7723948604048703</v>
      </c>
    </row>
    <row r="105" spans="1:14" x14ac:dyDescent="0.35">
      <c r="A105" s="2">
        <v>44932</v>
      </c>
      <c r="B105" s="3">
        <v>3.40446171201675</v>
      </c>
      <c r="C105" s="3">
        <v>4.5658183242217598</v>
      </c>
      <c r="D105" s="3">
        <v>3.3935692943298101</v>
      </c>
      <c r="E105" s="3">
        <v>3.6450396310954298</v>
      </c>
      <c r="F105" s="3">
        <v>2.77070286698833</v>
      </c>
      <c r="G105" s="3">
        <v>3.1130189401664401</v>
      </c>
      <c r="H105" s="3">
        <v>4.1755763367626901</v>
      </c>
      <c r="I105" s="3">
        <v>1.03036804414255</v>
      </c>
      <c r="J105" s="3">
        <v>1.7845681928616499</v>
      </c>
      <c r="K105" s="3">
        <v>3.2040062757009098</v>
      </c>
      <c r="L105" s="3">
        <v>2.6468792700260599</v>
      </c>
      <c r="M105" s="3">
        <v>3.6223748172685699</v>
      </c>
      <c r="N105" s="3">
        <v>5.5614723237638799</v>
      </c>
    </row>
    <row r="106" spans="1:14" x14ac:dyDescent="0.35">
      <c r="A106" s="2">
        <v>44963</v>
      </c>
      <c r="B106" s="3">
        <v>3.27393290825689</v>
      </c>
      <c r="C106" s="3">
        <v>4.2921035128032399</v>
      </c>
      <c r="D106" s="3">
        <v>3.27037445388773</v>
      </c>
      <c r="E106" s="3">
        <v>3.4549369717201501</v>
      </c>
      <c r="F106" s="3">
        <v>2.6223484359923499</v>
      </c>
      <c r="G106" s="3">
        <v>3.0543206381130301</v>
      </c>
      <c r="H106" s="3">
        <v>4.1424445841954798</v>
      </c>
      <c r="I106" s="3">
        <v>0.92305257141895203</v>
      </c>
      <c r="J106" s="3">
        <v>1.70291843644172</v>
      </c>
      <c r="K106" s="3">
        <v>3.1036433167351301</v>
      </c>
      <c r="L106" s="3">
        <v>2.5589560959957098</v>
      </c>
      <c r="M106" s="3">
        <v>3.4859033837129298</v>
      </c>
      <c r="N106" s="3">
        <v>5.4508288766432802</v>
      </c>
    </row>
    <row r="107" spans="1:14" x14ac:dyDescent="0.35">
      <c r="A107" s="2">
        <v>44991</v>
      </c>
      <c r="B107" s="3">
        <v>3.3808036326099402</v>
      </c>
      <c r="C107" s="3">
        <v>4.4311881220284697</v>
      </c>
      <c r="D107" s="3">
        <v>3.2953154006377798</v>
      </c>
      <c r="E107" s="3">
        <v>3.46885541233683</v>
      </c>
      <c r="F107" s="3">
        <v>2.5596677334072</v>
      </c>
      <c r="G107" s="3">
        <v>3.1520585399243499</v>
      </c>
      <c r="H107" s="3">
        <v>4.1321540719838197</v>
      </c>
      <c r="I107" s="3">
        <v>0.94234496744930196</v>
      </c>
      <c r="J107" s="3">
        <v>1.7359004762013299</v>
      </c>
      <c r="K107" s="3">
        <v>3.1343418288276301</v>
      </c>
      <c r="L107" s="3">
        <v>2.64003956389339</v>
      </c>
      <c r="M107" s="3">
        <v>3.4930799746047101</v>
      </c>
      <c r="N107" s="3">
        <v>5.2130737637012396</v>
      </c>
    </row>
    <row r="108" spans="1:14" x14ac:dyDescent="0.35">
      <c r="A108" s="2">
        <v>45022</v>
      </c>
      <c r="B108" s="3">
        <v>3.3977752568403901</v>
      </c>
      <c r="C108" s="3">
        <v>4.5045811038633801</v>
      </c>
      <c r="D108" s="3">
        <v>3.32349366972571</v>
      </c>
      <c r="E108" s="3">
        <v>3.5468495880578201</v>
      </c>
      <c r="F108" s="3">
        <v>2.6814997993393499</v>
      </c>
      <c r="G108" s="3">
        <v>3.13297294749822</v>
      </c>
      <c r="H108" s="3">
        <v>4.1550143975543996</v>
      </c>
      <c r="I108" s="3">
        <v>0.89195667831204595</v>
      </c>
      <c r="J108" s="3">
        <v>1.7185950528529199</v>
      </c>
      <c r="K108" s="3">
        <v>3.1722396809241702</v>
      </c>
      <c r="L108" s="3">
        <v>2.6726122833805999</v>
      </c>
      <c r="M108" s="3">
        <v>3.71913940336648</v>
      </c>
      <c r="N108" s="3">
        <v>5.4099320434551803</v>
      </c>
    </row>
    <row r="109" spans="1:14" x14ac:dyDescent="0.35">
      <c r="A109" s="2">
        <v>45051</v>
      </c>
      <c r="B109" s="3">
        <v>3.4254784109288399</v>
      </c>
      <c r="C109" s="3">
        <v>4.45010543577399</v>
      </c>
      <c r="D109" s="3">
        <v>3.2464287347835801</v>
      </c>
      <c r="E109" s="3">
        <v>3.54027754351364</v>
      </c>
      <c r="F109" s="3">
        <v>2.5378584563984101</v>
      </c>
      <c r="G109" s="3">
        <v>3.0448355191760901</v>
      </c>
      <c r="H109" s="3">
        <v>4.1985337806806502</v>
      </c>
      <c r="I109" s="3">
        <v>0.86331283263253</v>
      </c>
      <c r="J109" s="3">
        <v>1.7030907881336199</v>
      </c>
      <c r="K109" s="3">
        <v>3.1606441004696602</v>
      </c>
      <c r="L109" s="3">
        <v>2.68633971153875</v>
      </c>
      <c r="M109" s="3">
        <v>3.6797601995045399</v>
      </c>
      <c r="N109" s="3">
        <v>5.39124202011965</v>
      </c>
    </row>
    <row r="110" spans="1:14" x14ac:dyDescent="0.35">
      <c r="A110" s="2">
        <v>45083</v>
      </c>
      <c r="B110" s="3">
        <v>3.4273131667877199</v>
      </c>
      <c r="C110" s="3">
        <v>4.4698834680427399</v>
      </c>
      <c r="D110" s="3">
        <v>3.2997462163764699</v>
      </c>
      <c r="E110" s="3">
        <v>3.63779736351455</v>
      </c>
      <c r="F110" s="3">
        <v>2.3595462814957</v>
      </c>
      <c r="G110" s="3">
        <v>3.1282322651848999</v>
      </c>
      <c r="H110" s="3">
        <v>4.33303674025625</v>
      </c>
      <c r="I110" s="3">
        <v>0.79156580755460204</v>
      </c>
      <c r="J110" s="3">
        <v>1.65645051622067</v>
      </c>
      <c r="K110" s="3">
        <v>3.28920532951792</v>
      </c>
      <c r="L110" s="3">
        <v>2.7007990230482002</v>
      </c>
      <c r="M110" s="3">
        <v>3.72916155530383</v>
      </c>
      <c r="N110" s="3">
        <v>5.4488517569776196</v>
      </c>
    </row>
    <row r="111" spans="1:14" x14ac:dyDescent="0.35">
      <c r="A111" s="2">
        <v>45113</v>
      </c>
      <c r="B111" s="3">
        <v>3.4134218652399699</v>
      </c>
      <c r="C111" s="3">
        <v>4.3210422301652498</v>
      </c>
      <c r="D111" s="3">
        <v>3.30167480184639</v>
      </c>
      <c r="E111" s="3">
        <v>3.7797203879330601</v>
      </c>
      <c r="F111" s="3">
        <v>2.3514782365488398</v>
      </c>
      <c r="G111" s="3">
        <v>3.2542950358839202</v>
      </c>
      <c r="H111" s="3">
        <v>4.5236650734269697</v>
      </c>
      <c r="I111" s="3">
        <v>0.76778677184172095</v>
      </c>
      <c r="J111" s="3">
        <v>1.6114117893620099</v>
      </c>
      <c r="K111" s="3">
        <v>3.38464013224349</v>
      </c>
      <c r="L111" s="3">
        <v>2.7709758772493398</v>
      </c>
      <c r="M111" s="3">
        <v>3.8482309165433599</v>
      </c>
      <c r="N111" s="3">
        <v>5.42514213872263</v>
      </c>
    </row>
    <row r="112" spans="1:14" x14ac:dyDescent="0.35">
      <c r="A112" s="2">
        <v>45142</v>
      </c>
      <c r="B112" s="3">
        <v>3.4436464331165602</v>
      </c>
      <c r="C112" s="3">
        <v>4.1646608715307796</v>
      </c>
      <c r="D112" s="3">
        <v>3.4456465088263699</v>
      </c>
      <c r="E112" s="3">
        <v>3.7032742997466701</v>
      </c>
      <c r="F112" s="3">
        <v>2.3815795232011499</v>
      </c>
      <c r="G112" s="3">
        <v>3.2027226644568998</v>
      </c>
      <c r="H112" s="3">
        <v>4.3878762091821004</v>
      </c>
      <c r="I112" s="3">
        <v>0.88272592409037198</v>
      </c>
      <c r="J112" s="3">
        <v>1.5990465014659401</v>
      </c>
      <c r="K112" s="3">
        <v>3.3076300028171701</v>
      </c>
      <c r="L112" s="3">
        <v>2.7253088473324301</v>
      </c>
      <c r="M112" s="3">
        <v>3.8619696146599001</v>
      </c>
      <c r="N112" s="3">
        <v>5.4608374885718298</v>
      </c>
    </row>
    <row r="113" spans="1:25" x14ac:dyDescent="0.35">
      <c r="A113" s="2">
        <v>45175</v>
      </c>
      <c r="B113" s="3">
        <v>3.3553316682088901</v>
      </c>
      <c r="C113" s="3">
        <v>4.17061696921576</v>
      </c>
      <c r="D113" s="3">
        <v>3.5022696826662401</v>
      </c>
      <c r="E113" s="3">
        <v>3.7496009386248499</v>
      </c>
      <c r="F113" s="3">
        <v>2.2964332391851499</v>
      </c>
      <c r="G113" s="3">
        <v>3.2980659765067002</v>
      </c>
      <c r="H113" s="3">
        <v>4.5225371472766902</v>
      </c>
      <c r="I113" s="3">
        <v>0.88157184610516404</v>
      </c>
      <c r="J113" s="3">
        <v>1.61156358423363</v>
      </c>
      <c r="K113" s="3">
        <v>3.3783206790459901</v>
      </c>
      <c r="L113" s="3">
        <v>2.8951178738647698</v>
      </c>
      <c r="M113" s="3">
        <v>3.9125491843561302</v>
      </c>
      <c r="N113" s="3">
        <v>5.4632260931448702</v>
      </c>
    </row>
    <row r="114" spans="1:25" x14ac:dyDescent="0.35">
      <c r="A114" s="2">
        <v>45205</v>
      </c>
      <c r="B114" s="3">
        <v>3.4279291762368498</v>
      </c>
      <c r="C114" s="3">
        <v>4.4122084236911299</v>
      </c>
      <c r="D114" s="3">
        <v>3.7033930062048999</v>
      </c>
      <c r="E114" s="3">
        <v>3.9002480838989699</v>
      </c>
      <c r="F114" s="3">
        <v>2.4500682658624</v>
      </c>
      <c r="G114" s="3">
        <v>3.3965173313663501</v>
      </c>
      <c r="H114" s="3">
        <v>4.5309596021805296</v>
      </c>
      <c r="I114" s="3">
        <v>0.93070266560608195</v>
      </c>
      <c r="J114" s="3">
        <v>1.6824146899991299</v>
      </c>
      <c r="K114" s="3">
        <v>3.4536505319459598</v>
      </c>
      <c r="L114" s="3">
        <v>3.0317951862215402</v>
      </c>
      <c r="M114" s="3">
        <v>3.8191773224061998</v>
      </c>
      <c r="N114" s="3">
        <v>5.6366160844750999</v>
      </c>
    </row>
    <row r="115" spans="1:25" x14ac:dyDescent="0.35">
      <c r="A115" s="2">
        <v>45236</v>
      </c>
      <c r="B115" s="3">
        <v>3.4173367644677399</v>
      </c>
      <c r="C115" s="3">
        <v>4.3600121409531196</v>
      </c>
      <c r="D115" s="3">
        <v>3.6175463666800001</v>
      </c>
      <c r="E115" s="3">
        <v>3.9366739013387599</v>
      </c>
      <c r="F115" s="3">
        <v>2.3727683208419399</v>
      </c>
      <c r="G115" s="3">
        <v>3.4725757712168299</v>
      </c>
      <c r="H115" s="3">
        <v>4.5530511128422804</v>
      </c>
      <c r="I115" s="3">
        <v>0.92618192272922595</v>
      </c>
      <c r="J115" s="3">
        <v>1.6675033008086899</v>
      </c>
      <c r="K115" s="3">
        <v>3.4729490756643</v>
      </c>
      <c r="L115" s="3">
        <v>2.99041279818994</v>
      </c>
      <c r="M115" s="3">
        <v>3.86788117170539</v>
      </c>
      <c r="N115" s="3">
        <v>5.5987185826192603</v>
      </c>
    </row>
    <row r="116" spans="1:25" x14ac:dyDescent="0.35">
      <c r="A116" s="2">
        <v>45266</v>
      </c>
      <c r="B116" s="3">
        <v>3.11256196783473</v>
      </c>
      <c r="C116" s="3">
        <v>4.2421127894384201</v>
      </c>
      <c r="D116" s="3">
        <v>3.4717597804572402</v>
      </c>
      <c r="E116" s="3">
        <v>3.5591788541949301</v>
      </c>
      <c r="F116" s="3">
        <v>2.3892163894781202</v>
      </c>
      <c r="G116" s="3">
        <v>3.3418726866725601</v>
      </c>
      <c r="H116" s="3">
        <v>4.4215031225248103</v>
      </c>
      <c r="I116" s="3">
        <v>0.897830322079891</v>
      </c>
      <c r="J116" s="3">
        <v>1.6045322635160599</v>
      </c>
      <c r="K116" s="3">
        <v>3.2861125136943401</v>
      </c>
      <c r="L116" s="3">
        <v>2.7562989362080899</v>
      </c>
      <c r="M116" s="3">
        <v>3.0709898692988</v>
      </c>
      <c r="N116" s="3">
        <v>5.39697689563884</v>
      </c>
    </row>
    <row r="117" spans="1:25" x14ac:dyDescent="0.35">
      <c r="A117" s="2">
        <v>45296</v>
      </c>
      <c r="B117" s="3">
        <v>2.99176570643426</v>
      </c>
      <c r="C117" s="3">
        <v>4.0372250472345499</v>
      </c>
      <c r="D117" s="3">
        <v>3.3533179187077899</v>
      </c>
      <c r="E117" s="3">
        <v>3.60242301858412</v>
      </c>
      <c r="F117" s="3">
        <v>2.4044089651929701</v>
      </c>
      <c r="G117" s="3">
        <v>3.28064902742492</v>
      </c>
      <c r="H117" s="3">
        <v>4.2888244717939203</v>
      </c>
      <c r="I117" s="3">
        <v>0.94819486342028902</v>
      </c>
      <c r="J117" s="3">
        <v>1.5673780591455899</v>
      </c>
      <c r="K117" s="3">
        <v>3.2821804965213399</v>
      </c>
      <c r="L117" s="3">
        <v>2.7405458651335399</v>
      </c>
      <c r="M117" s="3">
        <v>3.0204854251045399</v>
      </c>
      <c r="N117" s="3">
        <v>5.44988772731352</v>
      </c>
    </row>
    <row r="118" spans="1:25" x14ac:dyDescent="0.35">
      <c r="A118" s="2">
        <v>45328</v>
      </c>
      <c r="B118" s="3">
        <v>2.9533828841180498</v>
      </c>
      <c r="C118" s="3">
        <v>4.02162171243031</v>
      </c>
      <c r="D118" s="3">
        <v>3.3386022217998099</v>
      </c>
      <c r="E118" s="3">
        <v>3.5091565816261401</v>
      </c>
      <c r="F118" s="3">
        <v>2.2898856051404599</v>
      </c>
      <c r="G118" s="3">
        <v>3.3405168397170399</v>
      </c>
      <c r="H118" s="3">
        <v>4.2705416607490303</v>
      </c>
      <c r="I118" s="3">
        <v>0.90046324858402205</v>
      </c>
      <c r="J118" s="3">
        <v>1.5071228349960899</v>
      </c>
      <c r="K118" s="3">
        <v>3.1941674248388501</v>
      </c>
      <c r="L118" s="3">
        <v>2.5321954212994999</v>
      </c>
      <c r="M118" s="3">
        <v>3.3420580459577298</v>
      </c>
      <c r="N118" s="3">
        <v>5.4639247943823497</v>
      </c>
    </row>
    <row r="119" spans="1:25" x14ac:dyDescent="0.35">
      <c r="A119" s="2">
        <v>45357</v>
      </c>
      <c r="B119" s="3">
        <v>2.7615675207053099</v>
      </c>
      <c r="C119" s="3">
        <v>3.9564002644695502</v>
      </c>
      <c r="D119" s="3">
        <v>3.2128170027272902</v>
      </c>
      <c r="E119" s="3">
        <v>3.34272650016465</v>
      </c>
      <c r="F119" s="3">
        <v>2.1427014599835599</v>
      </c>
      <c r="G119" s="3">
        <v>3.2833596093724</v>
      </c>
      <c r="H119" s="3">
        <v>4.1508647087143196</v>
      </c>
      <c r="I119" s="3">
        <v>0.88631314826032903</v>
      </c>
      <c r="J119" s="3">
        <v>1.4724596305870901</v>
      </c>
      <c r="K119" s="3">
        <v>3.1301436617669101</v>
      </c>
      <c r="L119" s="3">
        <v>2.5705646332927001</v>
      </c>
      <c r="M119" s="3">
        <v>3.2808925670263598</v>
      </c>
      <c r="N119" s="3">
        <v>5.2152202685289897</v>
      </c>
    </row>
    <row r="120" spans="1:25" x14ac:dyDescent="0.35">
      <c r="A120" s="2">
        <v>45387</v>
      </c>
      <c r="B120" s="3">
        <v>2.7630904069089</v>
      </c>
      <c r="C120" s="3">
        <v>3.9440484453970899</v>
      </c>
      <c r="D120" s="3">
        <v>3.0851688695671902</v>
      </c>
      <c r="E120" s="3">
        <v>3.3075656858496001</v>
      </c>
      <c r="F120" s="3">
        <v>2.2073103732505399</v>
      </c>
      <c r="G120" s="3">
        <v>3.31722226517507</v>
      </c>
      <c r="H120" s="3">
        <v>4.0352965457901098</v>
      </c>
      <c r="I120" s="3">
        <v>0.89182594478492305</v>
      </c>
      <c r="J120" s="3">
        <v>1.44373541071087</v>
      </c>
      <c r="K120" s="3">
        <v>3.1082523456367999</v>
      </c>
      <c r="L120" s="3">
        <v>2.5324834843751498</v>
      </c>
      <c r="M120" s="3">
        <v>3.2511603668871101</v>
      </c>
      <c r="N120" s="3">
        <v>5.2018985814914904</v>
      </c>
    </row>
    <row r="121" spans="1:25" x14ac:dyDescent="0.35">
      <c r="A121" s="2">
        <v>45418</v>
      </c>
      <c r="B121" s="3">
        <v>2.7725413204420999</v>
      </c>
      <c r="C121" s="3">
        <v>3.99306379644334</v>
      </c>
      <c r="D121" s="3">
        <v>3.0646463686529799</v>
      </c>
      <c r="E121" s="3">
        <v>3.3574269179373699</v>
      </c>
      <c r="F121" s="3">
        <v>2.2154091778414098</v>
      </c>
      <c r="G121" s="3">
        <v>3.3787504409721301</v>
      </c>
      <c r="H121" s="3">
        <v>3.9078105867417601</v>
      </c>
      <c r="I121" s="3">
        <v>0.91596033168219604</v>
      </c>
      <c r="J121" s="3">
        <v>1.47408136777443</v>
      </c>
      <c r="K121" s="3">
        <v>3.13369021160474</v>
      </c>
      <c r="L121" s="3">
        <v>2.52778443824627</v>
      </c>
      <c r="M121" s="3">
        <v>3.2526125688713501</v>
      </c>
      <c r="N121" s="3">
        <v>5.2638818541829098</v>
      </c>
    </row>
    <row r="122" spans="1:25" x14ac:dyDescent="0.35">
      <c r="A122" s="2">
        <v>45446</v>
      </c>
      <c r="B122" s="3">
        <v>2.7293124155429598</v>
      </c>
      <c r="C122" s="3">
        <v>3.9526013366639701</v>
      </c>
      <c r="D122" s="3">
        <v>3.3158561036691299</v>
      </c>
      <c r="E122" s="3">
        <v>3.3502569915797999</v>
      </c>
      <c r="F122" s="3">
        <v>2.1984549710548702</v>
      </c>
      <c r="G122" s="3">
        <v>3.21855104042415</v>
      </c>
      <c r="H122" s="3">
        <v>3.8975562625239002</v>
      </c>
      <c r="I122" s="3">
        <v>0.87388277177386198</v>
      </c>
      <c r="J122" s="3">
        <v>1.45119487844159</v>
      </c>
      <c r="K122" s="3">
        <v>3.1605025700929499</v>
      </c>
      <c r="L122" s="3">
        <v>2.4842839411596902</v>
      </c>
      <c r="M122" s="3">
        <v>3.1717406360684102</v>
      </c>
      <c r="N122" s="3">
        <v>5.2741020246093999</v>
      </c>
    </row>
    <row r="125" spans="1:25" x14ac:dyDescent="0.35">
      <c r="A125" s="2" t="s">
        <v>91</v>
      </c>
      <c r="B125" s="3" cm="1">
        <f t="array" ref="B125">MIN(_xlfn._xlws.FILTER(B1:B122, ISNUMBER(B1:B122)))</f>
        <v>2.3466030859345599</v>
      </c>
      <c r="C125" s="3" cm="1">
        <f t="array" ref="C125">MIN(_xlfn._xlws.FILTER(C1:C122, ISNUMBER(C1:C122)))</f>
        <v>3.34360422616842</v>
      </c>
      <c r="D125" s="3" cm="1">
        <f t="array" ref="D125">MIN(_xlfn._xlws.FILTER(D1:D122, ISNUMBER(D1:D122)))</f>
        <v>2.5945381468635</v>
      </c>
      <c r="E125" s="3" cm="1">
        <f t="array" ref="E125">MIN(_xlfn._xlws.FILTER(E1:E122, ISNUMBER(E1:E122)))</f>
        <v>2.6847881569558201</v>
      </c>
      <c r="F125" s="3" cm="1">
        <f t="array" ref="F125">MIN(_xlfn._xlws.FILTER(F1:F122, ISNUMBER(F1:F122)))</f>
        <v>1.8588122317646201</v>
      </c>
      <c r="G125" s="3" cm="1">
        <f t="array" ref="G125">MIN(_xlfn._xlws.FILTER(G1:G122, ISNUMBER(G1:G122)))</f>
        <v>2.5630605021047601</v>
      </c>
      <c r="H125" s="3" cm="1">
        <f t="array" ref="H125">MIN(_xlfn._xlws.FILTER(H1:H122, ISNUMBER(H1:H122)))</f>
        <v>3.7626453583326902</v>
      </c>
      <c r="I125" s="3" cm="1">
        <f t="array" ref="I125">MIN(_xlfn._xlws.FILTER(I1:I122, ISNUMBER(I1:I122)))</f>
        <v>0.65778583939471902</v>
      </c>
      <c r="J125" s="3" cm="1">
        <f t="array" ref="J125">MIN(_xlfn._xlws.FILTER(J1:J122, ISNUMBER(J1:J122)))</f>
        <v>1.3664570342906901</v>
      </c>
      <c r="K125" s="3" cm="1">
        <f t="array" ref="K125">MIN(_xlfn._xlws.FILTER(K1:K122, ISNUMBER(K1:K122)))</f>
        <v>2.6710612303236001</v>
      </c>
      <c r="L125" s="3" cm="1">
        <f t="array" ref="L125">MIN(_xlfn._xlws.FILTER(L1:L122, ISNUMBER(L1:L122)))</f>
        <v>1.8382556893575801</v>
      </c>
      <c r="M125" s="3" cm="1">
        <f t="array" ref="M125">MIN(_xlfn._xlws.FILTER(M1:M122, ISNUMBER(M1:M122)))</f>
        <v>2.6761497904728699</v>
      </c>
      <c r="N125" s="3" cm="1">
        <f t="array" ref="N125">MIN(_xlfn._xlws.FILTER(N1:N122, ISNUMBER(N1:N122)))</f>
        <v>3.10147831905681</v>
      </c>
    </row>
    <row r="126" spans="1:25" x14ac:dyDescent="0.35">
      <c r="A126" s="2" t="s">
        <v>92</v>
      </c>
      <c r="B126" s="3" cm="1">
        <f t="array" ref="B126">MAX(_xlfn._xlws.FILTER(B1:B122, ISNUMBER(B1:B122)))</f>
        <v>5.22260074814821</v>
      </c>
      <c r="C126" s="3" cm="1">
        <f t="array" ref="C126">MAX(_xlfn._xlws.FILTER(C1:C122, ISNUMBER(C1:C122)))</f>
        <v>5.51200695998104</v>
      </c>
      <c r="D126" s="3" cm="1">
        <f t="array" ref="D126">MAX(_xlfn._xlws.FILTER(D1:D122, ISNUMBER(D1:D122)))</f>
        <v>4.20831163585326</v>
      </c>
      <c r="E126" s="3" cm="1">
        <f t="array" ref="E126">MAX(_xlfn._xlws.FILTER(E1:E122, ISNUMBER(E1:E122)))</f>
        <v>4.3562416961650001</v>
      </c>
      <c r="F126" s="3" cm="1">
        <f t="array" ref="F126">MAX(_xlfn._xlws.FILTER(F1:F122, ISNUMBER(F1:F122)))</f>
        <v>3.02469216929993</v>
      </c>
      <c r="G126" s="3" cm="1">
        <f t="array" ref="G126">MAX(_xlfn._xlws.FILTER(G1:G122, ISNUMBER(G1:G122)))</f>
        <v>3.71827232610039</v>
      </c>
      <c r="H126" s="3" cm="1">
        <f t="array" ref="H126">MAX(_xlfn._xlws.FILTER(H1:H122, ISNUMBER(H1:H122)))</f>
        <v>6.1893767227512297</v>
      </c>
      <c r="I126" s="3" cm="1">
        <f t="array" ref="I126">MAX(_xlfn._xlws.FILTER(I1:I122, ISNUMBER(I1:I122)))</f>
        <v>1.4612001312052101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4.2729318029738002</v>
      </c>
      <c r="L126" s="3" cm="1">
        <f t="array" ref="L126">MAX(_xlfn._xlws.FILTER(L1:L122, ISNUMBER(L1:L122)))</f>
        <v>3.8021429162207698</v>
      </c>
      <c r="M126" s="3" cm="1">
        <f t="array" ref="M126">MAX(_xlfn._xlws.FILTER(M1:M122, ISNUMBER(M1:M122)))</f>
        <v>4.6780271546841199</v>
      </c>
      <c r="N126" s="3" cm="1">
        <f t="array" ref="N126">MAX(_xlfn._xlws.FILTER(N1:N122, ISNUMBER(N1:N122)))</f>
        <v>6.0898457228276701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0.16300000000000001</v>
      </c>
      <c r="C128" s="9" cm="1">
        <f t="array" ref="C128">_xlfn.PERCENTRANK.EXC(_xlfn._xlws.FILTER(C1:C122, ISNUMBER(C1:C122)),C122)</f>
        <v>0.14699999999999999</v>
      </c>
      <c r="D128" s="9" cm="1">
        <f t="array" ref="D128">_xlfn.PERCENTRANK.EXC(_xlfn._xlws.FILTER(D1:D122, ISNUMBER(D1:D122)),D122)</f>
        <v>0.72099999999999997</v>
      </c>
      <c r="E128" s="9" cm="1">
        <f t="array" ref="E128">_xlfn.PERCENTRANK.EXC(_xlfn._xlws.FILTER(E1:E122, ISNUMBER(E1:E122)),E122)</f>
        <v>0.59</v>
      </c>
      <c r="F128" s="9" cm="1">
        <f t="array" ref="F128">_xlfn.PERCENTRANK.EXC(_xlfn._xlws.FILTER(F1:F122, ISNUMBER(F1:F122)),F122)</f>
        <v>0.35199999999999998</v>
      </c>
      <c r="G128" s="9" cm="1">
        <f t="array" ref="G128">_xlfn.PERCENTRANK.EXC(_xlfn._xlws.FILTER(G1:G122, ISNUMBER(G1:G122)),G122)</f>
        <v>0.40899999999999997</v>
      </c>
      <c r="H128" s="9" cm="1">
        <f t="array" ref="H128">_xlfn.PERCENTRANK.EXC(_xlfn._xlws.FILTER(H1:H122, ISNUMBER(H1:H122)),H122)</f>
        <v>8.1000000000000003E-2</v>
      </c>
      <c r="I128" s="9" cm="1">
        <f t="array" ref="I128">_xlfn.PERCENTRANK.EXC(_xlfn._xlws.FILTER(I1:I122, ISNUMBER(I1:I122)),I122)</f>
        <v>0.21299999999999999</v>
      </c>
      <c r="J128" s="9" cm="1">
        <f t="array" ref="J128">_xlfn.PERCENTRANK.EXC(_xlfn._xlws.FILTER(J1:J122, ISNUMBER(J1:J122)),J122)</f>
        <v>6.5000000000000002E-2</v>
      </c>
      <c r="K128" s="9" cm="1">
        <f t="array" ref="K128">_xlfn.PERCENTRANK.EXC(_xlfn._xlws.FILTER(K1:K122, ISNUMBER(K1:K122)),K122)</f>
        <v>0.19600000000000001</v>
      </c>
      <c r="L128" s="9" cm="1">
        <f t="array" ref="L128">_xlfn.PERCENTRANK.EXC(_xlfn._xlws.FILTER(L1:L122, ISNUMBER(L1:L122)),L122)</f>
        <v>0.188</v>
      </c>
      <c r="M128" s="9" cm="1">
        <f t="array" ref="M128">_xlfn.PERCENTRANK.EXC(_xlfn._xlws.FILTER(M1:M122, ISNUMBER(M1:M122)),M122)</f>
        <v>0.20399999999999999</v>
      </c>
      <c r="N128" s="9" cm="1">
        <f t="array" ref="N128">_xlfn.PERCENTRANK.EXC(_xlfn._xlws.FILTER(N1:N122, ISNUMBER(N1:N122)),N122)</f>
        <v>0.80300000000000005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41796</v>
      </c>
      <c r="B2" s="24" cm="1">
        <f t="array" ref="B2:B122">_xll.FDS(B1,"FG_TOTAL_RETURNC(-10AY,0,AM)")/100</f>
        <v>-2.8091192000000001E-2</v>
      </c>
      <c r="C2" s="24" cm="1">
        <f t="array" ref="C2:C122">_xll.FDS(C1,"FG_TOTAL_RETURNC(-10AY,0,AM)")/100</f>
        <v>4.9185753000000002E-3</v>
      </c>
      <c r="D2" s="24" cm="1">
        <f t="array" ref="D2:D122">_xll.FDS(D1,"FG_TOTAL_RETURNC(-10AY,0,AM)")/100</f>
        <v>1.0794878000000001E-2</v>
      </c>
      <c r="E2" s="24" cm="1">
        <f t="array" ref="E2:E122">_xll.FDS(E1,"FG_TOTAL_RETURNC(-10AY,0,AM)")/100</f>
        <v>3.6194681999999999E-2</v>
      </c>
      <c r="F2" s="24" cm="1">
        <f t="array" ref="F2:F122">_xll.FDS(F1,"FG_TOTAL_RETURNC(-10AY,0,AM)")/100</f>
        <v>6.0143589999999997E-2</v>
      </c>
      <c r="G2" s="24" cm="1">
        <f t="array" ref="G2:G122">_xll.FDS(G1,"FG_TOTAL_RETURNC(-10AY,0,AM)")/100</f>
        <v>1.2603759999999999E-2</v>
      </c>
      <c r="H2" s="24" cm="1">
        <f t="array" ref="H2:H122">_xll.FDS(H1,"FG_TOTAL_RETURNC(-10AY,0,AM)")/100</f>
        <v>9.237885500000001E-3</v>
      </c>
      <c r="I2" s="24" cm="1">
        <f t="array" ref="I2:I122">_xll.FDS(I1,"FG_TOTAL_RETURNC(-10AY,0,AM)")/100</f>
        <v>6.9231630000000002E-2</v>
      </c>
      <c r="J2" s="24" cm="1">
        <f t="array" ref="J2:J122">_xll.FDS(J1,"FG_TOTAL_RETURNC(-10AY,0,AM)")/100</f>
        <v>4.6016693000000004E-2</v>
      </c>
      <c r="K2" s="24" cm="1">
        <f t="array" ref="K2:K122">_xll.FDS(K1,"FG_TOTAL_RETURNC(-10AY,0,AM)")/100</f>
        <v>3.1900524999999999E-2</v>
      </c>
      <c r="L2" s="24" cm="1">
        <f t="array" ref="L2:L122">_xll.FDS(L1,"FG_TOTAL_RETURNC(-10AY,0,AM)")/100</f>
        <v>3.3738732E-2</v>
      </c>
      <c r="M2" s="24" cm="1">
        <f t="array" ref="M2:M122">_xll.FDS(M1,"FG_TOTAL_RETURNC(-10AY,0,AM)")/100</f>
        <v>2.1101594000000001E-2</v>
      </c>
      <c r="N2" s="24" cm="1">
        <f t="array" ref="N2:N122">_xll.FDS(N1,"FG_TOTAL_RETURNC(-10AY,0,AM)")/100</f>
        <v>3.1460762000000003E-2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41823</v>
      </c>
      <c r="B3" s="24">
        <v>2.9276490000000002E-2</v>
      </c>
      <c r="C3" s="24">
        <v>1.4294267000000001E-2</v>
      </c>
      <c r="D3" s="24">
        <v>6.0886145000000003E-2</v>
      </c>
      <c r="E3" s="24">
        <v>-3.2496452E-4</v>
      </c>
      <c r="F3" s="24">
        <v>3.8388013999999998E-2</v>
      </c>
      <c r="G3" s="24">
        <v>1.5670060999999999E-3</v>
      </c>
      <c r="H3" s="24">
        <v>2.2294043999999999E-2</v>
      </c>
      <c r="I3" s="24">
        <v>3.3796309999999996E-2</v>
      </c>
      <c r="J3" s="24">
        <v>1.9308924999999998E-2</v>
      </c>
      <c r="K3" s="24">
        <v>-2.4912893999999998E-2</v>
      </c>
      <c r="L3" s="24">
        <v>1.3731718000000001E-3</v>
      </c>
      <c r="M3" s="24">
        <v>-2.2716284E-2</v>
      </c>
      <c r="N3" s="24">
        <v>-1.9130111000000002E-2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41857</v>
      </c>
      <c r="B4" s="24">
        <v>-5.4391384000000001E-2</v>
      </c>
      <c r="C4" s="24">
        <v>-6.0287120000000003E-3</v>
      </c>
      <c r="D4" s="24">
        <v>-2.2126674999999998E-2</v>
      </c>
      <c r="E4" s="24">
        <v>-0.10567826</v>
      </c>
      <c r="F4" s="24">
        <v>-3.4893274000000002E-2</v>
      </c>
      <c r="G4" s="24">
        <v>-6.2987565999999995E-2</v>
      </c>
      <c r="H4" s="24">
        <v>-5.2841720000000002E-2</v>
      </c>
      <c r="I4" s="24">
        <v>-1.2330174000000001E-2</v>
      </c>
      <c r="J4" s="24">
        <v>-3.0928314000000002E-2</v>
      </c>
      <c r="K4" s="24">
        <v>-8.3134589999999994E-2</v>
      </c>
      <c r="L4" s="24">
        <v>-8.2207620000000009E-2</v>
      </c>
      <c r="M4" s="24">
        <v>-5.8474539999999998E-2</v>
      </c>
      <c r="N4" s="24">
        <v>-0.12387389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41887</v>
      </c>
      <c r="B5" s="24">
        <v>1.8605590000000002E-2</v>
      </c>
      <c r="C5" s="24">
        <v>3.1084179999999999E-2</v>
      </c>
      <c r="D5" s="24">
        <v>3.2055378000000002E-2</v>
      </c>
      <c r="E5" s="24">
        <v>3.6684275000000002E-2</v>
      </c>
      <c r="F5" s="24">
        <v>7.2309970000000003E-3</v>
      </c>
      <c r="G5" s="24">
        <v>3.7002802000000001E-2</v>
      </c>
      <c r="H5" s="24">
        <v>9.6702575999999991E-3</v>
      </c>
      <c r="I5" s="24">
        <v>5.681336E-2</v>
      </c>
      <c r="J5" s="24">
        <v>4.7066091999999997E-2</v>
      </c>
      <c r="K5" s="24">
        <v>3.6046028000000001E-2</v>
      </c>
      <c r="L5" s="24">
        <v>4.4995785000000003E-2</v>
      </c>
      <c r="M5" s="24">
        <v>8.7007283999999997E-3</v>
      </c>
      <c r="N5" s="24">
        <v>5.9125899999999995E-2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41918</v>
      </c>
      <c r="B6" s="24">
        <v>-6.0312150000000002E-2</v>
      </c>
      <c r="C6" s="24">
        <v>-0.11250007999999999</v>
      </c>
      <c r="D6" s="24">
        <v>-7.2168109999999994E-2</v>
      </c>
      <c r="E6" s="24">
        <v>-8.2340959999999991E-2</v>
      </c>
      <c r="F6" s="24">
        <v>-3.125E-2</v>
      </c>
      <c r="G6" s="24">
        <v>-5.0252733000000001E-2</v>
      </c>
      <c r="H6" s="24">
        <v>-6.0412644999999994E-2</v>
      </c>
      <c r="I6" s="24">
        <v>-1.6988753999999998E-2</v>
      </c>
      <c r="J6" s="24">
        <v>-1.9399643000000001E-2</v>
      </c>
      <c r="K6" s="24">
        <v>-7.0659932999999994E-2</v>
      </c>
      <c r="L6" s="24">
        <v>-4.2655887999999996E-2</v>
      </c>
      <c r="M6" s="24">
        <v>-3.5395562999999998E-2</v>
      </c>
      <c r="N6" s="24">
        <v>-8.1917469999999992E-2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41949</v>
      </c>
      <c r="B7" s="24">
        <v>2.3933409999999999E-2</v>
      </c>
      <c r="C7" s="24">
        <v>2.2783755999999999E-2</v>
      </c>
      <c r="D7" s="24">
        <v>-3.7085651999999997E-2</v>
      </c>
      <c r="E7" s="24">
        <v>2.9662848000000003E-3</v>
      </c>
      <c r="F7" s="24">
        <v>1.220572E-2</v>
      </c>
      <c r="G7" s="24">
        <v>3.7571191999999998E-3</v>
      </c>
      <c r="H7" s="24">
        <v>-1.4113903000000001E-2</v>
      </c>
      <c r="I7" s="24">
        <v>3.8076758000000002E-2</v>
      </c>
      <c r="J7" s="24">
        <v>3.4948350000000003E-2</v>
      </c>
      <c r="K7" s="24">
        <v>-2.5858759999999998E-2</v>
      </c>
      <c r="L7" s="24">
        <v>-2.1017789999999998E-3</v>
      </c>
      <c r="M7" s="24">
        <v>8.3256960000000005E-3</v>
      </c>
      <c r="N7" s="24">
        <v>-5.1553190000000006E-2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41978</v>
      </c>
      <c r="B8" s="24">
        <v>2.0325184E-2</v>
      </c>
      <c r="C8" s="24">
        <v>-5.5083035999999995E-2</v>
      </c>
      <c r="D8" s="24">
        <v>-2.0449757999999999E-3</v>
      </c>
      <c r="E8" s="24">
        <v>6.3216330000000001E-2</v>
      </c>
      <c r="F8" s="24">
        <v>1.2058615999999999E-2</v>
      </c>
      <c r="G8" s="24">
        <v>3.2439112999999999E-2</v>
      </c>
      <c r="H8" s="24">
        <v>1.219511E-2</v>
      </c>
      <c r="I8" s="24">
        <v>3.6286711999999999E-2</v>
      </c>
      <c r="J8" s="24">
        <v>2.3874043999999997E-2</v>
      </c>
      <c r="K8" s="24">
        <v>3.8034916000000002E-2</v>
      </c>
      <c r="L8" s="24">
        <v>5.3917526999999993E-2</v>
      </c>
      <c r="M8" s="24">
        <v>2.1100878999999999E-2</v>
      </c>
      <c r="N8" s="24">
        <v>3.2055736000000001E-2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42010</v>
      </c>
      <c r="B9" s="24">
        <v>2.0884870999999999E-2</v>
      </c>
      <c r="C9" s="24">
        <v>-3.5217464000000004E-2</v>
      </c>
      <c r="D9" s="24">
        <v>-4.7476409999999997E-2</v>
      </c>
      <c r="E9" s="24">
        <v>-8.8317160000000006E-2</v>
      </c>
      <c r="F9" s="24">
        <v>-6.2601030000000002E-2</v>
      </c>
      <c r="G9" s="24">
        <v>-7.0090589999999994E-2</v>
      </c>
      <c r="H9" s="24">
        <v>-8.0687160000000008E-2</v>
      </c>
      <c r="I9" s="24">
        <v>-4.6867967000000003E-2</v>
      </c>
      <c r="J9" s="24">
        <v>-3.4047603999999995E-2</v>
      </c>
      <c r="K9" s="24">
        <v>-9.9706759999999992E-2</v>
      </c>
      <c r="L9" s="24">
        <v>-8.7616980000000011E-2</v>
      </c>
      <c r="M9" s="24">
        <v>-8.3767179999999997E-2</v>
      </c>
      <c r="N9" s="24">
        <v>-0.12971247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42041</v>
      </c>
      <c r="B10" s="24">
        <v>-1.0556698E-2</v>
      </c>
      <c r="C10" s="24">
        <v>5.4587126E-2</v>
      </c>
      <c r="D10" s="24">
        <v>3.635049E-3</v>
      </c>
      <c r="E10" s="24">
        <v>8.4668270000000004E-2</v>
      </c>
      <c r="F10" s="24">
        <v>6.3926935000000004E-2</v>
      </c>
      <c r="G10" s="24">
        <v>5.6530237000000004E-2</v>
      </c>
      <c r="H10" s="24">
        <v>7.8442810000000002E-2</v>
      </c>
      <c r="I10" s="24">
        <v>3.0578612999999998E-2</v>
      </c>
      <c r="J10" s="24">
        <v>2.8675795E-2</v>
      </c>
      <c r="K10" s="24">
        <v>8.6398600000000006E-2</v>
      </c>
      <c r="L10" s="24">
        <v>5.1868200000000003E-2</v>
      </c>
      <c r="M10" s="24">
        <v>6.9476365999999998E-2</v>
      </c>
      <c r="N10" s="24">
        <v>8.203125E-2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42069</v>
      </c>
      <c r="B11" s="24">
        <v>1.2443303999999999E-2</v>
      </c>
      <c r="C11" s="24">
        <v>2.609849E-3</v>
      </c>
      <c r="D11" s="24">
        <v>-1.2314379E-2</v>
      </c>
      <c r="E11" s="24">
        <v>2.1097063999999999E-2</v>
      </c>
      <c r="F11" s="24">
        <v>5.6652427000000005E-2</v>
      </c>
      <c r="G11" s="24">
        <v>5.2274465999999995E-3</v>
      </c>
      <c r="H11" s="24">
        <v>-1.0775328E-3</v>
      </c>
      <c r="I11" s="24">
        <v>4.1501045E-2</v>
      </c>
      <c r="J11" s="24">
        <v>9.486675E-3</v>
      </c>
      <c r="K11" s="24">
        <v>1.6141772000000002E-2</v>
      </c>
      <c r="L11" s="24">
        <v>5.7668210000000004E-2</v>
      </c>
      <c r="M11" s="24">
        <v>3.1096100000000002E-2</v>
      </c>
      <c r="N11" s="24">
        <v>3.6823033999999998E-2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42100</v>
      </c>
      <c r="B12" s="24">
        <v>1.7521977000000001E-2</v>
      </c>
      <c r="C12" s="24">
        <v>6.0738325000000001E-3</v>
      </c>
      <c r="D12" s="24">
        <v>2.3102282999999998E-2</v>
      </c>
      <c r="E12" s="24">
        <v>5.4407715999999995E-2</v>
      </c>
      <c r="F12" s="24">
        <v>4.3054459999999996E-2</v>
      </c>
      <c r="G12" s="24">
        <v>4.0685295999999996E-2</v>
      </c>
      <c r="H12" s="24">
        <v>-8.6300969999999998E-3</v>
      </c>
      <c r="I12" s="24">
        <v>-1.105833E-2</v>
      </c>
      <c r="J12" s="24">
        <v>6.0211420000000002E-3</v>
      </c>
      <c r="K12" s="24">
        <v>3.9907098000000002E-2</v>
      </c>
      <c r="L12" s="24">
        <v>3.2398224000000003E-2</v>
      </c>
      <c r="M12" s="24">
        <v>2.4186253999999997E-2</v>
      </c>
      <c r="N12" s="24">
        <v>6.4763308000000006E-2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42130</v>
      </c>
      <c r="B13" s="24">
        <v>-1.9188225E-2</v>
      </c>
      <c r="C13" s="24">
        <v>-9.0556739999999997E-3</v>
      </c>
      <c r="D13" s="24">
        <v>3.1541228000000004E-2</v>
      </c>
      <c r="E13" s="24">
        <v>-2.7759671E-2</v>
      </c>
      <c r="F13" s="24">
        <v>-1.5576482000000001E-3</v>
      </c>
      <c r="G13" s="24">
        <v>2.1751879999999998E-2</v>
      </c>
      <c r="H13" s="24">
        <v>3.5364627999999995E-2</v>
      </c>
      <c r="I13" s="24">
        <v>6.8880319999999997E-3</v>
      </c>
      <c r="J13" s="24">
        <v>1.0104179400000001E-3</v>
      </c>
      <c r="K13" s="24">
        <v>1.4157891000000001E-2</v>
      </c>
      <c r="L13" s="24">
        <v>-4.5923589999999999E-3</v>
      </c>
      <c r="M13" s="24">
        <v>-1.7201185000000001E-2</v>
      </c>
      <c r="N13" s="24">
        <v>-3.2701492E-3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42160</v>
      </c>
      <c r="B14" s="24">
        <v>-4.5397462999999999E-2</v>
      </c>
      <c r="C14" s="24">
        <v>-6.4839005000000005E-2</v>
      </c>
      <c r="D14" s="24">
        <v>-3.7526069999999995E-2</v>
      </c>
      <c r="E14" s="24">
        <v>-3.1911373E-2</v>
      </c>
      <c r="F14" s="24">
        <v>1.0920404999999999E-2</v>
      </c>
      <c r="G14" s="24">
        <v>-2.8765201999999998E-4</v>
      </c>
      <c r="H14" s="24">
        <v>-8.9332460000000006E-3</v>
      </c>
      <c r="I14" s="24">
        <v>2.427137E-2</v>
      </c>
      <c r="J14" s="24">
        <v>8.3158016000000005E-3</v>
      </c>
      <c r="K14" s="24">
        <v>-1.9103526999999999E-2</v>
      </c>
      <c r="L14" s="24">
        <v>3.4601688000000003E-3</v>
      </c>
      <c r="M14" s="24">
        <v>6.2295199999999997E-3</v>
      </c>
      <c r="N14" s="24">
        <v>5.249381E-3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42191</v>
      </c>
      <c r="B15" s="24">
        <v>-6.9543720000000003E-2</v>
      </c>
      <c r="C15" s="24">
        <v>-9.1286900000000001E-3</v>
      </c>
      <c r="D15" s="24">
        <v>-3.9230703999999998E-2</v>
      </c>
      <c r="E15" s="24">
        <v>-3.4889877E-2</v>
      </c>
      <c r="F15" s="24">
        <v>-6.5872669999999999E-3</v>
      </c>
      <c r="G15" s="24">
        <v>-3.6812543999999996E-2</v>
      </c>
      <c r="H15" s="24">
        <v>-2.2806168000000002E-2</v>
      </c>
      <c r="I15" s="24">
        <v>-1.2359738E-2</v>
      </c>
      <c r="J15" s="24">
        <v>-9.7244979999999998E-3</v>
      </c>
      <c r="K15" s="24">
        <v>-4.9733579999999999E-2</v>
      </c>
      <c r="L15" s="24">
        <v>-3.0475020000000002E-2</v>
      </c>
      <c r="M15" s="24">
        <v>-5.8507147000000002E-2</v>
      </c>
      <c r="N15" s="24">
        <v>-5.9434233000000003E-2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42222</v>
      </c>
      <c r="B16" s="24">
        <v>2.8967856999999997E-4</v>
      </c>
      <c r="C16" s="24">
        <v>-1.2987017999999999E-2</v>
      </c>
      <c r="D16" s="24">
        <v>-3.8621723999999996E-2</v>
      </c>
      <c r="E16" s="24">
        <v>5.5230499999999995E-2</v>
      </c>
      <c r="F16" s="24">
        <v>7.0257187E-3</v>
      </c>
      <c r="G16" s="24">
        <v>3.1202196999999997E-2</v>
      </c>
      <c r="H16" s="24">
        <v>2.7071833999999999E-2</v>
      </c>
      <c r="I16" s="24">
        <v>2.5533915000000001E-2</v>
      </c>
      <c r="J16" s="24">
        <v>7.8850984999999998E-3</v>
      </c>
      <c r="K16" s="24">
        <v>8.8977929999999997E-2</v>
      </c>
      <c r="L16" s="24">
        <v>6.2375069999999998E-2</v>
      </c>
      <c r="M16" s="24">
        <v>2.5283574999999999E-2</v>
      </c>
      <c r="N16" s="24">
        <v>9.6045259999999993E-2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42251</v>
      </c>
      <c r="B17" s="24">
        <v>-9.7885849999999996E-2</v>
      </c>
      <c r="C17" s="24">
        <v>-0.14522415</v>
      </c>
      <c r="D17" s="24">
        <v>-7.955885E-2</v>
      </c>
      <c r="E17" s="24">
        <v>-0.11334490999999999</v>
      </c>
      <c r="F17" s="24">
        <v>-0.10930234</v>
      </c>
      <c r="G17" s="24">
        <v>-7.9501569999999994E-2</v>
      </c>
      <c r="H17" s="24">
        <v>-0.1204949</v>
      </c>
      <c r="I17" s="24">
        <v>-7.5056552999999998E-2</v>
      </c>
      <c r="J17" s="24">
        <v>-7.5641990000000006E-2</v>
      </c>
      <c r="K17" s="24">
        <v>-0.10967976</v>
      </c>
      <c r="L17" s="24">
        <v>-0.10613471000000001</v>
      </c>
      <c r="M17" s="24">
        <v>-6.4811889999999997E-2</v>
      </c>
      <c r="N17" s="24">
        <v>-7.7319620000000006E-2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42283</v>
      </c>
      <c r="B18" s="24">
        <v>6.3884376999999992E-2</v>
      </c>
      <c r="C18" s="24">
        <v>7.6396703999999996E-2</v>
      </c>
      <c r="D18" s="24">
        <v>3.2092452E-2</v>
      </c>
      <c r="E18" s="24">
        <v>-3.1274556999999997E-3</v>
      </c>
      <c r="F18" s="24">
        <v>3.0461311000000001E-2</v>
      </c>
      <c r="G18" s="24">
        <v>2.159202E-2</v>
      </c>
      <c r="H18" s="24">
        <v>5.1376103999999999E-2</v>
      </c>
      <c r="I18" s="24">
        <v>3.033626E-2</v>
      </c>
      <c r="J18" s="24">
        <v>3.2430529999999999E-2</v>
      </c>
      <c r="K18" s="24">
        <v>4.3406367000000001E-2</v>
      </c>
      <c r="L18" s="24">
        <v>2.4842143000000001E-2</v>
      </c>
      <c r="M18" s="24">
        <v>2.3326634999999998E-2</v>
      </c>
      <c r="N18" s="24">
        <v>4.3994426999999996E-2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42314</v>
      </c>
      <c r="B19" s="24">
        <v>7.2420120000000004E-2</v>
      </c>
      <c r="C19" s="24">
        <v>-1.2711883E-2</v>
      </c>
      <c r="D19" s="24">
        <v>-2.4875639999999997E-2</v>
      </c>
      <c r="E19" s="24">
        <v>5.5686235000000001E-2</v>
      </c>
      <c r="F19" s="24">
        <v>4.7297239999999997E-2</v>
      </c>
      <c r="G19" s="24">
        <v>-1.5773177E-3</v>
      </c>
      <c r="H19" s="24">
        <v>-1.1634827E-3</v>
      </c>
      <c r="I19" s="24">
        <v>9.3238120000000008E-2</v>
      </c>
      <c r="J19" s="24">
        <v>6.1934349999999999E-2</v>
      </c>
      <c r="K19" s="24">
        <v>2.3375629999999998E-2</v>
      </c>
      <c r="L19" s="24">
        <v>3.1224370000000001E-2</v>
      </c>
      <c r="M19" s="24">
        <v>-1.9822119999999997E-3</v>
      </c>
      <c r="N19" s="24">
        <v>-2.3411333999999999E-2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42342</v>
      </c>
      <c r="B20" s="24">
        <v>3.7985325E-2</v>
      </c>
      <c r="C20" s="24">
        <v>4.0235995999999996E-2</v>
      </c>
      <c r="D20" s="24">
        <v>-1.7857134E-2</v>
      </c>
      <c r="E20" s="24">
        <v>3.7145614999999999E-4</v>
      </c>
      <c r="F20" s="24">
        <v>1.6129017000000002E-3</v>
      </c>
      <c r="G20" s="24">
        <v>-3.1595826E-3</v>
      </c>
      <c r="H20" s="24">
        <v>-9.3185899999999999E-3</v>
      </c>
      <c r="I20" s="24">
        <v>3.0490159999999999E-3</v>
      </c>
      <c r="J20" s="24">
        <v>-1.9996166000000003E-3</v>
      </c>
      <c r="K20" s="24">
        <v>-2.8648853000000002E-2</v>
      </c>
      <c r="L20" s="24">
        <v>-2.1912395999999997E-2</v>
      </c>
      <c r="M20" s="24">
        <v>9.9304913999999998E-3</v>
      </c>
      <c r="N20" s="24">
        <v>-5.4794549999999994E-3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42375</v>
      </c>
      <c r="B21" s="24">
        <v>3.3473969999999999E-4</v>
      </c>
      <c r="C21" s="24">
        <v>-5.1593660000000006E-2</v>
      </c>
      <c r="D21" s="24">
        <v>-9.479718999999999E-2</v>
      </c>
      <c r="E21" s="24">
        <v>-7.0553246E-2</v>
      </c>
      <c r="F21" s="24">
        <v>-3.7325799999999999E-2</v>
      </c>
      <c r="G21" s="24">
        <v>-4.4057009999999994E-2</v>
      </c>
      <c r="H21" s="24">
        <v>-6.757784E-2</v>
      </c>
      <c r="I21" s="24">
        <v>-5.6822596000000003E-2</v>
      </c>
      <c r="J21" s="24">
        <v>-4.5776725000000004E-2</v>
      </c>
      <c r="K21" s="24">
        <v>-7.1170090000000005E-2</v>
      </c>
      <c r="L21" s="24">
        <v>-6.0653505000000003E-2</v>
      </c>
      <c r="M21" s="24">
        <v>-9.2607380000000003E-2</v>
      </c>
      <c r="N21" s="24">
        <v>-9.230672999999999E-2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42405</v>
      </c>
      <c r="B22" s="24">
        <v>-2.3996114999999998E-2</v>
      </c>
      <c r="C22" s="24">
        <v>-3.9127945999999997E-2</v>
      </c>
      <c r="D22" s="24">
        <v>1.6965628E-2</v>
      </c>
      <c r="E22" s="24">
        <v>-5.7131470000000004E-2</v>
      </c>
      <c r="F22" s="24">
        <v>-7.7506303999999998E-2</v>
      </c>
      <c r="G22" s="24">
        <v>-5.0066289999999999E-2</v>
      </c>
      <c r="H22" s="24">
        <v>-3.9871395000000004E-2</v>
      </c>
      <c r="I22" s="24">
        <v>-9.3663399999999994E-2</v>
      </c>
      <c r="J22" s="24">
        <v>-5.4672599999999995E-2</v>
      </c>
      <c r="K22" s="24">
        <v>-2.0241140999999997E-2</v>
      </c>
      <c r="L22" s="24">
        <v>-4.3630003999999998E-3</v>
      </c>
      <c r="M22" s="24">
        <v>-2.0968914000000002E-2</v>
      </c>
      <c r="N22" s="24">
        <v>-0.12861496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42433</v>
      </c>
      <c r="B23" s="24">
        <v>8.7968459999999998E-2</v>
      </c>
      <c r="C23" s="24">
        <v>0.10820233999999999</v>
      </c>
      <c r="D23" s="24">
        <v>7.8169703000000007E-2</v>
      </c>
      <c r="E23" s="24">
        <v>4.0677905E-2</v>
      </c>
      <c r="F23" s="24">
        <v>5.2054879999999998E-2</v>
      </c>
      <c r="G23" s="24">
        <v>2.0942449999999998E-2</v>
      </c>
      <c r="H23" s="24">
        <v>4.2866707000000004E-2</v>
      </c>
      <c r="I23" s="24">
        <v>7.6946497000000003E-2</v>
      </c>
      <c r="J23" s="24">
        <v>6.6400646999999993E-2</v>
      </c>
      <c r="K23" s="24">
        <v>3.8681268999999997E-2</v>
      </c>
      <c r="L23" s="24">
        <v>3.6371589000000003E-2</v>
      </c>
      <c r="M23" s="24">
        <v>5.1698684999999994E-2</v>
      </c>
      <c r="N23" s="24">
        <v>4.3668149999999996E-2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42466</v>
      </c>
      <c r="B24" s="24">
        <v>5.9557915000000003E-2</v>
      </c>
      <c r="C24" s="24">
        <v>-1.3123332999999999E-2</v>
      </c>
      <c r="D24" s="24">
        <v>2.9177666000000001E-2</v>
      </c>
      <c r="E24" s="24">
        <v>2.4022817999999998E-2</v>
      </c>
      <c r="F24" s="24">
        <v>-3.9062559999999996E-2</v>
      </c>
      <c r="G24" s="24">
        <v>2.6324749999999997E-2</v>
      </c>
      <c r="H24" s="24">
        <v>-5.1380990000000001E-3</v>
      </c>
      <c r="I24" s="24">
        <v>5.0417066000000003E-2</v>
      </c>
      <c r="J24" s="24">
        <v>3.5174846999999995E-2</v>
      </c>
      <c r="K24" s="24">
        <v>8.0406666000000012E-3</v>
      </c>
      <c r="L24" s="24">
        <v>3.002119E-2</v>
      </c>
      <c r="M24" s="24">
        <v>3.0898929000000002E-2</v>
      </c>
      <c r="N24" s="24">
        <v>-2.0920515000000001E-2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42496</v>
      </c>
      <c r="B25" s="24">
        <v>2.5773168000000003E-2</v>
      </c>
      <c r="C25" s="24">
        <v>3.5638332000000002E-2</v>
      </c>
      <c r="D25" s="24">
        <v>3.8659810000000003E-2</v>
      </c>
      <c r="E25" s="24">
        <v>2.3061633000000002E-2</v>
      </c>
      <c r="F25" s="24">
        <v>4.2457104000000002E-2</v>
      </c>
      <c r="G25" s="24">
        <v>-8.3277820000000006E-3</v>
      </c>
      <c r="H25" s="24">
        <v>2.1949649999999998E-2</v>
      </c>
      <c r="I25" s="24">
        <v>-4.5992556000000004E-2</v>
      </c>
      <c r="J25" s="24">
        <v>-3.3911467000000001E-3</v>
      </c>
      <c r="K25" s="24">
        <v>1.7212391E-2</v>
      </c>
      <c r="L25" s="24">
        <v>0</v>
      </c>
      <c r="M25" s="24">
        <v>-1.1580408E-2</v>
      </c>
      <c r="N25" s="24">
        <v>3.7606834999999998E-2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42527</v>
      </c>
      <c r="B26" s="24">
        <v>3.1347156000000001E-2</v>
      </c>
      <c r="C26" s="24">
        <v>2.0030856E-2</v>
      </c>
      <c r="D26" s="24">
        <v>5.004132E-2</v>
      </c>
      <c r="E26" s="24">
        <v>1.6712070000000002E-2</v>
      </c>
      <c r="F26" s="24">
        <v>2.6863098000000002E-2</v>
      </c>
      <c r="G26" s="24">
        <v>4.3668149999999996E-2</v>
      </c>
      <c r="H26" s="24">
        <v>2.7163624999999997E-2</v>
      </c>
      <c r="I26" s="24">
        <v>4.6220900000000002E-2</v>
      </c>
      <c r="J26" s="24">
        <v>2.7367352999999997E-2</v>
      </c>
      <c r="K26" s="24">
        <v>2.97153E-2</v>
      </c>
      <c r="L26" s="24">
        <v>3.5303712000000001E-2</v>
      </c>
      <c r="M26" s="24">
        <v>3.3425212000000003E-2</v>
      </c>
      <c r="N26" s="24">
        <v>-8.2373619999999989E-4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42557</v>
      </c>
      <c r="B27" s="24">
        <v>2.5206208000000001E-2</v>
      </c>
      <c r="C27" s="24">
        <v>-1.0333538E-2</v>
      </c>
      <c r="D27" s="24">
        <v>-1.8259764000000001E-2</v>
      </c>
      <c r="E27" s="24">
        <v>-8.7684149999999988E-2</v>
      </c>
      <c r="F27" s="24">
        <v>-2.3536384E-2</v>
      </c>
      <c r="G27" s="24">
        <v>-3.7150145000000002E-2</v>
      </c>
      <c r="H27" s="24">
        <v>-6.2288940000000001E-2</v>
      </c>
      <c r="I27" s="24">
        <v>-1.6915381E-2</v>
      </c>
      <c r="J27" s="24">
        <v>-2.8160213999999999E-3</v>
      </c>
      <c r="K27" s="24">
        <v>-9.1390609999999997E-2</v>
      </c>
      <c r="L27" s="24">
        <v>-0.10219187</v>
      </c>
      <c r="M27" s="24">
        <v>-8.7628249999999991E-2</v>
      </c>
      <c r="N27" s="24">
        <v>-0.126672325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42587</v>
      </c>
      <c r="B28" s="24">
        <v>5.7987570000000002E-2</v>
      </c>
      <c r="C28" s="24">
        <v>7.3787450000000004E-2</v>
      </c>
      <c r="D28" s="24">
        <v>1.5365957999999999E-2</v>
      </c>
      <c r="E28" s="24">
        <v>9.4849824999999999E-2</v>
      </c>
      <c r="F28" s="24">
        <v>5.4007052999999999E-2</v>
      </c>
      <c r="G28" s="24">
        <v>3.1228541999999998E-2</v>
      </c>
      <c r="H28" s="24">
        <v>4.7042965999999999E-2</v>
      </c>
      <c r="I28" s="24">
        <v>7.8300953000000006E-2</v>
      </c>
      <c r="J28" s="24">
        <v>4.0637135999999997E-2</v>
      </c>
      <c r="K28" s="24">
        <v>6.6968319999999998E-2</v>
      </c>
      <c r="L28" s="24">
        <v>7.5268865000000004E-2</v>
      </c>
      <c r="M28" s="24">
        <v>5.8890580000000005E-2</v>
      </c>
      <c r="N28" s="24">
        <v>6.2135816000000003E-2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42619</v>
      </c>
      <c r="B29" s="24">
        <v>5.6759120000000003E-2</v>
      </c>
      <c r="C29" s="24">
        <v>-5.2858590000000004E-3</v>
      </c>
      <c r="D29" s="24">
        <v>4.2214273999999996E-2</v>
      </c>
      <c r="E29" s="24">
        <v>4.6256422999999998E-2</v>
      </c>
      <c r="F29" s="24">
        <v>3.5537124000000003E-2</v>
      </c>
      <c r="G29" s="24">
        <v>3.0615686999999999E-2</v>
      </c>
      <c r="H29" s="24">
        <v>4.1720149999999998E-2</v>
      </c>
      <c r="I29" s="24">
        <v>9.1625449999999994E-3</v>
      </c>
      <c r="J29" s="24">
        <v>3.8995742999999999E-3</v>
      </c>
      <c r="K29" s="24">
        <v>4.3257000000000004E-2</v>
      </c>
      <c r="L29" s="24">
        <v>5.7083370000000001E-2</v>
      </c>
      <c r="M29" s="24">
        <v>5.0592064999999999E-2</v>
      </c>
      <c r="N29" s="24">
        <v>5.1188350000000001E-2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42649</v>
      </c>
      <c r="B30" s="24">
        <v>-7.9130829999999999E-2</v>
      </c>
      <c r="C30" s="24">
        <v>1.0144830000000001E-2</v>
      </c>
      <c r="D30" s="24">
        <v>-3.1333566E-2</v>
      </c>
      <c r="E30" s="24">
        <v>-1.5736222000000001E-2</v>
      </c>
      <c r="F30" s="24">
        <v>-6.3846709999999997E-3</v>
      </c>
      <c r="G30" s="24">
        <v>-2.0665168999999997E-2</v>
      </c>
      <c r="H30" s="24">
        <v>-3.0807136999999998E-2</v>
      </c>
      <c r="I30" s="24">
        <v>9.9912880000000009E-3</v>
      </c>
      <c r="J30" s="24">
        <v>-9.8457335999999999E-3</v>
      </c>
      <c r="K30" s="24">
        <v>-1.7886221000000001E-2</v>
      </c>
      <c r="L30" s="24">
        <v>-8.2775354000000009E-3</v>
      </c>
      <c r="M30" s="24">
        <v>2.0492077000000002E-3</v>
      </c>
      <c r="N30" s="24">
        <v>-4.1739105999999998E-2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42678</v>
      </c>
      <c r="B31" s="24">
        <v>-5.5654526000000003E-2</v>
      </c>
      <c r="C31" s="24">
        <v>-4.8302230000000002E-2</v>
      </c>
      <c r="D31" s="24">
        <v>-1.6568065E-2</v>
      </c>
      <c r="E31" s="24">
        <v>-4.1111525999999995E-2</v>
      </c>
      <c r="F31" s="24">
        <v>-5.6224465000000003E-3</v>
      </c>
      <c r="G31" s="24">
        <v>-5.6050120000000002E-2</v>
      </c>
      <c r="H31" s="24">
        <v>-6.3572764000000004E-2</v>
      </c>
      <c r="I31" s="24">
        <v>-4.278618E-2</v>
      </c>
      <c r="J31" s="24">
        <v>-3.3506333999999999E-2</v>
      </c>
      <c r="K31" s="24">
        <v>-2.6076138000000002E-2</v>
      </c>
      <c r="L31" s="24">
        <v>-4.8489630000000006E-2</v>
      </c>
      <c r="M31" s="24">
        <v>-8.3162970000000003E-2</v>
      </c>
      <c r="N31" s="24">
        <v>-1.8148899E-2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42710</v>
      </c>
      <c r="B32" s="24">
        <v>2.5931597000000001E-3</v>
      </c>
      <c r="C32" s="24">
        <v>4.2713640000000004E-2</v>
      </c>
      <c r="D32" s="24">
        <v>5.7360649999999999E-2</v>
      </c>
      <c r="E32" s="24">
        <v>1.4688372999999999E-2</v>
      </c>
      <c r="F32" s="24">
        <v>5.2503350000000001E-3</v>
      </c>
      <c r="G32" s="24">
        <v>7.6842310000000006E-3</v>
      </c>
      <c r="H32" s="24">
        <v>4.1072725999999997E-2</v>
      </c>
      <c r="I32" s="24">
        <v>2.8420568E-2</v>
      </c>
      <c r="J32" s="24">
        <v>6.3054442000000002E-2</v>
      </c>
      <c r="K32" s="24">
        <v>2.8049350000000001E-2</v>
      </c>
      <c r="L32" s="24">
        <v>-2.9239654999999999E-3</v>
      </c>
      <c r="M32" s="24">
        <v>4.7211885000000002E-2</v>
      </c>
      <c r="N32" s="24">
        <v>7.4399233000000009E-2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42741</v>
      </c>
      <c r="B33" s="24">
        <v>-1.0211646999999999E-2</v>
      </c>
      <c r="C33" s="24">
        <v>3.6140560000000002E-2</v>
      </c>
      <c r="D33" s="24">
        <v>3.0298829999999999E-2</v>
      </c>
      <c r="E33" s="24">
        <v>5.1221848E-2</v>
      </c>
      <c r="F33" s="24">
        <v>2.5549054000000002E-2</v>
      </c>
      <c r="G33" s="24">
        <v>4.6059490000000002E-2</v>
      </c>
      <c r="H33" s="24">
        <v>2.8723120000000001E-2</v>
      </c>
      <c r="I33" s="24">
        <v>4.6302795000000001E-2</v>
      </c>
      <c r="J33" s="24">
        <v>3.0905604000000003E-2</v>
      </c>
      <c r="K33" s="24">
        <v>3.5539746000000004E-2</v>
      </c>
      <c r="L33" s="24">
        <v>3.3678054999999998E-2</v>
      </c>
      <c r="M33" s="24">
        <v>3.4610151999999998E-2</v>
      </c>
      <c r="N33" s="24">
        <v>7.8679442000000002E-2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42772</v>
      </c>
      <c r="B34" s="24">
        <v>7.2007895000000002E-2</v>
      </c>
      <c r="C34" s="24">
        <v>2.1489859E-2</v>
      </c>
      <c r="D34" s="24">
        <v>7.0658920000000007E-3</v>
      </c>
      <c r="E34" s="24">
        <v>1.3402819999999999E-2</v>
      </c>
      <c r="F34" s="24">
        <v>1.0107040000000001E-2</v>
      </c>
      <c r="G34" s="24">
        <v>1.790452E-2</v>
      </c>
      <c r="H34" s="24">
        <v>8.0333950000000005E-3</v>
      </c>
      <c r="I34" s="24">
        <v>3.1985521000000003E-2</v>
      </c>
      <c r="J34" s="24">
        <v>7.5700283E-3</v>
      </c>
      <c r="K34" s="24">
        <v>-2.4037957E-3</v>
      </c>
      <c r="L34" s="24">
        <v>2.1346449999999999E-2</v>
      </c>
      <c r="M34" s="24">
        <v>4.7700763000000007E-2</v>
      </c>
      <c r="N34" s="24">
        <v>-4.8289776E-2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42800</v>
      </c>
      <c r="B35" s="24">
        <v>-3.8514435E-2</v>
      </c>
      <c r="C35" s="24">
        <v>2.4778007999999997E-2</v>
      </c>
      <c r="D35" s="24">
        <v>-7.3855520000000001E-3</v>
      </c>
      <c r="E35" s="24">
        <v>2.2410035000000002E-2</v>
      </c>
      <c r="F35" s="24">
        <v>5.4934024999999994E-3</v>
      </c>
      <c r="G35" s="24">
        <v>2.3126959999999998E-2</v>
      </c>
      <c r="H35" s="24">
        <v>1.4344931E-2</v>
      </c>
      <c r="I35" s="24">
        <v>3.8941382999999996E-2</v>
      </c>
      <c r="J35" s="24">
        <v>3.8352369999999997E-2</v>
      </c>
      <c r="K35" s="24">
        <v>2.3694753999999998E-2</v>
      </c>
      <c r="L35" s="24">
        <v>3.9991974999999999E-2</v>
      </c>
      <c r="M35" s="24">
        <v>6.5505505000000011E-4</v>
      </c>
      <c r="N35" s="24">
        <v>2.832985E-2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42831</v>
      </c>
      <c r="B36" s="24">
        <v>2.0743965999999999E-2</v>
      </c>
      <c r="C36" s="24">
        <v>2.2810220000000003E-2</v>
      </c>
      <c r="D36" s="24">
        <v>1.1161566000000001E-3</v>
      </c>
      <c r="E36" s="24">
        <v>2.4434089999999999E-2</v>
      </c>
      <c r="F36" s="24">
        <v>-5.6585669999999998E-3</v>
      </c>
      <c r="G36" s="24">
        <v>1.3689876E-2</v>
      </c>
      <c r="H36" s="24">
        <v>1.5399217999999999E-2</v>
      </c>
      <c r="I36" s="24">
        <v>1.2123227E-2</v>
      </c>
      <c r="J36" s="24">
        <v>-5.2325129999999994E-3</v>
      </c>
      <c r="K36" s="24">
        <v>3.6877275000000001E-2</v>
      </c>
      <c r="L36" s="24">
        <v>3.2463789999999999E-2</v>
      </c>
      <c r="M36" s="24">
        <v>1.4402627999999999E-2</v>
      </c>
      <c r="N36" s="24">
        <v>4.6875E-2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42860</v>
      </c>
      <c r="B37" s="24">
        <v>6.0733557000000006E-3</v>
      </c>
      <c r="C37" s="24">
        <v>-1.4272928000000001E-2</v>
      </c>
      <c r="D37" s="24">
        <v>-2.3039698999999997E-2</v>
      </c>
      <c r="E37" s="24">
        <v>8.3128689999999991E-2</v>
      </c>
      <c r="F37" s="24">
        <v>3.5518049999999995E-2</v>
      </c>
      <c r="G37" s="24">
        <v>8.1658250000000002E-2</v>
      </c>
      <c r="H37" s="24">
        <v>4.3330193000000003E-2</v>
      </c>
      <c r="I37" s="24">
        <v>4.1653990000000002E-2</v>
      </c>
      <c r="J37" s="24">
        <v>1.8093705000000002E-2</v>
      </c>
      <c r="K37" s="24">
        <v>0.11502074999999999</v>
      </c>
      <c r="L37" s="24">
        <v>9.1147310000000009E-2</v>
      </c>
      <c r="M37" s="24">
        <v>0.10067759999999999</v>
      </c>
      <c r="N37" s="24">
        <v>0.10290658999999999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42892</v>
      </c>
      <c r="B38" s="24">
        <v>5.5723309999999998E-2</v>
      </c>
      <c r="C38" s="24">
        <v>-2.7601838E-2</v>
      </c>
      <c r="D38" s="24">
        <v>7.6074599999999999E-3</v>
      </c>
      <c r="E38" s="24">
        <v>1.2629627999999999E-2</v>
      </c>
      <c r="F38" s="24">
        <v>3.7142277000000001E-2</v>
      </c>
      <c r="G38" s="24">
        <v>1.1904715999999999E-2</v>
      </c>
      <c r="H38" s="24">
        <v>2.788496E-2</v>
      </c>
      <c r="I38" s="24">
        <v>3.8679720000000001E-2</v>
      </c>
      <c r="J38" s="24">
        <v>1.4643311999999999E-2</v>
      </c>
      <c r="K38" s="24">
        <v>-3.3932924000000005E-4</v>
      </c>
      <c r="L38" s="24">
        <v>1.2006879E-2</v>
      </c>
      <c r="M38" s="24">
        <v>8.7952614000000003E-4</v>
      </c>
      <c r="N38" s="24">
        <v>-1.7806292000000002E-3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42922</v>
      </c>
      <c r="B39" s="24">
        <v>2.3604273999999998E-2</v>
      </c>
      <c r="C39" s="24">
        <v>2.1511673999999998E-2</v>
      </c>
      <c r="D39" s="24">
        <v>1.4337301E-2</v>
      </c>
      <c r="E39" s="24">
        <v>-1.6061544000000001E-2</v>
      </c>
      <c r="F39" s="24">
        <v>-2.5187491999999999E-2</v>
      </c>
      <c r="G39" s="24">
        <v>-4.9961210000000001E-3</v>
      </c>
      <c r="H39" s="24">
        <v>-2.0650506000000002E-2</v>
      </c>
      <c r="I39" s="24">
        <v>-4.3375909999999997E-2</v>
      </c>
      <c r="J39" s="24">
        <v>-6.1144229999999999E-3</v>
      </c>
      <c r="K39" s="24">
        <v>-9.2998146999999989E-3</v>
      </c>
      <c r="L39" s="24">
        <v>-8.3284380000000005E-3</v>
      </c>
      <c r="M39" s="24">
        <v>1.9416450999999998E-2</v>
      </c>
      <c r="N39" s="24">
        <v>2.0743490000000003E-2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42951</v>
      </c>
      <c r="B40" s="24">
        <v>3.9396048000000003E-2</v>
      </c>
      <c r="C40" s="24">
        <v>4.9813746999999998E-2</v>
      </c>
      <c r="D40" s="24">
        <v>4.2026279999999999E-2</v>
      </c>
      <c r="E40" s="24">
        <v>2.9158354000000001E-2</v>
      </c>
      <c r="F40" s="24">
        <v>4.018116E-2</v>
      </c>
      <c r="G40" s="24">
        <v>2.5036811999999999E-2</v>
      </c>
      <c r="H40" s="24">
        <v>3.5854219999999999E-2</v>
      </c>
      <c r="I40" s="24">
        <v>5.4002522999999997E-2</v>
      </c>
      <c r="J40" s="24">
        <v>2.8517961999999997E-2</v>
      </c>
      <c r="K40" s="24">
        <v>4.3569206999999999E-2</v>
      </c>
      <c r="L40" s="24">
        <v>7.1280239999999995E-2</v>
      </c>
      <c r="M40" s="24">
        <v>1.2048244E-2</v>
      </c>
      <c r="N40" s="24">
        <v>7.7935933999999998E-2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42984</v>
      </c>
      <c r="B41" s="24">
        <v>-2.6531935E-2</v>
      </c>
      <c r="C41" s="24">
        <v>9.3126297E-3</v>
      </c>
      <c r="D41" s="24">
        <v>1.5844344999999999E-2</v>
      </c>
      <c r="E41" s="24">
        <v>6.7611929999999995E-3</v>
      </c>
      <c r="F41" s="24">
        <v>-1.1969506999999999E-2</v>
      </c>
      <c r="G41" s="24">
        <v>-1.5229820999999999E-2</v>
      </c>
      <c r="H41" s="24">
        <v>-1.5416026000000001E-2</v>
      </c>
      <c r="I41" s="24">
        <v>1.0302901E-2</v>
      </c>
      <c r="J41" s="24">
        <v>-2.0613670000000001E-3</v>
      </c>
      <c r="K41" s="24">
        <v>-1.3360380999999999E-3</v>
      </c>
      <c r="L41" s="24">
        <v>-9.3668700000000011E-3</v>
      </c>
      <c r="M41" s="24">
        <v>5.5168870000000007E-3</v>
      </c>
      <c r="N41" s="24">
        <v>9.904265399999999E-3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43014</v>
      </c>
      <c r="B42" s="24">
        <v>1.5141963999999999E-3</v>
      </c>
      <c r="C42" s="24">
        <v>-2.3725866999999998E-2</v>
      </c>
      <c r="D42" s="24">
        <v>2.6231885E-2</v>
      </c>
      <c r="E42" s="24">
        <v>3.8695216000000004E-2</v>
      </c>
      <c r="F42" s="24">
        <v>2.7716636999999999E-2</v>
      </c>
      <c r="G42" s="24">
        <v>2.2176743000000002E-2</v>
      </c>
      <c r="H42" s="24">
        <v>2.3929119999999998E-2</v>
      </c>
      <c r="I42" s="24">
        <v>1.9665122E-2</v>
      </c>
      <c r="J42" s="24">
        <v>3.5359502000000001E-2</v>
      </c>
      <c r="K42" s="24">
        <v>3.3444761999999996E-2</v>
      </c>
      <c r="L42" s="24">
        <v>2.1193384999999999E-2</v>
      </c>
      <c r="M42" s="24">
        <v>4.3026210000000002E-2</v>
      </c>
      <c r="N42" s="24">
        <v>5.8842899999999995E-3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43045</v>
      </c>
      <c r="B43" s="24">
        <v>-1.2958943999999998E-2</v>
      </c>
      <c r="C43" s="24">
        <v>3.2403349999999997E-2</v>
      </c>
      <c r="D43" s="24">
        <v>1.3126016000000001E-2</v>
      </c>
      <c r="E43" s="24">
        <v>2.6477813999999999E-2</v>
      </c>
      <c r="F43" s="24">
        <v>5.6974410000000003E-2</v>
      </c>
      <c r="G43" s="24">
        <v>-1.1989652999999999E-2</v>
      </c>
      <c r="H43" s="24">
        <v>1.1829137999999999E-2</v>
      </c>
      <c r="I43" s="24">
        <v>4.1514277000000002E-2</v>
      </c>
      <c r="J43" s="24">
        <v>1.7612218999999998E-2</v>
      </c>
      <c r="K43" s="24">
        <v>1.3592242999999999E-2</v>
      </c>
      <c r="L43" s="24">
        <v>7.6627730000000003E-3</v>
      </c>
      <c r="M43" s="24">
        <v>-1.3289034E-2</v>
      </c>
      <c r="N43" s="24">
        <v>1.4624596E-2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43075</v>
      </c>
      <c r="B44" s="24">
        <v>-7.2210429999999999E-3</v>
      </c>
      <c r="C44" s="24">
        <v>-1.4821291E-2</v>
      </c>
      <c r="D44" s="24">
        <v>-1.4319837E-2</v>
      </c>
      <c r="E44" s="24">
        <v>-1.4097214E-2</v>
      </c>
      <c r="F44" s="24">
        <v>-4.0554403999999997E-3</v>
      </c>
      <c r="G44" s="24">
        <v>3.4672022E-3</v>
      </c>
      <c r="H44" s="24">
        <v>-1.0265231E-2</v>
      </c>
      <c r="I44" s="24">
        <v>-1.8856525E-3</v>
      </c>
      <c r="J44" s="24">
        <v>1.6959548000000001E-2</v>
      </c>
      <c r="K44" s="24">
        <v>-7.662833E-3</v>
      </c>
      <c r="L44" s="24">
        <v>-8.5551140000000008E-3</v>
      </c>
      <c r="M44" s="24">
        <v>-5.415267E-2</v>
      </c>
      <c r="N44" s="24">
        <v>-1.4413773999999999E-2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43105</v>
      </c>
      <c r="B45" s="24">
        <v>8.907342E-2</v>
      </c>
      <c r="C45" s="24">
        <v>7.449388500000001E-2</v>
      </c>
      <c r="D45" s="24">
        <v>6.2904834999999992E-2</v>
      </c>
      <c r="E45" s="24">
        <v>4.7053695E-2</v>
      </c>
      <c r="F45" s="24">
        <v>5.964875E-2</v>
      </c>
      <c r="G45" s="24">
        <v>4.4917939999999996E-2</v>
      </c>
      <c r="H45" s="24">
        <v>6.8210839999999995E-2</v>
      </c>
      <c r="I45" s="24">
        <v>5.7043790000000004E-2</v>
      </c>
      <c r="J45" s="24">
        <v>4.3938636999999996E-2</v>
      </c>
      <c r="K45" s="24">
        <v>4.0798902999999997E-2</v>
      </c>
      <c r="L45" s="24">
        <v>4.4870140000000003E-2</v>
      </c>
      <c r="M45" s="24">
        <v>5.105734E-2</v>
      </c>
      <c r="N45" s="24">
        <v>4.0809990000000004E-2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43137</v>
      </c>
      <c r="B46" s="24">
        <v>-1.0932326000000001E-2</v>
      </c>
      <c r="C46" s="24">
        <v>-3.1645595999999998E-2</v>
      </c>
      <c r="D46" s="24">
        <v>-6.8226756999999999E-2</v>
      </c>
      <c r="E46" s="24">
        <v>-2.4468422E-2</v>
      </c>
      <c r="F46" s="24">
        <v>-1.9825934999999999E-2</v>
      </c>
      <c r="G46" s="24">
        <v>-2.4800239999999998E-2</v>
      </c>
      <c r="H46" s="24">
        <v>-2.9953300000000002E-2</v>
      </c>
      <c r="I46" s="24">
        <v>2.4086236999999997E-3</v>
      </c>
      <c r="J46" s="24">
        <v>-1.5690148000000001E-2</v>
      </c>
      <c r="K46" s="24">
        <v>-6.5116286000000004E-3</v>
      </c>
      <c r="L46" s="24">
        <v>-6.7670940000000004E-3</v>
      </c>
      <c r="M46" s="24">
        <v>-1.5678525000000002E-2</v>
      </c>
      <c r="N46" s="24">
        <v>3.2339095999999998E-2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43165</v>
      </c>
      <c r="B47" s="24">
        <v>2.3774742999999997E-2</v>
      </c>
      <c r="C47" s="24">
        <v>3.0500890000000002E-3</v>
      </c>
      <c r="D47" s="24">
        <v>-1.8747807000000002E-2</v>
      </c>
      <c r="E47" s="24">
        <v>-3.0755520000000001E-2</v>
      </c>
      <c r="F47" s="24">
        <v>-3.2889246999999997E-3</v>
      </c>
      <c r="G47" s="24">
        <v>-1.6953886000000001E-2</v>
      </c>
      <c r="H47" s="24">
        <v>-1.5014112E-2</v>
      </c>
      <c r="I47" s="24">
        <v>3.8383365000000003E-2</v>
      </c>
      <c r="J47" s="24">
        <v>1.3933778000000001E-2</v>
      </c>
      <c r="K47" s="24">
        <v>-1.3108610999999999E-2</v>
      </c>
      <c r="L47" s="24">
        <v>-2.4775863E-3</v>
      </c>
      <c r="M47" s="24">
        <v>-1.7955362999999998E-2</v>
      </c>
      <c r="N47" s="24">
        <v>-2.4635077000000002E-2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43196</v>
      </c>
      <c r="B48" s="24">
        <v>-3.2593012000000001E-3</v>
      </c>
      <c r="C48" s="24">
        <v>-5.2563009999999993E-2</v>
      </c>
      <c r="D48" s="24">
        <v>-8.6517334000000001E-3</v>
      </c>
      <c r="E48" s="24">
        <v>-1.1398613E-2</v>
      </c>
      <c r="F48" s="24">
        <v>-1.6333937999999999E-2</v>
      </c>
      <c r="G48" s="24">
        <v>-2.5582074999999999E-2</v>
      </c>
      <c r="H48" s="24">
        <v>1.4380216999999999E-2</v>
      </c>
      <c r="I48" s="24">
        <v>-6.9127617000000002E-2</v>
      </c>
      <c r="J48" s="24">
        <v>-4.4419409999999999E-2</v>
      </c>
      <c r="K48" s="24">
        <v>3.1614304000000001E-4</v>
      </c>
      <c r="L48" s="24">
        <v>-8.3824395999999995E-3</v>
      </c>
      <c r="M48" s="24">
        <v>-3.7746966E-2</v>
      </c>
      <c r="N48" s="24">
        <v>1.5590906E-2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43224</v>
      </c>
      <c r="B49" s="24">
        <v>-6.5399410000000005E-3</v>
      </c>
      <c r="C49" s="24">
        <v>4.2182446000000005E-2</v>
      </c>
      <c r="D49" s="24">
        <v>2.945447E-2</v>
      </c>
      <c r="E49" s="24">
        <v>2.3371816E-2</v>
      </c>
      <c r="F49" s="24">
        <v>1.8617867999999999E-2</v>
      </c>
      <c r="G49" s="24">
        <v>5.014658E-3</v>
      </c>
      <c r="H49" s="24">
        <v>2.2682190000000001E-2</v>
      </c>
      <c r="I49" s="24">
        <v>5.2608012999999995E-2</v>
      </c>
      <c r="J49" s="24">
        <v>2.4256825000000003E-2</v>
      </c>
      <c r="K49" s="24">
        <v>3.3196330000000003E-2</v>
      </c>
      <c r="L49" s="24">
        <v>6.2608720000000007E-4</v>
      </c>
      <c r="M49" s="24">
        <v>7.968068E-3</v>
      </c>
      <c r="N49" s="24">
        <v>4.3598413000000003E-2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43257</v>
      </c>
      <c r="B50" s="24">
        <v>2.7977823999999998E-2</v>
      </c>
      <c r="C50" s="24">
        <v>1.5398145E-2</v>
      </c>
      <c r="D50" s="24">
        <v>2.2253633000000002E-2</v>
      </c>
      <c r="E50" s="24">
        <v>-1.0962248000000001E-2</v>
      </c>
      <c r="F50" s="24">
        <v>-1.1526346E-3</v>
      </c>
      <c r="G50" s="24">
        <v>-1.1153519000000001E-2</v>
      </c>
      <c r="H50" s="24">
        <v>1.3861894999999999E-2</v>
      </c>
      <c r="I50" s="24">
        <v>6.6658616000000004E-2</v>
      </c>
      <c r="J50" s="24">
        <v>4.2778729999999994E-2</v>
      </c>
      <c r="K50" s="24">
        <v>-7.0379376000000004E-3</v>
      </c>
      <c r="L50" s="24">
        <v>9.3866586999999998E-3</v>
      </c>
      <c r="M50" s="24">
        <v>6.3848495000000003E-3</v>
      </c>
      <c r="N50" s="24">
        <v>-0.10767878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43287</v>
      </c>
      <c r="B51" s="24">
        <v>5.4376124999999994E-3</v>
      </c>
      <c r="C51" s="24">
        <v>1.5141845000000001E-2</v>
      </c>
      <c r="D51" s="24">
        <v>2.3670197E-3</v>
      </c>
      <c r="E51" s="24">
        <v>-3.3558190000000002E-2</v>
      </c>
      <c r="F51" s="24">
        <v>-4.9654303000000004E-2</v>
      </c>
      <c r="G51" s="24">
        <v>9.2544555999999993E-3</v>
      </c>
      <c r="H51" s="24">
        <v>-2.1566390000000001E-2</v>
      </c>
      <c r="I51" s="24">
        <v>7.1907040000000007E-4</v>
      </c>
      <c r="J51" s="24">
        <v>-2.6751756999999999E-3</v>
      </c>
      <c r="K51" s="24">
        <v>-1.9379079E-2</v>
      </c>
      <c r="L51" s="24">
        <v>-2.7524948E-2</v>
      </c>
      <c r="M51" s="24">
        <v>-2.1700263000000001E-2</v>
      </c>
      <c r="N51" s="24">
        <v>2.2816658000000001E-4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43318</v>
      </c>
      <c r="B52" s="24">
        <v>-3.66323E-2</v>
      </c>
      <c r="C52" s="24">
        <v>-1.1749387E-2</v>
      </c>
      <c r="D52" s="24">
        <v>1.9457935999999999E-2</v>
      </c>
      <c r="E52" s="24">
        <v>-2.6100874000000002E-3</v>
      </c>
      <c r="F52" s="24">
        <v>1.6258716999999999E-2</v>
      </c>
      <c r="G52" s="24">
        <v>3.9493559999999997E-2</v>
      </c>
      <c r="H52" s="24">
        <v>-2.0314692999999998E-2</v>
      </c>
      <c r="I52" s="24">
        <v>3.1490206999999999E-2</v>
      </c>
      <c r="J52" s="24">
        <v>3.3476114000000001E-2</v>
      </c>
      <c r="K52" s="24">
        <v>1.2832879999999998E-3</v>
      </c>
      <c r="L52" s="24">
        <v>2.3647547000000001E-2</v>
      </c>
      <c r="M52" s="24">
        <v>2.5210023000000002E-2</v>
      </c>
      <c r="N52" s="24">
        <v>-2.5076209999999998E-2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43349</v>
      </c>
      <c r="B53" s="24">
        <v>-4.2009353999999997E-4</v>
      </c>
      <c r="C53" s="24">
        <v>-3.9189755999999999E-2</v>
      </c>
      <c r="D53" s="24">
        <v>-3.6468983000000003E-2</v>
      </c>
      <c r="E53" s="24">
        <v>-3.9254129999999998E-2</v>
      </c>
      <c r="F53" s="24">
        <v>-1.9095123000000002E-2</v>
      </c>
      <c r="G53" s="24">
        <v>-6.3805579999999997E-3</v>
      </c>
      <c r="H53" s="24">
        <v>-3.5630882000000003E-2</v>
      </c>
      <c r="I53" s="24">
        <v>3.6988258E-3</v>
      </c>
      <c r="J53" s="24">
        <v>1.2366413999999999E-2</v>
      </c>
      <c r="K53" s="24">
        <v>-2.9477655999999998E-2</v>
      </c>
      <c r="L53" s="24">
        <v>-4.4620274999999994E-2</v>
      </c>
      <c r="M53" s="24">
        <v>-4.7288537000000005E-3</v>
      </c>
      <c r="N53" s="24">
        <v>-4.4490813999999997E-2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43378</v>
      </c>
      <c r="B54" s="24">
        <v>-2.2488533999999998E-2</v>
      </c>
      <c r="C54" s="24">
        <v>-1.5123724999999999E-2</v>
      </c>
      <c r="D54" s="24">
        <v>9.1969966999999996E-3</v>
      </c>
      <c r="E54" s="24">
        <v>-6.1287284000000001E-3</v>
      </c>
      <c r="F54" s="24">
        <v>3.7706017000000001E-2</v>
      </c>
      <c r="G54" s="24">
        <v>-1.0215938000000001E-2</v>
      </c>
      <c r="H54" s="24">
        <v>1.5445113E-2</v>
      </c>
      <c r="I54" s="24">
        <v>-7.3536634E-3</v>
      </c>
      <c r="J54" s="24">
        <v>3.3444165999999996E-3</v>
      </c>
      <c r="K54" s="24">
        <v>5.2822829999999996E-3</v>
      </c>
      <c r="L54" s="24">
        <v>-2.6167630000000001E-2</v>
      </c>
      <c r="M54" s="24">
        <v>2.8507710000000002E-3</v>
      </c>
      <c r="N54" s="24">
        <v>-1.4914513000000001E-2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43410</v>
      </c>
      <c r="B55" s="24">
        <v>8.6009500000000007E-4</v>
      </c>
      <c r="C55" s="24">
        <v>-1.5356004000000001E-2</v>
      </c>
      <c r="D55" s="24">
        <v>-5.5029870000000002E-2</v>
      </c>
      <c r="E55" s="24">
        <v>-5.1044883999999999E-2</v>
      </c>
      <c r="F55" s="24">
        <v>-6.3038706999999999E-2</v>
      </c>
      <c r="G55" s="24">
        <v>-1.8283665000000001E-2</v>
      </c>
      <c r="H55" s="24">
        <v>-3.3104718000000005E-2</v>
      </c>
      <c r="I55" s="24">
        <v>-5.5009660000000002E-2</v>
      </c>
      <c r="J55" s="24">
        <v>-4.4124839999999999E-2</v>
      </c>
      <c r="K55" s="24">
        <v>-5.4515599999999997E-2</v>
      </c>
      <c r="L55" s="24">
        <v>-2.4149655999999999E-2</v>
      </c>
      <c r="M55" s="24">
        <v>-5.6538159999999997E-2</v>
      </c>
      <c r="N55" s="24">
        <v>-4.6898126999999998E-2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43440</v>
      </c>
      <c r="B56" s="24">
        <v>2.4633764999999998E-2</v>
      </c>
      <c r="C56" s="24">
        <v>-3.4499050000000003E-2</v>
      </c>
      <c r="D56" s="24">
        <v>-3.7833749999999999E-2</v>
      </c>
      <c r="E56" s="24">
        <v>-5.7400703000000004E-2</v>
      </c>
      <c r="F56" s="24">
        <v>-2.7056277E-2</v>
      </c>
      <c r="G56" s="24">
        <v>-2.2829769999999999E-2</v>
      </c>
      <c r="H56" s="24">
        <v>-5.7680426E-2</v>
      </c>
      <c r="I56" s="24">
        <v>-1.9678116000000002E-2</v>
      </c>
      <c r="J56" s="24">
        <v>-1.9191623000000001E-2</v>
      </c>
      <c r="K56" s="24">
        <v>-5.3143500000000003E-2</v>
      </c>
      <c r="L56" s="24">
        <v>-3.5901010000000004E-2</v>
      </c>
      <c r="M56" s="24">
        <v>-4.5530676999999999E-2</v>
      </c>
      <c r="N56" s="24">
        <v>-2.6733756000000001E-2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43469</v>
      </c>
      <c r="B57" s="24">
        <v>-8.6220499999999992E-3</v>
      </c>
      <c r="C57" s="24">
        <v>-2.0755529999999999E-3</v>
      </c>
      <c r="D57" s="24">
        <v>-3.3819199000000001E-2</v>
      </c>
      <c r="E57" s="24">
        <v>-1.3404846E-2</v>
      </c>
      <c r="F57" s="24">
        <v>-1.9708037000000001E-2</v>
      </c>
      <c r="G57" s="24">
        <v>-1.5062928E-2</v>
      </c>
      <c r="H57" s="24">
        <v>2.1262169000000001E-3</v>
      </c>
      <c r="I57" s="24">
        <v>-6.1130579999999997E-2</v>
      </c>
      <c r="J57" s="24">
        <v>-5.909002E-2</v>
      </c>
      <c r="K57" s="24">
        <v>-1.9355297E-2</v>
      </c>
      <c r="L57" s="24">
        <v>-3.8050473000000001E-2</v>
      </c>
      <c r="M57" s="24">
        <v>-1.0460614999999999E-4</v>
      </c>
      <c r="N57" s="24">
        <v>3.9085150000000004E-3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43502</v>
      </c>
      <c r="B58" s="24">
        <v>4.3487669999999999E-2</v>
      </c>
      <c r="C58" s="24">
        <v>6.1131000000000005E-2</v>
      </c>
      <c r="D58" s="24">
        <v>0.10344828</v>
      </c>
      <c r="E58" s="24">
        <v>4.5031069999999999E-2</v>
      </c>
      <c r="F58" s="24">
        <v>2.8206587000000002E-2</v>
      </c>
      <c r="G58" s="24">
        <v>4.5880080000000004E-2</v>
      </c>
      <c r="H58" s="24">
        <v>6.308412599999999E-2</v>
      </c>
      <c r="I58" s="24">
        <v>9.1467740000000006E-2</v>
      </c>
      <c r="J58" s="24">
        <v>8.0629110000000004E-2</v>
      </c>
      <c r="K58" s="24">
        <v>6.5764785000000006E-2</v>
      </c>
      <c r="L58" s="24">
        <v>9.7809679999999996E-2</v>
      </c>
      <c r="M58" s="24">
        <v>5.0895095000000001E-2</v>
      </c>
      <c r="N58" s="24">
        <v>5.7831406999999994E-2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43530</v>
      </c>
      <c r="B59" s="24">
        <v>2.5789141999999998E-2</v>
      </c>
      <c r="C59" s="24">
        <v>2.784443E-2</v>
      </c>
      <c r="D59" s="24">
        <v>1.0294080000000001E-2</v>
      </c>
      <c r="E59" s="24">
        <v>1.4487386E-2</v>
      </c>
      <c r="F59" s="24">
        <v>2.4096966E-3</v>
      </c>
      <c r="G59" s="24">
        <v>3.1632423E-2</v>
      </c>
      <c r="H59" s="24">
        <v>2.8885365E-2</v>
      </c>
      <c r="I59" s="24">
        <v>1.7827749E-2</v>
      </c>
      <c r="J59" s="24">
        <v>1.6829251999999999E-2</v>
      </c>
      <c r="K59" s="24">
        <v>3.4555674000000002E-2</v>
      </c>
      <c r="L59" s="24">
        <v>1.1695862E-2</v>
      </c>
      <c r="M59" s="24">
        <v>3.0059814000000002E-3</v>
      </c>
      <c r="N59" s="24">
        <v>3.7965060000000002E-2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43560</v>
      </c>
      <c r="B60" s="24">
        <v>3.2180189999999997E-2</v>
      </c>
      <c r="C60" s="24">
        <v>5.6048629999999999E-3</v>
      </c>
      <c r="D60" s="24">
        <v>2.4381400000000001E-2</v>
      </c>
      <c r="E60" s="24">
        <v>2.3068547000000002E-2</v>
      </c>
      <c r="F60" s="24">
        <v>2.3853539999999999E-2</v>
      </c>
      <c r="G60" s="24">
        <v>3.2108784000000001E-2</v>
      </c>
      <c r="H60" s="24">
        <v>3.1431198E-2</v>
      </c>
      <c r="I60" s="24">
        <v>6.5887810000000005E-2</v>
      </c>
      <c r="J60" s="24">
        <v>4.5090555999999997E-2</v>
      </c>
      <c r="K60" s="24">
        <v>3.1015635E-2</v>
      </c>
      <c r="L60" s="24">
        <v>4.3182609999999996E-2</v>
      </c>
      <c r="M60" s="24">
        <v>5.5611014E-2</v>
      </c>
      <c r="N60" s="24">
        <v>3.3650280000000005E-2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43591</v>
      </c>
      <c r="B61" s="24">
        <v>1.1692046999999999E-3</v>
      </c>
      <c r="C61" s="24">
        <v>4.1801929999999996E-3</v>
      </c>
      <c r="D61" s="24">
        <v>6.7496299999999995E-3</v>
      </c>
      <c r="E61" s="24">
        <v>2.5769472000000002E-2</v>
      </c>
      <c r="F61" s="24">
        <v>3.6120415E-4</v>
      </c>
      <c r="G61" s="24">
        <v>8.9685917000000004E-3</v>
      </c>
      <c r="H61" s="24">
        <v>-6.2130094000000004E-3</v>
      </c>
      <c r="I61" s="24">
        <v>2.8593063000000002E-2</v>
      </c>
      <c r="J61" s="24">
        <v>1.4727831E-2</v>
      </c>
      <c r="K61" s="24">
        <v>4.6280621999999997E-3</v>
      </c>
      <c r="L61" s="24">
        <v>1.9556760999999999E-2</v>
      </c>
      <c r="M61" s="24">
        <v>-6.6246389999999999E-3</v>
      </c>
      <c r="N61" s="24">
        <v>-1.6985118E-2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43622</v>
      </c>
      <c r="B62" s="24">
        <v>-2.7247666999999998E-3</v>
      </c>
      <c r="C62" s="24">
        <v>2.1739125000000002E-2</v>
      </c>
      <c r="D62" s="24">
        <v>-1.1997163E-2</v>
      </c>
      <c r="E62" s="24">
        <v>-3.6287487E-2</v>
      </c>
      <c r="F62" s="24">
        <v>-2.9969335E-2</v>
      </c>
      <c r="G62" s="24">
        <v>2.5000095E-2</v>
      </c>
      <c r="H62" s="24">
        <v>-3.6618053999999997E-2</v>
      </c>
      <c r="I62" s="24">
        <v>-6.4915237000000001E-2</v>
      </c>
      <c r="J62" s="24">
        <v>-2.7388929999999999E-2</v>
      </c>
      <c r="K62" s="24">
        <v>-2.3362935000000001E-2</v>
      </c>
      <c r="L62" s="24">
        <v>-3.069055E-2</v>
      </c>
      <c r="M62" s="24">
        <v>-4.8269330000000006E-2</v>
      </c>
      <c r="N62" s="24">
        <v>-3.3117354000000002E-2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43651</v>
      </c>
      <c r="B63" s="24">
        <v>6.0683965999999999E-2</v>
      </c>
      <c r="C63" s="24">
        <v>5.2302120000000001E-2</v>
      </c>
      <c r="D63" s="24">
        <v>4.368317E-2</v>
      </c>
      <c r="E63" s="24">
        <v>4.414618E-2</v>
      </c>
      <c r="F63" s="24">
        <v>4.1382073999999998E-2</v>
      </c>
      <c r="G63" s="24">
        <v>3.2165646999999999E-2</v>
      </c>
      <c r="H63" s="24">
        <v>2.7564168000000003E-2</v>
      </c>
      <c r="I63" s="24">
        <v>7.8047275999999999E-2</v>
      </c>
      <c r="J63" s="24">
        <v>5.3066729999999999E-2</v>
      </c>
      <c r="K63" s="24">
        <v>5.8633326999999999E-2</v>
      </c>
      <c r="L63" s="24">
        <v>5.0630330000000001E-2</v>
      </c>
      <c r="M63" s="24">
        <v>6.0596465999999995E-2</v>
      </c>
      <c r="N63" s="24">
        <v>8.4882500000000013E-2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43683</v>
      </c>
      <c r="B64" s="24">
        <v>-1.6436337999999998E-2</v>
      </c>
      <c r="C64" s="24">
        <v>-6.760316999999999E-2</v>
      </c>
      <c r="D64" s="24">
        <v>-4.5580090000000004E-2</v>
      </c>
      <c r="E64" s="24">
        <v>-7.1962952999999996E-2</v>
      </c>
      <c r="F64" s="24">
        <v>-3.7150621000000002E-2</v>
      </c>
      <c r="G64" s="24">
        <v>-2.2240042999999998E-2</v>
      </c>
      <c r="H64" s="24">
        <v>-7.5879039999999995E-2</v>
      </c>
      <c r="I64" s="24">
        <v>-4.0774702999999995E-2</v>
      </c>
      <c r="J64" s="24">
        <v>-3.5716711999999998E-2</v>
      </c>
      <c r="K64" s="24">
        <v>-6.0665370000000003E-2</v>
      </c>
      <c r="L64" s="24">
        <v>-3.4737884999999996E-2</v>
      </c>
      <c r="M64" s="24">
        <v>-8.3441550000000003E-2</v>
      </c>
      <c r="N64" s="24">
        <v>-5.7173309999999998E-2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43714</v>
      </c>
      <c r="B65" s="24">
        <v>4.2726873999999998E-2</v>
      </c>
      <c r="C65" s="24">
        <v>4.6610117000000006E-2</v>
      </c>
      <c r="D65" s="24">
        <v>3.5817623E-2</v>
      </c>
      <c r="E65" s="24">
        <v>3.1094073999999999E-2</v>
      </c>
      <c r="F65" s="24">
        <v>2.697134E-2</v>
      </c>
      <c r="G65" s="24">
        <v>4.3299437000000003E-2</v>
      </c>
      <c r="H65" s="24">
        <v>3.4045458000000001E-2</v>
      </c>
      <c r="I65" s="24">
        <v>4.5454499999999995E-2</v>
      </c>
      <c r="J65" s="24">
        <v>3.5614967000000004E-2</v>
      </c>
      <c r="K65" s="24">
        <v>4.4444440000000002E-2</v>
      </c>
      <c r="L65" s="24">
        <v>4.3985367000000004E-2</v>
      </c>
      <c r="M65" s="24">
        <v>3.2235264999999999E-2</v>
      </c>
      <c r="N65" s="24">
        <v>3.992474E-2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43742</v>
      </c>
      <c r="B66" s="24">
        <v>-4.3343663000000004E-2</v>
      </c>
      <c r="C66" s="24">
        <v>-1.8443525000000002E-2</v>
      </c>
      <c r="D66" s="24">
        <v>-1.187557E-2</v>
      </c>
      <c r="E66" s="24">
        <v>-1.5636623000000002E-2</v>
      </c>
      <c r="F66" s="24">
        <v>3.4470199999999999E-2</v>
      </c>
      <c r="G66" s="24">
        <v>-2.7318120000000001E-2</v>
      </c>
      <c r="H66" s="24">
        <v>-1.2588739E-2</v>
      </c>
      <c r="I66" s="24">
        <v>-1.2522816999999999E-2</v>
      </c>
      <c r="J66" s="24">
        <v>-7.8328249999999999E-3</v>
      </c>
      <c r="K66" s="24">
        <v>-1.9281923999999999E-2</v>
      </c>
      <c r="L66" s="24">
        <v>-9.894669E-3</v>
      </c>
      <c r="M66" s="24">
        <v>-1.7501711999999999E-2</v>
      </c>
      <c r="N66" s="24">
        <v>-2.3904383000000001E-2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43775</v>
      </c>
      <c r="B67" s="24">
        <v>-1.1041284E-2</v>
      </c>
      <c r="C67" s="24">
        <v>3.5747051000000002E-2</v>
      </c>
      <c r="D67" s="24">
        <v>3.5701632000000004E-2</v>
      </c>
      <c r="E67" s="24">
        <v>9.5688340000000011E-2</v>
      </c>
      <c r="F67" s="24">
        <v>5.0952076999999998E-2</v>
      </c>
      <c r="G67" s="24">
        <v>4.3478250000000003E-2</v>
      </c>
      <c r="H67" s="24">
        <v>7.3880315000000002E-2</v>
      </c>
      <c r="I67" s="24">
        <v>5.7994842999999997E-2</v>
      </c>
      <c r="J67" s="24">
        <v>4.3315770000000003E-2</v>
      </c>
      <c r="K67" s="24">
        <v>7.2203400000000001E-2</v>
      </c>
      <c r="L67" s="24">
        <v>5.2224279999999998E-2</v>
      </c>
      <c r="M67" s="24">
        <v>0.12015366999999999</v>
      </c>
      <c r="N67" s="24">
        <v>8.7198499999999998E-2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43805</v>
      </c>
      <c r="B68" s="24">
        <v>9.6246360000000003E-2</v>
      </c>
      <c r="C68" s="24">
        <v>2.6547910000000001E-3</v>
      </c>
      <c r="D68" s="24">
        <v>6.1433314999999999E-3</v>
      </c>
      <c r="E68" s="24">
        <v>-6.9034100000000002E-4</v>
      </c>
      <c r="F68" s="24">
        <v>1.7614484E-2</v>
      </c>
      <c r="G68" s="24">
        <v>1.449275E-2</v>
      </c>
      <c r="H68" s="24">
        <v>1.5221834E-3</v>
      </c>
      <c r="I68" s="24">
        <v>2.6231526999999998E-2</v>
      </c>
      <c r="J68" s="24">
        <v>2.5301218E-2</v>
      </c>
      <c r="K68" s="24">
        <v>1.8969774000000001E-3</v>
      </c>
      <c r="L68" s="24">
        <v>1.3174056999999999E-2</v>
      </c>
      <c r="M68" s="24">
        <v>6.8600179999999998E-3</v>
      </c>
      <c r="N68" s="24">
        <v>-1.3310552E-2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43836</v>
      </c>
      <c r="B69" s="24">
        <v>3.2429934000000001E-2</v>
      </c>
      <c r="C69" s="24">
        <v>1.8191814000000001E-2</v>
      </c>
      <c r="D69" s="24">
        <v>3.0535579E-2</v>
      </c>
      <c r="E69" s="24">
        <v>1.3816953E-2</v>
      </c>
      <c r="F69" s="24">
        <v>-8.9756846000000005E-3</v>
      </c>
      <c r="G69" s="24">
        <v>4.285717E-2</v>
      </c>
      <c r="H69" s="24">
        <v>5.3074360000000001E-2</v>
      </c>
      <c r="I69" s="24">
        <v>5.3784129999999999E-2</v>
      </c>
      <c r="J69" s="24">
        <v>3.2884240000000002E-2</v>
      </c>
      <c r="K69" s="24">
        <v>3.5649896E-2</v>
      </c>
      <c r="L69" s="24">
        <v>2.5058866000000003E-2</v>
      </c>
      <c r="M69" s="24">
        <v>3.1663417999999999E-2</v>
      </c>
      <c r="N69" s="24">
        <v>3.1344056000000002E-2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43867</v>
      </c>
      <c r="B70" s="24">
        <v>-1.771754E-2</v>
      </c>
      <c r="C70" s="24">
        <v>1.149416E-2</v>
      </c>
      <c r="D70" s="24">
        <v>1.3008713999999999E-2</v>
      </c>
      <c r="E70" s="24">
        <v>5.7921409999999998E-3</v>
      </c>
      <c r="F70" s="24">
        <v>1.0772585999999999E-2</v>
      </c>
      <c r="G70" s="24">
        <v>2.2015571999999997E-2</v>
      </c>
      <c r="H70" s="24">
        <v>-3.0543326999999999E-2</v>
      </c>
      <c r="I70" s="24">
        <v>6.7869782000000003E-2</v>
      </c>
      <c r="J70" s="24">
        <v>3.1949043000000003E-2</v>
      </c>
      <c r="K70" s="24">
        <v>-1.0076404000000001E-2</v>
      </c>
      <c r="L70" s="24">
        <v>1.3921856999999999E-2</v>
      </c>
      <c r="M70" s="24">
        <v>1.7325162999999998E-2</v>
      </c>
      <c r="N70" s="24">
        <v>1.7561555E-2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43896</v>
      </c>
      <c r="B71" s="24">
        <v>-3.0238688E-2</v>
      </c>
      <c r="C71" s="24">
        <v>-0.13548946000000001</v>
      </c>
      <c r="D71" s="24">
        <v>-0.10108667</v>
      </c>
      <c r="E71" s="24">
        <v>-0.118902445</v>
      </c>
      <c r="F71" s="24">
        <v>-0.12406331</v>
      </c>
      <c r="G71" s="24">
        <v>-7.4676869999999992E-2</v>
      </c>
      <c r="H71" s="24">
        <v>-0.1232959</v>
      </c>
      <c r="I71" s="24">
        <v>-9.6311750000000002E-2</v>
      </c>
      <c r="J71" s="24">
        <v>-0.10934793000000001</v>
      </c>
      <c r="K71" s="24">
        <v>-0.11967916000000001</v>
      </c>
      <c r="L71" s="24">
        <v>-0.10371017</v>
      </c>
      <c r="M71" s="24">
        <v>-9.8297000000000009E-2</v>
      </c>
      <c r="N71" s="24">
        <v>-0.12844336000000001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43927</v>
      </c>
      <c r="B72" s="24">
        <v>-0.18289566000000002</v>
      </c>
      <c r="C72" s="24">
        <v>-0.18705767000000001</v>
      </c>
      <c r="D72" s="24">
        <v>-0.19047619000000002</v>
      </c>
      <c r="E72" s="24">
        <v>-0.16186088999999998</v>
      </c>
      <c r="F72" s="24">
        <v>-6.2357370000000002E-2</v>
      </c>
      <c r="G72" s="24">
        <v>-7.5788917999999997E-2</v>
      </c>
      <c r="H72" s="24">
        <v>-0.18590187</v>
      </c>
      <c r="I72" s="24">
        <v>-5.3465842999999999E-2</v>
      </c>
      <c r="J72" s="24">
        <v>-0.10412466000000001</v>
      </c>
      <c r="K72" s="24">
        <v>-0.18605470000000002</v>
      </c>
      <c r="L72" s="24">
        <v>-0.13885264999999999</v>
      </c>
      <c r="M72" s="24">
        <v>-0.16434729000000001</v>
      </c>
      <c r="N72" s="24">
        <v>-0.20982487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43957</v>
      </c>
      <c r="B73" s="24">
        <v>7.4880600000000005E-2</v>
      </c>
      <c r="C73" s="24">
        <v>2.0522355999999999E-2</v>
      </c>
      <c r="D73" s="24">
        <v>8.3257910000000004E-2</v>
      </c>
      <c r="E73" s="24">
        <v>3.9449573000000002E-2</v>
      </c>
      <c r="F73" s="24">
        <v>2.7980565999999998E-2</v>
      </c>
      <c r="G73" s="24">
        <v>1.7072558000000002E-2</v>
      </c>
      <c r="H73" s="24">
        <v>4.2444824999999999E-2</v>
      </c>
      <c r="I73" s="24">
        <v>0.11461722999999999</v>
      </c>
      <c r="J73" s="24">
        <v>7.3208570000000001E-2</v>
      </c>
      <c r="K73" s="24">
        <v>1.0331511E-2</v>
      </c>
      <c r="L73" s="24">
        <v>4.9583673000000002E-2</v>
      </c>
      <c r="M73" s="24">
        <v>5.3528905000000002E-2</v>
      </c>
      <c r="N73" s="24">
        <v>-2.5060236E-2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43987</v>
      </c>
      <c r="B74" s="24">
        <v>0.16390598000000001</v>
      </c>
      <c r="C74" s="24">
        <v>0.23826933</v>
      </c>
      <c r="D74" s="24">
        <v>0.12531328</v>
      </c>
      <c r="E74" s="24">
        <v>0.2550751</v>
      </c>
      <c r="F74" s="24">
        <v>0.12544382000000001</v>
      </c>
      <c r="G74" s="24">
        <v>8.2003229999999996E-2</v>
      </c>
      <c r="H74" s="24">
        <v>0.13517915999999999</v>
      </c>
      <c r="I74" s="24">
        <v>9.4474909999999995E-2</v>
      </c>
      <c r="J74" s="24">
        <v>0.12344766</v>
      </c>
      <c r="K74" s="24">
        <v>0.23008107999999999</v>
      </c>
      <c r="L74" s="24">
        <v>0.18860434999999998</v>
      </c>
      <c r="M74" s="24">
        <v>0.22544229999999998</v>
      </c>
      <c r="N74" s="24">
        <v>0.23974299999999998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44018</v>
      </c>
      <c r="B75" s="24">
        <v>4.3094634999999999E-2</v>
      </c>
      <c r="C75" s="24">
        <v>-8.6479782999999994E-3</v>
      </c>
      <c r="D75" s="24">
        <v>-1.7304420000000001E-2</v>
      </c>
      <c r="E75" s="24">
        <v>1.5466213000000001E-3</v>
      </c>
      <c r="F75" s="24">
        <v>-1.2828529E-2</v>
      </c>
      <c r="G75" s="24">
        <v>3.5903454000000001E-2</v>
      </c>
      <c r="H75" s="24">
        <v>-3.8366972999999999E-2</v>
      </c>
      <c r="I75" s="24">
        <v>7.9871059999999994E-2</v>
      </c>
      <c r="J75" s="24">
        <v>-2.7761459999999997E-3</v>
      </c>
      <c r="K75" s="24">
        <v>-1.089859E-2</v>
      </c>
      <c r="L75" s="24">
        <v>3.7748693999999999E-2</v>
      </c>
      <c r="M75" s="24">
        <v>2.5280713999999999E-3</v>
      </c>
      <c r="N75" s="24">
        <v>5.6271552999999997E-3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44049</v>
      </c>
      <c r="B76" s="24">
        <v>2.8719782999999999E-2</v>
      </c>
      <c r="C76" s="24">
        <v>3.4760713999999998E-2</v>
      </c>
      <c r="D76" s="24">
        <v>7.5925229999999996E-2</v>
      </c>
      <c r="E76" s="24">
        <v>3.9020895999999999E-2</v>
      </c>
      <c r="F76" s="24">
        <v>1.7895699000000001E-3</v>
      </c>
      <c r="G76" s="24">
        <v>2.8692603000000001E-2</v>
      </c>
      <c r="H76" s="24">
        <v>1.0602116999999999E-2</v>
      </c>
      <c r="I76" s="24">
        <v>6.2889456999999996E-2</v>
      </c>
      <c r="J76" s="24">
        <v>5.4502487000000002E-2</v>
      </c>
      <c r="K76" s="24">
        <v>1.9034146999999998E-2</v>
      </c>
      <c r="L76" s="24">
        <v>3.6176442999999996E-2</v>
      </c>
      <c r="M76" s="24">
        <v>7.7750444000000002E-2</v>
      </c>
      <c r="N76" s="24">
        <v>2.4439096E-2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44078</v>
      </c>
      <c r="B77" s="24">
        <v>-6.0251354999999998E-3</v>
      </c>
      <c r="C77" s="24">
        <v>-1.2171388E-2</v>
      </c>
      <c r="D77" s="24">
        <v>3.5452842999999997E-4</v>
      </c>
      <c r="E77" s="24">
        <v>1.9119143000000002E-2</v>
      </c>
      <c r="F77" s="24">
        <v>3.6977530000000002E-2</v>
      </c>
      <c r="G77" s="24">
        <v>8.0039499999999993E-3</v>
      </c>
      <c r="H77" s="24">
        <v>-1.9857645E-2</v>
      </c>
      <c r="I77" s="24">
        <v>3.2551646000000004E-2</v>
      </c>
      <c r="J77" s="24">
        <v>2.4646400999999998E-2</v>
      </c>
      <c r="K77" s="24">
        <v>1.3836026E-2</v>
      </c>
      <c r="L77" s="24">
        <v>-1.0218560999999999E-2</v>
      </c>
      <c r="M77" s="24">
        <v>1.3972162999999999E-2</v>
      </c>
      <c r="N77" s="24">
        <v>-1.1731982000000001E-3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44110</v>
      </c>
      <c r="B78" s="24">
        <v>-1.6977607999999998E-2</v>
      </c>
      <c r="C78" s="24">
        <v>-1.4292777000000001E-2</v>
      </c>
      <c r="D78" s="24">
        <v>-2.0205616999999999E-2</v>
      </c>
      <c r="E78" s="24">
        <v>-1.3065397999999999E-2</v>
      </c>
      <c r="F78" s="24">
        <v>1.8776893999999999E-2</v>
      </c>
      <c r="G78" s="24">
        <v>-7.4591039999999994E-3</v>
      </c>
      <c r="H78" s="24">
        <v>-1.8348633999999999E-2</v>
      </c>
      <c r="I78" s="24">
        <v>-2.8283535999999998E-2</v>
      </c>
      <c r="J78" s="24">
        <v>-1.8342077999999998E-2</v>
      </c>
      <c r="K78" s="24">
        <v>-3.2753288999999998E-2</v>
      </c>
      <c r="L78" s="24">
        <v>1.3191938E-2</v>
      </c>
      <c r="M78" s="24">
        <v>-5.6242942999999994E-4</v>
      </c>
      <c r="N78" s="24">
        <v>-3.3672689999999998E-2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44141</v>
      </c>
      <c r="B79" s="24">
        <v>7.4480534000000001E-2</v>
      </c>
      <c r="C79" s="24">
        <v>6.2000035999999994E-2</v>
      </c>
      <c r="D79" s="24">
        <v>2.0622253E-2</v>
      </c>
      <c r="E79" s="24">
        <v>-2.7834355999999998E-2</v>
      </c>
      <c r="F79" s="24">
        <v>4.0243505999999998E-2</v>
      </c>
      <c r="G79" s="24">
        <v>3.0787944999999997E-2</v>
      </c>
      <c r="H79" s="24">
        <v>1.6355156999999999E-2</v>
      </c>
      <c r="I79" s="24">
        <v>7.0686100000000002E-2</v>
      </c>
      <c r="J79" s="24">
        <v>4.5472263999999998E-2</v>
      </c>
      <c r="K79" s="24">
        <v>3.0335068999999999E-2</v>
      </c>
      <c r="L79" s="24">
        <v>5.5193779999999998E-2</v>
      </c>
      <c r="M79" s="24">
        <v>4.3050050000000006E-2</v>
      </c>
      <c r="N79" s="24">
        <v>3.4035682999999997E-2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44169</v>
      </c>
      <c r="B80" s="24">
        <v>5.2925350000000003E-2</v>
      </c>
      <c r="C80" s="24">
        <v>0.10969866</v>
      </c>
      <c r="D80" s="24">
        <v>0.11095357</v>
      </c>
      <c r="E80" s="24">
        <v>8.7290530000000005E-2</v>
      </c>
      <c r="F80" s="24">
        <v>7.3797107000000001E-2</v>
      </c>
      <c r="G80" s="24">
        <v>1.7168403000000002E-2</v>
      </c>
      <c r="H80" s="24">
        <v>0.14367819000000001</v>
      </c>
      <c r="I80" s="24">
        <v>3.7032007999999998E-2</v>
      </c>
      <c r="J80" s="24">
        <v>5.6231499999999997E-2</v>
      </c>
      <c r="K80" s="24">
        <v>0.15268743499999998</v>
      </c>
      <c r="L80" s="24">
        <v>8.5032219999999992E-2</v>
      </c>
      <c r="M80" s="24">
        <v>7.5263022999999998E-2</v>
      </c>
      <c r="N80" s="24">
        <v>0.14615989000000001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44202</v>
      </c>
      <c r="B81" s="24">
        <v>9.210467E-2</v>
      </c>
      <c r="C81" s="24">
        <v>5.6835294000000001E-2</v>
      </c>
      <c r="D81" s="24">
        <v>2.7699709999999999E-2</v>
      </c>
      <c r="E81" s="24">
        <v>6.0399770000000005E-2</v>
      </c>
      <c r="F81" s="24">
        <v>3.6136389000000005E-2</v>
      </c>
      <c r="G81" s="24">
        <v>4.7946095000000001E-2</v>
      </c>
      <c r="H81" s="24">
        <v>5.2119135999999996E-2</v>
      </c>
      <c r="I81" s="24">
        <v>8.4408520000000004E-3</v>
      </c>
      <c r="J81" s="24">
        <v>1.4326571999999999E-2</v>
      </c>
      <c r="K81" s="24">
        <v>1.8679737999999998E-2</v>
      </c>
      <c r="L81" s="24">
        <v>4.7418117999999995E-2</v>
      </c>
      <c r="M81" s="24">
        <v>5.4749369999999999E-2</v>
      </c>
      <c r="N81" s="24">
        <v>5.3071020000000003E-2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44232</v>
      </c>
      <c r="B82" s="24">
        <v>-4.9502134000000003E-2</v>
      </c>
      <c r="C82" s="24">
        <v>4.4534205999999998E-3</v>
      </c>
      <c r="D82" s="24">
        <v>7.2305200000000007E-3</v>
      </c>
      <c r="E82" s="24">
        <v>9.1993809999999995E-4</v>
      </c>
      <c r="F82" s="24">
        <v>1.5693783999999999E-2</v>
      </c>
      <c r="G82" s="24">
        <v>-1.8322229000000002E-2</v>
      </c>
      <c r="H82" s="24">
        <v>-4.0257635E-2</v>
      </c>
      <c r="I82" s="24">
        <v>7.7453255999999998E-2</v>
      </c>
      <c r="J82" s="24">
        <v>3.7906528000000002E-2</v>
      </c>
      <c r="K82" s="24">
        <v>-1.1426866000000001E-2</v>
      </c>
      <c r="L82" s="24">
        <v>3.7887812E-2</v>
      </c>
      <c r="M82" s="24">
        <v>4.3134689999999995E-3</v>
      </c>
      <c r="N82" s="24">
        <v>-4.9099922000000002E-3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44260</v>
      </c>
      <c r="B83" s="24">
        <v>-7.2735309999999997E-2</v>
      </c>
      <c r="C83" s="24">
        <v>1.3704180999999999E-2</v>
      </c>
      <c r="D83" s="24">
        <v>3.3083557999999999E-2</v>
      </c>
      <c r="E83" s="24">
        <v>-1.715678E-2</v>
      </c>
      <c r="F83" s="24">
        <v>-1.5740036999999998E-2</v>
      </c>
      <c r="G83" s="24">
        <v>-2.6534736E-2</v>
      </c>
      <c r="H83" s="24">
        <v>4.9664497000000002E-2</v>
      </c>
      <c r="I83" s="24">
        <v>-6.8445205999999995E-2</v>
      </c>
      <c r="J83" s="24">
        <v>-1.0523319E-2</v>
      </c>
      <c r="K83" s="24">
        <v>1.3040899999999999E-2</v>
      </c>
      <c r="L83" s="24">
        <v>-7.9854727000000011E-3</v>
      </c>
      <c r="M83" s="24">
        <v>2.1235943E-2</v>
      </c>
      <c r="N83" s="24">
        <v>-5.921066E-3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44292</v>
      </c>
      <c r="B84" s="24">
        <v>-1.5433550000000001E-2</v>
      </c>
      <c r="C84" s="24">
        <v>3.5785436999999998E-3</v>
      </c>
      <c r="D84" s="24">
        <v>4.8338412999999997E-2</v>
      </c>
      <c r="E84" s="24">
        <v>6.9825410000000004E-2</v>
      </c>
      <c r="F84" s="24">
        <v>1.1150122E-2</v>
      </c>
      <c r="G84" s="24">
        <v>4.7816989999999997E-2</v>
      </c>
      <c r="H84" s="24">
        <v>1.8861889999999999E-2</v>
      </c>
      <c r="I84" s="24">
        <v>7.3052406E-2</v>
      </c>
      <c r="J84" s="24">
        <v>6.2097309999999996E-2</v>
      </c>
      <c r="K84" s="24">
        <v>4.2714953E-2</v>
      </c>
      <c r="L84" s="24">
        <v>9.2226389999999991E-2</v>
      </c>
      <c r="M84" s="24">
        <v>7.3130845999999999E-2</v>
      </c>
      <c r="N84" s="24">
        <v>5.6254150000000003E-2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44322</v>
      </c>
      <c r="B85" s="24">
        <v>4.9773693000000001E-2</v>
      </c>
      <c r="C85" s="24">
        <v>4.8335910000000003E-2</v>
      </c>
      <c r="D85" s="24">
        <v>4.8703073999999999E-2</v>
      </c>
      <c r="E85" s="24">
        <v>1.5151501000000001E-2</v>
      </c>
      <c r="F85" s="24">
        <v>-2.9018519999999999E-3</v>
      </c>
      <c r="G85" s="24">
        <v>3.6375642E-2</v>
      </c>
      <c r="H85" s="24">
        <v>4.8948883999999998E-2</v>
      </c>
      <c r="I85" s="24">
        <v>2.0856857000000001E-3</v>
      </c>
      <c r="J85" s="24">
        <v>3.1887173999999997E-2</v>
      </c>
      <c r="K85" s="24">
        <v>6.1728360000000003E-2</v>
      </c>
      <c r="L85" s="24">
        <v>2.1899343000000002E-2</v>
      </c>
      <c r="M85" s="24">
        <v>3.5053371999999999E-2</v>
      </c>
      <c r="N85" s="24">
        <v>1.3784528000000001E-2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44351</v>
      </c>
      <c r="B86" s="24">
        <v>-3.5714269E-2</v>
      </c>
      <c r="C86" s="24">
        <v>3.4769415999999997E-2</v>
      </c>
      <c r="D86" s="24">
        <v>5.0013780000000001E-2</v>
      </c>
      <c r="E86" s="24">
        <v>4.0183783000000001E-2</v>
      </c>
      <c r="F86" s="24">
        <v>1.2078047000000001E-2</v>
      </c>
      <c r="G86" s="24">
        <v>5.2542090000000007E-2</v>
      </c>
      <c r="H86" s="24">
        <v>2.0341038999999998E-2</v>
      </c>
      <c r="I86" s="24">
        <v>1.2337446E-2</v>
      </c>
      <c r="J86" s="24">
        <v>8.4234475999999999E-3</v>
      </c>
      <c r="K86" s="24">
        <v>3.6205053000000001E-2</v>
      </c>
      <c r="L86" s="24">
        <v>2.9466271000000002E-2</v>
      </c>
      <c r="M86" s="24">
        <v>3.7442087999999998E-2</v>
      </c>
      <c r="N86" s="24">
        <v>5.4079056E-2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44383</v>
      </c>
      <c r="B87" s="24">
        <v>-9.3138813999999997E-3</v>
      </c>
      <c r="C87" s="24">
        <v>-4.4572710000000001E-2</v>
      </c>
      <c r="D87" s="24">
        <v>-1.6753792999999999E-2</v>
      </c>
      <c r="E87" s="24">
        <v>-3.4363567999999997E-2</v>
      </c>
      <c r="F87" s="24">
        <v>-2.0034014999999999E-2</v>
      </c>
      <c r="G87" s="24">
        <v>3.8309096999999998E-3</v>
      </c>
      <c r="H87" s="24">
        <v>-2.1262883999999999E-2</v>
      </c>
      <c r="I87" s="24">
        <v>7.450843E-2</v>
      </c>
      <c r="J87" s="24">
        <v>2.7840972000000002E-2</v>
      </c>
      <c r="K87" s="24">
        <v>-3.0349254999999999E-2</v>
      </c>
      <c r="L87" s="24">
        <v>-3.2465636999999999E-2</v>
      </c>
      <c r="M87" s="24">
        <v>-3.0450045999999998E-2</v>
      </c>
      <c r="N87" s="24">
        <v>-4.0627659999999996E-2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44414</v>
      </c>
      <c r="B88" s="24">
        <v>5.0406456000000001E-3</v>
      </c>
      <c r="C88" s="24">
        <v>2.0930290000000001E-2</v>
      </c>
      <c r="D88" s="24">
        <v>4.0172338000000005E-3</v>
      </c>
      <c r="E88" s="24">
        <v>9.590267999999999E-3</v>
      </c>
      <c r="F88" s="24">
        <v>2.3647547E-3</v>
      </c>
      <c r="G88" s="24">
        <v>2.7680874000000001E-2</v>
      </c>
      <c r="H88" s="24">
        <v>1.2488604E-2</v>
      </c>
      <c r="I88" s="24">
        <v>2.1821736999999997E-2</v>
      </c>
      <c r="J88" s="24">
        <v>2.2082090000000002E-2</v>
      </c>
      <c r="K88" s="24">
        <v>3.9627671000000003E-2</v>
      </c>
      <c r="L88" s="24">
        <v>5.0603866999999997E-2</v>
      </c>
      <c r="M88" s="24">
        <v>3.3169270000000001E-2</v>
      </c>
      <c r="N88" s="24">
        <v>2.1032929999999998E-2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44442</v>
      </c>
      <c r="B89" s="24">
        <v>4.7888637000000005E-2</v>
      </c>
      <c r="C89" s="24">
        <v>7.5930357000000004E-3</v>
      </c>
      <c r="D89" s="24">
        <v>1.6270876E-2</v>
      </c>
      <c r="E89" s="24">
        <v>1.0938287E-2</v>
      </c>
      <c r="F89" s="24">
        <v>5.8832170000000003E-2</v>
      </c>
      <c r="G89" s="24">
        <v>1.2370348E-2</v>
      </c>
      <c r="H89" s="24">
        <v>6.9193839999999998E-3</v>
      </c>
      <c r="I89" s="24">
        <v>3.6734222999999996E-2</v>
      </c>
      <c r="J89" s="24">
        <v>2.3932695E-2</v>
      </c>
      <c r="K89" s="24">
        <v>-1.5349388000000001E-3</v>
      </c>
      <c r="L89" s="24">
        <v>6.3825489999999999E-2</v>
      </c>
      <c r="M89" s="24">
        <v>8.2850455999999989E-3</v>
      </c>
      <c r="N89" s="24">
        <v>3.0294657000000001E-3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44475</v>
      </c>
      <c r="B90" s="24">
        <v>-3.7980497000000002E-2</v>
      </c>
      <c r="C90" s="24">
        <v>-5.312741E-2</v>
      </c>
      <c r="D90" s="24">
        <v>-3.2283425000000004E-2</v>
      </c>
      <c r="E90" s="24">
        <v>-7.8018190000000001E-2</v>
      </c>
      <c r="F90" s="24">
        <v>-5.6120276000000004E-2</v>
      </c>
      <c r="G90" s="24">
        <v>-7.4103299999999997E-2</v>
      </c>
      <c r="H90" s="24">
        <v>-3.0176341999999998E-2</v>
      </c>
      <c r="I90" s="24">
        <v>-5.6327524000000004E-2</v>
      </c>
      <c r="J90" s="24">
        <v>-3.7019730000000001E-2</v>
      </c>
      <c r="K90" s="24">
        <v>-4.1762649999999998E-2</v>
      </c>
      <c r="L90" s="24">
        <v>-8.6640540000000002E-2</v>
      </c>
      <c r="M90" s="24">
        <v>-8.6483120000000011E-2</v>
      </c>
      <c r="N90" s="24">
        <v>-3.8659036000000001E-2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44505</v>
      </c>
      <c r="B91" s="24">
        <v>1.7653584E-2</v>
      </c>
      <c r="C91" s="24">
        <v>5.1730989999999998E-2</v>
      </c>
      <c r="D91" s="24">
        <v>7.5671315000000003E-2</v>
      </c>
      <c r="E91" s="24">
        <v>6.6398979999999996E-2</v>
      </c>
      <c r="F91" s="24">
        <v>3.8064359999999998E-2</v>
      </c>
      <c r="G91" s="24">
        <v>8.3652610000000002E-2</v>
      </c>
      <c r="H91" s="24">
        <v>3.2963633999999999E-2</v>
      </c>
      <c r="I91" s="24">
        <v>0.10823811</v>
      </c>
      <c r="J91" s="24">
        <v>7.7328086000000004E-2</v>
      </c>
      <c r="K91" s="24">
        <v>8.0213909999999999E-2</v>
      </c>
      <c r="L91" s="24">
        <v>8.3639259999999993E-2</v>
      </c>
      <c r="M91" s="24">
        <v>9.9167939999999996E-2</v>
      </c>
      <c r="N91" s="24">
        <v>8.0113169999999997E-2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44536</v>
      </c>
      <c r="B92" s="24">
        <v>-8.2531160000000006E-2</v>
      </c>
      <c r="C92" s="24">
        <v>-6.6969395000000001E-2</v>
      </c>
      <c r="D92" s="24">
        <v>-4.5385780000000001E-2</v>
      </c>
      <c r="E92" s="24">
        <v>-6.9215180000000001E-2</v>
      </c>
      <c r="F92" s="24">
        <v>-4.2069315999999995E-2</v>
      </c>
      <c r="G92" s="24">
        <v>-1.6892552000000002E-2</v>
      </c>
      <c r="H92" s="24">
        <v>-2.3859202999999999E-2</v>
      </c>
      <c r="I92" s="24">
        <v>-3.1108856000000001E-2</v>
      </c>
      <c r="J92" s="24">
        <v>-2.078843E-2</v>
      </c>
      <c r="K92" s="24">
        <v>-5.2970349999999999E-2</v>
      </c>
      <c r="L92" s="24">
        <v>-8.6972889999999997E-2</v>
      </c>
      <c r="M92" s="24">
        <v>-7.2217703000000008E-2</v>
      </c>
      <c r="N92" s="24">
        <v>-6.1372940000000001E-2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44567</v>
      </c>
      <c r="B93" s="24">
        <v>1.4829396999999999E-2</v>
      </c>
      <c r="C93" s="24">
        <v>2.9719948999999999E-2</v>
      </c>
      <c r="D93" s="24">
        <v>1.6957164E-2</v>
      </c>
      <c r="E93" s="24">
        <v>3.6582707999999999E-2</v>
      </c>
      <c r="F93" s="24">
        <v>8.7673663999999988E-3</v>
      </c>
      <c r="G93" s="24">
        <v>3.4765244000000001E-2</v>
      </c>
      <c r="H93" s="24">
        <v>5.4214120000000005E-2</v>
      </c>
      <c r="I93" s="24">
        <v>-4.3612720000000002E-3</v>
      </c>
      <c r="J93" s="24">
        <v>2.3573159999999999E-2</v>
      </c>
      <c r="K93" s="24">
        <v>4.9957513999999995E-2</v>
      </c>
      <c r="L93" s="24">
        <v>1.4484406E-2</v>
      </c>
      <c r="M93" s="24">
        <v>4.395056E-2</v>
      </c>
      <c r="N93" s="24">
        <v>4.4411659999999999E-2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44596</v>
      </c>
      <c r="B94" s="24">
        <v>-7.5303373000000007E-2</v>
      </c>
      <c r="C94" s="24">
        <v>-5.6734679999999996E-2</v>
      </c>
      <c r="D94" s="24">
        <v>9.9973679999999995E-3</v>
      </c>
      <c r="E94" s="24">
        <v>-3.1789242999999995E-2</v>
      </c>
      <c r="F94" s="24">
        <v>-4.2920947000000001E-2</v>
      </c>
      <c r="G94" s="24">
        <v>-5.6381582999999999E-2</v>
      </c>
      <c r="H94" s="24">
        <v>1.6974329999999999E-2</v>
      </c>
      <c r="I94" s="24">
        <v>-6.7730784000000002E-2</v>
      </c>
      <c r="J94" s="24">
        <v>-4.1116356999999999E-2</v>
      </c>
      <c r="K94" s="24">
        <v>-2.2256314999999999E-2</v>
      </c>
      <c r="L94" s="24">
        <v>-5.8343530000000005E-2</v>
      </c>
      <c r="M94" s="24">
        <v>-7.8431424999999999E-2</v>
      </c>
      <c r="N94" s="24">
        <v>-1.5949428000000002E-2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44624</v>
      </c>
      <c r="B95" s="24">
        <v>4.0729046000000005E-2</v>
      </c>
      <c r="C95" s="24">
        <v>7.1830389999999994E-2</v>
      </c>
      <c r="D95" s="24">
        <v>3.9073229999999999E-3</v>
      </c>
      <c r="E95" s="24">
        <v>-0.19043154000000001</v>
      </c>
      <c r="F95" s="24">
        <v>-4.7337293999999995E-2</v>
      </c>
      <c r="G95" s="24">
        <v>-6.0159564000000006E-2</v>
      </c>
      <c r="H95" s="24">
        <v>-8.023429E-2</v>
      </c>
      <c r="I95" s="24">
        <v>-5.7847619999999995E-2</v>
      </c>
      <c r="J95" s="24">
        <v>-3.6839783000000001E-2</v>
      </c>
      <c r="K95" s="24">
        <v>-0.16457354999999999</v>
      </c>
      <c r="L95" s="24">
        <v>-0.16269493000000002</v>
      </c>
      <c r="M95" s="24">
        <v>-0.18723397999999999</v>
      </c>
      <c r="N95" s="24">
        <v>-0.18715595000000002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44657</v>
      </c>
      <c r="B96" s="24">
        <v>-1.2687624E-2</v>
      </c>
      <c r="C96" s="24">
        <v>7.2264790000000009E-2</v>
      </c>
      <c r="D96" s="24">
        <v>3.5287975999999999E-2</v>
      </c>
      <c r="E96" s="24">
        <v>6.5662502999999997E-2</v>
      </c>
      <c r="F96" s="24">
        <v>-2.1085322E-2</v>
      </c>
      <c r="G96" s="24">
        <v>7.0542096999999998E-2</v>
      </c>
      <c r="H96" s="24">
        <v>8.2139489999999996E-2</v>
      </c>
      <c r="I96" s="24">
        <v>4.8614499999999998E-2</v>
      </c>
      <c r="J96" s="24">
        <v>3.6379456999999997E-2</v>
      </c>
      <c r="K96" s="24">
        <v>6.7647934000000007E-2</v>
      </c>
      <c r="L96" s="24">
        <v>6.7011595000000007E-2</v>
      </c>
      <c r="M96" s="24">
        <v>0.12798129999999999</v>
      </c>
      <c r="N96" s="24">
        <v>8.577883E-2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44687</v>
      </c>
      <c r="B97" s="24">
        <v>-0.12144793</v>
      </c>
      <c r="C97" s="24">
        <v>-9.2996960000000004E-2</v>
      </c>
      <c r="D97" s="24">
        <v>-7.7193020000000001E-2</v>
      </c>
      <c r="E97" s="24">
        <v>-7.8651666999999995E-2</v>
      </c>
      <c r="F97" s="24">
        <v>-5.3431329999999999E-2</v>
      </c>
      <c r="G97" s="24">
        <v>-9.3349509999999997E-2</v>
      </c>
      <c r="H97" s="24">
        <v>-7.0609035000000001E-2</v>
      </c>
      <c r="I97" s="24">
        <v>-0.12458247</v>
      </c>
      <c r="J97" s="24">
        <v>-7.8787029999999994E-2</v>
      </c>
      <c r="K97" s="24">
        <v>-5.280137E-2</v>
      </c>
      <c r="L97" s="24">
        <v>-9.9660510000000008E-2</v>
      </c>
      <c r="M97" s="24">
        <v>-0.12429088999999999</v>
      </c>
      <c r="N97" s="24">
        <v>-6.4449069999999997E-2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44718</v>
      </c>
      <c r="B98" s="24">
        <v>1.6480684000000001E-3</v>
      </c>
      <c r="C98" s="24">
        <v>3.52844E-2</v>
      </c>
      <c r="D98" s="24">
        <v>3.6393284999999997E-2</v>
      </c>
      <c r="E98" s="24">
        <v>8.3005540000000003E-2</v>
      </c>
      <c r="F98" s="24">
        <v>1.1113048E-2</v>
      </c>
      <c r="G98" s="24">
        <v>4.0376186E-3</v>
      </c>
      <c r="H98" s="24">
        <v>4.6850203999999999E-2</v>
      </c>
      <c r="I98" s="24">
        <v>-6.5642595E-3</v>
      </c>
      <c r="J98" s="24">
        <v>1.09398365E-3</v>
      </c>
      <c r="K98" s="24">
        <v>6.875181000000001E-2</v>
      </c>
      <c r="L98" s="24">
        <v>6.1675069999999999E-2</v>
      </c>
      <c r="M98" s="24">
        <v>8.8339210000000001E-2</v>
      </c>
      <c r="N98" s="24">
        <v>6.296301E-2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44748</v>
      </c>
      <c r="B99" s="24">
        <v>-6.1514434999999999E-2</v>
      </c>
      <c r="C99" s="24">
        <v>-0.13201784999999999</v>
      </c>
      <c r="D99" s="24">
        <v>-0.12824577000000001</v>
      </c>
      <c r="E99" s="24">
        <v>-0.17541355</v>
      </c>
      <c r="F99" s="24">
        <v>-7.1605500000000002E-2</v>
      </c>
      <c r="G99" s="24">
        <v>-6.0299276999999998E-2</v>
      </c>
      <c r="H99" s="24">
        <v>-0.10266107999999999</v>
      </c>
      <c r="I99" s="24">
        <v>-5.8193263999999995E-2</v>
      </c>
      <c r="J99" s="24">
        <v>-6.5295934999999999E-2</v>
      </c>
      <c r="K99" s="24">
        <v>-0.12771731</v>
      </c>
      <c r="L99" s="24">
        <v>-0.13057107000000001</v>
      </c>
      <c r="M99" s="24">
        <v>-0.15563000000000002</v>
      </c>
      <c r="N99" s="24">
        <v>-0.17005746999999999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44778</v>
      </c>
      <c r="B100" s="24">
        <v>7.8270555000000006E-2</v>
      </c>
      <c r="C100" s="24">
        <v>6.7238927000000004E-2</v>
      </c>
      <c r="D100" s="24">
        <v>5.2695274E-2</v>
      </c>
      <c r="E100" s="24">
        <v>7.2207093E-2</v>
      </c>
      <c r="F100" s="24">
        <v>4.9525620000000006E-2</v>
      </c>
      <c r="G100" s="24">
        <v>4.0029050000000004E-2</v>
      </c>
      <c r="H100" s="24">
        <v>5.1475644000000001E-2</v>
      </c>
      <c r="I100" s="24">
        <v>0.11409283000000001</v>
      </c>
      <c r="J100" s="24">
        <v>7.8851940000000009E-2</v>
      </c>
      <c r="K100" s="24">
        <v>8.8235259999999996E-2</v>
      </c>
      <c r="L100" s="24">
        <v>0.11291754</v>
      </c>
      <c r="M100" s="24">
        <v>9.2977290000000004E-2</v>
      </c>
      <c r="N100" s="24">
        <v>6.5339683999999995E-2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44810</v>
      </c>
      <c r="B101" s="24">
        <v>-5.3876280000000006E-2</v>
      </c>
      <c r="C101" s="24">
        <v>-4.0661280000000001E-2</v>
      </c>
      <c r="D101" s="24">
        <v>-4.2577686000000003E-2</v>
      </c>
      <c r="E101" s="24">
        <v>-8.9792489999999989E-2</v>
      </c>
      <c r="F101" s="24">
        <v>-6.7980529999999997E-2</v>
      </c>
      <c r="G101" s="24">
        <v>-6.6480040000000004E-2</v>
      </c>
      <c r="H101" s="24">
        <v>-6.4621390000000001E-2</v>
      </c>
      <c r="I101" s="24">
        <v>-8.9199719999999996E-2</v>
      </c>
      <c r="J101" s="24">
        <v>-5.4925385E-2</v>
      </c>
      <c r="K101" s="24">
        <v>-8.7366399999999997E-2</v>
      </c>
      <c r="L101" s="24">
        <v>-0.11792832</v>
      </c>
      <c r="M101" s="24">
        <v>-0.11342387999999999</v>
      </c>
      <c r="N101" s="24">
        <v>-7.6360703000000002E-2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44840</v>
      </c>
      <c r="B102" s="24">
        <v>-9.6500760000000005E-2</v>
      </c>
      <c r="C102" s="24">
        <v>-4.704237E-2</v>
      </c>
      <c r="D102" s="24">
        <v>-4.507208E-2</v>
      </c>
      <c r="E102" s="24">
        <v>-4.7929287000000001E-2</v>
      </c>
      <c r="F102" s="24">
        <v>-2.3860335E-2</v>
      </c>
      <c r="G102" s="24">
        <v>-5.0724625999999995E-2</v>
      </c>
      <c r="H102" s="24">
        <v>-6.5247716999999997E-2</v>
      </c>
      <c r="I102" s="24">
        <v>-4.3649673E-2</v>
      </c>
      <c r="J102" s="24">
        <v>-4.0983676999999996E-2</v>
      </c>
      <c r="K102" s="24">
        <v>-3.9944947000000001E-2</v>
      </c>
      <c r="L102" s="24">
        <v>-2.9810249999999996E-2</v>
      </c>
      <c r="M102" s="24">
        <v>-4.5933960000000003E-2</v>
      </c>
      <c r="N102" s="24">
        <v>-2.6825009999999996E-2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44869</v>
      </c>
      <c r="B103" s="24">
        <v>7.3129654000000002E-2</v>
      </c>
      <c r="C103" s="24">
        <v>4.2522073000000001E-2</v>
      </c>
      <c r="D103" s="24">
        <v>4.9402120000000001E-2</v>
      </c>
      <c r="E103" s="24">
        <v>9.0420359999999991E-2</v>
      </c>
      <c r="F103" s="24">
        <v>1.0930061E-2</v>
      </c>
      <c r="G103" s="24">
        <v>3.6588549999999997E-2</v>
      </c>
      <c r="H103" s="24">
        <v>7.5401186999999995E-2</v>
      </c>
      <c r="I103" s="24">
        <v>-5.3903400000000004E-2</v>
      </c>
      <c r="J103" s="24">
        <v>8.4404944999999995E-3</v>
      </c>
      <c r="K103" s="24">
        <v>0.10186518</v>
      </c>
      <c r="L103" s="24">
        <v>3.3985018999999998E-2</v>
      </c>
      <c r="M103" s="24">
        <v>8.6305259999999995E-2</v>
      </c>
      <c r="N103" s="24">
        <v>0.12968826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44901</v>
      </c>
      <c r="B104" s="24">
        <v>9.8632570000000003E-2</v>
      </c>
      <c r="C104" s="24">
        <v>8.1106419999999999E-2</v>
      </c>
      <c r="D104" s="24">
        <v>1.6191958999999999E-2</v>
      </c>
      <c r="E104" s="24">
        <v>0.12415957000000001</v>
      </c>
      <c r="F104" s="24">
        <v>7.3127627000000001E-2</v>
      </c>
      <c r="G104" s="24">
        <v>8.1005569999999999E-2</v>
      </c>
      <c r="H104" s="24">
        <v>9.649431E-2</v>
      </c>
      <c r="I104" s="24">
        <v>6.4228535000000003E-2</v>
      </c>
      <c r="J104" s="24">
        <v>4.6446085000000005E-2</v>
      </c>
      <c r="K104" s="24">
        <v>9.5052129999999999E-2</v>
      </c>
      <c r="L104" s="24">
        <v>0.15563560000000001</v>
      </c>
      <c r="M104" s="24">
        <v>0.10374259999999999</v>
      </c>
      <c r="N104" s="24">
        <v>9.4400040000000005E-2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44932</v>
      </c>
      <c r="B105" s="24">
        <v>2.0430923E-2</v>
      </c>
      <c r="C105" s="24">
        <v>1.6854524999999999E-2</v>
      </c>
      <c r="D105" s="24">
        <v>1.0080934E-2</v>
      </c>
      <c r="E105" s="24">
        <v>5.1389812999999999E-2</v>
      </c>
      <c r="F105" s="24">
        <v>5.5271389999999995E-3</v>
      </c>
      <c r="G105" s="24">
        <v>2.9128550999999999E-2</v>
      </c>
      <c r="H105" s="24">
        <v>1.8175720999999999E-2</v>
      </c>
      <c r="I105" s="24">
        <v>-4.3407020000000004E-2</v>
      </c>
      <c r="J105" s="24">
        <v>-1.0020137E-2</v>
      </c>
      <c r="K105" s="24">
        <v>4.2689204000000001E-2</v>
      </c>
      <c r="L105" s="24">
        <v>3.8879155999999998E-2</v>
      </c>
      <c r="M105" s="24">
        <v>1.1999010999999999E-2</v>
      </c>
      <c r="N105" s="24">
        <v>5.5104135999999998E-2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44963</v>
      </c>
      <c r="B106" s="24">
        <v>3.6668658E-2</v>
      </c>
      <c r="C106" s="24">
        <v>5.5603743000000004E-2</v>
      </c>
      <c r="D106" s="24">
        <v>4.1197419999999998E-2</v>
      </c>
      <c r="E106" s="24">
        <v>6.5250397000000002E-2</v>
      </c>
      <c r="F106" s="24">
        <v>5.0392510000000001E-2</v>
      </c>
      <c r="G106" s="24">
        <v>2.2825837000000002E-2</v>
      </c>
      <c r="H106" s="24">
        <v>7.5733660000000006E-3</v>
      </c>
      <c r="I106" s="24">
        <v>0.12942707000000001</v>
      </c>
      <c r="J106" s="24">
        <v>5.6045175000000003E-2</v>
      </c>
      <c r="K106" s="24">
        <v>4.7210216999999999E-2</v>
      </c>
      <c r="L106" s="24">
        <v>5.7232738000000005E-2</v>
      </c>
      <c r="M106" s="24">
        <v>4.6704054000000002E-2</v>
      </c>
      <c r="N106" s="24">
        <v>5.6610345999999999E-2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44991</v>
      </c>
      <c r="B107" s="24">
        <v>-4.8163594999999997E-2</v>
      </c>
      <c r="C107" s="24">
        <v>-4.3209850000000001E-2</v>
      </c>
      <c r="D107" s="24">
        <v>-1.3378918E-2</v>
      </c>
      <c r="E107" s="24">
        <v>3.5607815000000001E-4</v>
      </c>
      <c r="F107" s="24">
        <v>-2.6072859999999999E-3</v>
      </c>
      <c r="G107" s="24">
        <v>-1.852268E-2</v>
      </c>
      <c r="H107" s="24">
        <v>1.8164634999999998E-2</v>
      </c>
      <c r="I107" s="24">
        <v>-1.1759281E-2</v>
      </c>
      <c r="J107" s="24">
        <v>-1.3078570000000001E-2</v>
      </c>
      <c r="K107" s="24">
        <v>2.0491838000000002E-2</v>
      </c>
      <c r="L107" s="24">
        <v>-1.3206422000000001E-2</v>
      </c>
      <c r="M107" s="24">
        <v>1.412034E-2</v>
      </c>
      <c r="N107" s="24">
        <v>2.6622295000000001E-2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45022</v>
      </c>
      <c r="B108" s="24">
        <v>1.5679121000000001E-2</v>
      </c>
      <c r="C108" s="24">
        <v>-6.8817139999999997E-3</v>
      </c>
      <c r="D108" s="24">
        <v>-4.6162605000000002E-3</v>
      </c>
      <c r="E108" s="24">
        <v>1.7443895000000001E-2</v>
      </c>
      <c r="F108" s="24">
        <v>7.4938536000000002E-3</v>
      </c>
      <c r="G108" s="24">
        <v>5.0250053000000003E-2</v>
      </c>
      <c r="H108" s="24">
        <v>1.6917944000000001E-2</v>
      </c>
      <c r="I108" s="24">
        <v>6.1732053999999995E-2</v>
      </c>
      <c r="J108" s="24">
        <v>1.5576719999999999E-2</v>
      </c>
      <c r="K108" s="24">
        <v>2.2489905000000001E-2</v>
      </c>
      <c r="L108" s="24">
        <v>1.3262629999999999E-2</v>
      </c>
      <c r="M108" s="24">
        <v>-2.2834837E-2</v>
      </c>
      <c r="N108" s="24">
        <v>9.7239019999999991E-4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45051</v>
      </c>
      <c r="B109" s="24">
        <v>1.2630224000000001E-2</v>
      </c>
      <c r="C109" s="24">
        <v>9.0948343000000001E-3</v>
      </c>
      <c r="D109" s="24">
        <v>2.7536273000000003E-2</v>
      </c>
      <c r="E109" s="24">
        <v>3.2190323E-2</v>
      </c>
      <c r="F109" s="24">
        <v>2.9752611999999998E-2</v>
      </c>
      <c r="G109" s="24">
        <v>5.4557323000000005E-2</v>
      </c>
      <c r="H109" s="24">
        <v>2.48034E-2</v>
      </c>
      <c r="I109" s="24">
        <v>1.5217781E-2</v>
      </c>
      <c r="J109" s="24">
        <v>8.4068774999999998E-3</v>
      </c>
      <c r="K109" s="24">
        <v>3.1683802999999996E-2</v>
      </c>
      <c r="L109" s="24">
        <v>5.9494970000000006E-3</v>
      </c>
      <c r="M109" s="24">
        <v>5.8991193999999997E-2</v>
      </c>
      <c r="N109" s="24">
        <v>3.6269426E-2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45083</v>
      </c>
      <c r="B110" s="24">
        <v>-4.0190039999999996E-2</v>
      </c>
      <c r="C110" s="24">
        <v>-2.5750994999999999E-2</v>
      </c>
      <c r="D110" s="24">
        <v>-2.5952099999999999E-2</v>
      </c>
      <c r="E110" s="24">
        <v>-3.3559321999999996E-2</v>
      </c>
      <c r="F110" s="24">
        <v>5.896187E-2</v>
      </c>
      <c r="G110" s="24">
        <v>-3.1410336000000004E-2</v>
      </c>
      <c r="H110" s="24">
        <v>-3.6009489999999998E-2</v>
      </c>
      <c r="I110" s="24">
        <v>9.895002E-2</v>
      </c>
      <c r="J110" s="24">
        <v>3.7321567999999999E-2</v>
      </c>
      <c r="K110" s="24">
        <v>-4.6700535000000001E-2</v>
      </c>
      <c r="L110" s="24">
        <v>4.0217637999999997E-3</v>
      </c>
      <c r="M110" s="24">
        <v>-5.7588815999999994E-2</v>
      </c>
      <c r="N110" s="24">
        <v>-3.8749992999999996E-2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45113</v>
      </c>
      <c r="B111" s="24">
        <v>1.3760327999999999E-2</v>
      </c>
      <c r="C111" s="24">
        <v>-1.6109049E-2</v>
      </c>
      <c r="D111" s="24">
        <v>-3.0321480000000001E-3</v>
      </c>
      <c r="E111" s="24">
        <v>-1.2904286000000001E-2</v>
      </c>
      <c r="F111" s="24">
        <v>-2.9203355E-2</v>
      </c>
      <c r="G111" s="24">
        <v>-2.5010525999999998E-2</v>
      </c>
      <c r="H111" s="24">
        <v>-2.2712469999999998E-2</v>
      </c>
      <c r="I111" s="24">
        <v>3.6987662000000004E-2</v>
      </c>
      <c r="J111" s="24">
        <v>3.1000494999999999E-2</v>
      </c>
      <c r="K111" s="24">
        <v>2.7585029999999998E-3</v>
      </c>
      <c r="L111" s="24">
        <v>4.2939186000000001E-3</v>
      </c>
      <c r="M111" s="24">
        <v>-3.2267332000000003E-2</v>
      </c>
      <c r="N111" s="24">
        <v>3.1198739999999999E-2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45142</v>
      </c>
      <c r="B112" s="24">
        <v>-6.9872736999999994E-3</v>
      </c>
      <c r="C112" s="24">
        <v>2.5091171000000002E-2</v>
      </c>
      <c r="D112" s="24">
        <v>2.1713494999999999E-2</v>
      </c>
      <c r="E112" s="24">
        <v>3.066814E-2</v>
      </c>
      <c r="F112" s="24">
        <v>1.6620039999999999E-2</v>
      </c>
      <c r="G112" s="24">
        <v>3.4007550000000004E-2</v>
      </c>
      <c r="H112" s="24">
        <v>3.3216237999999995E-2</v>
      </c>
      <c r="I112" s="24">
        <v>1.2464045999999999E-2</v>
      </c>
      <c r="J112" s="24">
        <v>1.6262531E-2</v>
      </c>
      <c r="K112" s="24">
        <v>3.338766E-2</v>
      </c>
      <c r="L112" s="24">
        <v>2.7995229E-2</v>
      </c>
      <c r="M112" s="24">
        <v>2.4195910000000001E-2</v>
      </c>
      <c r="N112" s="24">
        <v>3.7790774999999999E-2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45175</v>
      </c>
      <c r="B113" s="24">
        <v>-7.6365889999999992E-2</v>
      </c>
      <c r="C113" s="24">
        <v>-2.7147233000000003E-2</v>
      </c>
      <c r="D113" s="24">
        <v>-1.5508354E-2</v>
      </c>
      <c r="E113" s="24">
        <v>-3.5423337999999999E-2</v>
      </c>
      <c r="F113" s="24">
        <v>7.2839259999999996E-3</v>
      </c>
      <c r="G113" s="24">
        <v>-3.1169414999999999E-2</v>
      </c>
      <c r="H113" s="24">
        <v>-2.3802102000000002E-2</v>
      </c>
      <c r="I113" s="24">
        <v>7.2572230000000001E-3</v>
      </c>
      <c r="J113" s="24">
        <v>-1.3204813000000002E-3</v>
      </c>
      <c r="K113" s="24">
        <v>-3.8350403000000005E-2</v>
      </c>
      <c r="L113" s="24">
        <v>-6.2081757000000001E-2</v>
      </c>
      <c r="M113" s="24">
        <v>-4.2350826000000001E-2</v>
      </c>
      <c r="N113" s="24">
        <v>-3.0189872000000003E-2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45205</v>
      </c>
      <c r="B114" s="24">
        <v>8.9625120000000006E-3</v>
      </c>
      <c r="C114" s="24">
        <v>-2.0128130000000001E-2</v>
      </c>
      <c r="D114" s="24">
        <v>-4.4048967000000001E-2</v>
      </c>
      <c r="E114" s="24">
        <v>-4.1865587000000003E-2</v>
      </c>
      <c r="F114" s="24">
        <v>-4.5797825E-2</v>
      </c>
      <c r="G114" s="24">
        <v>-3.4169077999999999E-2</v>
      </c>
      <c r="H114" s="24">
        <v>-3.1665564000000002E-3</v>
      </c>
      <c r="I114" s="24">
        <v>-2.5385737000000002E-2</v>
      </c>
      <c r="J114" s="24">
        <v>-3.3943355000000001E-2</v>
      </c>
      <c r="K114" s="24">
        <v>-3.1685352E-2</v>
      </c>
      <c r="L114" s="24">
        <v>-6.2746049999999998E-2</v>
      </c>
      <c r="M114" s="24">
        <v>-3.9109588000000002E-3</v>
      </c>
      <c r="N114" s="24">
        <v>-3.3697009999999999E-2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45236</v>
      </c>
      <c r="B115" s="24">
        <v>-1.1769890999999999E-2</v>
      </c>
      <c r="C115" s="24">
        <v>1.4005541999999999E-2</v>
      </c>
      <c r="D115" s="24">
        <v>2.6243566999999999E-2</v>
      </c>
      <c r="E115" s="24">
        <v>-1.1498928000000001E-3</v>
      </c>
      <c r="F115" s="24">
        <v>3.0650019999999997E-2</v>
      </c>
      <c r="G115" s="24">
        <v>-9.6485019999999998E-3</v>
      </c>
      <c r="H115" s="24">
        <v>-3.1766295E-3</v>
      </c>
      <c r="I115" s="24">
        <v>1.2366295000000001E-2</v>
      </c>
      <c r="J115" s="24">
        <v>1.4317632E-2</v>
      </c>
      <c r="K115" s="24">
        <v>-2.8216839000000003E-4</v>
      </c>
      <c r="L115" s="24">
        <v>2.9404043999999997E-2</v>
      </c>
      <c r="M115" s="24">
        <v>-9.060681000000001E-3</v>
      </c>
      <c r="N115" s="24">
        <v>3.6200643000000005E-2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45266</v>
      </c>
      <c r="B116" s="24">
        <v>4.2471886E-2</v>
      </c>
      <c r="C116" s="24">
        <v>3.7753344000000001E-2</v>
      </c>
      <c r="D116" s="24">
        <v>3.8953185000000001E-2</v>
      </c>
      <c r="E116" s="24">
        <v>0.10360706</v>
      </c>
      <c r="F116" s="24">
        <v>2.4019599999999999E-2</v>
      </c>
      <c r="G116" s="24">
        <v>6.1238647000000007E-2</v>
      </c>
      <c r="H116" s="24">
        <v>2.9955387E-2</v>
      </c>
      <c r="I116" s="24">
        <v>4.2902349999999999E-2</v>
      </c>
      <c r="J116" s="24">
        <v>4.3769717000000007E-2</v>
      </c>
      <c r="K116" s="24">
        <v>6.2076806999999998E-2</v>
      </c>
      <c r="L116" s="24">
        <v>7.7531219999999998E-2</v>
      </c>
      <c r="M116" s="24">
        <v>0.12618100999999998</v>
      </c>
      <c r="N116" s="24">
        <v>5.9294819999999998E-2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45296</v>
      </c>
      <c r="B117" s="24">
        <v>5.0296782999999998E-2</v>
      </c>
      <c r="C117" s="24">
        <v>7.7655672999999995E-2</v>
      </c>
      <c r="D117" s="24">
        <v>5.5110096999999997E-2</v>
      </c>
      <c r="E117" s="24">
        <v>9.4408990000000009E-3</v>
      </c>
      <c r="F117" s="24">
        <v>2.8011083999999999E-2</v>
      </c>
      <c r="G117" s="24">
        <v>4.2622924E-2</v>
      </c>
      <c r="H117" s="24">
        <v>3.8848041999999999E-2</v>
      </c>
      <c r="I117" s="24">
        <v>3.2973050000000004E-2</v>
      </c>
      <c r="J117" s="24">
        <v>3.3117055999999999E-2</v>
      </c>
      <c r="K117" s="24">
        <v>1.8278837000000003E-2</v>
      </c>
      <c r="L117" s="24">
        <v>2.2806883E-2</v>
      </c>
      <c r="M117" s="24">
        <v>4.4383882999999999E-2</v>
      </c>
      <c r="N117" s="24">
        <v>2.9773831000000001E-2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45328</v>
      </c>
      <c r="B118" s="24">
        <v>-2.1160662E-2</v>
      </c>
      <c r="C118" s="24">
        <v>-7.1428419999999999E-3</v>
      </c>
      <c r="D118" s="24">
        <v>-7.1486830000000003E-3</v>
      </c>
      <c r="E118" s="24">
        <v>8.6117980000000004E-3</v>
      </c>
      <c r="F118" s="24">
        <v>4.1712639999999995E-2</v>
      </c>
      <c r="G118" s="24">
        <v>-1.0482192E-2</v>
      </c>
      <c r="H118" s="24">
        <v>-5.1797029999999999E-3</v>
      </c>
      <c r="I118" s="24">
        <v>7.7731610000000007E-2</v>
      </c>
      <c r="J118" s="24">
        <v>5.5693270000000003E-2</v>
      </c>
      <c r="K118" s="24">
        <v>1.5493631000000001E-2</v>
      </c>
      <c r="L118" s="24">
        <v>7.5308920000000001E-2</v>
      </c>
      <c r="M118" s="24">
        <v>-9.8246930000000007E-3</v>
      </c>
      <c r="N118" s="24">
        <v>7.7357290000000002E-3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45357</v>
      </c>
      <c r="B119" s="24">
        <v>-2.5256872E-2</v>
      </c>
      <c r="C119" s="24">
        <v>3.1316160000000003E-2</v>
      </c>
      <c r="D119" s="24">
        <v>3.2124043000000005E-2</v>
      </c>
      <c r="E119" s="24">
        <v>5.2254080000000001E-2</v>
      </c>
      <c r="F119" s="24">
        <v>7.842254600000001E-2</v>
      </c>
      <c r="G119" s="24">
        <v>3.8136244000000004E-3</v>
      </c>
      <c r="H119" s="24">
        <v>1.2557387E-2</v>
      </c>
      <c r="I119" s="24">
        <v>2.6193379999999999E-2</v>
      </c>
      <c r="J119" s="24">
        <v>3.1924367000000002E-2</v>
      </c>
      <c r="K119" s="24">
        <v>4.7582149999999997E-2</v>
      </c>
      <c r="L119" s="24">
        <v>5.5941105000000005E-2</v>
      </c>
      <c r="M119" s="24">
        <v>7.3478103000000003E-2</v>
      </c>
      <c r="N119" s="24">
        <v>8.0011840000000001E-2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45387</v>
      </c>
      <c r="B120" s="24">
        <v>3.2937526999999999E-3</v>
      </c>
      <c r="C120" s="24">
        <v>7.796407E-3</v>
      </c>
      <c r="D120" s="24">
        <v>2.7367829999999999E-2</v>
      </c>
      <c r="E120" s="24">
        <v>1.7526864999999999E-2</v>
      </c>
      <c r="F120" s="24">
        <v>-2.1017253E-2</v>
      </c>
      <c r="G120" s="24">
        <v>-1.6462684000000002E-2</v>
      </c>
      <c r="H120" s="24">
        <v>3.3272743E-2</v>
      </c>
      <c r="I120" s="24">
        <v>5.1445960000000004E-3</v>
      </c>
      <c r="J120" s="24">
        <v>2.020955E-2</v>
      </c>
      <c r="K120" s="24">
        <v>7.6525209999999998E-3</v>
      </c>
      <c r="L120" s="24">
        <v>2.1355270999999999E-2</v>
      </c>
      <c r="M120" s="24">
        <v>-9.9915266000000008E-4</v>
      </c>
      <c r="N120" s="24">
        <v>1.339519E-2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45418</v>
      </c>
      <c r="B121" s="24">
        <v>-4.5961738000000005E-3</v>
      </c>
      <c r="C121" s="24">
        <v>-5.7002900000000002E-3</v>
      </c>
      <c r="D121" s="24">
        <v>-4.4398307999999999E-3</v>
      </c>
      <c r="E121" s="24">
        <v>-2.2328496000000001E-3</v>
      </c>
      <c r="F121" s="24">
        <v>-2.8625129999999997E-3</v>
      </c>
      <c r="G121" s="24">
        <v>-4.9356221999999998E-3</v>
      </c>
      <c r="H121" s="24">
        <v>4.0983676999999996E-2</v>
      </c>
      <c r="I121" s="24">
        <v>-4.9948692000000006E-4</v>
      </c>
      <c r="J121" s="24">
        <v>-3.5877228000000001E-3</v>
      </c>
      <c r="K121" s="24">
        <v>1.95992E-3</v>
      </c>
      <c r="L121" s="24">
        <v>-2.0105243000000002E-3</v>
      </c>
      <c r="M121" s="24">
        <v>-2.7506948E-3</v>
      </c>
      <c r="N121" s="24">
        <v>8.3626510000000005E-3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45449</v>
      </c>
      <c r="B122" s="24">
        <v>4.0017604999999998E-2</v>
      </c>
      <c r="C122" s="24">
        <v>2.7846098E-2</v>
      </c>
      <c r="D122" s="24">
        <v>-3.4102199999999998E-3</v>
      </c>
      <c r="E122" s="24">
        <v>3.3887505999999998E-2</v>
      </c>
      <c r="F122" s="24">
        <v>-6.1719420000000006E-3</v>
      </c>
      <c r="G122" s="24">
        <v>9.186983E-2</v>
      </c>
      <c r="H122" s="24">
        <v>2.3622035999999999E-2</v>
      </c>
      <c r="I122" s="24">
        <v>5.2515625999999996E-2</v>
      </c>
      <c r="J122" s="24">
        <v>3.5019398E-2</v>
      </c>
      <c r="K122" s="24">
        <v>3.0806779999999999E-2</v>
      </c>
      <c r="L122" s="24">
        <v>6.0435176000000007E-2</v>
      </c>
      <c r="M122" s="24">
        <v>6.8455340000000003E-2</v>
      </c>
      <c r="N122" s="50">
        <v>4.3338656000000003E-2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0.16390598000000001</v>
      </c>
      <c r="C126" s="24" cm="1">
        <f t="array" ref="C126">MAX(_xlfn._xlws.FILTER(C1:C122, ISNUMBER(C1:C122)))</f>
        <v>0.23826933</v>
      </c>
      <c r="D126" s="24" cm="1">
        <f t="array" ref="D126">MAX(_xlfn._xlws.FILTER(D1:D122, ISNUMBER(D1:D122)))</f>
        <v>0.12531328</v>
      </c>
      <c r="E126" s="24" cm="1">
        <f t="array" ref="E126">MAX(_xlfn._xlws.FILTER(E1:E122, ISNUMBER(E1:E122)))</f>
        <v>0.2550751</v>
      </c>
      <c r="F126" s="24" cm="1">
        <f t="array" ref="F126">MAX(_xlfn._xlws.FILTER(F1:F122, ISNUMBER(F1:F122)))</f>
        <v>0.12544382000000001</v>
      </c>
      <c r="G126" s="24" cm="1">
        <f t="array" ref="G126">MAX(_xlfn._xlws.FILTER(G1:G122, ISNUMBER(G1:G122)))</f>
        <v>9.186983E-2</v>
      </c>
      <c r="H126" s="24" cm="1">
        <f t="array" ref="H126">MAX(_xlfn._xlws.FILTER(H1:H122, ISNUMBER(H1:H122)))</f>
        <v>0.14367819000000001</v>
      </c>
      <c r="I126" s="24" cm="1">
        <f t="array" ref="I126">MAX(_xlfn._xlws.FILTER(I1:I122, ISNUMBER(I1:I122)))</f>
        <v>0.12942707000000001</v>
      </c>
      <c r="J126" s="24" cm="1">
        <f t="array" ref="J126">MAX(_xlfn._xlws.FILTER(J1:J122, ISNUMBER(J1:J122)))</f>
        <v>0.12344766</v>
      </c>
      <c r="K126" s="24" cm="1">
        <f t="array" ref="K126">MAX(_xlfn._xlws.FILTER(K1:K122, ISNUMBER(K1:K122)))</f>
        <v>0.23008107999999999</v>
      </c>
      <c r="L126" s="24" cm="1">
        <f t="array" ref="L126">MAX(_xlfn._xlws.FILTER(L1:L122, ISNUMBER(L1:L122)))</f>
        <v>0.18860434999999998</v>
      </c>
      <c r="M126" s="24" cm="1">
        <f t="array" ref="M126">MAX(_xlfn._xlws.FILTER(M1:M122, ISNUMBER(M1:M122)))</f>
        <v>0.22544229999999998</v>
      </c>
      <c r="N126" s="24" cm="1">
        <f t="array" ref="N126">MAX(_xlfn._xlws.FILTER(N1:N122, ISNUMBER(N1:N122)))</f>
        <v>0.23974299999999998</v>
      </c>
    </row>
    <row r="127" spans="1:26" x14ac:dyDescent="0.35">
      <c r="A127" t="s">
        <v>85</v>
      </c>
      <c r="B127" s="24" cm="1">
        <f t="array" ref="B127">MIN(_xlfn._xlws.FILTER(B2:B122, ISNUMBER(B2:B122)))</f>
        <v>-0.18289566000000002</v>
      </c>
      <c r="C127" s="24" cm="1">
        <f t="array" ref="C127">MIN(_xlfn._xlws.FILTER(C2:C122, ISNUMBER(C2:C122)))</f>
        <v>-0.18705767000000001</v>
      </c>
      <c r="D127" s="24" cm="1">
        <f t="array" ref="D127">MIN(_xlfn._xlws.FILTER(D2:D122, ISNUMBER(D2:D122)))</f>
        <v>-0.19047619000000002</v>
      </c>
      <c r="E127" s="24" cm="1">
        <f t="array" ref="E127">MIN(_xlfn._xlws.FILTER(E2:E122, ISNUMBER(E2:E122)))</f>
        <v>-0.19043154000000001</v>
      </c>
      <c r="F127" s="24" cm="1">
        <f t="array" ref="F127">MIN(_xlfn._xlws.FILTER(F2:F122, ISNUMBER(F2:F122)))</f>
        <v>-0.12406331</v>
      </c>
      <c r="G127" s="24" cm="1">
        <f t="array" ref="G127">MIN(_xlfn._xlws.FILTER(G2:G122, ISNUMBER(G2:G122)))</f>
        <v>-9.3349509999999997E-2</v>
      </c>
      <c r="H127" s="24" cm="1">
        <f t="array" ref="H127">MIN(_xlfn._xlws.FILTER(H2:H122, ISNUMBER(H2:H122)))</f>
        <v>-0.18590187</v>
      </c>
      <c r="I127" s="24" cm="1">
        <f t="array" ref="I127">MIN(_xlfn._xlws.FILTER(I2:I122, ISNUMBER(I2:I122)))</f>
        <v>-0.12458247</v>
      </c>
      <c r="J127" s="24" cm="1">
        <f t="array" ref="J127">MIN(_xlfn._xlws.FILTER(J2:J122, ISNUMBER(J2:J122)))</f>
        <v>-0.10934793000000001</v>
      </c>
      <c r="K127" s="24" cm="1">
        <f t="array" ref="K127">MIN(_xlfn._xlws.FILTER(K2:K122, ISNUMBER(K2:K122)))</f>
        <v>-0.18605470000000002</v>
      </c>
      <c r="L127" s="24" cm="1">
        <f t="array" ref="L127">MIN(_xlfn._xlws.FILTER(L2:L122, ISNUMBER(L2:L122)))</f>
        <v>-0.16269493000000002</v>
      </c>
      <c r="M127" s="24" cm="1">
        <f t="array" ref="M127">MIN(_xlfn._xlws.FILTER(M2:M122, ISNUMBER(M2:M122)))</f>
        <v>-0.18723397999999999</v>
      </c>
      <c r="N127" s="24" cm="1">
        <f t="array" ref="N127">MIN(_xlfn._xlws.FILTER(N2:N122, ISNUMBER(N2:N122)))</f>
        <v>-0.20982487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14</v>
      </c>
      <c r="D129">
        <f>COUNTIF(D2:D122, "&lt;"&amp;Assumption!$E$50)</f>
        <v>9</v>
      </c>
      <c r="E129">
        <f>COUNTIF(E2:E122, "&lt;"&amp;Assumption!$E$50)</f>
        <v>18</v>
      </c>
      <c r="F129">
        <f>COUNTIF(F2:F122, "&lt;"&amp;Assumption!$E$50)</f>
        <v>10</v>
      </c>
      <c r="G129">
        <f>COUNTIF(G2:G122, "&lt;"&amp;Assumption!$E$50)</f>
        <v>15</v>
      </c>
      <c r="H129">
        <f>COUNTIF(H2:H122, "&lt;"&amp;Assumption!$E$50)</f>
        <v>16</v>
      </c>
      <c r="I129">
        <f>COUNTIF(I2:I122, "&lt;"&amp;Assumption!$E$50)</f>
        <v>17</v>
      </c>
      <c r="J129">
        <f>COUNTIF(J2:J122, "&lt;"&amp;Assumption!$E$50)</f>
        <v>8</v>
      </c>
      <c r="K129">
        <f>COUNTIF(K2:K122, "&lt;"&amp;Assumption!$E$50)</f>
        <v>16</v>
      </c>
      <c r="L129">
        <f>COUNTIF(L2:L122, "&lt;"&amp;Assumption!$E$50)</f>
        <v>16</v>
      </c>
      <c r="M129">
        <f>COUNTIF(M2:M122, "&lt;"&amp;Assumption!$E$50)</f>
        <v>20</v>
      </c>
      <c r="N129">
        <f>COUNTIF(N2:N122, "&lt;"&amp;Assumption!$E$50)</f>
        <v>18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0.12396694214876033</v>
      </c>
      <c r="C132" s="9">
        <f t="shared" si="2"/>
        <v>0.11570247933884298</v>
      </c>
      <c r="D132" s="9">
        <f t="shared" si="2"/>
        <v>7.43801652892562E-2</v>
      </c>
      <c r="E132" s="9">
        <f t="shared" si="2"/>
        <v>0.1487603305785124</v>
      </c>
      <c r="F132" s="9">
        <f t="shared" si="2"/>
        <v>8.2644628099173556E-2</v>
      </c>
      <c r="G132" s="9">
        <f t="shared" si="2"/>
        <v>0.12396694214876033</v>
      </c>
      <c r="H132" s="9">
        <f t="shared" si="2"/>
        <v>0.13223140495867769</v>
      </c>
      <c r="I132" s="9">
        <f t="shared" si="2"/>
        <v>0.14049586776859505</v>
      </c>
      <c r="J132" s="9">
        <f t="shared" si="2"/>
        <v>6.6115702479338845E-2</v>
      </c>
      <c r="K132" s="9">
        <f t="shared" ref="K132:N132" si="3">K129/K130</f>
        <v>0.13223140495867769</v>
      </c>
      <c r="L132" s="9">
        <f t="shared" si="3"/>
        <v>0.13223140495867769</v>
      </c>
      <c r="M132" s="9">
        <f t="shared" si="3"/>
        <v>0.16528925619834711</v>
      </c>
      <c r="N132" s="9">
        <f t="shared" si="3"/>
        <v>0.1487603305785124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0.77</v>
      </c>
      <c r="C134" s="9" cm="1">
        <f t="array" ref="C134">_xlfn.PERCENTRANK.EXC(_xlfn._xlws.FILTER(C2:C122, ISNUMBER(C2:C122)),C122)</f>
        <v>0.69599999999999995</v>
      </c>
      <c r="D134" s="9" cm="1">
        <f t="array" ref="D134">_xlfn.PERCENTRANK.EXC(_xlfn._xlws.FILTER(D2:D122, ISNUMBER(D2:D122)),D122)</f>
        <v>0.38500000000000001</v>
      </c>
      <c r="E134" s="9" cm="1">
        <f t="array" ref="E134">_xlfn.PERCENTRANK.EXC(_xlfn._xlws.FILTER(E2:E122, ISNUMBER(E2:E122)),E122)</f>
        <v>0.70399999999999996</v>
      </c>
      <c r="F134" s="9" cm="1">
        <f t="array" ref="F134">_xlfn.PERCENTRANK.EXC(_xlfn._xlws.FILTER(F2:F122, ISNUMBER(F2:F122)),F122)</f>
        <v>0.32700000000000001</v>
      </c>
      <c r="G134" s="9" cm="1">
        <f t="array" ref="G134">_xlfn.PERCENTRANK.EXC(_xlfn._xlws.FILTER(G2:G122, ISNUMBER(G2:G122)),G122)</f>
        <v>0.99099999999999999</v>
      </c>
      <c r="H134" s="9" cm="1">
        <f t="array" ref="H134">_xlfn.PERCENTRANK.EXC(_xlfn._xlws.FILTER(H2:H122, ISNUMBER(H2:H122)),H122)</f>
        <v>0.65500000000000003</v>
      </c>
      <c r="I134" s="9" cm="1">
        <f t="array" ref="I134">_xlfn.PERCENTRANK.EXC(_xlfn._xlws.FILTER(I2:I122, ISNUMBER(I2:I122)),I122)</f>
        <v>0.745</v>
      </c>
      <c r="J134" s="9" cm="1">
        <f t="array" ref="J134">_xlfn.PERCENTRANK.EXC(_xlfn._xlws.FILTER(J2:J122, ISNUMBER(J2:J122)),J122)</f>
        <v>0.73699999999999999</v>
      </c>
      <c r="K134" s="9" cm="1">
        <f t="array" ref="K134">_xlfn.PERCENTRANK.EXC(_xlfn._xlws.FILTER(K2:K122, ISNUMBER(K2:K122)),K122)</f>
        <v>0.63900000000000001</v>
      </c>
      <c r="L134" s="9" cm="1">
        <f t="array" ref="L134">_xlfn.PERCENTRANK.EXC(_xlfn._xlws.FILTER(L2:L122, ISNUMBER(L2:L122)),L122)</f>
        <v>0.86</v>
      </c>
      <c r="M134" s="9" cm="1">
        <f t="array" ref="M134">_xlfn.PERCENTRANK.EXC(_xlfn._xlws.FILTER(M2:M122, ISNUMBER(M2:M122)),M122)</f>
        <v>0.86799999999999999</v>
      </c>
      <c r="N134" s="9" cm="1">
        <f t="array" ref="N134">_xlfn.PERCENTRANK.EXC(_xlfn._xlws.FILTER(N2:N122, ISNUMBER(N2:N122)),N122)</f>
        <v>0.72099999999999997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5.8000000000000003E-2</v>
      </c>
      <c r="C136" s="9" cm="1">
        <f t="array" ref="C136">_xlfn.PERCENTRANK.EXC(_xlfn._xlws.FILTER(C4:C125, ISNUMBER(C4:C125)),C113)</f>
        <v>0.216</v>
      </c>
      <c r="D136" s="9" cm="1">
        <f t="array" ref="D136">_xlfn.PERCENTRANK.EXC(_xlfn._xlws.FILTER(D4:D125, ISNUMBER(D4:D125)),D113)</f>
        <v>0.3</v>
      </c>
      <c r="E136" s="9" cm="1">
        <f t="array" ref="E136">_xlfn.PERCENTRANK.EXC(_xlfn._xlws.FILTER(E4:E125, ISNUMBER(E4:E125)),E113)</f>
        <v>0.2</v>
      </c>
      <c r="F136" s="9" cm="1">
        <f t="array" ref="F136">_xlfn.PERCENTRANK.EXC(_xlfn._xlws.FILTER(F4:F125, ISNUMBER(F4:F125)),F113)</f>
        <v>0.5</v>
      </c>
      <c r="G136" s="9" cm="1">
        <f t="array" ref="G136">_xlfn.PERCENTRANK.EXC(_xlfn._xlws.FILTER(G4:G125, ISNUMBER(G4:G125)),G113)</f>
        <v>0.17499999999999999</v>
      </c>
      <c r="H136" s="9" cm="1">
        <f t="array" ref="H136">_xlfn.PERCENTRANK.EXC(_xlfn._xlws.FILTER(H4:H125, ISNUMBER(H4:H125)),H113)</f>
        <v>0.24099999999999999</v>
      </c>
      <c r="I136" s="9" cm="1">
        <f t="array" ref="I136">_xlfn.PERCENTRANK.EXC(_xlfn._xlws.FILTER(I4:I125, ISNUMBER(I4:I125)),I113)</f>
        <v>0.4</v>
      </c>
      <c r="J136" s="9" cm="1">
        <f t="array" ref="J136">_xlfn.PERCENTRANK.EXC(_xlfn._xlws.FILTER(J4:J125, ISNUMBER(J4:J125)),J113)</f>
        <v>0.35</v>
      </c>
      <c r="K136" s="9" cm="1">
        <f t="array" ref="K136">_xlfn.PERCENTRANK.EXC(_xlfn._xlws.FILTER(K4:K125, ISNUMBER(K4:K125)),K113)</f>
        <v>0.17499999999999999</v>
      </c>
      <c r="L136" s="9" cm="1">
        <f t="array" ref="L136">_xlfn.PERCENTRANK.EXC(_xlfn._xlws.FILTER(L4:L125, ISNUMBER(L4:L125)),L113)</f>
        <v>0.11600000000000001</v>
      </c>
      <c r="M136" s="9" cm="1">
        <f t="array" ref="M136">_xlfn.PERCENTRANK.EXC(_xlfn._xlws.FILTER(M4:M125, ISNUMBER(M4:M125)),M113)</f>
        <v>0.2</v>
      </c>
      <c r="N136" s="9" cm="1">
        <f t="array" ref="N136">_xlfn.PERCENTRANK.EXC(_xlfn._xlws.FILTER(N4:N125, ISNUMBER(N4:N125)),N113)</f>
        <v>0.24099999999999999</v>
      </c>
    </row>
    <row r="138" spans="1:17" x14ac:dyDescent="0.35">
      <c r="A138" t="s">
        <v>829</v>
      </c>
      <c r="B138">
        <f t="shared" ref="B138:J138" si="4">STDEV(B40:B122)</f>
        <v>5.223045108421099E-2</v>
      </c>
      <c r="C138">
        <f t="shared" si="4"/>
        <v>5.5843891847760452E-2</v>
      </c>
      <c r="D138">
        <f t="shared" si="4"/>
        <v>4.8226332277911642E-2</v>
      </c>
      <c r="E138">
        <f t="shared" si="4"/>
        <v>6.4055459495973077E-2</v>
      </c>
      <c r="F138">
        <f t="shared" si="4"/>
        <v>4.0097190333709572E-2</v>
      </c>
      <c r="G138">
        <f t="shared" si="4"/>
        <v>3.9976767477325759E-2</v>
      </c>
      <c r="H138">
        <f t="shared" si="4"/>
        <v>5.121738977338592E-2</v>
      </c>
      <c r="I138">
        <f t="shared" si="4"/>
        <v>5.4632722272930312E-2</v>
      </c>
      <c r="J138">
        <f t="shared" si="4"/>
        <v>4.1095831568681858E-2</v>
      </c>
      <c r="K138">
        <f t="shared" ref="K138:N138" si="5">STDEV(K40:K122)</f>
        <v>5.9910913635588661E-2</v>
      </c>
      <c r="L138">
        <f t="shared" si="5"/>
        <v>6.1056129610262758E-2</v>
      </c>
      <c r="M138">
        <f t="shared" si="5"/>
        <v>6.7859599870519774E-2</v>
      </c>
      <c r="N138">
        <f t="shared" si="5"/>
        <v>6.668261114784145E-2</v>
      </c>
    </row>
    <row r="139" spans="1:17" x14ac:dyDescent="0.35">
      <c r="A139" t="s">
        <v>830</v>
      </c>
      <c r="B139" s="74">
        <f t="shared" ref="B139:J139" si="6">B138*SQRT(12)</f>
        <v>0.18093158996018877</v>
      </c>
      <c r="C139" s="74">
        <f t="shared" si="6"/>
        <v>0.19344891594540506</v>
      </c>
      <c r="D139" s="74">
        <f t="shared" si="6"/>
        <v>0.16706091553608374</v>
      </c>
      <c r="E139" s="74">
        <f t="shared" si="6"/>
        <v>0.22189462069839133</v>
      </c>
      <c r="F139" s="74">
        <f t="shared" si="6"/>
        <v>0.13890074179748929</v>
      </c>
      <c r="G139" s="74">
        <f t="shared" si="6"/>
        <v>0.13848358478619061</v>
      </c>
      <c r="H139" s="74">
        <f t="shared" si="6"/>
        <v>0.17742224263712608</v>
      </c>
      <c r="I139" s="74">
        <f t="shared" si="6"/>
        <v>0.18925330146503025</v>
      </c>
      <c r="J139" s="74">
        <f t="shared" si="6"/>
        <v>0.14236013651249993</v>
      </c>
      <c r="K139" s="74">
        <f t="shared" ref="K139:N139" si="7">K138*SQRT(12)</f>
        <v>0.2075374926894212</v>
      </c>
      <c r="L139" s="74">
        <f t="shared" si="7"/>
        <v>0.2115046371969713</v>
      </c>
      <c r="M139" s="74">
        <f t="shared" si="7"/>
        <v>0.23507254951406931</v>
      </c>
      <c r="N139" s="74">
        <f t="shared" si="7"/>
        <v>0.23099534097884039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41796</v>
      </c>
      <c r="B2" s="7" cm="1">
        <f t="array" ref="B2:B122">_xll.FDS(B1,"P_PRICE_RETURNS_PR('52W',2,-10AY,0,AM)")</f>
        <v>23.790813</v>
      </c>
      <c r="C2" s="7" cm="1">
        <f t="array" ref="C2:C122">_xll.FDS(C1,"P_PRICE_RETURNS_PR('52W',2,-10AY,0,AM)")</f>
        <v>16.042947999999999</v>
      </c>
      <c r="D2" s="7" cm="1">
        <f t="array" ref="D2:D122">_xll.FDS(D1,"P_PRICE_RETURNS_PR('52W',2,-10AY,0,AM)")</f>
        <v>14.894425999999999</v>
      </c>
      <c r="E2" s="7" cm="1">
        <f t="array" ref="E2:E122">_xll.FDS(E1,"P_PRICE_RETURNS_PR('52W',2,-10AY,0,AM)")</f>
        <v>25.681281999999999</v>
      </c>
      <c r="F2" s="7" cm="1">
        <f t="array" ref="F2:F122">_xll.FDS(F1,"P_PRICE_RETURNS_PR('52W',2,-10AY,0,AM)")</f>
        <v>12.821424499999999</v>
      </c>
      <c r="G2" s="7" cm="1">
        <f t="array" ref="G2:G122">_xll.FDS(G1,"P_PRICE_RETURNS_PR('52W',2,-10AY,0,AM)")</f>
        <v>21.742773</v>
      </c>
      <c r="H2" s="7" cm="1">
        <f t="array" ref="H2:H122">_xll.FDS(H1,"P_PRICE_RETURNS_PR('52W',2,-10AY,0,AM)")</f>
        <v>20.293700999999999</v>
      </c>
      <c r="I2" s="7" cm="1">
        <f t="array" ref="I2:I122">_xll.FDS(I1,"P_PRICE_RETURNS_PR('52W',2,-10AY,0,AM)")</f>
        <v>30.239498000000001</v>
      </c>
      <c r="J2" s="7" cm="1">
        <f t="array" ref="J2:J122">_xll.FDS(J1,"P_PRICE_RETURNS_PR('52W',2,-10AY,0,AM)")</f>
        <v>22.481463999999999</v>
      </c>
      <c r="K2" s="158" cm="1">
        <f t="array" ref="K2:K122">_xll.FDS(K1,"P_PRICE_RETURNS_PR('52W',2,-10AY,0,AM)")</f>
        <v>26.863121</v>
      </c>
      <c r="L2" s="158" cm="1">
        <f t="array" ref="L2:L122">_xll.FDS(L1,"P_PRICE_RETURNS_PR('52W',2,-10AY,0,AM)")</f>
        <v>23.738457</v>
      </c>
      <c r="M2" s="158" cm="1">
        <f t="array" ref="M2:M122">_xll.FDS(M1,"P_PRICE_RETURNS_PR('52W',2,-10AY,0,AM)")</f>
        <v>19.102049000000001</v>
      </c>
      <c r="N2" s="158" cm="1">
        <f t="array" ref="N2:N122">_xll.FDS(N1,"P_PRICE_RETURNS_PR('52W',2,-10AY,0,AM)")</f>
        <v>42.216552999999998</v>
      </c>
    </row>
    <row r="3" spans="1:14" x14ac:dyDescent="0.35">
      <c r="A3" s="2">
        <v>41823</v>
      </c>
      <c r="B3" s="40">
        <v>30.837477</v>
      </c>
      <c r="C3" s="40">
        <v>24.479711999999999</v>
      </c>
      <c r="D3" s="40">
        <v>27.272224000000001</v>
      </c>
      <c r="E3" s="40">
        <v>32.593226999999999</v>
      </c>
      <c r="F3" s="40">
        <v>7.8951716000000003</v>
      </c>
      <c r="G3" s="40">
        <v>23.149193</v>
      </c>
      <c r="H3" s="40">
        <v>26.970911000000001</v>
      </c>
      <c r="I3" s="40">
        <v>34.902540000000002</v>
      </c>
      <c r="J3" s="40">
        <v>25.307869</v>
      </c>
      <c r="K3" s="47">
        <v>29.733550999999999</v>
      </c>
      <c r="L3" s="47">
        <v>26.249790000000001</v>
      </c>
      <c r="M3" s="47">
        <v>21.768236000000002</v>
      </c>
      <c r="N3" s="47">
        <v>53.476418000000002</v>
      </c>
    </row>
    <row r="4" spans="1:14" x14ac:dyDescent="0.35">
      <c r="A4" s="2">
        <v>41857</v>
      </c>
      <c r="B4" s="40">
        <v>19.831562000000002</v>
      </c>
      <c r="C4" s="40">
        <v>17.283928</v>
      </c>
      <c r="D4" s="40">
        <v>18.943977</v>
      </c>
      <c r="E4" s="40">
        <v>9.4697359999999993</v>
      </c>
      <c r="F4" s="40">
        <v>1.4716982999999999</v>
      </c>
      <c r="G4" s="40">
        <v>8.5934279999999994</v>
      </c>
      <c r="H4" s="40">
        <v>13.202310000000001</v>
      </c>
      <c r="I4" s="40">
        <v>25.357234999999999</v>
      </c>
      <c r="J4" s="40">
        <v>15.386808</v>
      </c>
      <c r="K4" s="47">
        <v>7.0026517000000004</v>
      </c>
      <c r="L4" s="47">
        <v>4.8238634999999999</v>
      </c>
      <c r="M4" s="47">
        <v>4.0995835999999999</v>
      </c>
      <c r="N4" s="47">
        <v>20.487701000000001</v>
      </c>
    </row>
    <row r="5" spans="1:14" x14ac:dyDescent="0.35">
      <c r="A5" s="2">
        <v>41887</v>
      </c>
      <c r="B5" s="40">
        <v>21.643913000000001</v>
      </c>
      <c r="C5" s="40">
        <v>16.215492000000001</v>
      </c>
      <c r="D5" s="40">
        <v>20.161771999999999</v>
      </c>
      <c r="E5" s="40">
        <v>15.853489</v>
      </c>
      <c r="F5" s="40">
        <v>6.4640044999999997</v>
      </c>
      <c r="G5" s="40">
        <v>15.834569999999999</v>
      </c>
      <c r="H5" s="40">
        <v>12.805653</v>
      </c>
      <c r="I5" s="40">
        <v>31.996464</v>
      </c>
      <c r="J5" s="40">
        <v>23.562145000000001</v>
      </c>
      <c r="K5" s="47">
        <v>13.230537999999999</v>
      </c>
      <c r="L5" s="47">
        <v>11.073864</v>
      </c>
      <c r="M5" s="47">
        <v>6.3528060000000002</v>
      </c>
      <c r="N5" s="47">
        <v>26.841759</v>
      </c>
    </row>
    <row r="6" spans="1:14" x14ac:dyDescent="0.35">
      <c r="A6" s="2">
        <v>41918</v>
      </c>
      <c r="B6" s="40">
        <v>2.8004527000000001</v>
      </c>
      <c r="C6" s="40">
        <v>-1.9675374000000001</v>
      </c>
      <c r="D6" s="40">
        <v>9.9146479999999997</v>
      </c>
      <c r="E6" s="40">
        <v>-1.7354786</v>
      </c>
      <c r="F6" s="40">
        <v>-0.90414285999999999</v>
      </c>
      <c r="G6" s="40">
        <v>5.2981853000000001</v>
      </c>
      <c r="H6" s="40">
        <v>4.2496442999999999</v>
      </c>
      <c r="I6" s="40">
        <v>25.193726999999999</v>
      </c>
      <c r="J6" s="40">
        <v>18.481493</v>
      </c>
      <c r="K6" s="47">
        <v>-1.7795681999999999</v>
      </c>
      <c r="L6" s="47">
        <v>1.2006163999999999</v>
      </c>
      <c r="M6" s="47">
        <v>-1.2726306999999999</v>
      </c>
      <c r="N6" s="47">
        <v>4.3339850000000002</v>
      </c>
    </row>
    <row r="7" spans="1:14" x14ac:dyDescent="0.35">
      <c r="A7" s="2">
        <v>41949</v>
      </c>
      <c r="B7" s="40">
        <v>0.42479038000000002</v>
      </c>
      <c r="C7" s="40">
        <v>-4.8196735000000004</v>
      </c>
      <c r="D7" s="40">
        <v>1.7759799999999999</v>
      </c>
      <c r="E7" s="40">
        <v>-5.7524740000000003</v>
      </c>
      <c r="F7" s="40">
        <v>-0.58376192999999998</v>
      </c>
      <c r="G7" s="40">
        <v>2.4259447999999999</v>
      </c>
      <c r="H7" s="40">
        <v>-2.0009397999999998</v>
      </c>
      <c r="I7" s="40">
        <v>24.323844999999999</v>
      </c>
      <c r="J7" s="40">
        <v>16.891501999999999</v>
      </c>
      <c r="K7" s="47">
        <v>-6.7600369999999996</v>
      </c>
      <c r="L7" s="47">
        <v>-3.2031238000000002</v>
      </c>
      <c r="M7" s="47">
        <v>-1.1193751999999999</v>
      </c>
      <c r="N7" s="47">
        <v>-5.6354759999999997</v>
      </c>
    </row>
    <row r="8" spans="1:14" x14ac:dyDescent="0.35">
      <c r="A8" s="2">
        <v>41978</v>
      </c>
      <c r="B8" s="40">
        <v>11.394954</v>
      </c>
      <c r="C8" s="40">
        <v>-1.531744</v>
      </c>
      <c r="D8" s="40">
        <v>4.9914836999999999</v>
      </c>
      <c r="E8" s="40">
        <v>-1.3443947000000001</v>
      </c>
      <c r="F8" s="40">
        <v>1.0844231</v>
      </c>
      <c r="G8" s="40">
        <v>6.8497539999999999</v>
      </c>
      <c r="H8" s="40">
        <v>1.3268352000000001</v>
      </c>
      <c r="I8" s="40">
        <v>25.243842999999998</v>
      </c>
      <c r="J8" s="40">
        <v>18.498325000000001</v>
      </c>
      <c r="K8" s="47">
        <v>-0.26767849999999999</v>
      </c>
      <c r="L8" s="47">
        <v>3.8391112999999999</v>
      </c>
      <c r="M8" s="47">
        <v>2.3420215</v>
      </c>
      <c r="N8" s="47">
        <v>3.7394881</v>
      </c>
    </row>
    <row r="9" spans="1:14" x14ac:dyDescent="0.35">
      <c r="A9" s="2">
        <v>42010</v>
      </c>
      <c r="B9" s="40">
        <v>10.347891000000001</v>
      </c>
      <c r="C9" s="40">
        <v>-6.1326083999999996</v>
      </c>
      <c r="D9" s="40">
        <v>-2.2720753999999999</v>
      </c>
      <c r="E9" s="40">
        <v>-13.152808</v>
      </c>
      <c r="F9" s="40">
        <v>-7.3531985000000004</v>
      </c>
      <c r="G9" s="40">
        <v>-3.17536</v>
      </c>
      <c r="H9" s="40">
        <v>-10.5304</v>
      </c>
      <c r="I9" s="40">
        <v>17.703282999999999</v>
      </c>
      <c r="J9" s="40">
        <v>11.713922500000001</v>
      </c>
      <c r="K9" s="47">
        <v>-12.842988999999999</v>
      </c>
      <c r="L9" s="47">
        <v>-8.6906429999999997</v>
      </c>
      <c r="M9" s="47">
        <v>-9.7275915000000008</v>
      </c>
      <c r="N9" s="47">
        <v>-15.789318</v>
      </c>
    </row>
    <row r="10" spans="1:14" x14ac:dyDescent="0.35">
      <c r="A10" s="2">
        <v>42041</v>
      </c>
      <c r="B10" s="40">
        <v>8.2084419999999998</v>
      </c>
      <c r="C10" s="40">
        <v>1.9225836000000001</v>
      </c>
      <c r="D10" s="40">
        <v>0.20935535</v>
      </c>
      <c r="E10" s="40">
        <v>-3.6089003000000002</v>
      </c>
      <c r="F10" s="40">
        <v>4.7847390000000001</v>
      </c>
      <c r="G10" s="40">
        <v>2.2352694999999998</v>
      </c>
      <c r="H10" s="40">
        <v>-0.86271167000000004</v>
      </c>
      <c r="I10" s="40">
        <v>22.080325999999999</v>
      </c>
      <c r="J10" s="40">
        <v>18.077193999999999</v>
      </c>
      <c r="K10" s="47">
        <v>-4.4132709999999999</v>
      </c>
      <c r="L10" s="47">
        <v>-1.5573262999999999</v>
      </c>
      <c r="M10" s="47">
        <v>-3.0664861000000001</v>
      </c>
      <c r="N10" s="47">
        <v>-10.834752999999999</v>
      </c>
    </row>
    <row r="11" spans="1:14" x14ac:dyDescent="0.35">
      <c r="A11" s="2">
        <v>42069</v>
      </c>
      <c r="B11" s="40">
        <v>1.0688305</v>
      </c>
      <c r="C11" s="40">
        <v>-5.3394259999999996</v>
      </c>
      <c r="D11" s="40">
        <v>-5.5555700000000003</v>
      </c>
      <c r="E11" s="40">
        <v>-5.8900059999999996</v>
      </c>
      <c r="F11" s="40">
        <v>6.3753365999999998</v>
      </c>
      <c r="G11" s="40">
        <v>-2.9844463000000001</v>
      </c>
      <c r="H11" s="40">
        <v>-6.3022970000000003</v>
      </c>
      <c r="I11" s="40">
        <v>19.373177999999999</v>
      </c>
      <c r="J11" s="40">
        <v>12.419737</v>
      </c>
      <c r="K11" s="47">
        <v>-9.4845480000000002</v>
      </c>
      <c r="L11" s="47">
        <v>-0.6021261</v>
      </c>
      <c r="M11" s="47">
        <v>-6.0333966999999999</v>
      </c>
      <c r="N11" s="47">
        <v>-14.255309</v>
      </c>
    </row>
    <row r="12" spans="1:14" x14ac:dyDescent="0.35">
      <c r="A12" s="2">
        <v>42100</v>
      </c>
      <c r="B12" s="40">
        <v>1.4005780000000001</v>
      </c>
      <c r="C12" s="40">
        <v>-6.1255034999999998</v>
      </c>
      <c r="D12" s="40">
        <v>-4.5070410000000001</v>
      </c>
      <c r="E12" s="40">
        <v>-0.32643080000000002</v>
      </c>
      <c r="F12" s="40">
        <v>14.57231</v>
      </c>
      <c r="G12" s="40">
        <v>1.9385815</v>
      </c>
      <c r="H12" s="40">
        <v>-4.4479129999999998</v>
      </c>
      <c r="I12" s="40">
        <v>24.066973000000001</v>
      </c>
      <c r="J12" s="40">
        <v>13.673222000000001</v>
      </c>
      <c r="K12" s="47">
        <v>-6.0003640000000003</v>
      </c>
      <c r="L12" s="47">
        <v>2.6576520000000001</v>
      </c>
      <c r="M12" s="47">
        <v>-1.7928302</v>
      </c>
      <c r="N12" s="47">
        <v>-12.341804</v>
      </c>
    </row>
    <row r="13" spans="1:14" x14ac:dyDescent="0.35">
      <c r="A13" s="2">
        <v>42130</v>
      </c>
      <c r="B13" s="40">
        <v>-3.4534335</v>
      </c>
      <c r="C13" s="40">
        <v>-8.8762170000000005</v>
      </c>
      <c r="D13" s="40">
        <v>-3.8473307999999999</v>
      </c>
      <c r="E13" s="40">
        <v>-2.7208507000000002</v>
      </c>
      <c r="F13" s="40">
        <v>16.550266000000001</v>
      </c>
      <c r="G13" s="40">
        <v>1.8586039999999999</v>
      </c>
      <c r="H13" s="40">
        <v>-5.9581939999999998</v>
      </c>
      <c r="I13" s="40">
        <v>24.288404</v>
      </c>
      <c r="J13" s="40">
        <v>13.556564</v>
      </c>
      <c r="K13" s="47">
        <v>-5.8539510000000003</v>
      </c>
      <c r="L13" s="47">
        <v>4.2708279999999998</v>
      </c>
      <c r="M13" s="47">
        <v>-4.2756319999999999</v>
      </c>
      <c r="N13" s="47">
        <v>-12.579370000000001</v>
      </c>
    </row>
    <row r="14" spans="1:14" x14ac:dyDescent="0.35">
      <c r="A14" s="2">
        <v>42160</v>
      </c>
      <c r="B14" s="40">
        <v>-4.6984490000000001</v>
      </c>
      <c r="C14" s="40">
        <v>-14.881206000000001</v>
      </c>
      <c r="D14" s="40">
        <v>-8.1466379999999994</v>
      </c>
      <c r="E14" s="40">
        <v>-8.8329199999999997</v>
      </c>
      <c r="F14" s="40">
        <v>11.138773</v>
      </c>
      <c r="G14" s="40">
        <v>0.76136590000000004</v>
      </c>
      <c r="H14" s="40">
        <v>-6.9701789999999999</v>
      </c>
      <c r="I14" s="40">
        <v>19.745922</v>
      </c>
      <c r="J14" s="40">
        <v>9.9844340000000003</v>
      </c>
      <c r="K14" s="47">
        <v>-9.8029080000000004</v>
      </c>
      <c r="L14" s="47">
        <v>1.6797542999999999</v>
      </c>
      <c r="M14" s="47">
        <v>-4.5944032999999997</v>
      </c>
      <c r="N14" s="47">
        <v>-13.433552000000001</v>
      </c>
    </row>
    <row r="15" spans="1:14" x14ac:dyDescent="0.35">
      <c r="A15" s="2">
        <v>42191</v>
      </c>
      <c r="B15" s="40">
        <v>-14.276910000000001</v>
      </c>
      <c r="C15" s="40">
        <v>-17.159922000000002</v>
      </c>
      <c r="D15" s="40">
        <v>-17.084144999999999</v>
      </c>
      <c r="E15" s="40">
        <v>-12.257182999999999</v>
      </c>
      <c r="F15" s="40">
        <v>6.3250659999999996</v>
      </c>
      <c r="G15" s="40">
        <v>-3.2916367000000002</v>
      </c>
      <c r="H15" s="40">
        <v>-11.725521000000001</v>
      </c>
      <c r="I15" s="40">
        <v>13.746404999999999</v>
      </c>
      <c r="J15" s="40">
        <v>6.3458204</v>
      </c>
      <c r="K15" s="47">
        <v>-12.785368999999999</v>
      </c>
      <c r="L15" s="47">
        <v>-2.0024478000000001</v>
      </c>
      <c r="M15" s="47">
        <v>-9.1244460000000007</v>
      </c>
      <c r="N15" s="47">
        <v>-18.301736999999999</v>
      </c>
    </row>
    <row r="16" spans="1:14" x14ac:dyDescent="0.35">
      <c r="A16" s="2">
        <v>42222</v>
      </c>
      <c r="B16" s="40">
        <v>-9.3198659999999993</v>
      </c>
      <c r="C16" s="40">
        <v>-17.739851000000002</v>
      </c>
      <c r="D16" s="40">
        <v>-18.482803000000001</v>
      </c>
      <c r="E16" s="40">
        <v>3.5297274999999999</v>
      </c>
      <c r="F16" s="40">
        <v>10.943258</v>
      </c>
      <c r="G16" s="40">
        <v>6.4296125999999996</v>
      </c>
      <c r="H16" s="40">
        <v>-4.2776402999999998</v>
      </c>
      <c r="I16" s="40">
        <v>18.10708</v>
      </c>
      <c r="J16" s="40">
        <v>10.605192000000001</v>
      </c>
      <c r="K16" s="47">
        <v>3.5864234000000002</v>
      </c>
      <c r="L16" s="47">
        <v>13.435411</v>
      </c>
      <c r="M16" s="47">
        <v>-1.0401487</v>
      </c>
      <c r="N16" s="47">
        <v>2.2055864000000001</v>
      </c>
    </row>
    <row r="17" spans="1:14" x14ac:dyDescent="0.35">
      <c r="A17" s="2">
        <v>42251</v>
      </c>
      <c r="B17" s="40">
        <v>-18.822787999999999</v>
      </c>
      <c r="C17" s="40">
        <v>-31.930900000000001</v>
      </c>
      <c r="D17" s="40">
        <v>-27.210014000000001</v>
      </c>
      <c r="E17" s="40">
        <v>-10.846418</v>
      </c>
      <c r="F17" s="40">
        <v>-2.3050785</v>
      </c>
      <c r="G17" s="40">
        <v>-5.4431019999999997</v>
      </c>
      <c r="H17" s="40">
        <v>-16.781504000000002</v>
      </c>
      <c r="I17" s="40">
        <v>3.8896202999999998</v>
      </c>
      <c r="J17" s="40">
        <v>-1.9180060000000001</v>
      </c>
      <c r="K17" s="47">
        <v>-10.727442</v>
      </c>
      <c r="L17" s="47">
        <v>-2.4596930000000001</v>
      </c>
      <c r="M17" s="47">
        <v>-8.7947729999999993</v>
      </c>
      <c r="N17" s="47">
        <v>-10.47247</v>
      </c>
    </row>
    <row r="18" spans="1:14" x14ac:dyDescent="0.35">
      <c r="A18" s="2">
        <v>42283</v>
      </c>
      <c r="B18" s="40">
        <v>-9.0760170000000002</v>
      </c>
      <c r="C18" s="40">
        <v>-17.291218000000001</v>
      </c>
      <c r="D18" s="40">
        <v>-19.129223</v>
      </c>
      <c r="E18" s="40">
        <v>-3.8096309000000002</v>
      </c>
      <c r="F18" s="40">
        <v>4.3571233999999999</v>
      </c>
      <c r="G18" s="40">
        <v>1.6190290000000001</v>
      </c>
      <c r="H18" s="40">
        <v>-6.6975173999999997</v>
      </c>
      <c r="I18" s="40">
        <v>8.3461049999999997</v>
      </c>
      <c r="J18" s="40">
        <v>2.8040886</v>
      </c>
      <c r="K18" s="47">
        <v>-5.7816504999999997E-2</v>
      </c>
      <c r="L18" s="47">
        <v>3.8711666999999998</v>
      </c>
      <c r="M18" s="47">
        <v>-2.6668786999999998</v>
      </c>
      <c r="N18" s="47">
        <v>1.2499452</v>
      </c>
    </row>
    <row r="19" spans="1:14" x14ac:dyDescent="0.35">
      <c r="A19" s="2">
        <v>42314</v>
      </c>
      <c r="B19" s="40">
        <v>-4.7704696999999996</v>
      </c>
      <c r="C19" s="40">
        <v>-20.161617</v>
      </c>
      <c r="D19" s="40">
        <v>-18.103760000000001</v>
      </c>
      <c r="E19" s="40">
        <v>1.2465358</v>
      </c>
      <c r="F19" s="40">
        <v>7.9750180000000004</v>
      </c>
      <c r="G19" s="40">
        <v>1.0789871</v>
      </c>
      <c r="H19" s="40">
        <v>-5.471921</v>
      </c>
      <c r="I19" s="40">
        <v>14.103401</v>
      </c>
      <c r="J19" s="40">
        <v>5.4846883000000002</v>
      </c>
      <c r="K19" s="47">
        <v>4.9933909999999999</v>
      </c>
      <c r="L19" s="47">
        <v>7.3400854999999998</v>
      </c>
      <c r="M19" s="47">
        <v>-3.6618887999999998</v>
      </c>
      <c r="N19" s="47">
        <v>4.2541859999999998</v>
      </c>
    </row>
    <row r="20" spans="1:14" x14ac:dyDescent="0.35">
      <c r="A20" s="2">
        <v>42342</v>
      </c>
      <c r="B20" s="40">
        <v>-3.8832843000000001</v>
      </c>
      <c r="C20" s="40">
        <v>-12.891959999999999</v>
      </c>
      <c r="D20" s="40">
        <v>-19.893826000000001</v>
      </c>
      <c r="E20" s="40">
        <v>-3.8689136999999998</v>
      </c>
      <c r="F20" s="40">
        <v>6.9516179999999999</v>
      </c>
      <c r="G20" s="40">
        <v>-2.2881507999999999</v>
      </c>
      <c r="H20" s="40">
        <v>-7.2867927999999997</v>
      </c>
      <c r="I20" s="40">
        <v>10.454129999999999</v>
      </c>
      <c r="J20" s="40">
        <v>2.9873967000000001</v>
      </c>
      <c r="K20" s="47">
        <v>-1.1477470000000001</v>
      </c>
      <c r="L20" s="47">
        <v>0.46011210000000002</v>
      </c>
      <c r="M20" s="47">
        <v>-4.1704835999999998</v>
      </c>
      <c r="N20" s="47">
        <v>2.4690032</v>
      </c>
    </row>
    <row r="21" spans="1:14" x14ac:dyDescent="0.35">
      <c r="A21" s="2">
        <v>42375</v>
      </c>
      <c r="B21" s="40">
        <v>-5.0723194999999999</v>
      </c>
      <c r="C21" s="40">
        <v>-13.599766000000001</v>
      </c>
      <c r="D21" s="40">
        <v>-23.405462</v>
      </c>
      <c r="E21" s="40">
        <v>-2.8818130000000002</v>
      </c>
      <c r="F21" s="40">
        <v>9.7418899999999997</v>
      </c>
      <c r="G21" s="40">
        <v>0.32597779999999998</v>
      </c>
      <c r="H21" s="40">
        <v>-6.1617556000000002</v>
      </c>
      <c r="I21" s="40">
        <v>9.2901710000000008</v>
      </c>
      <c r="J21" s="40">
        <v>1.5705705000000001</v>
      </c>
      <c r="K21" s="47">
        <v>1.3627648000000001</v>
      </c>
      <c r="L21" s="47">
        <v>2.5608778000000001</v>
      </c>
      <c r="M21" s="47">
        <v>-5.6351366000000001</v>
      </c>
      <c r="N21" s="47">
        <v>4.7804831999999999</v>
      </c>
    </row>
    <row r="22" spans="1:14" x14ac:dyDescent="0.35">
      <c r="A22" s="2">
        <v>42405</v>
      </c>
      <c r="B22" s="40">
        <v>-7.3734403000000004</v>
      </c>
      <c r="C22" s="40">
        <v>-21.787952000000001</v>
      </c>
      <c r="D22" s="40">
        <v>-23.167293999999998</v>
      </c>
      <c r="E22" s="40">
        <v>-17.719094999999999</v>
      </c>
      <c r="F22" s="40">
        <v>-5.6564864999999998</v>
      </c>
      <c r="G22" s="40">
        <v>-9.9623380000000008</v>
      </c>
      <c r="H22" s="40">
        <v>-17.347252000000001</v>
      </c>
      <c r="I22" s="40">
        <v>-4.4689535999999999</v>
      </c>
      <c r="J22" s="40">
        <v>-6.9173098</v>
      </c>
      <c r="K22" s="47">
        <v>-10.696441</v>
      </c>
      <c r="L22" s="47">
        <v>-4.9865065</v>
      </c>
      <c r="M22" s="47">
        <v>-14.976763999999999</v>
      </c>
      <c r="N22" s="47">
        <v>-17.639668</v>
      </c>
    </row>
    <row r="23" spans="1:14" x14ac:dyDescent="0.35">
      <c r="A23" s="2">
        <v>42433</v>
      </c>
      <c r="B23" s="40">
        <v>-2.1920739999999999</v>
      </c>
      <c r="C23" s="40">
        <v>-14.942569000000001</v>
      </c>
      <c r="D23" s="40">
        <v>-17.161304000000001</v>
      </c>
      <c r="E23" s="40">
        <v>-15.070605</v>
      </c>
      <c r="F23" s="40">
        <v>-4.8743067</v>
      </c>
      <c r="G23" s="40">
        <v>-9.4113589999999991</v>
      </c>
      <c r="H23" s="40">
        <v>-14.261234</v>
      </c>
      <c r="I23" s="40">
        <v>-1.5673637</v>
      </c>
      <c r="J23" s="40">
        <v>-2.6772081999999999</v>
      </c>
      <c r="K23" s="47">
        <v>-7.8093886000000001</v>
      </c>
      <c r="L23" s="47">
        <v>-5.7332096000000003</v>
      </c>
      <c r="M23" s="47">
        <v>-13.995302000000001</v>
      </c>
      <c r="N23" s="47">
        <v>-16.571290000000001</v>
      </c>
    </row>
    <row r="24" spans="1:14" x14ac:dyDescent="0.35">
      <c r="A24" s="2">
        <v>42466</v>
      </c>
      <c r="B24" s="40">
        <v>4.7803880000000003</v>
      </c>
      <c r="C24" s="40">
        <v>-14.647119999999999</v>
      </c>
      <c r="D24" s="40">
        <v>-14.774817000000001</v>
      </c>
      <c r="E24" s="40">
        <v>-16.438711000000001</v>
      </c>
      <c r="F24" s="40">
        <v>-12.719260999999999</v>
      </c>
      <c r="G24" s="40">
        <v>-9.6502250000000007</v>
      </c>
      <c r="H24" s="40">
        <v>-12.474167</v>
      </c>
      <c r="I24" s="40">
        <v>5.5637835999999998</v>
      </c>
      <c r="J24" s="40">
        <v>1.4607190999999999</v>
      </c>
      <c r="K24" s="47">
        <v>-9.4225770000000004</v>
      </c>
      <c r="L24" s="47">
        <v>-5.0955830000000004</v>
      </c>
      <c r="M24" s="47">
        <v>-11.311996000000001</v>
      </c>
      <c r="N24" s="47">
        <v>-21.895980000000002</v>
      </c>
    </row>
    <row r="25" spans="1:14" x14ac:dyDescent="0.35">
      <c r="A25" s="2">
        <v>42496</v>
      </c>
      <c r="B25" s="40">
        <v>9.5836279999999991</v>
      </c>
      <c r="C25" s="40">
        <v>-10.797501</v>
      </c>
      <c r="D25" s="40">
        <v>-14.1866865</v>
      </c>
      <c r="E25" s="40">
        <v>-12.070769</v>
      </c>
      <c r="F25" s="40">
        <v>-8.8716270000000002</v>
      </c>
      <c r="G25" s="40">
        <v>-12.310052000000001</v>
      </c>
      <c r="H25" s="40">
        <v>-13.608211499999999</v>
      </c>
      <c r="I25" s="40">
        <v>1.9693374999999999E-2</v>
      </c>
      <c r="J25" s="40">
        <v>1.0145782999999999</v>
      </c>
      <c r="K25" s="47">
        <v>-9.1497720000000005</v>
      </c>
      <c r="L25" s="47">
        <v>-4.6577396000000002</v>
      </c>
      <c r="M25" s="47">
        <v>-10.804778000000001</v>
      </c>
      <c r="N25" s="47">
        <v>-18.692851999999998</v>
      </c>
    </row>
    <row r="26" spans="1:14" x14ac:dyDescent="0.35">
      <c r="A26" s="2">
        <v>42527</v>
      </c>
      <c r="B26" s="40">
        <v>18.393528</v>
      </c>
      <c r="C26" s="40">
        <v>-2.7019978</v>
      </c>
      <c r="D26" s="40">
        <v>-6.3792586</v>
      </c>
      <c r="E26" s="40">
        <v>-7.6544227999999999</v>
      </c>
      <c r="F26" s="40">
        <v>-7.4344992999999997</v>
      </c>
      <c r="G26" s="40">
        <v>-8.454466</v>
      </c>
      <c r="H26" s="40">
        <v>-10.461634999999999</v>
      </c>
      <c r="I26" s="40">
        <v>2.1630406</v>
      </c>
      <c r="J26" s="40">
        <v>2.9232024999999999</v>
      </c>
      <c r="K26" s="47">
        <v>-4.6281933999999998</v>
      </c>
      <c r="L26" s="47">
        <v>-1.6321778</v>
      </c>
      <c r="M26" s="47">
        <v>-8.394069</v>
      </c>
      <c r="N26" s="47">
        <v>-19.184052999999999</v>
      </c>
    </row>
    <row r="27" spans="1:14" x14ac:dyDescent="0.35">
      <c r="A27" s="2">
        <v>42557</v>
      </c>
      <c r="B27" s="40">
        <v>30.449749000000001</v>
      </c>
      <c r="C27" s="40">
        <v>-2.8203010000000002</v>
      </c>
      <c r="D27" s="40">
        <v>-4.3357789999999996</v>
      </c>
      <c r="E27" s="40">
        <v>-12.705988</v>
      </c>
      <c r="F27" s="40">
        <v>-9.0138069999999999</v>
      </c>
      <c r="G27" s="40">
        <v>-8.4865510000000004</v>
      </c>
      <c r="H27" s="40">
        <v>-14.079356000000001</v>
      </c>
      <c r="I27" s="40">
        <v>1.6918063000000001</v>
      </c>
      <c r="J27" s="40">
        <v>3.6412358</v>
      </c>
      <c r="K27" s="47">
        <v>-8.809018</v>
      </c>
      <c r="L27" s="47">
        <v>-8.9085520000000002</v>
      </c>
      <c r="M27" s="47">
        <v>-11.227518</v>
      </c>
      <c r="N27" s="47">
        <v>-24.961328999999999</v>
      </c>
    </row>
    <row r="28" spans="1:14" x14ac:dyDescent="0.35">
      <c r="A28" s="2">
        <v>42587</v>
      </c>
      <c r="B28" s="40">
        <v>37.337864000000003</v>
      </c>
      <c r="C28" s="40">
        <v>3.1104326000000002</v>
      </c>
      <c r="D28" s="40">
        <v>0.95686910000000003</v>
      </c>
      <c r="E28" s="40">
        <v>-9.3970719999999996</v>
      </c>
      <c r="F28" s="40">
        <v>-5.0633549999999996</v>
      </c>
      <c r="G28" s="40">
        <v>-9.1846700000000006</v>
      </c>
      <c r="H28" s="40">
        <v>-12.643599500000001</v>
      </c>
      <c r="I28" s="40">
        <v>5.2095770000000003</v>
      </c>
      <c r="J28" s="40">
        <v>6.1329840000000004</v>
      </c>
      <c r="K28" s="47">
        <v>-10.322041</v>
      </c>
      <c r="L28" s="47">
        <v>-7.7682852999999996</v>
      </c>
      <c r="M28" s="47">
        <v>-8.6929859999999994</v>
      </c>
      <c r="N28" s="47">
        <v>-27.235984999999999</v>
      </c>
    </row>
    <row r="29" spans="1:14" x14ac:dyDescent="0.35">
      <c r="A29" s="2">
        <v>42619</v>
      </c>
      <c r="B29" s="40">
        <v>61.626469999999998</v>
      </c>
      <c r="C29" s="40">
        <v>23.031711999999999</v>
      </c>
      <c r="D29" s="40">
        <v>14.403366999999999</v>
      </c>
      <c r="E29" s="40">
        <v>6.874752</v>
      </c>
      <c r="F29" s="40">
        <v>10.716879</v>
      </c>
      <c r="G29" s="40">
        <v>2.4636149999999999</v>
      </c>
      <c r="H29" s="40">
        <v>3.7466050000000002</v>
      </c>
      <c r="I29" s="40">
        <v>16.659963999999999</v>
      </c>
      <c r="J29" s="40">
        <v>16.217362999999999</v>
      </c>
      <c r="K29" s="47">
        <v>4.6958327000000004</v>
      </c>
      <c r="L29" s="47">
        <v>9.032</v>
      </c>
      <c r="M29" s="47">
        <v>2.9960513</v>
      </c>
      <c r="N29" s="47">
        <v>-17.155063999999999</v>
      </c>
    </row>
    <row r="30" spans="1:14" x14ac:dyDescent="0.35">
      <c r="A30" s="2">
        <v>42649</v>
      </c>
      <c r="B30" s="40">
        <v>39.899445</v>
      </c>
      <c r="C30" s="40">
        <v>15.459144999999999</v>
      </c>
      <c r="D30" s="40">
        <v>7.3728439999999997</v>
      </c>
      <c r="E30" s="40">
        <v>5.5229545</v>
      </c>
      <c r="F30" s="40">
        <v>6.7579865000000003</v>
      </c>
      <c r="G30" s="40">
        <v>-1.7746925</v>
      </c>
      <c r="H30" s="40">
        <v>-4.3629885000000002</v>
      </c>
      <c r="I30" s="40">
        <v>14.356411</v>
      </c>
      <c r="J30" s="40">
        <v>11.458456</v>
      </c>
      <c r="K30" s="47">
        <v>-1.4542758</v>
      </c>
      <c r="L30" s="47">
        <v>5.5084467000000004</v>
      </c>
      <c r="M30" s="47">
        <v>0.85451600000000005</v>
      </c>
      <c r="N30" s="47">
        <v>-23.958349999999999</v>
      </c>
    </row>
    <row r="31" spans="1:14" x14ac:dyDescent="0.35">
      <c r="A31" s="2">
        <v>42678</v>
      </c>
      <c r="B31" s="40">
        <v>21.719158</v>
      </c>
      <c r="C31" s="40">
        <v>9.2457180000000001</v>
      </c>
      <c r="D31" s="40">
        <v>6.210375</v>
      </c>
      <c r="E31" s="40">
        <v>-3.9027571999999999</v>
      </c>
      <c r="F31" s="40">
        <v>1.8563746999999999</v>
      </c>
      <c r="G31" s="40">
        <v>-7.6879206</v>
      </c>
      <c r="H31" s="40">
        <v>-12.776971</v>
      </c>
      <c r="I31" s="40">
        <v>-7.2407719999999995E-2</v>
      </c>
      <c r="J31" s="40">
        <v>1.2868762</v>
      </c>
      <c r="K31" s="47">
        <v>-6.2887849999999998</v>
      </c>
      <c r="L31" s="47">
        <v>-2.4919986999999999</v>
      </c>
      <c r="M31" s="47">
        <v>-8.1096229999999991</v>
      </c>
      <c r="N31" s="47">
        <v>-23.391169000000001</v>
      </c>
    </row>
    <row r="32" spans="1:14" x14ac:dyDescent="0.35">
      <c r="A32" s="2">
        <v>42710</v>
      </c>
      <c r="B32" s="40">
        <v>18.991375000000001</v>
      </c>
      <c r="C32" s="40">
        <v>11.562085</v>
      </c>
      <c r="D32" s="40">
        <v>16.580856000000001</v>
      </c>
      <c r="E32" s="40">
        <v>-2.7809203</v>
      </c>
      <c r="F32" s="40">
        <v>1.7316461000000001</v>
      </c>
      <c r="G32" s="40">
        <v>-6.1235309999999998</v>
      </c>
      <c r="H32" s="40">
        <v>-5.7779309999999997</v>
      </c>
      <c r="I32" s="40">
        <v>2.6604890000000001</v>
      </c>
      <c r="J32" s="40">
        <v>8.0535770000000007</v>
      </c>
      <c r="K32" s="47">
        <v>-0.74203014</v>
      </c>
      <c r="L32" s="47">
        <v>-0.75741409999999998</v>
      </c>
      <c r="M32" s="47">
        <v>-3.9290069999999999</v>
      </c>
      <c r="N32" s="47">
        <v>-17.408096</v>
      </c>
    </row>
    <row r="33" spans="1:14" x14ac:dyDescent="0.35">
      <c r="A33" s="2">
        <v>42741</v>
      </c>
      <c r="B33" s="40">
        <v>17.736864000000001</v>
      </c>
      <c r="C33" s="40">
        <v>21.882342999999999</v>
      </c>
      <c r="D33" s="40">
        <v>32.691943999999999</v>
      </c>
      <c r="E33" s="40">
        <v>9.9566219999999994</v>
      </c>
      <c r="F33" s="40">
        <v>8.3760150000000007</v>
      </c>
      <c r="G33" s="40">
        <v>2.7261853</v>
      </c>
      <c r="H33" s="40">
        <v>3.9533615000000002</v>
      </c>
      <c r="I33" s="40">
        <v>13.885211999999999</v>
      </c>
      <c r="J33" s="40">
        <v>16.736853</v>
      </c>
      <c r="K33" s="47">
        <v>10.661352000000001</v>
      </c>
      <c r="L33" s="47">
        <v>9.2087749999999993</v>
      </c>
      <c r="M33" s="47">
        <v>9.5402719999999999</v>
      </c>
      <c r="N33" s="47">
        <v>-1.8498957</v>
      </c>
    </row>
    <row r="34" spans="1:14" x14ac:dyDescent="0.35">
      <c r="A34" s="2">
        <v>42772</v>
      </c>
      <c r="B34" s="40">
        <v>29.317962999999999</v>
      </c>
      <c r="C34" s="40">
        <v>29.571449999999999</v>
      </c>
      <c r="D34" s="40">
        <v>31.40024</v>
      </c>
      <c r="E34" s="40">
        <v>18.182278</v>
      </c>
      <c r="F34" s="40">
        <v>18.668973999999999</v>
      </c>
      <c r="G34" s="40">
        <v>10.076570500000001</v>
      </c>
      <c r="H34" s="40">
        <v>9.1400260000000006</v>
      </c>
      <c r="I34" s="40">
        <v>29.673552999999998</v>
      </c>
      <c r="J34" s="40">
        <v>24.423086000000001</v>
      </c>
      <c r="K34" s="47">
        <v>12.676037000000001</v>
      </c>
      <c r="L34" s="47">
        <v>12.028778000000001</v>
      </c>
      <c r="M34" s="47">
        <v>17.223476000000002</v>
      </c>
      <c r="N34" s="47">
        <v>7.1976899999999997</v>
      </c>
    </row>
    <row r="35" spans="1:14" x14ac:dyDescent="0.35">
      <c r="A35" s="2">
        <v>42800</v>
      </c>
      <c r="B35" s="40">
        <v>14.283979</v>
      </c>
      <c r="C35" s="40">
        <v>19.817425</v>
      </c>
      <c r="D35" s="40">
        <v>20.973312</v>
      </c>
      <c r="E35" s="40">
        <v>16.107727000000001</v>
      </c>
      <c r="F35" s="40">
        <v>13.416957999999999</v>
      </c>
      <c r="G35" s="40">
        <v>10.312117000000001</v>
      </c>
      <c r="H35" s="40">
        <v>6.1551093999999997</v>
      </c>
      <c r="I35" s="40">
        <v>25.097405999999999</v>
      </c>
      <c r="J35" s="40">
        <v>21.150541</v>
      </c>
      <c r="K35" s="47">
        <v>11.050307999999999</v>
      </c>
      <c r="L35" s="47">
        <v>12.42013</v>
      </c>
      <c r="M35" s="47">
        <v>11.534095000000001</v>
      </c>
      <c r="N35" s="47">
        <v>5.6222560000000001</v>
      </c>
    </row>
    <row r="36" spans="1:14" x14ac:dyDescent="0.35">
      <c r="A36" s="2">
        <v>42831</v>
      </c>
      <c r="B36" s="40">
        <v>10.097504000000001</v>
      </c>
      <c r="C36" s="40">
        <v>24.180161999999999</v>
      </c>
      <c r="D36" s="40">
        <v>17.674849999999999</v>
      </c>
      <c r="E36" s="40">
        <v>16.154347999999999</v>
      </c>
      <c r="F36" s="40">
        <v>17.359542999999999</v>
      </c>
      <c r="G36" s="40">
        <v>8.9540839999999999</v>
      </c>
      <c r="H36" s="40">
        <v>8.3464984999999992</v>
      </c>
      <c r="I36" s="40">
        <v>20.536877</v>
      </c>
      <c r="J36" s="40">
        <v>16.421509</v>
      </c>
      <c r="K36" s="47">
        <v>14.227080000000001</v>
      </c>
      <c r="L36" s="47">
        <v>12.686718000000001</v>
      </c>
      <c r="M36" s="47">
        <v>9.7493529999999993</v>
      </c>
      <c r="N36" s="47">
        <v>12.935972</v>
      </c>
    </row>
    <row r="37" spans="1:14" x14ac:dyDescent="0.35">
      <c r="A37" s="2">
        <v>42860</v>
      </c>
      <c r="B37" s="40">
        <v>8.2161539999999995</v>
      </c>
      <c r="C37" s="40">
        <v>17.953120999999999</v>
      </c>
      <c r="D37" s="40">
        <v>10.822117</v>
      </c>
      <c r="E37" s="40">
        <v>23.840487</v>
      </c>
      <c r="F37" s="40">
        <v>17.187643000000001</v>
      </c>
      <c r="G37" s="40">
        <v>18.721126999999999</v>
      </c>
      <c r="H37" s="40">
        <v>10.893464</v>
      </c>
      <c r="I37" s="40">
        <v>32.312645000000003</v>
      </c>
      <c r="J37" s="40">
        <v>19.366503000000002</v>
      </c>
      <c r="K37" s="47">
        <v>25.729285999999998</v>
      </c>
      <c r="L37" s="47">
        <v>23.66854</v>
      </c>
      <c r="M37" s="47">
        <v>21.794260000000001</v>
      </c>
      <c r="N37" s="47">
        <v>20.043372999999999</v>
      </c>
    </row>
    <row r="38" spans="1:14" x14ac:dyDescent="0.35">
      <c r="A38" s="2">
        <v>42892</v>
      </c>
      <c r="B38" s="40">
        <v>10.535299</v>
      </c>
      <c r="C38" s="40">
        <v>12.676048</v>
      </c>
      <c r="D38" s="40">
        <v>6.2116623000000004</v>
      </c>
      <c r="E38" s="40">
        <v>22.480345</v>
      </c>
      <c r="F38" s="40">
        <v>17.745339999999999</v>
      </c>
      <c r="G38" s="40">
        <v>15.223921000000001</v>
      </c>
      <c r="H38" s="40">
        <v>10.690927500000001</v>
      </c>
      <c r="I38" s="40">
        <v>30.662203000000002</v>
      </c>
      <c r="J38" s="40">
        <v>17.458366000000002</v>
      </c>
      <c r="K38" s="47">
        <v>21.555828000000002</v>
      </c>
      <c r="L38" s="47">
        <v>20.190954000000001</v>
      </c>
      <c r="M38" s="47">
        <v>18.36506</v>
      </c>
      <c r="N38" s="47">
        <v>19.928419999999999</v>
      </c>
    </row>
    <row r="39" spans="1:14" x14ac:dyDescent="0.35">
      <c r="A39" s="2">
        <v>42922</v>
      </c>
      <c r="B39" s="40">
        <v>10.362589</v>
      </c>
      <c r="C39" s="40">
        <v>16.301691000000002</v>
      </c>
      <c r="D39" s="40">
        <v>9.7382550000000005</v>
      </c>
      <c r="E39" s="40">
        <v>32.095837000000003</v>
      </c>
      <c r="F39" s="40">
        <v>17.546236</v>
      </c>
      <c r="G39" s="40">
        <v>19.071781000000001</v>
      </c>
      <c r="H39" s="40">
        <v>15.606081</v>
      </c>
      <c r="I39" s="40">
        <v>27.145313000000002</v>
      </c>
      <c r="J39" s="40">
        <v>17.069839999999999</v>
      </c>
      <c r="K39" s="47">
        <v>32.538116000000002</v>
      </c>
      <c r="L39" s="47">
        <v>32.756590000000003</v>
      </c>
      <c r="M39" s="47">
        <v>32.252310000000001</v>
      </c>
      <c r="N39" s="47">
        <v>40.172049999999999</v>
      </c>
    </row>
    <row r="40" spans="1:14" x14ac:dyDescent="0.35">
      <c r="A40" s="2">
        <v>42951</v>
      </c>
      <c r="B40" s="40">
        <v>8.6586239999999997</v>
      </c>
      <c r="C40" s="40">
        <v>14.530647</v>
      </c>
      <c r="D40" s="40">
        <v>12.5300045</v>
      </c>
      <c r="E40" s="40">
        <v>25.200676000000001</v>
      </c>
      <c r="F40" s="40">
        <v>16.389084</v>
      </c>
      <c r="G40" s="40">
        <v>18.712389000000002</v>
      </c>
      <c r="H40" s="40">
        <v>14.444172</v>
      </c>
      <c r="I40" s="40">
        <v>25.472867999999998</v>
      </c>
      <c r="J40" s="40">
        <v>16.652965999999999</v>
      </c>
      <c r="K40" s="47">
        <v>30.461407000000001</v>
      </c>
      <c r="L40" s="47">
        <v>33.207703000000002</v>
      </c>
      <c r="M40" s="47">
        <v>26.857018</v>
      </c>
      <c r="N40" s="47">
        <v>44.502685999999997</v>
      </c>
    </row>
    <row r="41" spans="1:14" x14ac:dyDescent="0.35">
      <c r="A41" s="2">
        <v>42984</v>
      </c>
      <c r="B41" s="40">
        <v>-0.12241006</v>
      </c>
      <c r="C41" s="40">
        <v>15.373861</v>
      </c>
      <c r="D41" s="40">
        <v>9.7701550000000008</v>
      </c>
      <c r="E41" s="40">
        <v>19.48272</v>
      </c>
      <c r="F41" s="40">
        <v>10.682475999999999</v>
      </c>
      <c r="G41" s="40">
        <v>13.091908999999999</v>
      </c>
      <c r="H41" s="40">
        <v>8.0977200000000007</v>
      </c>
      <c r="I41" s="40">
        <v>24.420653999999999</v>
      </c>
      <c r="J41" s="40">
        <v>15.019417000000001</v>
      </c>
      <c r="K41" s="47">
        <v>24.090516999999998</v>
      </c>
      <c r="L41" s="47">
        <v>23.949766</v>
      </c>
      <c r="M41" s="47">
        <v>20.978629999999999</v>
      </c>
      <c r="N41" s="47">
        <v>36.670270000000002</v>
      </c>
    </row>
    <row r="42" spans="1:14" x14ac:dyDescent="0.35">
      <c r="A42" s="2">
        <v>43014</v>
      </c>
      <c r="B42" s="40">
        <v>8.6243630000000007</v>
      </c>
      <c r="C42" s="40">
        <v>11.505318000000001</v>
      </c>
      <c r="D42" s="40">
        <v>16.293537000000001</v>
      </c>
      <c r="E42" s="40">
        <v>26.090312999999998</v>
      </c>
      <c r="F42" s="40">
        <v>14.481139000000001</v>
      </c>
      <c r="G42" s="40">
        <v>18.039227</v>
      </c>
      <c r="H42" s="40">
        <v>14.202654000000001</v>
      </c>
      <c r="I42" s="40">
        <v>25.612366000000002</v>
      </c>
      <c r="J42" s="40">
        <v>20.270575000000001</v>
      </c>
      <c r="K42" s="47">
        <v>30.576205999999999</v>
      </c>
      <c r="L42" s="47">
        <v>27.633154000000001</v>
      </c>
      <c r="M42" s="47">
        <v>25.925850000000001</v>
      </c>
      <c r="N42" s="47">
        <v>43.462443999999998</v>
      </c>
    </row>
    <row r="43" spans="1:14" x14ac:dyDescent="0.35">
      <c r="A43" s="2">
        <v>43045</v>
      </c>
      <c r="B43" s="40">
        <v>13.535463</v>
      </c>
      <c r="C43" s="40">
        <v>20.961152999999999</v>
      </c>
      <c r="D43" s="40">
        <v>19.804932000000001</v>
      </c>
      <c r="E43" s="40">
        <v>34.978070000000002</v>
      </c>
      <c r="F43" s="40">
        <v>21.687830000000002</v>
      </c>
      <c r="G43" s="40">
        <v>23.548912000000001</v>
      </c>
      <c r="H43" s="40">
        <v>23.398351999999999</v>
      </c>
      <c r="I43" s="40">
        <v>36.674869999999999</v>
      </c>
      <c r="J43" s="40">
        <v>26.631772999999999</v>
      </c>
      <c r="K43" s="47">
        <v>35.894646000000002</v>
      </c>
      <c r="L43" s="47">
        <v>35.165320000000001</v>
      </c>
      <c r="M43" s="47">
        <v>35.522902999999999</v>
      </c>
      <c r="N43" s="47">
        <v>48.251139999999999</v>
      </c>
    </row>
    <row r="44" spans="1:14" x14ac:dyDescent="0.35">
      <c r="A44" s="2">
        <v>43075</v>
      </c>
      <c r="B44" s="40">
        <v>12.424087999999999</v>
      </c>
      <c r="C44" s="40">
        <v>14.286756499999999</v>
      </c>
      <c r="D44" s="40">
        <v>11.683142</v>
      </c>
      <c r="E44" s="40">
        <v>31.148887999999999</v>
      </c>
      <c r="F44" s="40">
        <v>20.561337000000002</v>
      </c>
      <c r="G44" s="40">
        <v>23.031855</v>
      </c>
      <c r="H44" s="40">
        <v>17.313289999999999</v>
      </c>
      <c r="I44" s="40">
        <v>32.647239999999996</v>
      </c>
      <c r="J44" s="40">
        <v>21.140920000000001</v>
      </c>
      <c r="K44" s="47">
        <v>31.173970000000001</v>
      </c>
      <c r="L44" s="47">
        <v>34.401955000000001</v>
      </c>
      <c r="M44" s="47">
        <v>22.404993000000001</v>
      </c>
      <c r="N44" s="47">
        <v>35.996245999999999</v>
      </c>
    </row>
    <row r="45" spans="1:14" x14ac:dyDescent="0.35">
      <c r="A45" s="2">
        <v>43105</v>
      </c>
      <c r="B45" s="40">
        <v>22.885859</v>
      </c>
      <c r="C45" s="40">
        <v>17.897819999999999</v>
      </c>
      <c r="D45" s="40">
        <v>15.003740000000001</v>
      </c>
      <c r="E45" s="40">
        <v>30.192637999999999</v>
      </c>
      <c r="F45" s="40">
        <v>24.372827999999998</v>
      </c>
      <c r="G45" s="40">
        <v>22.653603</v>
      </c>
      <c r="H45" s="40">
        <v>21.038519999999998</v>
      </c>
      <c r="I45" s="40">
        <v>35.184193</v>
      </c>
      <c r="J45" s="40">
        <v>23.111332000000001</v>
      </c>
      <c r="K45" s="47">
        <v>31.314039999999999</v>
      </c>
      <c r="L45" s="47">
        <v>35.274099999999997</v>
      </c>
      <c r="M45" s="47">
        <v>24.137878000000001</v>
      </c>
      <c r="N45" s="47">
        <v>30.958293999999999</v>
      </c>
    </row>
    <row r="46" spans="1:14" x14ac:dyDescent="0.35">
      <c r="A46" s="2">
        <v>43137</v>
      </c>
      <c r="B46" s="40">
        <v>14.130629000000001</v>
      </c>
      <c r="C46" s="40">
        <v>12.352180499999999</v>
      </c>
      <c r="D46" s="40">
        <v>6.6034199999999998</v>
      </c>
      <c r="E46" s="40">
        <v>25.747226999999999</v>
      </c>
      <c r="F46" s="40">
        <v>20.878578000000001</v>
      </c>
      <c r="G46" s="40">
        <v>17.741596000000001</v>
      </c>
      <c r="H46" s="40">
        <v>17.225860000000001</v>
      </c>
      <c r="I46" s="40">
        <v>30.168223999999999</v>
      </c>
      <c r="J46" s="40">
        <v>19.840478999999998</v>
      </c>
      <c r="K46" s="47">
        <v>31.297280000000001</v>
      </c>
      <c r="L46" s="47">
        <v>32.117570000000001</v>
      </c>
      <c r="M46" s="47">
        <v>16.828453</v>
      </c>
      <c r="N46" s="47">
        <v>42.338898</v>
      </c>
    </row>
    <row r="47" spans="1:14" x14ac:dyDescent="0.35">
      <c r="A47" s="2">
        <v>43165</v>
      </c>
      <c r="B47" s="40">
        <v>21.524501999999998</v>
      </c>
      <c r="C47" s="40">
        <v>9.9700089999999992</v>
      </c>
      <c r="D47" s="40">
        <v>5.3831576999999999</v>
      </c>
      <c r="E47" s="40">
        <v>19.208347</v>
      </c>
      <c r="F47" s="40">
        <v>19.822776999999999</v>
      </c>
      <c r="G47" s="40">
        <v>13.12908</v>
      </c>
      <c r="H47" s="40">
        <v>13.832891</v>
      </c>
      <c r="I47" s="40">
        <v>30.098320000000001</v>
      </c>
      <c r="J47" s="40">
        <v>17.02224</v>
      </c>
      <c r="K47" s="47">
        <v>26.576948000000002</v>
      </c>
      <c r="L47" s="47">
        <v>26.722372</v>
      </c>
      <c r="M47" s="47">
        <v>14.655638</v>
      </c>
      <c r="N47" s="47">
        <v>35.007620000000003</v>
      </c>
    </row>
    <row r="48" spans="1:14" x14ac:dyDescent="0.35">
      <c r="A48" s="2">
        <v>43196</v>
      </c>
      <c r="B48" s="40">
        <v>18.666792000000001</v>
      </c>
      <c r="C48" s="40">
        <v>1.8660783999999999</v>
      </c>
      <c r="D48" s="40">
        <v>4.3549300000000004</v>
      </c>
      <c r="E48" s="40">
        <v>15.038681</v>
      </c>
      <c r="F48" s="40">
        <v>18.536339999999999</v>
      </c>
      <c r="G48" s="40">
        <v>8.7462789999999995</v>
      </c>
      <c r="H48" s="40">
        <v>13.718677</v>
      </c>
      <c r="I48" s="40">
        <v>19.654309999999999</v>
      </c>
      <c r="J48" s="40">
        <v>12.412369</v>
      </c>
      <c r="K48" s="47">
        <v>22.11374</v>
      </c>
      <c r="L48" s="47">
        <v>21.708988000000002</v>
      </c>
      <c r="M48" s="47">
        <v>8.7612869999999994</v>
      </c>
      <c r="N48" s="47">
        <v>30.973137000000001</v>
      </c>
    </row>
    <row r="49" spans="1:14" x14ac:dyDescent="0.35">
      <c r="A49" s="2">
        <v>43224</v>
      </c>
      <c r="B49" s="40">
        <v>18.918526</v>
      </c>
      <c r="C49" s="40">
        <v>8.1897850000000005</v>
      </c>
      <c r="D49" s="40">
        <v>12.007177</v>
      </c>
      <c r="E49" s="40">
        <v>10.335504999999999</v>
      </c>
      <c r="F49" s="40">
        <v>17.246115</v>
      </c>
      <c r="G49" s="40">
        <v>1.8988132</v>
      </c>
      <c r="H49" s="40">
        <v>12.908363</v>
      </c>
      <c r="I49" s="40">
        <v>21.353745</v>
      </c>
      <c r="J49" s="40">
        <v>13.538122</v>
      </c>
      <c r="K49" s="47">
        <v>15.145254</v>
      </c>
      <c r="L49" s="47">
        <v>12.538612000000001</v>
      </c>
      <c r="M49" s="47">
        <v>0.78222749999999996</v>
      </c>
      <c r="N49" s="47">
        <v>26.959454999999998</v>
      </c>
    </row>
    <row r="50" spans="1:14" x14ac:dyDescent="0.35">
      <c r="A50" s="2">
        <v>43257</v>
      </c>
      <c r="B50" s="40">
        <v>14.099466</v>
      </c>
      <c r="C50" s="40">
        <v>12.462807</v>
      </c>
      <c r="D50" s="40">
        <v>11.560535</v>
      </c>
      <c r="E50" s="40">
        <v>6.1596513000000002</v>
      </c>
      <c r="F50" s="40">
        <v>12.296427</v>
      </c>
      <c r="G50" s="40">
        <v>-1.2616217000000001</v>
      </c>
      <c r="H50" s="40">
        <v>9.9473950000000002</v>
      </c>
      <c r="I50" s="40">
        <v>24.169623999999999</v>
      </c>
      <c r="J50" s="40">
        <v>16.228867000000001</v>
      </c>
      <c r="K50" s="47">
        <v>12.394356999999999</v>
      </c>
      <c r="L50" s="47">
        <v>11.323081999999999</v>
      </c>
      <c r="M50" s="47">
        <v>0.14823675</v>
      </c>
      <c r="N50" s="47">
        <v>10.782766000000001</v>
      </c>
    </row>
    <row r="51" spans="1:14" x14ac:dyDescent="0.35">
      <c r="A51" s="2">
        <v>43287</v>
      </c>
      <c r="B51" s="40">
        <v>12.074458999999999</v>
      </c>
      <c r="C51" s="40">
        <v>11.761521999999999</v>
      </c>
      <c r="D51" s="40">
        <v>10.243988</v>
      </c>
      <c r="E51" s="40">
        <v>4.2719006999999998</v>
      </c>
      <c r="F51" s="40">
        <v>9.4778900000000004</v>
      </c>
      <c r="G51" s="40">
        <v>0.15251637000000001</v>
      </c>
      <c r="H51" s="40">
        <v>9.8445889999999991</v>
      </c>
      <c r="I51" s="40">
        <v>29.893135000000001</v>
      </c>
      <c r="J51" s="40">
        <v>16.631053999999999</v>
      </c>
      <c r="K51" s="47">
        <v>11.250866</v>
      </c>
      <c r="L51" s="47">
        <v>9.1681369999999998</v>
      </c>
      <c r="M51" s="47">
        <v>-3.8911045</v>
      </c>
      <c r="N51" s="47">
        <v>8.5562109999999993</v>
      </c>
    </row>
    <row r="52" spans="1:14" x14ac:dyDescent="0.35">
      <c r="A52" s="2">
        <v>43318</v>
      </c>
      <c r="B52" s="40">
        <v>3.8766026</v>
      </c>
      <c r="C52" s="40">
        <v>5.2076099999999999</v>
      </c>
      <c r="D52" s="40">
        <v>7.8563213000000003</v>
      </c>
      <c r="E52" s="40">
        <v>1.0532022000000001</v>
      </c>
      <c r="F52" s="40">
        <v>6.9600939999999998</v>
      </c>
      <c r="G52" s="40">
        <v>1.5650272000000001</v>
      </c>
      <c r="H52" s="40">
        <v>3.8882851999999999</v>
      </c>
      <c r="I52" s="40">
        <v>27.118766999999998</v>
      </c>
      <c r="J52" s="40">
        <v>17.193306</v>
      </c>
      <c r="K52" s="47">
        <v>6.7429185</v>
      </c>
      <c r="L52" s="47">
        <v>4.3141603000000002</v>
      </c>
      <c r="M52" s="47">
        <v>-2.6411889999999998</v>
      </c>
      <c r="N52" s="47">
        <v>-1.8178879999999999</v>
      </c>
    </row>
    <row r="53" spans="1:14" x14ac:dyDescent="0.35">
      <c r="A53" s="2">
        <v>43349</v>
      </c>
      <c r="B53" s="40">
        <v>6.6629290000000001</v>
      </c>
      <c r="C53" s="40">
        <v>0.15186071000000001</v>
      </c>
      <c r="D53" s="40">
        <v>2.3019910000000001</v>
      </c>
      <c r="E53" s="40">
        <v>-3.5655676999999999</v>
      </c>
      <c r="F53" s="40">
        <v>6.1887144999999997</v>
      </c>
      <c r="G53" s="40">
        <v>2.4777174</v>
      </c>
      <c r="H53" s="40">
        <v>1.7553091000000001</v>
      </c>
      <c r="I53" s="40">
        <v>26.287818999999999</v>
      </c>
      <c r="J53" s="40">
        <v>18.887637999999999</v>
      </c>
      <c r="K53" s="47">
        <v>3.734982</v>
      </c>
      <c r="L53" s="47">
        <v>0.60195920000000003</v>
      </c>
      <c r="M53" s="47">
        <v>-3.6332309999999999</v>
      </c>
      <c r="N53" s="47">
        <v>-7.1061430000000003</v>
      </c>
    </row>
    <row r="54" spans="1:14" x14ac:dyDescent="0.35">
      <c r="A54" s="2">
        <v>43378</v>
      </c>
      <c r="B54" s="40">
        <v>3.3033967</v>
      </c>
      <c r="C54" s="40">
        <v>1.0343313000000001</v>
      </c>
      <c r="D54" s="40">
        <v>0.46503544000000002</v>
      </c>
      <c r="E54" s="40">
        <v>-7.6986970000000001</v>
      </c>
      <c r="F54" s="40">
        <v>7.1634409999999997</v>
      </c>
      <c r="G54" s="40">
        <v>-0.99590420000000002</v>
      </c>
      <c r="H54" s="40">
        <v>0.76682570000000005</v>
      </c>
      <c r="I54" s="40">
        <v>23.108219999999999</v>
      </c>
      <c r="J54" s="40">
        <v>15.080225</v>
      </c>
      <c r="K54" s="47">
        <v>0.90808869999999997</v>
      </c>
      <c r="L54" s="47">
        <v>-4.2166829999999997</v>
      </c>
      <c r="M54" s="47">
        <v>-7.4219999999999997</v>
      </c>
      <c r="N54" s="47">
        <v>-9.321612</v>
      </c>
    </row>
    <row r="55" spans="1:14" x14ac:dyDescent="0.35">
      <c r="A55" s="2">
        <v>43410</v>
      </c>
      <c r="B55" s="40">
        <v>5.5641413000000002</v>
      </c>
      <c r="C55" s="40">
        <v>-3.6395490000000001</v>
      </c>
      <c r="D55" s="40">
        <v>-6.1640680000000003</v>
      </c>
      <c r="E55" s="40">
        <v>-14.695835000000001</v>
      </c>
      <c r="F55" s="40">
        <v>-4.9534320000000003</v>
      </c>
      <c r="G55" s="40">
        <v>-1.401931</v>
      </c>
      <c r="H55" s="40">
        <v>-3.5691679000000001</v>
      </c>
      <c r="I55" s="40">
        <v>11.547696999999999</v>
      </c>
      <c r="J55" s="40">
        <v>8.2217219999999998</v>
      </c>
      <c r="K55" s="47">
        <v>-5.8723745000000003</v>
      </c>
      <c r="L55" s="47">
        <v>-7.0925180000000001</v>
      </c>
      <c r="M55" s="47">
        <v>-11.406321</v>
      </c>
      <c r="N55" s="47">
        <v>-14.543146</v>
      </c>
    </row>
    <row r="56" spans="1:14" x14ac:dyDescent="0.35">
      <c r="A56" s="2">
        <v>43440</v>
      </c>
      <c r="B56" s="40">
        <v>8.9513300000000005</v>
      </c>
      <c r="C56" s="40">
        <v>-5.5642366000000001</v>
      </c>
      <c r="D56" s="40">
        <v>-8.4025800000000004</v>
      </c>
      <c r="E56" s="40">
        <v>-18.442625</v>
      </c>
      <c r="F56" s="40">
        <v>-7.1484804000000004</v>
      </c>
      <c r="G56" s="40">
        <v>-3.9858042999999999</v>
      </c>
      <c r="H56" s="40">
        <v>-8.188879</v>
      </c>
      <c r="I56" s="40">
        <v>9.5592380000000006</v>
      </c>
      <c r="J56" s="40">
        <v>4.3746232999999997</v>
      </c>
      <c r="K56" s="47">
        <v>-10.186427999999999</v>
      </c>
      <c r="L56" s="47">
        <v>-9.6550829999999994</v>
      </c>
      <c r="M56" s="47">
        <v>-10.598737</v>
      </c>
      <c r="N56" s="47">
        <v>-15.611374</v>
      </c>
    </row>
    <row r="57" spans="1:14" x14ac:dyDescent="0.35">
      <c r="A57" s="2">
        <v>43469</v>
      </c>
      <c r="B57" s="40">
        <v>-0.55550337000000005</v>
      </c>
      <c r="C57" s="40">
        <v>-11.772644</v>
      </c>
      <c r="D57" s="40">
        <v>-16.434937999999999</v>
      </c>
      <c r="E57" s="40">
        <v>-22.360320000000002</v>
      </c>
      <c r="F57" s="40">
        <v>-13.866073</v>
      </c>
      <c r="G57" s="40">
        <v>-9.0713019999999993</v>
      </c>
      <c r="H57" s="40">
        <v>-13.488388</v>
      </c>
      <c r="I57" s="40">
        <v>-1.7118514</v>
      </c>
      <c r="J57" s="40">
        <v>-5.2994250000000003</v>
      </c>
      <c r="K57" s="47">
        <v>-14.582729</v>
      </c>
      <c r="L57" s="47">
        <v>-16.335875000000001</v>
      </c>
      <c r="M57" s="47">
        <v>-14.315426</v>
      </c>
      <c r="N57" s="47">
        <v>-17.777221999999998</v>
      </c>
    </row>
    <row r="58" spans="1:14" x14ac:dyDescent="0.35">
      <c r="A58" s="2">
        <v>43502</v>
      </c>
      <c r="B58" s="40">
        <v>4.6347620000000003</v>
      </c>
      <c r="C58" s="40">
        <v>-3.8908303000000002</v>
      </c>
      <c r="D58" s="40">
        <v>-1.3972401999999999</v>
      </c>
      <c r="E58" s="40">
        <v>-17.677009999999999</v>
      </c>
      <c r="F58" s="40">
        <v>-9.8927499999999995</v>
      </c>
      <c r="G58" s="40">
        <v>-2.9378115999999999</v>
      </c>
      <c r="H58" s="40">
        <v>-5.6078970000000004</v>
      </c>
      <c r="I58" s="40">
        <v>5.9564469999999998</v>
      </c>
      <c r="J58" s="40">
        <v>3.2792091000000001</v>
      </c>
      <c r="K58" s="47">
        <v>-9.2210000000000001</v>
      </c>
      <c r="L58" s="47">
        <v>-8.0673809999999992</v>
      </c>
      <c r="M58" s="47">
        <v>-9.1982479999999995</v>
      </c>
      <c r="N58" s="47">
        <v>-16.593337999999999</v>
      </c>
    </row>
    <row r="59" spans="1:14" x14ac:dyDescent="0.35">
      <c r="A59" s="2">
        <v>43530</v>
      </c>
      <c r="B59" s="40">
        <v>4.8406243</v>
      </c>
      <c r="C59" s="40">
        <v>-1.5151024</v>
      </c>
      <c r="D59" s="40">
        <v>1.5210866999999999</v>
      </c>
      <c r="E59" s="40">
        <v>-13.834296999999999</v>
      </c>
      <c r="F59" s="40">
        <v>-9.3775750000000002</v>
      </c>
      <c r="G59" s="40">
        <v>1.8593907000000001</v>
      </c>
      <c r="H59" s="40">
        <v>-1.4009655000000001</v>
      </c>
      <c r="I59" s="40">
        <v>3.8589597000000002</v>
      </c>
      <c r="J59" s="40">
        <v>3.5741448</v>
      </c>
      <c r="K59" s="47">
        <v>-4.8366012999999999</v>
      </c>
      <c r="L59" s="47">
        <v>-6.7611400000000001</v>
      </c>
      <c r="M59" s="47">
        <v>-7.2601259999999996</v>
      </c>
      <c r="N59" s="47">
        <v>-11.240195999999999</v>
      </c>
    </row>
    <row r="60" spans="1:14" x14ac:dyDescent="0.35">
      <c r="A60" s="2">
        <v>43560</v>
      </c>
      <c r="B60" s="40">
        <v>8.3026769999999992</v>
      </c>
      <c r="C60" s="40">
        <v>3.3467530999999999</v>
      </c>
      <c r="D60" s="40">
        <v>3.7718533999999999</v>
      </c>
      <c r="E60" s="40">
        <v>-11.162376</v>
      </c>
      <c r="F60" s="40">
        <v>-7.1546373000000001</v>
      </c>
      <c r="G60" s="40">
        <v>7.6043605999999997</v>
      </c>
      <c r="H60" s="40">
        <v>-2.7036667E-2</v>
      </c>
      <c r="I60" s="40">
        <v>15.947032</v>
      </c>
      <c r="J60" s="40">
        <v>10.751545</v>
      </c>
      <c r="K60" s="47">
        <v>-2.1943628999999998</v>
      </c>
      <c r="L60" s="47">
        <v>-2.3406923000000002</v>
      </c>
      <c r="M60" s="47">
        <v>1.2410878999999999</v>
      </c>
      <c r="N60" s="47">
        <v>-9.8832129999999996</v>
      </c>
    </row>
    <row r="61" spans="1:14" x14ac:dyDescent="0.35">
      <c r="A61" s="2">
        <v>43591</v>
      </c>
      <c r="B61" s="40">
        <v>9.4107629999999993</v>
      </c>
      <c r="C61" s="40">
        <v>0.71972610000000004</v>
      </c>
      <c r="D61" s="40">
        <v>2.5902151999999998</v>
      </c>
      <c r="E61" s="40">
        <v>-10.6212435</v>
      </c>
      <c r="F61" s="40">
        <v>-7.365799</v>
      </c>
      <c r="G61" s="40">
        <v>8.3144899999999993</v>
      </c>
      <c r="H61" s="40">
        <v>-2.5762676999999998</v>
      </c>
      <c r="I61" s="40">
        <v>16.209675000000001</v>
      </c>
      <c r="J61" s="40">
        <v>12.222136000000001</v>
      </c>
      <c r="K61" s="47">
        <v>-4.6281220000000003</v>
      </c>
      <c r="L61" s="47">
        <v>-5.6940316999999997E-2</v>
      </c>
      <c r="M61" s="47">
        <v>0.2646327</v>
      </c>
      <c r="N61" s="47">
        <v>-14.90621</v>
      </c>
    </row>
    <row r="62" spans="1:14" x14ac:dyDescent="0.35">
      <c r="A62" s="2">
        <v>43622</v>
      </c>
      <c r="B62" s="40">
        <v>6.1429859999999996</v>
      </c>
      <c r="C62" s="40">
        <v>1.3486981</v>
      </c>
      <c r="D62" s="40">
        <v>-0.84708930000000005</v>
      </c>
      <c r="E62" s="40">
        <v>-12.909871000000001</v>
      </c>
      <c r="F62" s="40">
        <v>-10.038292</v>
      </c>
      <c r="G62" s="40">
        <v>12.2746105</v>
      </c>
      <c r="H62" s="40">
        <v>-7.4269769999999999</v>
      </c>
      <c r="I62" s="40">
        <v>1.8750548</v>
      </c>
      <c r="J62" s="40">
        <v>4.6708226000000002</v>
      </c>
      <c r="K62" s="47">
        <v>-6.1960993000000002</v>
      </c>
      <c r="L62" s="47">
        <v>-4.0251254999999997</v>
      </c>
      <c r="M62" s="47">
        <v>-5.1804899999999998</v>
      </c>
      <c r="N62" s="47">
        <v>-7.7958765000000003</v>
      </c>
    </row>
    <row r="63" spans="1:14" x14ac:dyDescent="0.35">
      <c r="A63" s="2">
        <v>43651</v>
      </c>
      <c r="B63" s="40">
        <v>12.430382</v>
      </c>
      <c r="C63" s="40">
        <v>6.4952969999999999</v>
      </c>
      <c r="D63" s="40">
        <v>4.2175770000000004</v>
      </c>
      <c r="E63" s="40">
        <v>-5.258483</v>
      </c>
      <c r="F63" s="40">
        <v>-0.77878236999999995</v>
      </c>
      <c r="G63" s="40">
        <v>15.414894</v>
      </c>
      <c r="H63" s="40">
        <v>-2.4995625000000001</v>
      </c>
      <c r="I63" s="40">
        <v>11.454463000000001</v>
      </c>
      <c r="J63" s="40">
        <v>11.455833</v>
      </c>
      <c r="K63" s="47">
        <v>1.7232656</v>
      </c>
      <c r="L63" s="47">
        <v>4.1604995999999996</v>
      </c>
      <c r="M63" s="47">
        <v>3.0958294999999998</v>
      </c>
      <c r="N63" s="47">
        <v>0.34786463000000001</v>
      </c>
    </row>
    <row r="64" spans="1:14" x14ac:dyDescent="0.35">
      <c r="A64" s="2">
        <v>43683</v>
      </c>
      <c r="B64" s="40">
        <v>14.322734000000001</v>
      </c>
      <c r="C64" s="40">
        <v>-0.8790076</v>
      </c>
      <c r="D64" s="40">
        <v>-3.3464968000000002</v>
      </c>
      <c r="E64" s="40">
        <v>-12.450253999999999</v>
      </c>
      <c r="F64" s="40">
        <v>-6.6014233000000004</v>
      </c>
      <c r="G64" s="40">
        <v>8.0042480000000005</v>
      </c>
      <c r="H64" s="40">
        <v>-8.2926090000000006</v>
      </c>
      <c r="I64" s="40">
        <v>2.0584582999999999</v>
      </c>
      <c r="J64" s="40">
        <v>3.1214594999999998</v>
      </c>
      <c r="K64" s="47">
        <v>-4.9988929999999998</v>
      </c>
      <c r="L64" s="47">
        <v>-2.2259115999999999</v>
      </c>
      <c r="M64" s="47">
        <v>-8.0983520000000002</v>
      </c>
      <c r="N64" s="47">
        <v>-3.2847046999999998</v>
      </c>
    </row>
    <row r="65" spans="1:14" x14ac:dyDescent="0.35">
      <c r="A65" s="2">
        <v>43714</v>
      </c>
      <c r="B65" s="40">
        <v>19.257486</v>
      </c>
      <c r="C65" s="40">
        <v>7.9724430000000002</v>
      </c>
      <c r="D65" s="40">
        <v>3.9047003</v>
      </c>
      <c r="E65" s="40">
        <v>-6.0396375999999998</v>
      </c>
      <c r="F65" s="40">
        <v>-2.2151231999999998</v>
      </c>
      <c r="G65" s="40">
        <v>13.4043455</v>
      </c>
      <c r="H65" s="40">
        <v>-1.6666949</v>
      </c>
      <c r="I65" s="40">
        <v>6.3042759999999998</v>
      </c>
      <c r="J65" s="40">
        <v>5.4895997000000003</v>
      </c>
      <c r="K65" s="47">
        <v>2.2370934</v>
      </c>
      <c r="L65" s="47">
        <v>6.8420290000000001</v>
      </c>
      <c r="M65" s="47">
        <v>-4.6851580000000004</v>
      </c>
      <c r="N65" s="47">
        <v>5.2597164999999997</v>
      </c>
    </row>
    <row r="66" spans="1:14" x14ac:dyDescent="0.35">
      <c r="A66" s="2">
        <v>43742</v>
      </c>
      <c r="B66" s="40">
        <v>15.398109</v>
      </c>
      <c r="C66" s="40">
        <v>7.1597220000000004</v>
      </c>
      <c r="D66" s="40">
        <v>1.1324882999999999</v>
      </c>
      <c r="E66" s="40">
        <v>-7.8227099999999998</v>
      </c>
      <c r="F66" s="40">
        <v>-2.5035620000000001</v>
      </c>
      <c r="G66" s="40">
        <v>10.5322</v>
      </c>
      <c r="H66" s="40">
        <v>-5.0047215999999999</v>
      </c>
      <c r="I66" s="40">
        <v>4.4576406000000004</v>
      </c>
      <c r="J66" s="40">
        <v>3.7305950000000001</v>
      </c>
      <c r="K66" s="47">
        <v>-1.1698603999999999</v>
      </c>
      <c r="L66" s="47">
        <v>7.9298853999999999</v>
      </c>
      <c r="M66" s="47">
        <v>-7.7558335999999999</v>
      </c>
      <c r="N66" s="47">
        <v>3.3450484</v>
      </c>
    </row>
    <row r="67" spans="1:14" x14ac:dyDescent="0.35">
      <c r="A67" s="2">
        <v>43775</v>
      </c>
      <c r="B67" s="40">
        <v>15.325284</v>
      </c>
      <c r="C67" s="40">
        <v>13.193379999999999</v>
      </c>
      <c r="D67" s="40">
        <v>11.503208000000001</v>
      </c>
      <c r="E67" s="40">
        <v>7.4512004999999997</v>
      </c>
      <c r="F67" s="40">
        <v>9.3393689999999996</v>
      </c>
      <c r="G67" s="40">
        <v>18.456113999999999</v>
      </c>
      <c r="H67" s="40">
        <v>6.1985729999999997</v>
      </c>
      <c r="I67" s="40">
        <v>18.396626999999999</v>
      </c>
      <c r="J67" s="40">
        <v>13.856804</v>
      </c>
      <c r="K67" s="47">
        <v>13.106465</v>
      </c>
      <c r="L67" s="47">
        <v>17.129003999999998</v>
      </c>
      <c r="M67" s="47">
        <v>10.868788</v>
      </c>
      <c r="N67" s="47">
        <v>18.973457</v>
      </c>
    </row>
    <row r="68" spans="1:14" x14ac:dyDescent="0.35">
      <c r="A68" s="2">
        <v>43805</v>
      </c>
      <c r="B68" s="40">
        <v>23.385477000000002</v>
      </c>
      <c r="C68" s="40">
        <v>17.549229</v>
      </c>
      <c r="D68" s="40">
        <v>16.599632</v>
      </c>
      <c r="E68" s="40">
        <v>13.915896</v>
      </c>
      <c r="F68" s="40">
        <v>14.359474000000001</v>
      </c>
      <c r="G68" s="40">
        <v>22.980499999999999</v>
      </c>
      <c r="H68" s="40">
        <v>12.870657</v>
      </c>
      <c r="I68" s="40">
        <v>23.941278000000001</v>
      </c>
      <c r="J68" s="40">
        <v>19.021750000000001</v>
      </c>
      <c r="K68" s="47">
        <v>19.68131</v>
      </c>
      <c r="L68" s="47">
        <v>23.091162000000001</v>
      </c>
      <c r="M68" s="47">
        <v>16.954350000000002</v>
      </c>
      <c r="N68" s="47">
        <v>20.614338</v>
      </c>
    </row>
    <row r="69" spans="1:14" x14ac:dyDescent="0.35">
      <c r="A69" s="2">
        <v>43836</v>
      </c>
      <c r="B69" s="40">
        <v>28.49474</v>
      </c>
      <c r="C69" s="40">
        <v>19.936598</v>
      </c>
      <c r="D69" s="40">
        <v>24.366019999999999</v>
      </c>
      <c r="E69" s="40">
        <v>17.059004000000002</v>
      </c>
      <c r="F69" s="40">
        <v>15.611494</v>
      </c>
      <c r="G69" s="40">
        <v>30.212475000000001</v>
      </c>
      <c r="H69" s="40">
        <v>18.609000000000002</v>
      </c>
      <c r="I69" s="40">
        <v>39.111317</v>
      </c>
      <c r="J69" s="40">
        <v>30.656158000000001</v>
      </c>
      <c r="K69" s="47">
        <v>26.394331000000001</v>
      </c>
      <c r="L69" s="47">
        <v>31.166649</v>
      </c>
      <c r="M69" s="47">
        <v>20.67014</v>
      </c>
      <c r="N69" s="47">
        <v>23.91057</v>
      </c>
    </row>
    <row r="70" spans="1:14" x14ac:dyDescent="0.35">
      <c r="A70" s="2">
        <v>43867</v>
      </c>
      <c r="B70" s="40">
        <v>20.957958000000001</v>
      </c>
      <c r="C70" s="40">
        <v>14.326286</v>
      </c>
      <c r="D70" s="40">
        <v>14.172864000000001</v>
      </c>
      <c r="E70" s="40">
        <v>12.663674</v>
      </c>
      <c r="F70" s="40">
        <v>13.6512165</v>
      </c>
      <c r="G70" s="40">
        <v>27.241337000000001</v>
      </c>
      <c r="H70" s="40">
        <v>8.1629159999999992</v>
      </c>
      <c r="I70" s="40">
        <v>36.103653000000001</v>
      </c>
      <c r="J70" s="40">
        <v>24.770378000000001</v>
      </c>
      <c r="K70" s="47">
        <v>17.399967</v>
      </c>
      <c r="L70" s="47">
        <v>21.143685999999999</v>
      </c>
      <c r="M70" s="47">
        <v>16.815449000000001</v>
      </c>
      <c r="N70" s="47">
        <v>19.193518000000001</v>
      </c>
    </row>
    <row r="71" spans="1:14" x14ac:dyDescent="0.35">
      <c r="A71" s="2">
        <v>43896</v>
      </c>
      <c r="B71" s="40">
        <v>14.351319999999999</v>
      </c>
      <c r="C71" s="40">
        <v>-3.8412093999999999</v>
      </c>
      <c r="D71" s="40">
        <v>1.5857696999999999</v>
      </c>
      <c r="E71" s="40">
        <v>-2.1498978000000002</v>
      </c>
      <c r="F71" s="40">
        <v>-0.68802834000000002</v>
      </c>
      <c r="G71" s="40">
        <v>14.129162000000001</v>
      </c>
      <c r="H71" s="40">
        <v>-7.8353349999999997</v>
      </c>
      <c r="I71" s="40">
        <v>20.840954</v>
      </c>
      <c r="J71" s="40">
        <v>9.2877749999999999</v>
      </c>
      <c r="K71" s="47">
        <v>-0.10240078</v>
      </c>
      <c r="L71" s="47">
        <v>7.3246120000000001</v>
      </c>
      <c r="M71" s="47">
        <v>5.0171614</v>
      </c>
      <c r="N71" s="47">
        <v>8.4197519999999998E-2</v>
      </c>
    </row>
    <row r="72" spans="1:14" x14ac:dyDescent="0.35">
      <c r="A72" s="2">
        <v>43927</v>
      </c>
      <c r="B72" s="40">
        <v>-9.4761190000000006</v>
      </c>
      <c r="C72" s="40">
        <v>-22.264153</v>
      </c>
      <c r="D72" s="40">
        <v>-19.721198999999999</v>
      </c>
      <c r="E72" s="40">
        <v>-19.837236000000001</v>
      </c>
      <c r="F72" s="40">
        <v>-9.0503330000000002</v>
      </c>
      <c r="G72" s="40">
        <v>2.1979928000000002</v>
      </c>
      <c r="H72" s="40">
        <v>-27.255375000000001</v>
      </c>
      <c r="I72" s="40">
        <v>7.3096990000000002</v>
      </c>
      <c r="J72" s="40">
        <v>-6.3160360000000004</v>
      </c>
      <c r="K72" s="47">
        <v>-21.134869999999999</v>
      </c>
      <c r="L72" s="47">
        <v>-11.403530999999999</v>
      </c>
      <c r="M72" s="47">
        <v>-16.865337</v>
      </c>
      <c r="N72" s="47">
        <v>-23.49053</v>
      </c>
    </row>
    <row r="73" spans="1:14" x14ac:dyDescent="0.35">
      <c r="A73" s="2">
        <v>43957</v>
      </c>
      <c r="B73" s="40">
        <v>-2.8112650000000001</v>
      </c>
      <c r="C73" s="40">
        <v>-20.999061999999999</v>
      </c>
      <c r="D73" s="40">
        <v>-13.620377</v>
      </c>
      <c r="E73" s="40">
        <v>-18.768156000000001</v>
      </c>
      <c r="F73" s="40">
        <v>-6.5392732999999996</v>
      </c>
      <c r="G73" s="40">
        <v>3.0188321999999999</v>
      </c>
      <c r="H73" s="40">
        <v>-23.693650999999999</v>
      </c>
      <c r="I73" s="40">
        <v>16.284298</v>
      </c>
      <c r="J73" s="40">
        <v>-0.91685057000000003</v>
      </c>
      <c r="K73" s="47">
        <v>-20.687151</v>
      </c>
      <c r="L73" s="47">
        <v>-8.7942839999999993</v>
      </c>
      <c r="M73" s="47">
        <v>-11.8311405</v>
      </c>
      <c r="N73" s="47">
        <v>-24.119026000000002</v>
      </c>
    </row>
    <row r="74" spans="1:14" x14ac:dyDescent="0.35">
      <c r="A74" s="2">
        <v>43987</v>
      </c>
      <c r="B74" s="40">
        <v>14.342307999999999</v>
      </c>
      <c r="C74" s="40">
        <v>-3.6462783999999999</v>
      </c>
      <c r="D74" s="40">
        <v>-1.0145366</v>
      </c>
      <c r="E74" s="40">
        <v>5.9828159999999997</v>
      </c>
      <c r="F74" s="40">
        <v>8.5557219999999994</v>
      </c>
      <c r="G74" s="40">
        <v>9.0138909999999992</v>
      </c>
      <c r="H74" s="40">
        <v>-9.3578759999999992</v>
      </c>
      <c r="I74" s="40">
        <v>37.186929999999997</v>
      </c>
      <c r="J74" s="40">
        <v>15.193605</v>
      </c>
      <c r="K74" s="47">
        <v>-3.7568808000000002E-2</v>
      </c>
      <c r="L74" s="47">
        <v>12.563885000000001</v>
      </c>
      <c r="M74" s="47">
        <v>13.867604999999999</v>
      </c>
      <c r="N74" s="47">
        <v>-1.9382656</v>
      </c>
    </row>
    <row r="75" spans="1:14" x14ac:dyDescent="0.35">
      <c r="A75" s="2">
        <v>44018</v>
      </c>
      <c r="B75" s="40">
        <v>11.546647999999999</v>
      </c>
      <c r="C75" s="40">
        <v>-9.8024480000000001</v>
      </c>
      <c r="D75" s="40">
        <v>-7.3646250000000002</v>
      </c>
      <c r="E75" s="40">
        <v>1.4748334999999999</v>
      </c>
      <c r="F75" s="40">
        <v>2.7897954</v>
      </c>
      <c r="G75" s="40">
        <v>9.1418029999999995</v>
      </c>
      <c r="H75" s="40">
        <v>-15.855264999999999</v>
      </c>
      <c r="I75" s="40">
        <v>36.335859999999997</v>
      </c>
      <c r="J75" s="40">
        <v>8.3802699999999994</v>
      </c>
      <c r="K75" s="47">
        <v>-6.6661060000000001</v>
      </c>
      <c r="L75" s="47">
        <v>10.468685000000001</v>
      </c>
      <c r="M75" s="47">
        <v>7.3100449999999997</v>
      </c>
      <c r="N75" s="47">
        <v>-9.8127549999999992</v>
      </c>
    </row>
    <row r="76" spans="1:14" x14ac:dyDescent="0.35">
      <c r="A76" s="2">
        <v>44049</v>
      </c>
      <c r="B76" s="40">
        <v>16.667843000000001</v>
      </c>
      <c r="C76" s="40">
        <v>9.9956989999999996E-2</v>
      </c>
      <c r="D76" s="40">
        <v>4.4286130000000004</v>
      </c>
      <c r="E76" s="40">
        <v>13.610184</v>
      </c>
      <c r="F76" s="40">
        <v>6.9468855999999999</v>
      </c>
      <c r="G76" s="40">
        <v>14.827120000000001</v>
      </c>
      <c r="H76" s="40">
        <v>-7.9808354000000001</v>
      </c>
      <c r="I76" s="40">
        <v>51.069786000000001</v>
      </c>
      <c r="J76" s="40">
        <v>18.520413999999999</v>
      </c>
      <c r="K76" s="47">
        <v>1.2529731</v>
      </c>
      <c r="L76" s="47">
        <v>18.584430000000001</v>
      </c>
      <c r="M76" s="47">
        <v>26.182281</v>
      </c>
      <c r="N76" s="47">
        <v>-2.0060182000000002</v>
      </c>
    </row>
    <row r="77" spans="1:14" x14ac:dyDescent="0.35">
      <c r="A77" s="2">
        <v>44078</v>
      </c>
      <c r="B77" s="40">
        <v>14.080178999999999</v>
      </c>
      <c r="C77" s="40">
        <v>-3.7026525000000001</v>
      </c>
      <c r="D77" s="40">
        <v>1.9932866</v>
      </c>
      <c r="E77" s="40">
        <v>13.644671000000001</v>
      </c>
      <c r="F77" s="40">
        <v>9.1434479999999994</v>
      </c>
      <c r="G77" s="40">
        <v>11.971855</v>
      </c>
      <c r="H77" s="40">
        <v>-12.353259</v>
      </c>
      <c r="I77" s="40">
        <v>51.788020000000003</v>
      </c>
      <c r="J77" s="40">
        <v>18.864322999999999</v>
      </c>
      <c r="K77" s="47">
        <v>-0.85739493</v>
      </c>
      <c r="L77" s="47">
        <v>13.734387999999999</v>
      </c>
      <c r="M77" s="47">
        <v>26.378451999999999</v>
      </c>
      <c r="N77" s="47">
        <v>-5.4678917</v>
      </c>
    </row>
    <row r="78" spans="1:14" x14ac:dyDescent="0.35">
      <c r="A78" s="2">
        <v>44110</v>
      </c>
      <c r="B78" s="40">
        <v>14.278197</v>
      </c>
      <c r="C78" s="40">
        <v>-5.1225003999999998</v>
      </c>
      <c r="D78" s="40">
        <v>3.1113625000000001E-3</v>
      </c>
      <c r="E78" s="40">
        <v>12.584066</v>
      </c>
      <c r="F78" s="40">
        <v>6.3506603000000004</v>
      </c>
      <c r="G78" s="40">
        <v>13.207520000000001</v>
      </c>
      <c r="H78" s="40">
        <v>-13.286429</v>
      </c>
      <c r="I78" s="40">
        <v>46.823883000000002</v>
      </c>
      <c r="J78" s="40">
        <v>16.023015999999998</v>
      </c>
      <c r="K78" s="47">
        <v>-3.064406</v>
      </c>
      <c r="L78" s="47">
        <v>15.049016999999999</v>
      </c>
      <c r="M78" s="47">
        <v>26.086784000000002</v>
      </c>
      <c r="N78" s="47">
        <v>-6.8206670000000003</v>
      </c>
    </row>
    <row r="79" spans="1:14" x14ac:dyDescent="0.35">
      <c r="A79" s="2">
        <v>44141</v>
      </c>
      <c r="B79" s="40">
        <v>24.160599000000001</v>
      </c>
      <c r="C79" s="40">
        <v>-2.7176559999999998</v>
      </c>
      <c r="D79" s="40">
        <v>-1.4528989999999999</v>
      </c>
      <c r="E79" s="40">
        <v>-0.10813475</v>
      </c>
      <c r="F79" s="40">
        <v>5.2670240000000002</v>
      </c>
      <c r="G79" s="40">
        <v>11.830723000000001</v>
      </c>
      <c r="H79" s="40">
        <v>-17.931467000000001</v>
      </c>
      <c r="I79" s="40">
        <v>48.585129999999999</v>
      </c>
      <c r="J79" s="40">
        <v>16.262829</v>
      </c>
      <c r="K79" s="47">
        <v>-6.8496345999999999</v>
      </c>
      <c r="L79" s="47">
        <v>15.373683</v>
      </c>
      <c r="M79" s="47">
        <v>17.407834999999999</v>
      </c>
      <c r="N79" s="47">
        <v>-11.377043</v>
      </c>
    </row>
    <row r="80" spans="1:14" x14ac:dyDescent="0.35">
      <c r="A80" s="2">
        <v>44169</v>
      </c>
      <c r="B80" s="40">
        <v>20.438362000000001</v>
      </c>
      <c r="C80" s="40">
        <v>8.4338899999999999</v>
      </c>
      <c r="D80" s="40">
        <v>8.997655</v>
      </c>
      <c r="E80" s="40">
        <v>8.4991219999999998</v>
      </c>
      <c r="F80" s="40">
        <v>11.909019000000001</v>
      </c>
      <c r="G80" s="40">
        <v>13.106704000000001</v>
      </c>
      <c r="H80" s="40">
        <v>-5.5361390000000004</v>
      </c>
      <c r="I80" s="40">
        <v>52.055157000000001</v>
      </c>
      <c r="J80" s="40">
        <v>21.081424999999999</v>
      </c>
      <c r="K80" s="47">
        <v>8.1597439999999999</v>
      </c>
      <c r="L80" s="47">
        <v>25.414694000000001</v>
      </c>
      <c r="M80" s="47">
        <v>26.560020000000002</v>
      </c>
      <c r="N80" s="47">
        <v>2.9463530000000002</v>
      </c>
    </row>
    <row r="81" spans="1:14" x14ac:dyDescent="0.35">
      <c r="A81" s="2">
        <v>44202</v>
      </c>
      <c r="B81" s="40">
        <v>26.146984</v>
      </c>
      <c r="C81" s="40">
        <v>11.754572</v>
      </c>
      <c r="D81" s="40">
        <v>8.5133550000000007</v>
      </c>
      <c r="E81" s="40">
        <v>13.680434</v>
      </c>
      <c r="F81" s="40">
        <v>16.135204000000002</v>
      </c>
      <c r="G81" s="40">
        <v>12.672829999999999</v>
      </c>
      <c r="H81" s="40">
        <v>-6.3676652999999996</v>
      </c>
      <c r="I81" s="40">
        <v>43.688130000000001</v>
      </c>
      <c r="J81" s="40">
        <v>17.618238000000002</v>
      </c>
      <c r="K81" s="47">
        <v>5.4138659999999996</v>
      </c>
      <c r="L81" s="47">
        <v>26.251529999999999</v>
      </c>
      <c r="M81" s="47">
        <v>28.189957</v>
      </c>
      <c r="N81" s="47">
        <v>5.1150919999999998</v>
      </c>
    </row>
    <row r="82" spans="1:14" x14ac:dyDescent="0.35">
      <c r="A82" s="2">
        <v>44232</v>
      </c>
      <c r="B82" s="40">
        <v>22.086727</v>
      </c>
      <c r="C82" s="40">
        <v>11.171030999999999</v>
      </c>
      <c r="D82" s="40">
        <v>8.3940739999999998</v>
      </c>
      <c r="E82" s="40">
        <v>13.475704</v>
      </c>
      <c r="F82" s="40">
        <v>17.581759999999999</v>
      </c>
      <c r="G82" s="40">
        <v>7.9673290000000003</v>
      </c>
      <c r="H82" s="40">
        <v>-7.5579405</v>
      </c>
      <c r="I82" s="40">
        <v>46.229100000000003</v>
      </c>
      <c r="J82" s="40">
        <v>18.695318</v>
      </c>
      <c r="K82" s="47">
        <v>5.7921529999999999</v>
      </c>
      <c r="L82" s="47">
        <v>29.842651</v>
      </c>
      <c r="M82" s="47">
        <v>26.323937999999998</v>
      </c>
      <c r="N82" s="47">
        <v>3.8275480000000002</v>
      </c>
    </row>
    <row r="83" spans="1:14" x14ac:dyDescent="0.35">
      <c r="A83" s="2">
        <v>44260</v>
      </c>
      <c r="B83" s="40">
        <v>16.334188000000001</v>
      </c>
      <c r="C83" s="40">
        <v>27.67576</v>
      </c>
      <c r="D83" s="40">
        <v>21.331893999999998</v>
      </c>
      <c r="E83" s="40">
        <v>24.944569000000001</v>
      </c>
      <c r="F83" s="40">
        <v>29.873263999999999</v>
      </c>
      <c r="G83" s="40">
        <v>12.460148</v>
      </c>
      <c r="H83" s="40">
        <v>9.0593219999999999</v>
      </c>
      <c r="I83" s="40">
        <v>46.926723000000003</v>
      </c>
      <c r="J83" s="40">
        <v>29.25067</v>
      </c>
      <c r="K83" s="47">
        <v>18.483948000000002</v>
      </c>
      <c r="L83" s="47">
        <v>41.242789999999999</v>
      </c>
      <c r="M83" s="47">
        <v>41.822600000000001</v>
      </c>
      <c r="N83" s="47">
        <v>15.485263</v>
      </c>
    </row>
    <row r="84" spans="1:14" x14ac:dyDescent="0.35">
      <c r="A84" s="2">
        <v>44292</v>
      </c>
      <c r="B84" s="40">
        <v>40.636490000000002</v>
      </c>
      <c r="C84" s="40">
        <v>60.643912999999998</v>
      </c>
      <c r="D84" s="40">
        <v>60.578856999999999</v>
      </c>
      <c r="E84" s="40">
        <v>61.077117999999999</v>
      </c>
      <c r="F84" s="40">
        <v>41.412757999999997</v>
      </c>
      <c r="G84" s="40">
        <v>29.083860000000001</v>
      </c>
      <c r="H84" s="40">
        <v>38.895499999999998</v>
      </c>
      <c r="I84" s="40">
        <v>69.424210000000002</v>
      </c>
      <c r="J84" s="40">
        <v>55.807685999999997</v>
      </c>
      <c r="K84" s="47">
        <v>55.189100000000003</v>
      </c>
      <c r="L84" s="47">
        <v>81.420919999999995</v>
      </c>
      <c r="M84" s="47">
        <v>84.057259999999999</v>
      </c>
      <c r="N84" s="47">
        <v>56.724550000000001</v>
      </c>
    </row>
    <row r="85" spans="1:14" x14ac:dyDescent="0.35">
      <c r="A85" s="2">
        <v>44322</v>
      </c>
      <c r="B85" s="40">
        <v>37.351536000000003</v>
      </c>
      <c r="C85" s="40">
        <v>65.022130000000004</v>
      </c>
      <c r="D85" s="40">
        <v>55.456566000000002</v>
      </c>
      <c r="E85" s="40">
        <v>57.311799999999998</v>
      </c>
      <c r="F85" s="40">
        <v>37.164473999999998</v>
      </c>
      <c r="G85" s="40">
        <v>31.533740999999999</v>
      </c>
      <c r="H85" s="40">
        <v>39.762093</v>
      </c>
      <c r="I85" s="40">
        <v>52.319180000000003</v>
      </c>
      <c r="J85" s="40">
        <v>49.808680000000003</v>
      </c>
      <c r="K85" s="47">
        <v>63.083767000000002</v>
      </c>
      <c r="L85" s="47">
        <v>76.635679999999994</v>
      </c>
      <c r="M85" s="47">
        <v>80.829445000000007</v>
      </c>
      <c r="N85" s="47">
        <v>62.968983000000001</v>
      </c>
    </row>
    <row r="86" spans="1:14" x14ac:dyDescent="0.35">
      <c r="A86" s="2">
        <v>44351</v>
      </c>
      <c r="B86" s="40">
        <v>16.183471999999998</v>
      </c>
      <c r="C86" s="40">
        <v>41.666804999999997</v>
      </c>
      <c r="D86" s="40">
        <v>48.584152000000003</v>
      </c>
      <c r="E86" s="40">
        <v>32.853009999999998</v>
      </c>
      <c r="F86" s="40">
        <v>25.124131999999999</v>
      </c>
      <c r="G86" s="40">
        <v>27.789795000000002</v>
      </c>
      <c r="H86" s="40">
        <v>28.433395000000001</v>
      </c>
      <c r="I86" s="40">
        <v>43.681441999999997</v>
      </c>
      <c r="J86" s="40">
        <v>37.916924000000002</v>
      </c>
      <c r="K86" s="47">
        <v>41.043877000000002</v>
      </c>
      <c r="L86" s="47">
        <v>54.43909</v>
      </c>
      <c r="M86" s="47">
        <v>54.751133000000003</v>
      </c>
      <c r="N86" s="47">
        <v>41.094337000000003</v>
      </c>
    </row>
    <row r="87" spans="1:14" x14ac:dyDescent="0.35">
      <c r="A87" s="2">
        <v>44383</v>
      </c>
      <c r="B87" s="40">
        <v>8.0770970000000002</v>
      </c>
      <c r="C87" s="40">
        <v>32.904730000000001</v>
      </c>
      <c r="D87" s="40">
        <v>45.135593</v>
      </c>
      <c r="E87" s="40">
        <v>25.702583000000001</v>
      </c>
      <c r="F87" s="40">
        <v>22.447586000000001</v>
      </c>
      <c r="G87" s="40">
        <v>23.990786</v>
      </c>
      <c r="H87" s="40">
        <v>27.857744</v>
      </c>
      <c r="I87" s="40">
        <v>40.188374000000003</v>
      </c>
      <c r="J87" s="40">
        <v>38.599074999999999</v>
      </c>
      <c r="K87" s="47">
        <v>34.678184999999999</v>
      </c>
      <c r="L87" s="47">
        <v>42.635429999999999</v>
      </c>
      <c r="M87" s="47">
        <v>48.051870000000001</v>
      </c>
      <c r="N87" s="47">
        <v>32.189404000000003</v>
      </c>
    </row>
    <row r="88" spans="1:14" x14ac:dyDescent="0.35">
      <c r="A88" s="2">
        <v>44414</v>
      </c>
      <c r="B88" s="40">
        <v>5.589378</v>
      </c>
      <c r="C88" s="40">
        <v>31.128347000000002</v>
      </c>
      <c r="D88" s="40">
        <v>35.435630000000003</v>
      </c>
      <c r="E88" s="40">
        <v>22.142005999999999</v>
      </c>
      <c r="F88" s="40">
        <v>22.517883000000001</v>
      </c>
      <c r="G88" s="40">
        <v>23.868835000000001</v>
      </c>
      <c r="H88" s="40">
        <v>28.096426000000001</v>
      </c>
      <c r="I88" s="40">
        <v>34.771799999999999</v>
      </c>
      <c r="J88" s="40">
        <v>34.337902</v>
      </c>
      <c r="K88" s="47">
        <v>37.399875999999999</v>
      </c>
      <c r="L88" s="47">
        <v>44.621456000000002</v>
      </c>
      <c r="M88" s="47">
        <v>41.927695999999997</v>
      </c>
      <c r="N88" s="47">
        <v>31.749904999999998</v>
      </c>
    </row>
    <row r="89" spans="1:14" x14ac:dyDescent="0.35">
      <c r="A89" s="2">
        <v>44442</v>
      </c>
      <c r="B89" s="40">
        <v>11.862826</v>
      </c>
      <c r="C89" s="40">
        <v>32.059714999999997</v>
      </c>
      <c r="D89" s="40">
        <v>36.525787000000001</v>
      </c>
      <c r="E89" s="40">
        <v>20.918475999999998</v>
      </c>
      <c r="F89" s="40">
        <v>25.793434000000001</v>
      </c>
      <c r="G89" s="40">
        <v>24.705482</v>
      </c>
      <c r="H89" s="40">
        <v>32.050249999999998</v>
      </c>
      <c r="I89" s="40">
        <v>33.514499999999998</v>
      </c>
      <c r="J89" s="40">
        <v>33.148266</v>
      </c>
      <c r="K89" s="47">
        <v>35.594296</v>
      </c>
      <c r="L89" s="47">
        <v>54.730392000000002</v>
      </c>
      <c r="M89" s="47">
        <v>43.636012999999998</v>
      </c>
      <c r="N89" s="47">
        <v>33.085884</v>
      </c>
    </row>
    <row r="90" spans="1:14" x14ac:dyDescent="0.35">
      <c r="A90" s="2">
        <v>44475</v>
      </c>
      <c r="B90" s="40">
        <v>8.9382529999999996</v>
      </c>
      <c r="C90" s="40">
        <v>28.482426</v>
      </c>
      <c r="D90" s="40">
        <v>35.894440000000003</v>
      </c>
      <c r="E90" s="40">
        <v>13.187563000000001</v>
      </c>
      <c r="F90" s="40">
        <v>15.903044</v>
      </c>
      <c r="G90" s="40">
        <v>16.052209999999999</v>
      </c>
      <c r="H90" s="40">
        <v>30.010366000000001</v>
      </c>
      <c r="I90" s="40">
        <v>31.412421999999999</v>
      </c>
      <c r="J90" s="40">
        <v>31.690131999999998</v>
      </c>
      <c r="K90" s="47">
        <v>34.056328000000001</v>
      </c>
      <c r="L90" s="47">
        <v>40.124415999999997</v>
      </c>
      <c r="M90" s="47">
        <v>28.998697</v>
      </c>
      <c r="N90" s="47">
        <v>31.62154</v>
      </c>
    </row>
    <row r="91" spans="1:14" x14ac:dyDescent="0.35">
      <c r="A91" s="2">
        <v>44505</v>
      </c>
      <c r="B91" s="40">
        <v>3.7722826</v>
      </c>
      <c r="C91" s="40">
        <v>27.480148</v>
      </c>
      <c r="D91" s="40">
        <v>43.173386000000001</v>
      </c>
      <c r="E91" s="40">
        <v>24.289166999999999</v>
      </c>
      <c r="F91" s="40">
        <v>15.75433</v>
      </c>
      <c r="G91" s="40">
        <v>22.900057</v>
      </c>
      <c r="H91" s="40">
        <v>32.490229999999997</v>
      </c>
      <c r="I91" s="40">
        <v>36.123074000000003</v>
      </c>
      <c r="J91" s="40">
        <v>35.671795000000003</v>
      </c>
      <c r="K91" s="47">
        <v>40.738750000000003</v>
      </c>
      <c r="L91" s="47">
        <v>45.383740000000003</v>
      </c>
      <c r="M91" s="47">
        <v>37.048172000000001</v>
      </c>
      <c r="N91" s="47">
        <v>38.408707</v>
      </c>
    </row>
    <row r="92" spans="1:14" x14ac:dyDescent="0.35">
      <c r="A92" s="2">
        <v>44536</v>
      </c>
      <c r="B92" s="40">
        <v>-10.096698999999999</v>
      </c>
      <c r="C92" s="40">
        <v>6.9829939999999997</v>
      </c>
      <c r="D92" s="40">
        <v>23.068881999999999</v>
      </c>
      <c r="E92" s="40">
        <v>6.28742</v>
      </c>
      <c r="F92" s="40">
        <v>3.1801105000000001</v>
      </c>
      <c r="G92" s="40">
        <v>17.918586999999999</v>
      </c>
      <c r="H92" s="40">
        <v>12.778473</v>
      </c>
      <c r="I92" s="40">
        <v>27.08379</v>
      </c>
      <c r="J92" s="40">
        <v>25.807392</v>
      </c>
      <c r="K92" s="47">
        <v>15.470386</v>
      </c>
      <c r="L92" s="47">
        <v>21.089745000000001</v>
      </c>
      <c r="M92" s="47">
        <v>17.293952999999998</v>
      </c>
      <c r="N92" s="47">
        <v>12.592279</v>
      </c>
    </row>
    <row r="93" spans="1:14" x14ac:dyDescent="0.35">
      <c r="A93" s="2">
        <v>44567</v>
      </c>
      <c r="B93" s="40">
        <v>-16.458082000000001</v>
      </c>
      <c r="C93" s="40">
        <v>4.2381167</v>
      </c>
      <c r="D93" s="40">
        <v>21.782433999999999</v>
      </c>
      <c r="E93" s="40">
        <v>3.9001465</v>
      </c>
      <c r="F93" s="40">
        <v>0.45466423</v>
      </c>
      <c r="G93" s="40">
        <v>16.435455000000001</v>
      </c>
      <c r="H93" s="40">
        <v>13.003038999999999</v>
      </c>
      <c r="I93" s="40">
        <v>25.470469999999999</v>
      </c>
      <c r="J93" s="40">
        <v>26.954246999999999</v>
      </c>
      <c r="K93" s="47">
        <v>19.015825</v>
      </c>
      <c r="L93" s="47">
        <v>17.282354000000002</v>
      </c>
      <c r="M93" s="47">
        <v>16.093074999999999</v>
      </c>
      <c r="N93" s="47">
        <v>11.666441000000001</v>
      </c>
    </row>
    <row r="94" spans="1:14" x14ac:dyDescent="0.35">
      <c r="A94" s="2">
        <v>44596</v>
      </c>
      <c r="B94" s="40">
        <v>-18.412852999999998</v>
      </c>
      <c r="C94" s="40">
        <v>-1.0750234000000001</v>
      </c>
      <c r="D94" s="40">
        <v>23.348939999999999</v>
      </c>
      <c r="E94" s="40">
        <v>1.0309815</v>
      </c>
      <c r="F94" s="40">
        <v>-4.5985699999999996</v>
      </c>
      <c r="G94" s="40">
        <v>11.445117</v>
      </c>
      <c r="H94" s="40">
        <v>20.306895999999998</v>
      </c>
      <c r="I94" s="40">
        <v>8.9318390000000001</v>
      </c>
      <c r="J94" s="40">
        <v>17.749988999999999</v>
      </c>
      <c r="K94" s="47">
        <v>19.554625999999999</v>
      </c>
      <c r="L94" s="47">
        <v>6.8714022999999997</v>
      </c>
      <c r="M94" s="47">
        <v>6.6045284000000004</v>
      </c>
      <c r="N94" s="47">
        <v>12.1616955</v>
      </c>
    </row>
    <row r="95" spans="1:14" x14ac:dyDescent="0.35">
      <c r="A95" s="2">
        <v>44624</v>
      </c>
      <c r="B95" s="40">
        <v>-7.8571140000000002</v>
      </c>
      <c r="C95" s="40">
        <v>4.1222333999999998</v>
      </c>
      <c r="D95" s="40">
        <v>20.377445000000002</v>
      </c>
      <c r="E95" s="40">
        <v>-17.342980000000001</v>
      </c>
      <c r="F95" s="40">
        <v>-7.6359269999999997</v>
      </c>
      <c r="G95" s="40">
        <v>8.7082750000000004</v>
      </c>
      <c r="H95" s="40">
        <v>6.2824606999999997</v>
      </c>
      <c r="I95" s="40">
        <v>11.452341000000001</v>
      </c>
      <c r="J95" s="40">
        <v>16.26923</v>
      </c>
      <c r="K95" s="47">
        <v>-2.6413262</v>
      </c>
      <c r="L95" s="47">
        <v>-9.0784660000000006</v>
      </c>
      <c r="M95" s="47">
        <v>-14.979535</v>
      </c>
      <c r="N95" s="47">
        <v>-8.7080300000000008</v>
      </c>
    </row>
    <row r="96" spans="1:14" x14ac:dyDescent="0.35">
      <c r="A96" s="2">
        <v>44657</v>
      </c>
      <c r="B96" s="40">
        <v>-8.5263369999999998</v>
      </c>
      <c r="C96" s="40">
        <v>10.584986000000001</v>
      </c>
      <c r="D96" s="40">
        <v>17.190885999999999</v>
      </c>
      <c r="E96" s="40">
        <v>-17.536300000000001</v>
      </c>
      <c r="F96" s="40">
        <v>-11.302047999999999</v>
      </c>
      <c r="G96" s="40">
        <v>10.398865000000001</v>
      </c>
      <c r="H96" s="40">
        <v>11.439741</v>
      </c>
      <c r="I96" s="40">
        <v>7.2980999999999998</v>
      </c>
      <c r="J96" s="40">
        <v>11.4044075</v>
      </c>
      <c r="K96" s="47">
        <v>-0.60497520000000005</v>
      </c>
      <c r="L96" s="47">
        <v>-12.260145</v>
      </c>
      <c r="M96" s="47">
        <v>-10.884487</v>
      </c>
      <c r="N96" s="47">
        <v>-7.1809890000000003</v>
      </c>
    </row>
    <row r="97" spans="1:14" x14ac:dyDescent="0.35">
      <c r="A97" s="2">
        <v>44687</v>
      </c>
      <c r="B97" s="40">
        <v>-23.446000000000002</v>
      </c>
      <c r="C97" s="40">
        <v>-4.3236850000000002</v>
      </c>
      <c r="D97" s="40">
        <v>3.1222105</v>
      </c>
      <c r="E97" s="40">
        <v>-25.156199999999998</v>
      </c>
      <c r="F97" s="40">
        <v>-15.7969475</v>
      </c>
      <c r="G97" s="40">
        <v>-3.4199714999999999</v>
      </c>
      <c r="H97" s="40">
        <v>-1.2620210999999999</v>
      </c>
      <c r="I97" s="40">
        <v>-6.2648653999999997</v>
      </c>
      <c r="J97" s="40">
        <v>-0.54418445000000004</v>
      </c>
      <c r="K97" s="47">
        <v>-11.326819</v>
      </c>
      <c r="L97" s="47">
        <v>-22.697222</v>
      </c>
      <c r="M97" s="47">
        <v>-24.603629999999999</v>
      </c>
      <c r="N97" s="47">
        <v>-14.343816</v>
      </c>
    </row>
    <row r="98" spans="1:14" x14ac:dyDescent="0.35">
      <c r="A98" s="2">
        <v>44718</v>
      </c>
      <c r="B98" s="40">
        <v>-20.479828000000001</v>
      </c>
      <c r="C98" s="40">
        <v>-4.2760730000000002</v>
      </c>
      <c r="D98" s="40">
        <v>1.7845392</v>
      </c>
      <c r="E98" s="40">
        <v>-22.075064000000001</v>
      </c>
      <c r="F98" s="40">
        <v>-15.877223000000001</v>
      </c>
      <c r="G98" s="40">
        <v>-7.8706860000000001</v>
      </c>
      <c r="H98" s="40">
        <v>1.3032675</v>
      </c>
      <c r="I98" s="40">
        <v>-8.0150369999999995</v>
      </c>
      <c r="J98" s="40">
        <v>-1.2670456999999999</v>
      </c>
      <c r="K98" s="47">
        <v>-8.5416319999999999</v>
      </c>
      <c r="L98" s="47">
        <v>-20.278649999999999</v>
      </c>
      <c r="M98" s="47">
        <v>-20.904667</v>
      </c>
      <c r="N98" s="47">
        <v>-13.621891</v>
      </c>
    </row>
    <row r="99" spans="1:14" x14ac:dyDescent="0.35">
      <c r="A99" s="2">
        <v>44748</v>
      </c>
      <c r="B99" s="40">
        <v>-24.66985</v>
      </c>
      <c r="C99" s="40">
        <v>-13.0371685</v>
      </c>
      <c r="D99" s="40">
        <v>-9.7569940000000006</v>
      </c>
      <c r="E99" s="40">
        <v>-33.457520000000002</v>
      </c>
      <c r="F99" s="40">
        <v>-20.304255999999999</v>
      </c>
      <c r="G99" s="40">
        <v>-13.756399999999999</v>
      </c>
      <c r="H99" s="40">
        <v>-7.121772</v>
      </c>
      <c r="I99" s="40">
        <v>-19.375170000000001</v>
      </c>
      <c r="J99" s="40">
        <v>-10.213642999999999</v>
      </c>
      <c r="K99" s="47">
        <v>-17.725480000000001</v>
      </c>
      <c r="L99" s="47">
        <v>-28.362185</v>
      </c>
      <c r="M99" s="47">
        <v>-31.116772000000001</v>
      </c>
      <c r="N99" s="47">
        <v>-25.275241999999999</v>
      </c>
    </row>
    <row r="100" spans="1:14" x14ac:dyDescent="0.35">
      <c r="A100" s="2">
        <v>44778</v>
      </c>
      <c r="B100" s="40">
        <v>-19.46773</v>
      </c>
      <c r="C100" s="40">
        <v>-9.0925989999999999</v>
      </c>
      <c r="D100" s="40">
        <v>-5.2300452999999996</v>
      </c>
      <c r="E100" s="40">
        <v>-29.755037000000002</v>
      </c>
      <c r="F100" s="40">
        <v>-16.726500000000001</v>
      </c>
      <c r="G100" s="40">
        <v>-13.49681</v>
      </c>
      <c r="H100" s="40">
        <v>-3.8058459999999998</v>
      </c>
      <c r="I100" s="40">
        <v>-12.479937</v>
      </c>
      <c r="J100" s="40">
        <v>-5.0699949999999996</v>
      </c>
      <c r="K100" s="47">
        <v>-13.922791999999999</v>
      </c>
      <c r="L100" s="47">
        <v>-24.472491999999999</v>
      </c>
      <c r="M100" s="47">
        <v>-27.994287</v>
      </c>
      <c r="N100" s="47">
        <v>-21.485579000000001</v>
      </c>
    </row>
    <row r="101" spans="1:14" x14ac:dyDescent="0.35">
      <c r="A101" s="2">
        <v>44810</v>
      </c>
      <c r="B101" s="40">
        <v>-27.029758000000001</v>
      </c>
      <c r="C101" s="40">
        <v>-13.446211999999999</v>
      </c>
      <c r="D101" s="40">
        <v>-10.860723500000001</v>
      </c>
      <c r="E101" s="40">
        <v>-36.372</v>
      </c>
      <c r="F101" s="40">
        <v>-26.548570000000002</v>
      </c>
      <c r="G101" s="40">
        <v>-19.518094999999999</v>
      </c>
      <c r="H101" s="40">
        <v>-10.398406</v>
      </c>
      <c r="I101" s="40">
        <v>-22.77271</v>
      </c>
      <c r="J101" s="40">
        <v>-12.52557</v>
      </c>
      <c r="K101" s="47">
        <v>-21.282022000000001</v>
      </c>
      <c r="L101" s="47">
        <v>-37.078403000000002</v>
      </c>
      <c r="M101" s="47">
        <v>-35.925409999999999</v>
      </c>
      <c r="N101" s="47">
        <v>-28.203785</v>
      </c>
    </row>
    <row r="102" spans="1:14" x14ac:dyDescent="0.35">
      <c r="A102" s="2">
        <v>44840</v>
      </c>
      <c r="B102" s="40">
        <v>-31.468582000000001</v>
      </c>
      <c r="C102" s="40">
        <v>-12.889981000000001</v>
      </c>
      <c r="D102" s="40">
        <v>-12.038726</v>
      </c>
      <c r="E102" s="40">
        <v>-34.295498000000002</v>
      </c>
      <c r="F102" s="40">
        <v>-24.038141</v>
      </c>
      <c r="G102" s="40">
        <v>-17.485939999999999</v>
      </c>
      <c r="H102" s="40">
        <v>-13.638639</v>
      </c>
      <c r="I102" s="40">
        <v>-21.735185999999999</v>
      </c>
      <c r="J102" s="40">
        <v>-12.885642000000001</v>
      </c>
      <c r="K102" s="47">
        <v>-21.132695999999999</v>
      </c>
      <c r="L102" s="47">
        <v>-33.163350000000001</v>
      </c>
      <c r="M102" s="47">
        <v>-33.081263999999997</v>
      </c>
      <c r="N102" s="47">
        <v>-27.319973000000001</v>
      </c>
    </row>
    <row r="103" spans="1:14" x14ac:dyDescent="0.35">
      <c r="A103" s="2">
        <v>44869</v>
      </c>
      <c r="B103" s="40">
        <v>-27.123563999999998</v>
      </c>
      <c r="C103" s="40">
        <v>-13.027495</v>
      </c>
      <c r="D103" s="40">
        <v>-13.730043</v>
      </c>
      <c r="E103" s="40">
        <v>-32.795994</v>
      </c>
      <c r="F103" s="40">
        <v>-25.928979999999999</v>
      </c>
      <c r="G103" s="40">
        <v>-21.577942</v>
      </c>
      <c r="H103" s="40">
        <v>-9.7136440000000004</v>
      </c>
      <c r="I103" s="40">
        <v>-33.122017</v>
      </c>
      <c r="J103" s="40">
        <v>-18.173079999999999</v>
      </c>
      <c r="K103" s="47">
        <v>-18.950064000000001</v>
      </c>
      <c r="L103" s="47">
        <v>-36.285890000000002</v>
      </c>
      <c r="M103" s="47">
        <v>-33.687995999999998</v>
      </c>
      <c r="N103" s="47">
        <v>-23.292439999999999</v>
      </c>
    </row>
    <row r="104" spans="1:14" x14ac:dyDescent="0.35">
      <c r="A104" s="2">
        <v>44901</v>
      </c>
      <c r="B104" s="40">
        <v>-13.462757999999999</v>
      </c>
      <c r="C104" s="40">
        <v>5.0950049999999997E-2</v>
      </c>
      <c r="D104" s="40">
        <v>-8.6514360000000003</v>
      </c>
      <c r="E104" s="40">
        <v>-18.857569000000002</v>
      </c>
      <c r="F104" s="40">
        <v>-17.12764</v>
      </c>
      <c r="G104" s="40">
        <v>-13.209701000000001</v>
      </c>
      <c r="H104" s="40">
        <v>0.99477769999999999</v>
      </c>
      <c r="I104" s="40">
        <v>-26.611359</v>
      </c>
      <c r="J104" s="40">
        <v>-12.857032</v>
      </c>
      <c r="K104" s="47">
        <v>-6.9777430000000003</v>
      </c>
      <c r="L104" s="47">
        <v>-19.279945000000001</v>
      </c>
      <c r="M104" s="47">
        <v>-21.321285</v>
      </c>
      <c r="N104" s="47">
        <v>-11.368632</v>
      </c>
    </row>
    <row r="105" spans="1:14" x14ac:dyDescent="0.35">
      <c r="A105" s="2">
        <v>44932</v>
      </c>
      <c r="B105" s="40">
        <v>-12.985110000000001</v>
      </c>
      <c r="C105" s="40">
        <v>-1.1990964</v>
      </c>
      <c r="D105" s="40">
        <v>-9.2690999999999999</v>
      </c>
      <c r="E105" s="40">
        <v>-17.698478999999999</v>
      </c>
      <c r="F105" s="40">
        <v>-17.393827000000002</v>
      </c>
      <c r="G105" s="40">
        <v>-13.682479000000001</v>
      </c>
      <c r="H105" s="40">
        <v>-2.4577439999999999</v>
      </c>
      <c r="I105" s="40">
        <v>-29.489428</v>
      </c>
      <c r="J105" s="40">
        <v>-15.717041</v>
      </c>
      <c r="K105" s="47">
        <v>-7.6216936000000004</v>
      </c>
      <c r="L105" s="47">
        <v>-17.338913000000002</v>
      </c>
      <c r="M105" s="47">
        <v>-23.729341999999999</v>
      </c>
      <c r="N105" s="47">
        <v>-10.4612465</v>
      </c>
    </row>
    <row r="106" spans="1:14" x14ac:dyDescent="0.35">
      <c r="A106" s="2">
        <v>44963</v>
      </c>
      <c r="B106" s="40">
        <v>-2.4484336</v>
      </c>
      <c r="C106" s="40">
        <v>10.567617</v>
      </c>
      <c r="D106" s="40">
        <v>-6.4663170000000001</v>
      </c>
      <c r="E106" s="40">
        <v>-9.4497440000000008</v>
      </c>
      <c r="F106" s="40">
        <v>-9.3398690000000002</v>
      </c>
      <c r="G106" s="40">
        <v>-6.4369736</v>
      </c>
      <c r="H106" s="40">
        <v>-3.3594369999999998</v>
      </c>
      <c r="I106" s="40">
        <v>-14.577734</v>
      </c>
      <c r="J106" s="40">
        <v>-7.1768403000000003</v>
      </c>
      <c r="K106" s="47">
        <v>-1.0584115999999999</v>
      </c>
      <c r="L106" s="47">
        <v>-7.1933210000000001</v>
      </c>
      <c r="M106" s="47">
        <v>-13.372916</v>
      </c>
      <c r="N106" s="47">
        <v>-3.8590312</v>
      </c>
    </row>
    <row r="107" spans="1:14" x14ac:dyDescent="0.35">
      <c r="A107" s="2">
        <v>44991</v>
      </c>
      <c r="B107" s="40">
        <v>-10.780673999999999</v>
      </c>
      <c r="C107" s="40">
        <v>-1.2996673999999999</v>
      </c>
      <c r="D107" s="40">
        <v>-8.0768699999999995</v>
      </c>
      <c r="E107" s="40">
        <v>11.889863</v>
      </c>
      <c r="F107" s="40">
        <v>-5.0831436999999999</v>
      </c>
      <c r="G107" s="40">
        <v>-2.2919356999999998</v>
      </c>
      <c r="H107" s="40">
        <v>6.9794416000000004</v>
      </c>
      <c r="I107" s="40">
        <v>-10.399037</v>
      </c>
      <c r="J107" s="40">
        <v>-4.8869014000000002</v>
      </c>
      <c r="K107" s="47">
        <v>20.859324999999998</v>
      </c>
      <c r="L107" s="47">
        <v>9.3759420000000002</v>
      </c>
      <c r="M107" s="47">
        <v>8.0880530000000004</v>
      </c>
      <c r="N107" s="47">
        <v>21.426082999999998</v>
      </c>
    </row>
    <row r="108" spans="1:14" x14ac:dyDescent="0.35">
      <c r="A108" s="2">
        <v>45022</v>
      </c>
      <c r="B108" s="40">
        <v>-8.2172929999999997</v>
      </c>
      <c r="C108" s="40">
        <v>-8.5849820000000001</v>
      </c>
      <c r="D108" s="40">
        <v>-11.619967000000001</v>
      </c>
      <c r="E108" s="40">
        <v>6.8271280000000001</v>
      </c>
      <c r="F108" s="40">
        <v>-2.3120582000000001</v>
      </c>
      <c r="G108" s="40">
        <v>-4.1439830000000004</v>
      </c>
      <c r="H108" s="40">
        <v>0.53168534999999995</v>
      </c>
      <c r="I108" s="40">
        <v>-9.2781725000000002</v>
      </c>
      <c r="J108" s="40">
        <v>-6.7960500000000001</v>
      </c>
      <c r="K108" s="47">
        <v>15.747368</v>
      </c>
      <c r="L108" s="47">
        <v>3.8663029999999998</v>
      </c>
      <c r="M108" s="47">
        <v>-6.3638089999999998</v>
      </c>
      <c r="N108" s="47">
        <v>11.941921000000001</v>
      </c>
    </row>
    <row r="109" spans="1:14" x14ac:dyDescent="0.35">
      <c r="A109" s="2">
        <v>45051</v>
      </c>
      <c r="B109" s="40">
        <v>5.0325749999999996</v>
      </c>
      <c r="C109" s="40">
        <v>0.20714998000000001</v>
      </c>
      <c r="D109" s="40">
        <v>-2.2534071999999998</v>
      </c>
      <c r="E109" s="40">
        <v>17.916166</v>
      </c>
      <c r="F109" s="40">
        <v>6.6867112999999998</v>
      </c>
      <c r="G109" s="40">
        <v>9.7941640000000003</v>
      </c>
      <c r="H109" s="40">
        <v>9.2954640000000008</v>
      </c>
      <c r="I109" s="40">
        <v>3.9492129999999999</v>
      </c>
      <c r="J109" s="40">
        <v>1.4168262</v>
      </c>
      <c r="K109" s="47">
        <v>24.30067</v>
      </c>
      <c r="L109" s="47">
        <v>13.902485</v>
      </c>
      <c r="M109" s="47">
        <v>10.914946</v>
      </c>
      <c r="N109" s="47">
        <v>22.810614000000001</v>
      </c>
    </row>
    <row r="110" spans="1:14" x14ac:dyDescent="0.35">
      <c r="A110" s="2">
        <v>45083</v>
      </c>
      <c r="B110" s="40">
        <v>1.3711452</v>
      </c>
      <c r="C110" s="40">
        <v>-4.2913674999999998</v>
      </c>
      <c r="D110" s="40">
        <v>-7.5097027000000001</v>
      </c>
      <c r="E110" s="40">
        <v>6.7977309999999997</v>
      </c>
      <c r="F110" s="40">
        <v>11.301826999999999</v>
      </c>
      <c r="G110" s="40">
        <v>7.5572014000000003</v>
      </c>
      <c r="H110" s="40">
        <v>2.0782590000000001</v>
      </c>
      <c r="I110" s="40">
        <v>16.384197</v>
      </c>
      <c r="J110" s="40">
        <v>5.7179213000000004</v>
      </c>
      <c r="K110" s="47">
        <v>12.452507000000001</v>
      </c>
      <c r="L110" s="47">
        <v>9.7478499999999997</v>
      </c>
      <c r="M110" s="47">
        <v>-1.9489348</v>
      </c>
      <c r="N110" s="47">
        <v>12.128555</v>
      </c>
    </row>
    <row r="111" spans="1:14" x14ac:dyDescent="0.35">
      <c r="A111" s="2">
        <v>45113</v>
      </c>
      <c r="B111" s="40">
        <v>9.5019930000000006</v>
      </c>
      <c r="C111" s="40">
        <v>8.4893820000000009</v>
      </c>
      <c r="D111" s="40">
        <v>5.7750583000000004</v>
      </c>
      <c r="E111" s="40">
        <v>27.845383000000002</v>
      </c>
      <c r="F111" s="40">
        <v>16.385269999999998</v>
      </c>
      <c r="G111" s="40">
        <v>11.596310000000001</v>
      </c>
      <c r="H111" s="40">
        <v>11.172950999999999</v>
      </c>
      <c r="I111" s="40">
        <v>28.146194000000001</v>
      </c>
      <c r="J111" s="40">
        <v>16.609335000000002</v>
      </c>
      <c r="K111" s="47">
        <v>29.273116999999999</v>
      </c>
      <c r="L111" s="47">
        <v>26.771832</v>
      </c>
      <c r="M111" s="47">
        <v>12.376355999999999</v>
      </c>
      <c r="N111" s="47">
        <v>39.319073000000003</v>
      </c>
    </row>
    <row r="112" spans="1:14" x14ac:dyDescent="0.35">
      <c r="A112" s="2">
        <v>45142</v>
      </c>
      <c r="B112" s="40">
        <v>-0.4055202</v>
      </c>
      <c r="C112" s="40">
        <v>3.4651755999999998</v>
      </c>
      <c r="D112" s="40">
        <v>2.1331072</v>
      </c>
      <c r="E112" s="40">
        <v>21.452105</v>
      </c>
      <c r="F112" s="40">
        <v>12.047482</v>
      </c>
      <c r="G112" s="40">
        <v>9.6457960000000007</v>
      </c>
      <c r="H112" s="40">
        <v>8.6396219999999992</v>
      </c>
      <c r="I112" s="40">
        <v>15.505242000000001</v>
      </c>
      <c r="J112" s="40">
        <v>9.6586110000000005</v>
      </c>
      <c r="K112" s="47">
        <v>21.762753</v>
      </c>
      <c r="L112" s="47">
        <v>15.261555</v>
      </c>
      <c r="M112" s="47">
        <v>3.5244346000000002</v>
      </c>
      <c r="N112" s="47">
        <v>35.331620000000001</v>
      </c>
    </row>
    <row r="113" spans="1:14" x14ac:dyDescent="0.35">
      <c r="A113" s="2">
        <v>45175</v>
      </c>
      <c r="B113" s="40">
        <v>-1.5533148999999999</v>
      </c>
      <c r="C113" s="40">
        <v>5.6728125</v>
      </c>
      <c r="D113" s="40">
        <v>5.5645822999999996</v>
      </c>
      <c r="E113" s="40">
        <v>30.233156000000001</v>
      </c>
      <c r="F113" s="40">
        <v>21.840167999999998</v>
      </c>
      <c r="G113" s="40">
        <v>15.146922999999999</v>
      </c>
      <c r="H113" s="40">
        <v>14.00963</v>
      </c>
      <c r="I113" s="40">
        <v>28.789722000000001</v>
      </c>
      <c r="J113" s="40">
        <v>16.074656999999998</v>
      </c>
      <c r="K113" s="47">
        <v>29.35078</v>
      </c>
      <c r="L113" s="47">
        <v>24.512243000000002</v>
      </c>
      <c r="M113" s="47">
        <v>13.746297999999999</v>
      </c>
      <c r="N113" s="47">
        <v>42.500579999999999</v>
      </c>
    </row>
    <row r="114" spans="1:14" x14ac:dyDescent="0.35">
      <c r="A114" s="2">
        <v>45205</v>
      </c>
      <c r="B114" s="40">
        <v>9.9381330000000005</v>
      </c>
      <c r="C114" s="40">
        <v>8.6573239999999991</v>
      </c>
      <c r="D114" s="40">
        <v>5.6776759999999999</v>
      </c>
      <c r="E114" s="40">
        <v>31.062614</v>
      </c>
      <c r="F114" s="40">
        <v>19.101965</v>
      </c>
      <c r="G114" s="40">
        <v>17.155097999999999</v>
      </c>
      <c r="H114" s="40">
        <v>21.581531999999999</v>
      </c>
      <c r="I114" s="40">
        <v>31.249285</v>
      </c>
      <c r="J114" s="40">
        <v>16.926787999999998</v>
      </c>
      <c r="K114" s="47">
        <v>30.463636000000001</v>
      </c>
      <c r="L114" s="47">
        <v>20.285319999999999</v>
      </c>
      <c r="M114" s="47">
        <v>18.756378000000002</v>
      </c>
      <c r="N114" s="47">
        <v>41.494309999999999</v>
      </c>
    </row>
    <row r="115" spans="1:14" x14ac:dyDescent="0.35">
      <c r="A115" s="2">
        <v>45236</v>
      </c>
      <c r="B115" s="40">
        <v>1.24048</v>
      </c>
      <c r="C115" s="40">
        <v>5.6851624999999997</v>
      </c>
      <c r="D115" s="40">
        <v>3.3455490000000001</v>
      </c>
      <c r="E115" s="40">
        <v>20.056366000000001</v>
      </c>
      <c r="F115" s="40">
        <v>21.425270000000001</v>
      </c>
      <c r="G115" s="40">
        <v>11.929392999999999</v>
      </c>
      <c r="H115" s="40">
        <v>12.697756</v>
      </c>
      <c r="I115" s="40">
        <v>40.442689999999999</v>
      </c>
      <c r="J115" s="40">
        <v>17.608225000000001</v>
      </c>
      <c r="K115" s="47">
        <v>18.369139000000001</v>
      </c>
      <c r="L115" s="47">
        <v>19.752407000000002</v>
      </c>
      <c r="M115" s="47">
        <v>8.3308579999999992</v>
      </c>
      <c r="N115" s="47">
        <v>29.784905999999999</v>
      </c>
    </row>
    <row r="116" spans="1:14" x14ac:dyDescent="0.35">
      <c r="A116" s="2">
        <v>45266</v>
      </c>
      <c r="B116" s="40">
        <v>-3.9348006</v>
      </c>
      <c r="C116" s="40">
        <v>1.4471172999999999</v>
      </c>
      <c r="D116" s="40">
        <v>5.6603430000000001</v>
      </c>
      <c r="E116" s="40">
        <v>17.861425000000001</v>
      </c>
      <c r="F116" s="40">
        <v>15.868652000000001</v>
      </c>
      <c r="G116" s="40">
        <v>9.8826999999999998</v>
      </c>
      <c r="H116" s="40">
        <v>5.8588861999999997</v>
      </c>
      <c r="I116" s="40">
        <v>37.628365000000002</v>
      </c>
      <c r="J116" s="40">
        <v>17.307435999999999</v>
      </c>
      <c r="K116" s="47">
        <v>14.804686</v>
      </c>
      <c r="L116" s="47">
        <v>11.658859</v>
      </c>
      <c r="M116" s="47">
        <v>10.533154</v>
      </c>
      <c r="N116" s="47">
        <v>25.621784000000002</v>
      </c>
    </row>
    <row r="117" spans="1:14" x14ac:dyDescent="0.35">
      <c r="A117" s="2">
        <v>45296</v>
      </c>
      <c r="B117" s="40">
        <v>1.0907887999999999</v>
      </c>
      <c r="C117" s="40">
        <v>11.333740000000001</v>
      </c>
      <c r="D117" s="40">
        <v>13.188648000000001</v>
      </c>
      <c r="E117" s="40">
        <v>16.01981</v>
      </c>
      <c r="F117" s="40">
        <v>21.430433000000001</v>
      </c>
      <c r="G117" s="40">
        <v>13.499737</v>
      </c>
      <c r="H117" s="40">
        <v>10.483503000000001</v>
      </c>
      <c r="I117" s="40">
        <v>52.719486000000003</v>
      </c>
      <c r="J117" s="40">
        <v>25.226306999999998</v>
      </c>
      <c r="K117" s="47">
        <v>15.317524000000001</v>
      </c>
      <c r="L117" s="47">
        <v>13.530111</v>
      </c>
      <c r="M117" s="47">
        <v>17.330456000000002</v>
      </c>
      <c r="N117" s="47">
        <v>25.745142000000001</v>
      </c>
    </row>
    <row r="118" spans="1:14" x14ac:dyDescent="0.35">
      <c r="A118" s="2">
        <v>45328</v>
      </c>
      <c r="B118" s="40">
        <v>-6.6389027</v>
      </c>
      <c r="C118" s="40">
        <v>1.1222601000000001</v>
      </c>
      <c r="D118" s="40">
        <v>5.2458166999999998</v>
      </c>
      <c r="E118" s="40">
        <v>7.1423410000000001</v>
      </c>
      <c r="F118" s="40">
        <v>17.480612000000001</v>
      </c>
      <c r="G118" s="40">
        <v>7.6983094000000003</v>
      </c>
      <c r="H118" s="40">
        <v>6.6410900000000002</v>
      </c>
      <c r="I118" s="40">
        <v>41.814995000000003</v>
      </c>
      <c r="J118" s="40">
        <v>22.378195000000002</v>
      </c>
      <c r="K118" s="47">
        <v>8.7213399999999996</v>
      </c>
      <c r="L118" s="47">
        <v>11.810981999999999</v>
      </c>
      <c r="M118" s="47">
        <v>7.9097749999999998</v>
      </c>
      <c r="N118" s="47">
        <v>16.934657999999999</v>
      </c>
    </row>
    <row r="119" spans="1:14" x14ac:dyDescent="0.35">
      <c r="A119" s="2">
        <v>45357</v>
      </c>
      <c r="B119" s="40">
        <v>-4.3920874999999997</v>
      </c>
      <c r="C119" s="40">
        <v>8.9988469999999996</v>
      </c>
      <c r="D119" s="40">
        <v>10.099745</v>
      </c>
      <c r="E119" s="40">
        <v>12.700832</v>
      </c>
      <c r="F119" s="40">
        <v>27.024947999999998</v>
      </c>
      <c r="G119" s="40">
        <v>10.149277</v>
      </c>
      <c r="H119" s="40">
        <v>6.0537934</v>
      </c>
      <c r="I119" s="40">
        <v>47.261284000000003</v>
      </c>
      <c r="J119" s="40">
        <v>27.958548</v>
      </c>
      <c r="K119" s="47">
        <v>11.607492000000001</v>
      </c>
      <c r="L119" s="47">
        <v>19.645918000000002</v>
      </c>
      <c r="M119" s="47">
        <v>14.225876</v>
      </c>
      <c r="N119" s="47">
        <v>23.01587</v>
      </c>
    </row>
    <row r="120" spans="1:14" x14ac:dyDescent="0.35">
      <c r="A120" s="2">
        <v>45387</v>
      </c>
      <c r="B120" s="40">
        <v>-6.4581036999999997</v>
      </c>
      <c r="C120" s="40">
        <v>10.609829</v>
      </c>
      <c r="D120" s="40">
        <v>13.604604999999999</v>
      </c>
      <c r="E120" s="40">
        <v>13.544297</v>
      </c>
      <c r="F120" s="40">
        <v>22.898779999999999</v>
      </c>
      <c r="G120" s="40">
        <v>4.3041587000000003</v>
      </c>
      <c r="H120" s="40">
        <v>8.7130550000000007</v>
      </c>
      <c r="I120" s="40">
        <v>40.352595999999998</v>
      </c>
      <c r="J120" s="40">
        <v>29.043686000000001</v>
      </c>
      <c r="K120" s="47">
        <v>10.421646000000001</v>
      </c>
      <c r="L120" s="47">
        <v>21.004639999999998</v>
      </c>
      <c r="M120" s="47">
        <v>17.380500000000001</v>
      </c>
      <c r="N120" s="47">
        <v>26.135611999999998</v>
      </c>
    </row>
    <row r="121" spans="1:14" x14ac:dyDescent="0.35">
      <c r="A121" s="2">
        <v>45418</v>
      </c>
      <c r="B121" s="40">
        <v>-7.1645500000000002</v>
      </c>
      <c r="C121" s="40">
        <v>8.9881060000000002</v>
      </c>
      <c r="D121" s="40">
        <v>10.101222999999999</v>
      </c>
      <c r="E121" s="40">
        <v>8.9511760000000002</v>
      </c>
      <c r="F121" s="40">
        <v>19.520878</v>
      </c>
      <c r="G121" s="40">
        <v>-2.666849</v>
      </c>
      <c r="H121" s="40">
        <v>9.4608070000000009</v>
      </c>
      <c r="I121" s="40">
        <v>37.254300000000001</v>
      </c>
      <c r="J121" s="40">
        <v>27.013313</v>
      </c>
      <c r="K121" s="47">
        <v>6.8190812999999997</v>
      </c>
      <c r="L121" s="47">
        <v>19.647179999999999</v>
      </c>
      <c r="M121" s="47">
        <v>9.9698910000000005</v>
      </c>
      <c r="N121" s="47">
        <v>21.18863</v>
      </c>
    </row>
    <row r="122" spans="1:14" x14ac:dyDescent="0.35">
      <c r="A122" s="2">
        <v>45449</v>
      </c>
      <c r="B122">
        <v>0.59335230000000005</v>
      </c>
      <c r="C122">
        <v>14.983929</v>
      </c>
      <c r="D122">
        <v>12.649226000000001</v>
      </c>
      <c r="E122">
        <v>16.554736999999999</v>
      </c>
      <c r="F122">
        <v>12.16948</v>
      </c>
      <c r="G122">
        <v>9.7215290000000003</v>
      </c>
      <c r="H122">
        <v>16.231954999999999</v>
      </c>
      <c r="I122">
        <v>31.454826000000001</v>
      </c>
      <c r="J122">
        <v>26.731418999999999</v>
      </c>
      <c r="K122" s="47">
        <v>15.503920000000001</v>
      </c>
      <c r="L122" s="47">
        <v>26.369845999999999</v>
      </c>
      <c r="M122" s="47">
        <v>24.677966999999999</v>
      </c>
      <c r="N122" s="47">
        <v>31.537877999999999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-31.468582000000001</v>
      </c>
      <c r="C126" s="40" cm="1">
        <f t="array" ref="C126">MIN(_xlfn._xlws.FILTER(C2:C122, ISNUMBER(C2:C122)))</f>
        <v>-31.930900000000001</v>
      </c>
      <c r="D126" s="40" cm="1">
        <f t="array" ref="D126">MIN(_xlfn._xlws.FILTER(D2:D122, ISNUMBER(D2:D122)))</f>
        <v>-27.210014000000001</v>
      </c>
      <c r="E126" s="40" cm="1">
        <f t="array" ref="E126">MIN(_xlfn._xlws.FILTER(E2:E122, ISNUMBER(E2:E122)))</f>
        <v>-36.372</v>
      </c>
      <c r="F126" s="40" cm="1">
        <f t="array" ref="F126">MIN(_xlfn._xlws.FILTER(F2:F122, ISNUMBER(F2:F122)))</f>
        <v>-26.548570000000002</v>
      </c>
      <c r="G126" s="40" cm="1">
        <f t="array" ref="G126">MIN(_xlfn._xlws.FILTER(G2:G122, ISNUMBER(G2:G122)))</f>
        <v>-21.577942</v>
      </c>
      <c r="H126" s="40" cm="1">
        <f t="array" ref="H126">MIN(_xlfn._xlws.FILTER(H2:H122, ISNUMBER(H2:H122)))</f>
        <v>-27.255375000000001</v>
      </c>
      <c r="I126" s="40" cm="1">
        <f t="array" ref="I126">MIN(_xlfn._xlws.FILTER(I2:I122, ISNUMBER(I2:I122)))</f>
        <v>-33.122017</v>
      </c>
      <c r="J126" s="40" cm="1">
        <f t="array" ref="J126">MIN(_xlfn._xlws.FILTER(J2:J122, ISNUMBER(J2:J122)))</f>
        <v>-18.173079999999999</v>
      </c>
      <c r="K126" s="40" cm="1">
        <f t="array" ref="K126">MIN(_xlfn._xlws.FILTER(K2:K122, ISNUMBER(K2:K122)))</f>
        <v>-21.282022000000001</v>
      </c>
      <c r="L126" s="40" cm="1">
        <f t="array" ref="L126">MIN(_xlfn._xlws.FILTER(L2:L122, ISNUMBER(L2:L122)))</f>
        <v>-37.078403000000002</v>
      </c>
      <c r="M126" s="40" cm="1">
        <f t="array" ref="M126">MIN(_xlfn._xlws.FILTER(M2:M122, ISNUMBER(M2:M122)))</f>
        <v>-35.925409999999999</v>
      </c>
      <c r="N126" s="40" cm="1">
        <f t="array" ref="N126">MIN(_xlfn._xlws.FILTER(N2:N122, ISNUMBER(N2:N122)))</f>
        <v>-28.203785</v>
      </c>
    </row>
    <row r="127" spans="1:14" x14ac:dyDescent="0.35">
      <c r="A127" s="2" t="s">
        <v>393</v>
      </c>
      <c r="B127" s="42" cm="1">
        <f t="array" ref="B127">MAX(_xlfn._xlws.FILTER(B1:B122, ISNUMBER(B1:B122)))</f>
        <v>61.626469999999998</v>
      </c>
      <c r="C127" s="42" cm="1">
        <f t="array" ref="C127">MAX(_xlfn._xlws.FILTER(C1:C122, ISNUMBER(C1:C122)))</f>
        <v>65.022130000000004</v>
      </c>
      <c r="D127" s="42" cm="1">
        <f t="array" ref="D127">MAX(_xlfn._xlws.FILTER(D1:D122, ISNUMBER(D1:D122)))</f>
        <v>60.578856999999999</v>
      </c>
      <c r="E127" s="42" cm="1">
        <f t="array" ref="E127">MAX(_xlfn._xlws.FILTER(E1:E122, ISNUMBER(E1:E122)))</f>
        <v>61.077117999999999</v>
      </c>
      <c r="F127" s="42" cm="1">
        <f t="array" ref="F127">MAX(_xlfn._xlws.FILTER(F1:F122, ISNUMBER(F1:F122)))</f>
        <v>41.412757999999997</v>
      </c>
      <c r="G127" s="42" cm="1">
        <f t="array" ref="G127">MAX(_xlfn._xlws.FILTER(G1:G122, ISNUMBER(G1:G122)))</f>
        <v>31.533740999999999</v>
      </c>
      <c r="H127" s="42" cm="1">
        <f t="array" ref="H127">MAX(_xlfn._xlws.FILTER(H1:H122, ISNUMBER(H1:H122)))</f>
        <v>39.762093</v>
      </c>
      <c r="I127" s="42" cm="1">
        <f t="array" ref="I127">MAX(_xlfn._xlws.FILTER(I1:I122, ISNUMBER(I1:I122)))</f>
        <v>69.424210000000002</v>
      </c>
      <c r="J127" s="42" cm="1">
        <f t="array" ref="J127">MAX(_xlfn._xlws.FILTER(J1:J122, ISNUMBER(J1:J122)))</f>
        <v>55.807685999999997</v>
      </c>
      <c r="K127" s="42" cm="1">
        <f t="array" ref="K127">MAX(_xlfn._xlws.FILTER(K1:K122, ISNUMBER(K1:K122)))</f>
        <v>63.083767000000002</v>
      </c>
      <c r="L127" s="42" cm="1">
        <f t="array" ref="L127">MAX(_xlfn._xlws.FILTER(L1:L122, ISNUMBER(L1:L122)))</f>
        <v>81.420919999999995</v>
      </c>
      <c r="M127" s="42" cm="1">
        <f t="array" ref="M127">MAX(_xlfn._xlws.FILTER(M1:M122, ISNUMBER(M1:M122)))</f>
        <v>84.057259999999999</v>
      </c>
      <c r="N127" s="42" cm="1">
        <f t="array" ref="N127">MAX(_xlfn._xlws.FILTER(N1:N122, ISNUMBER(N1:N122)))</f>
        <v>62.968983000000001</v>
      </c>
    </row>
    <row r="128" spans="1:14" x14ac:dyDescent="0.35">
      <c r="A128" s="2" t="s">
        <v>394</v>
      </c>
      <c r="B128" s="40" cm="1">
        <f t="array" ref="B128">MEDIAN(_xlfn._xlws.FILTER(B1:B122, ISNUMBER(B1:B122)))</f>
        <v>8.2161539999999995</v>
      </c>
      <c r="C128" s="40" cm="1">
        <f t="array" ref="C128">MEDIAN(_xlfn._xlws.FILTER(C1:C122, ISNUMBER(C1:C122)))</f>
        <v>3.4651755999999998</v>
      </c>
      <c r="D128" s="40" cm="1">
        <f t="array" ref="D128">MEDIAN(_xlfn._xlws.FILTER(D1:D122, ISNUMBER(D1:D122)))</f>
        <v>4.4286130000000004</v>
      </c>
      <c r="E128" s="40" cm="1">
        <f t="array" ref="E128">MEDIAN(_xlfn._xlws.FILTER(E1:E122, ISNUMBER(E1:E122)))</f>
        <v>5.5229545</v>
      </c>
      <c r="F128" s="40" cm="1">
        <f t="array" ref="F128">MEDIAN(_xlfn._xlws.FILTER(F1:F122, ISNUMBER(F1:F122)))</f>
        <v>6.9600939999999998</v>
      </c>
      <c r="G128" s="40" cm="1">
        <f t="array" ref="G128">MEDIAN(_xlfn._xlws.FILTER(G1:G122, ISNUMBER(G1:G122)))</f>
        <v>8.3144899999999993</v>
      </c>
      <c r="H128" s="40" cm="1">
        <f t="array" ref="H128">MEDIAN(_xlfn._xlws.FILTER(H1:H122, ISNUMBER(H1:H122)))</f>
        <v>1.3268352000000001</v>
      </c>
      <c r="I128" s="40" cm="1">
        <f t="array" ref="I128">MEDIAN(_xlfn._xlws.FILTER(I1:I122, ISNUMBER(I1:I122)))</f>
        <v>23.108219999999999</v>
      </c>
      <c r="J128" s="40" cm="1">
        <f t="array" ref="J128">MEDIAN(_xlfn._xlws.FILTER(J1:J122, ISNUMBER(J1:J122)))</f>
        <v>15.386808</v>
      </c>
      <c r="K128" s="40" cm="1">
        <f t="array" ref="K128">MEDIAN(_xlfn._xlws.FILTER(K1:K122, ISNUMBER(K1:K122)))</f>
        <v>4.6958327000000004</v>
      </c>
      <c r="L128" s="40" cm="1">
        <f t="array" ref="L128">MEDIAN(_xlfn._xlws.FILTER(L1:L122, ISNUMBER(L1:L122)))</f>
        <v>9.2087749999999993</v>
      </c>
      <c r="M128" s="40" cm="1">
        <f t="array" ref="M128">MEDIAN(_xlfn._xlws.FILTER(M1:M122, ISNUMBER(M1:M122)))</f>
        <v>3.0958294999999998</v>
      </c>
      <c r="N128" s="40" cm="1">
        <f t="array" ref="N128">MEDIAN(_xlfn._xlws.FILTER(N1:N122, ISNUMBER(N1:N122)))</f>
        <v>3.7394881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15</v>
      </c>
      <c r="C130">
        <f>COUNTIF(C2:C122, "&lt;"&amp;Assumption!$F$50)</f>
        <v>19</v>
      </c>
      <c r="D130">
        <f>COUNTIF(D2:D122, "&lt;"&amp;Assumption!$F$50)</f>
        <v>18</v>
      </c>
      <c r="E130">
        <f>COUNTIF(E2:E122, "&lt;"&amp;Assumption!$F$50)</f>
        <v>30</v>
      </c>
      <c r="F130">
        <f>COUNTIF(F2:F122, "&lt;"&amp;Assumption!$F$50)</f>
        <v>13</v>
      </c>
      <c r="G130">
        <f>COUNTIF(G2:G122, "&lt;"&amp;Assumption!$F$50)</f>
        <v>8</v>
      </c>
      <c r="H130">
        <f>COUNTIF(H2:H122, "&lt;"&amp;Assumption!$F$50)</f>
        <v>20</v>
      </c>
      <c r="I130">
        <f>COUNTIF(I2:I122, "&lt;"&amp;Assumption!$F$50)</f>
        <v>9</v>
      </c>
      <c r="J130">
        <f>COUNTIF(J2:J122, "&lt;"&amp;Assumption!$F$50)</f>
        <v>6</v>
      </c>
      <c r="K130">
        <f>COUNTIF(K2:K122, "&lt;"&amp;Assumption!$F$50)</f>
        <v>15</v>
      </c>
      <c r="L130">
        <f>COUNTIF(L2:L122, "&lt;"&amp;Assumption!$F$50)</f>
        <v>12</v>
      </c>
      <c r="M130">
        <f>COUNTIF(M2:M122, "&lt;"&amp;Assumption!$F$50)</f>
        <v>22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0.12396694214876033</v>
      </c>
      <c r="C133" s="9">
        <f t="shared" si="2"/>
        <v>0.15702479338842976</v>
      </c>
      <c r="D133" s="9">
        <f t="shared" si="2"/>
        <v>0.1487603305785124</v>
      </c>
      <c r="E133" s="9">
        <f t="shared" si="2"/>
        <v>0.24793388429752067</v>
      </c>
      <c r="F133" s="9">
        <f t="shared" si="2"/>
        <v>0.10743801652892562</v>
      </c>
      <c r="G133" s="9">
        <f t="shared" si="2"/>
        <v>6.6115702479338845E-2</v>
      </c>
      <c r="H133" s="9">
        <f t="shared" si="2"/>
        <v>0.16528925619834711</v>
      </c>
      <c r="I133" s="9">
        <f t="shared" si="2"/>
        <v>7.43801652892562E-2</v>
      </c>
      <c r="J133" s="9">
        <f t="shared" si="2"/>
        <v>4.9586776859504134E-2</v>
      </c>
      <c r="K133" s="9">
        <f t="shared" ref="K133:N133" si="3">K130/K131</f>
        <v>0.12396694214876033</v>
      </c>
      <c r="L133" s="9">
        <f t="shared" si="3"/>
        <v>9.9173553719008267E-2</v>
      </c>
      <c r="M133" s="9">
        <f t="shared" si="3"/>
        <v>0.18181818181818182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0.20399999999999999</v>
      </c>
      <c r="C136" s="40" cm="1">
        <f t="array" ref="C136">_xlfn.PERCENTRANK.EXC(_xlfn._xlws.FILTER(C2:C122, ISNUMBER(C2:C122)),C120)</f>
        <v>0.66300000000000003</v>
      </c>
      <c r="D136" s="40" cm="1">
        <f t="array" ref="D136">_xlfn.PERCENTRANK.EXC(_xlfn._xlws.FILTER(D2:D122, ISNUMBER(D2:D122)),D120)</f>
        <v>0.745</v>
      </c>
      <c r="E136" s="40" cm="1">
        <f t="array" ref="E136">_xlfn.PERCENTRANK.EXC(_xlfn._xlws.FILTER(E2:E122, ISNUMBER(E2:E122)),E120)</f>
        <v>0.66300000000000003</v>
      </c>
      <c r="F136" s="40" cm="1">
        <f t="array" ref="F136">_xlfn.PERCENTRANK.EXC(_xlfn._xlws.FILTER(F2:F122, ISNUMBER(F2:F122)),F120)</f>
        <v>0.93400000000000005</v>
      </c>
      <c r="G136" s="40" cm="1">
        <f t="array" ref="G136">_xlfn.PERCENTRANK.EXC(_xlfn._xlws.FILTER(G2:G122, ISNUMBER(G2:G122)),G120)</f>
        <v>0.42599999999999999</v>
      </c>
      <c r="H136" s="40" cm="1">
        <f t="array" ref="H136">_xlfn.PERCENTRANK.EXC(_xlfn._xlws.FILTER(H2:H122, ISNUMBER(H2:H122)),H120)</f>
        <v>0.64700000000000002</v>
      </c>
      <c r="I136" s="40" cm="1">
        <f t="array" ref="I136">_xlfn.PERCENTRANK.EXC(_xlfn._xlws.FILTER(I2:I122, ISNUMBER(I2:I122)),I120)</f>
        <v>0.86799999999999999</v>
      </c>
      <c r="J136" s="40" cm="1">
        <f t="array" ref="J136">_xlfn.PERCENTRANK.EXC(_xlfn._xlws.FILTER(J2:J122, ISNUMBER(J2:J122)),J120)</f>
        <v>0.90900000000000003</v>
      </c>
      <c r="K136" s="40" cm="1">
        <f t="array" ref="K136">_xlfn.PERCENTRANK.EXC(_xlfn._xlws.FILTER(K2:K122, ISNUMBER(K2:K122)),K120)</f>
        <v>0.57299999999999995</v>
      </c>
      <c r="L136" s="40" cm="1">
        <f t="array" ref="L136">_xlfn.PERCENTRANK.EXC(_xlfn._xlws.FILTER(L2:L122, ISNUMBER(L2:L122)),L120)</f>
        <v>0.72899999999999998</v>
      </c>
      <c r="M136" s="40" cm="1">
        <f t="array" ref="M136">_xlfn.PERCENTRANK.EXC(_xlfn._xlws.FILTER(M2:M122, ISNUMBER(M2:M122)),M120)</f>
        <v>0.745</v>
      </c>
      <c r="N136" s="40" cm="1">
        <f t="array" ref="N136">_xlfn.PERCENTRANK.EXC(_xlfn._xlws.FILTER(N2:N122, ISNUMBER(N2:N122)),N120)</f>
        <v>0.76200000000000001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0.188</v>
      </c>
      <c r="C137" s="40" cm="1">
        <f t="array" ref="C137">_xlfn.PERCENTRANK.EXC(_xlfn._xlws.FILTER(C2:C122, ISNUMBER(C2:C122)),C121)</f>
        <v>0.61399999999999999</v>
      </c>
      <c r="D137" s="40" cm="1">
        <f t="array" ref="D137">_xlfn.PERCENTRANK.EXC(_xlfn._xlws.FILTER(D2:D122, ISNUMBER(D2:D122)),D121)</f>
        <v>0.66300000000000003</v>
      </c>
      <c r="E137" s="40" cm="1">
        <f t="array" ref="E137">_xlfn.PERCENTRANK.EXC(_xlfn._xlws.FILTER(E2:E122, ISNUMBER(E2:E122)),E121)</f>
        <v>0.58099999999999996</v>
      </c>
      <c r="F137" s="40" cm="1">
        <f t="array" ref="F137">_xlfn.PERCENTRANK.EXC(_xlfn._xlws.FILTER(F2:F122, ISNUMBER(F2:F122)),F121)</f>
        <v>0.85199999999999998</v>
      </c>
      <c r="G137" s="40" cm="1">
        <f t="array" ref="G137">_xlfn.PERCENTRANK.EXC(_xlfn._xlws.FILTER(G2:G122, ISNUMBER(G2:G122)),G121)</f>
        <v>0.22900000000000001</v>
      </c>
      <c r="H137" s="40" cm="1">
        <f t="array" ref="H137">_xlfn.PERCENTRANK.EXC(_xlfn._xlws.FILTER(H2:H122, ISNUMBER(H2:H122)),H121)</f>
        <v>0.68</v>
      </c>
      <c r="I137" s="40" cm="1">
        <f t="array" ref="I137">_xlfn.PERCENTRANK.EXC(_xlfn._xlws.FILTER(I2:I122, ISNUMBER(I2:I122)),I121)</f>
        <v>0.83599999999999997</v>
      </c>
      <c r="J137" s="40" cm="1">
        <f t="array" ref="J137">_xlfn.PERCENTRANK.EXC(_xlfn._xlws.FILTER(J2:J122, ISNUMBER(J2:J122)),J121)</f>
        <v>0.89300000000000002</v>
      </c>
      <c r="K137" s="40" cm="1">
        <f t="array" ref="K137">_xlfn.PERCENTRANK.EXC(_xlfn._xlws.FILTER(K2:K122, ISNUMBER(K2:K122)),K121)</f>
        <v>0.54</v>
      </c>
      <c r="L137" s="40" cm="1">
        <f t="array" ref="L137">_xlfn.PERCENTRANK.EXC(_xlfn._xlws.FILTER(L2:L122, ISNUMBER(L2:L122)),L121)</f>
        <v>0.69599999999999995</v>
      </c>
      <c r="M137" s="40" cm="1">
        <f t="array" ref="M137">_xlfn.PERCENTRANK.EXC(_xlfn._xlws.FILTER(M2:M122, ISNUMBER(M2:M122)),M121)</f>
        <v>0.60599999999999998</v>
      </c>
      <c r="N137" s="40" cm="1">
        <f t="array" ref="N137">_xlfn.PERCENTRANK.EXC(_xlfn._xlws.FILTER(N2:N122, ISNUMBER(N2:N122)),N121)</f>
        <v>0.70399999999999996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0.33600000000000002</v>
      </c>
      <c r="C138" s="40" cm="1">
        <f t="array" ref="C138">_xlfn.PERCENTRANK.EXC(_xlfn._xlws.FILTER(C2:C122, ISNUMBER(C2:C122)),C122)</f>
        <v>0.77800000000000002</v>
      </c>
      <c r="D138" s="40" cm="1">
        <f t="array" ref="D138">_xlfn.PERCENTRANK.EXC(_xlfn._xlws.FILTER(D2:D122, ISNUMBER(D2:D122)),D122)</f>
        <v>0.72899999999999998</v>
      </c>
      <c r="E138" s="40" cm="1">
        <f t="array" ref="E138">_xlfn.PERCENTRANK.EXC(_xlfn._xlws.FILTER(E2:E122, ISNUMBER(E2:E122)),E122)</f>
        <v>0.745</v>
      </c>
      <c r="F138" s="40" cm="1">
        <f t="array" ref="F138">_xlfn.PERCENTRANK.EXC(_xlfn._xlws.FILTER(F2:F122, ISNUMBER(F2:F122)),F122)</f>
        <v>0.63900000000000001</v>
      </c>
      <c r="G138" s="40" cm="1">
        <f t="array" ref="G138">_xlfn.PERCENTRANK.EXC(_xlfn._xlws.FILTER(G2:G122, ISNUMBER(G2:G122)),G122)</f>
        <v>0.56499999999999995</v>
      </c>
      <c r="H138" s="40" cm="1">
        <f t="array" ref="H138">_xlfn.PERCENTRANK.EXC(_xlfn._xlws.FILTER(H2:H122, ISNUMBER(H2:H122)),H122)</f>
        <v>0.85199999999999998</v>
      </c>
      <c r="I138" s="40" cm="1">
        <f t="array" ref="I138">_xlfn.PERCENTRANK.EXC(_xlfn._xlws.FILTER(I2:I122, ISNUMBER(I2:I122)),I122)</f>
        <v>0.72899999999999998</v>
      </c>
      <c r="J138" s="40" cm="1">
        <f t="array" ref="J138">_xlfn.PERCENTRANK.EXC(_xlfn._xlws.FILTER(J2:J122, ISNUMBER(J2:J122)),J122)</f>
        <v>0.877</v>
      </c>
      <c r="K138" s="40" cm="1">
        <f t="array" ref="K138">_xlfn.PERCENTRANK.EXC(_xlfn._xlws.FILTER(K2:K122, ISNUMBER(K2:K122)),K122)</f>
        <v>0.69599999999999995</v>
      </c>
      <c r="L138" s="40" cm="1">
        <f t="array" ref="L138">_xlfn.PERCENTRANK.EXC(_xlfn._xlws.FILTER(L2:L122, ISNUMBER(L2:L122)),L122)</f>
        <v>0.82699999999999996</v>
      </c>
      <c r="M138" s="40" cm="1">
        <f t="array" ref="M138">_xlfn.PERCENTRANK.EXC(_xlfn._xlws.FILTER(M2:M122, ISNUMBER(M2:M122)),M122)</f>
        <v>0.83599999999999997</v>
      </c>
      <c r="N138" s="40" cm="1">
        <f t="array" ref="N138">_xlfn.PERCENTRANK.EXC(_xlfn._xlws.FILTER(N2:N122, ISNUMBER(N2:N122)),N122)</f>
        <v>0.81100000000000005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0.24266666666666667</v>
      </c>
      <c r="C140" s="40">
        <f t="shared" si="4"/>
        <v>0.68500000000000005</v>
      </c>
      <c r="D140" s="40">
        <f t="shared" si="4"/>
        <v>0.71233333333333337</v>
      </c>
      <c r="E140" s="40">
        <f t="shared" si="4"/>
        <v>0.66299999999999992</v>
      </c>
      <c r="F140" s="40">
        <f t="shared" si="4"/>
        <v>0.80833333333333324</v>
      </c>
      <c r="G140" s="40">
        <f t="shared" si="4"/>
        <v>0.40666666666666668</v>
      </c>
      <c r="H140" s="40">
        <f t="shared" si="4"/>
        <v>0.72633333333333328</v>
      </c>
      <c r="I140" s="40">
        <f t="shared" si="4"/>
        <v>0.81099999999999994</v>
      </c>
      <c r="J140" s="40">
        <f t="shared" si="4"/>
        <v>0.89300000000000013</v>
      </c>
      <c r="K140" s="40">
        <f t="shared" ref="K140:N140" si="5">AVERAGE(K136:K138)</f>
        <v>0.60299999999999998</v>
      </c>
      <c r="L140" s="40">
        <f t="shared" si="5"/>
        <v>0.75066666666666659</v>
      </c>
      <c r="M140" s="40">
        <f t="shared" si="5"/>
        <v>0.72899999999999998</v>
      </c>
      <c r="N140" s="40">
        <f t="shared" si="5"/>
        <v>0.75900000000000001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2.5348579458565901</v>
      </c>
      <c r="I17">
        <v>9.3523184569568798</v>
      </c>
      <c r="J17">
        <v>17.729435430702701</v>
      </c>
      <c r="K17">
        <v>2.19705971628031</v>
      </c>
      <c r="L17">
        <v>1.9908579954138399</v>
      </c>
      <c r="M17">
        <v>2.0450009255916499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3.6778954217796298</v>
      </c>
      <c r="G18">
        <v>2.3686407868237098</v>
      </c>
      <c r="H18">
        <v>2.0346384172037402</v>
      </c>
      <c r="I18">
        <v>10.4260783076313</v>
      </c>
      <c r="J18">
        <v>16.661770333783501</v>
      </c>
      <c r="K18">
        <v>1.85109750631934</v>
      </c>
      <c r="L18">
        <v>2.0089294605542301</v>
      </c>
      <c r="M18">
        <v>2.2131087372995299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2.7142722434063198</v>
      </c>
      <c r="I19">
        <v>13.6402697494705</v>
      </c>
      <c r="J19">
        <v>22.276707388058099</v>
      </c>
      <c r="K19">
        <v>2.4608174704197099</v>
      </c>
      <c r="L19">
        <v>2.4360180794544801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3.12760121442787</v>
      </c>
      <c r="I20">
        <v>12.7503134568906</v>
      </c>
      <c r="J20">
        <v>22.968710470643401</v>
      </c>
      <c r="K20">
        <v>2.8026651874748301</v>
      </c>
      <c r="L20">
        <v>2.4294142632387001</v>
      </c>
      <c r="M20">
        <v>2.56381617157873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4.5665392599762997</v>
      </c>
      <c r="G21">
        <v>2.8642965748709601</v>
      </c>
      <c r="H21">
        <v>3.0028044332351</v>
      </c>
      <c r="I21">
        <v>16.324300193822801</v>
      </c>
      <c r="J21">
        <v>24.344986801425499</v>
      </c>
      <c r="K21">
        <v>2.9207046805667498</v>
      </c>
      <c r="L21">
        <v>2.9556075049707502</v>
      </c>
      <c r="M21">
        <v>2.5100925867761701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2.4109021785172935E-2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3.7127108177381629E-3</v>
      </c>
      <c r="I25" s="48" cm="1">
        <f t="array" ref="I25">(I21/INDEX(I2:I21,MATCH(TRUE,INDEX(ISNUMBER(I2:I21),0),0)))^(1/I23)-1</f>
        <v>0.12988959959643998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1.8533351270464848E-2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2.4305006375947569E-2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1.6166841999999999</v>
      </c>
      <c r="E3" cm="1">
        <f t="array" ref="E3">_xll.FDSB(B3,"FG_PRICE_CHANGE(0,-1AY)")</f>
        <v>-1.9804358</v>
      </c>
      <c r="F3" cm="1">
        <f t="array" ref="F3">_xll.FDSB(B3,"FG_PRICE_CHANGE(0,-1AM)")</f>
        <v>-2.8130293000000002</v>
      </c>
      <c r="G3" cm="1">
        <f t="array" ref="G3">_xll.FDSB(B3,"FG_PRICE_CHANGE(0,-3AM)")</f>
        <v>-0.92151165000000002</v>
      </c>
      <c r="H3" cm="1">
        <f t="array" ref="H3">_xll.FDSB(B3,"FG_PRICE_CHANGE(0,-6AM)")</f>
        <v>-0.43650270000000002</v>
      </c>
      <c r="I3" cm="1">
        <f t="array" ref="I3">_xll.FDS(B3,"STD(FG_PRICE_CHANGE(0,-1AY,AM))")</f>
        <v>2.4340151304184698</v>
      </c>
      <c r="J3" cm="1">
        <f t="array" ref="J3">_xll.FDS(B3,"STD(FG_PRICE_CHANGE(0,-3AY,M))")*SQRT(12)</f>
        <v>12.185271198993723</v>
      </c>
      <c r="L3">
        <f>(1-(_xlfn.PERCENTRANK.EXC($F$3:$F$15,F3)))*100</f>
        <v>85.8</v>
      </c>
      <c r="M3">
        <f>(1-(_xlfn.PERCENTRANK.EXC($G$3:$G$15,G3)))*100</f>
        <v>85.8</v>
      </c>
      <c r="N3">
        <f>(1-(_xlfn.PERCENTRANK.EXC($H$3:$H$15,H3)))*100</f>
        <v>64.3</v>
      </c>
      <c r="O3">
        <f>SUMPRODUCT($L$1:$N$1,L3:N3)</f>
        <v>77.2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42.18</v>
      </c>
      <c r="U3" cm="1">
        <f t="array" ref="U3">_xlfn.PERCENTRANK.EXC(_xlfn._xlws.FILTER(S$3:S$15, ISNUMBER(S$3:S$15)),S3)*100</f>
        <v>28.499999999999996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1.5035331999999999</v>
      </c>
      <c r="E4" cm="1">
        <f t="array" ref="E4">_xll.FDSB(B4,"FG_PRICE_CHANGE(0,-1AY)")</f>
        <v>0.16539097</v>
      </c>
      <c r="F4" cm="1">
        <f t="array" ref="F4">_xll.FDSB(B4,"FG_PRICE_CHANGE(0,-1AM)")</f>
        <v>-0.3683746</v>
      </c>
      <c r="G4" cm="1">
        <f t="array" ref="G4">_xll.FDSB(B4,"FG_PRICE_CHANGE(0,-3AM)")</f>
        <v>-1.2554525999999999</v>
      </c>
      <c r="H4" cm="1">
        <f t="array" ref="H4">_xll.FDSB(B4,"FG_PRICE_CHANGE(0,-6AM)")</f>
        <v>-1.0599970999999999</v>
      </c>
      <c r="I4" cm="1">
        <f t="array" ref="I4">_xll.FDS(B4,"STD(FG_PRICE_CHANGE(0,-1AY,AM))")</f>
        <v>1.78752893606908</v>
      </c>
      <c r="J4" cm="1">
        <f t="array" ref="J4">_xll.FDS(B4,"STD(FG_PRICE_CHANGE(0,-3AY,M))")*SQRT(12)</f>
        <v>10.709180994124006</v>
      </c>
      <c r="L4">
        <f t="shared" ref="L4:L15" si="1">(1-(_xlfn.PERCENTRANK.EXC($F$3:$F$15,F4)))*100</f>
        <v>42.900000000000006</v>
      </c>
      <c r="M4">
        <f t="shared" ref="M4:M15" si="2">(1-(_xlfn.PERCENTRANK.EXC($G$3:$G$15,G4)))*100</f>
        <v>92.9</v>
      </c>
      <c r="N4">
        <f t="shared" ref="N4:N15" si="3">(1-(_xlfn.PERCENTRANK.EXC($H$3:$H$15,H4)))*100</f>
        <v>85.8</v>
      </c>
      <c r="O4">
        <f t="shared" ref="O4:O11" si="4">SUMPRODUCT($L$1:$N$1,L4:N4)</f>
        <v>80.06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54.32</v>
      </c>
      <c r="U4" cm="1">
        <f t="array" ref="U4">_xlfn.PERCENTRANK.EXC(_xlfn._xlws.FILTER(S$3:S$15, ISNUMBER(S$3:S$15)),S4)*100</f>
        <v>50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1.3707499999999999</v>
      </c>
      <c r="E5" cm="1">
        <f t="array" ref="E5">_xll.FDSB(B5,"FG_PRICE_CHANGE(0,-1AY)")</f>
        <v>2.1994471999999998</v>
      </c>
      <c r="F5" cm="1">
        <f t="array" ref="F5">_xll.FDSB(B5,"FG_PRICE_CHANGE(0,-1AM)")</f>
        <v>0.39550066</v>
      </c>
      <c r="G5" cm="1">
        <f t="array" ref="G5">_xll.FDSB(B5,"FG_PRICE_CHANGE(0,-3AM)")</f>
        <v>1.4280915000000001</v>
      </c>
      <c r="H5" cm="1">
        <f t="array" ref="H5">_xll.FDSB(B5,"FG_PRICE_CHANGE(0,-6AM)")</f>
        <v>1.0616779000000001</v>
      </c>
      <c r="I5" cm="1">
        <f t="array" ref="I5">_xll.FDS(B5,"STD(FG_PRICE_CHANGE(0,-1AY,AM))")</f>
        <v>1.0080664668560599</v>
      </c>
      <c r="J5" cm="1">
        <f t="array" ref="J5">_xll.FDS(B5,"STD(FG_PRICE_CHANGE(0,-3AY,M))")*SQRT(12)</f>
        <v>6.3081289378868828</v>
      </c>
      <c r="L5">
        <f t="shared" si="1"/>
        <v>14.3</v>
      </c>
      <c r="M5">
        <f t="shared" si="2"/>
        <v>14.3</v>
      </c>
      <c r="N5">
        <f t="shared" si="3"/>
        <v>28.6</v>
      </c>
      <c r="O5">
        <f t="shared" si="4"/>
        <v>20.020000000000003</v>
      </c>
      <c r="P5">
        <f t="shared" si="5"/>
        <v>71.5</v>
      </c>
      <c r="Q5">
        <f>VLOOKUP(A5,CAD!$A$3:$J$15, 10, FALSE)</f>
        <v>42.8</v>
      </c>
      <c r="S5">
        <f t="shared" si="0"/>
        <v>40.020000000000003</v>
      </c>
      <c r="U5" cm="1">
        <f t="array" ref="U5">_xlfn.PERCENTRANK.EXC(_xlfn._xlws.FILTER(S$3:S$15, ISNUMBER(S$3:S$15)),S5)*100</f>
        <v>21.4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0.91924439999999996</v>
      </c>
      <c r="E6" cm="1">
        <f t="array" ref="E6">_xll.FDSB(B6,"FG_PRICE_CHANGE(0,-1AY)")</f>
        <v>-1.7281770999999999</v>
      </c>
      <c r="F6" cm="1">
        <f t="array" ref="F6">_xll.FDSB(B6,"FG_PRICE_CHANGE(0,-1AM)")</f>
        <v>-0.90085269999999995</v>
      </c>
      <c r="G6" cm="1">
        <f t="array" ref="G6">_xll.FDSB(B6,"FG_PRICE_CHANGE(0,-3AM)")</f>
        <v>0.26658773000000002</v>
      </c>
      <c r="H6" cm="1">
        <f t="array" ref="H6">_xll.FDSB(B6,"FG_PRICE_CHANGE(0,-6AM)")</f>
        <v>-0.80433489999999996</v>
      </c>
      <c r="I6" cm="1">
        <f t="array" ref="I6">_xll.FDS(B6,"STD(FG_PRICE_CHANGE(0,-1AY,AM))")</f>
        <v>1.82306558338501</v>
      </c>
      <c r="J6" cm="1">
        <f t="array" ref="J6">_xll.FDS(B6,"STD(FG_PRICE_CHANGE(0,-3AY,M))")*SQRT(12)</f>
        <v>7.5470689341391832</v>
      </c>
      <c r="L6">
        <f t="shared" si="1"/>
        <v>57.2</v>
      </c>
      <c r="M6">
        <f t="shared" si="2"/>
        <v>50</v>
      </c>
      <c r="N6">
        <f t="shared" si="3"/>
        <v>78.600000000000009</v>
      </c>
      <c r="O6">
        <f t="shared" si="4"/>
        <v>62.88000000000001</v>
      </c>
      <c r="P6">
        <f t="shared" si="5"/>
        <v>57.2</v>
      </c>
      <c r="Q6">
        <f>VLOOKUP(A6,CAD!$A$3:$J$15, 10, FALSE)</f>
        <v>78.5</v>
      </c>
      <c r="S6">
        <f t="shared" si="0"/>
        <v>64.300000000000011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156.01499999999999</v>
      </c>
      <c r="E7" cm="1">
        <f t="array" ref="E7">_xll.FDSB(B7,"FG_PRICE_CHANGE(0,-1AY)")</f>
        <v>11.610687</v>
      </c>
      <c r="F7" cm="1">
        <f t="array" ref="F7">_xll.FDSB(B7,"FG_PRICE_CHANGE(0,-1AM)")</f>
        <v>1.3413428999999999</v>
      </c>
      <c r="G7" cm="1">
        <f t="array" ref="G7">_xll.FDSB(B7,"FG_PRICE_CHANGE(0,-3AM)")</f>
        <v>4.4381975999999996</v>
      </c>
      <c r="H7" cm="1">
        <f t="array" ref="H7">_xll.FDSB(B7,"FG_PRICE_CHANGE(0,-6AM)")</f>
        <v>5.9776544999999999</v>
      </c>
      <c r="I7" cm="1">
        <f t="array" ref="I7">_xll.FDS(B7,"STD(FG_PRICE_CHANGE(0,-1AY,AM))")</f>
        <v>2.0312485605609898</v>
      </c>
      <c r="J7" cm="1">
        <f t="array" ref="J7">_xll.FDS(B7,"STD(FG_PRICE_CHANGE(0,-3AY,M))")*SQRT(12)</f>
        <v>10.542999528972377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0.89205000000000001</v>
      </c>
      <c r="E8" cm="1">
        <f t="array" ref="E8">_xll.FDSB(B8,"FG_PRICE_CHANGE(0,-1AY)")</f>
        <v>-1.8268823999999999</v>
      </c>
      <c r="F8" cm="1">
        <f t="array" ref="F8">_xll.FDSB(B8,"FG_PRICE_CHANGE(0,-1AM)")</f>
        <v>-1.4363766</v>
      </c>
      <c r="G8" cm="1">
        <f t="array" ref="G8">_xll.FDSB(B8,"FG_PRICE_CHANGE(0,-3AM)")</f>
        <v>1.1681318000000001</v>
      </c>
      <c r="H8" cm="1">
        <f t="array" ref="H8">_xll.FDSB(B8,"FG_PRICE_CHANGE(0,-6AM)")</f>
        <v>2.1061063</v>
      </c>
      <c r="I8" cm="1">
        <f t="array" ref="I8">_xll.FDS(B8,"STD(FG_PRICE_CHANGE(0,-1AY,AM))")</f>
        <v>2.2269904054424901</v>
      </c>
      <c r="J8" cm="1">
        <f t="array" ref="J8">_xll.FDS(B8,"STD(FG_PRICE_CHANGE(0,-3AY,M))")*SQRT(12)</f>
        <v>8.5214245205419274</v>
      </c>
      <c r="L8">
        <f t="shared" si="1"/>
        <v>71.500000000000014</v>
      </c>
      <c r="M8">
        <f t="shared" si="2"/>
        <v>35.799999999999997</v>
      </c>
      <c r="N8">
        <f t="shared" si="3"/>
        <v>21.499999999999996</v>
      </c>
      <c r="O8">
        <f t="shared" si="4"/>
        <v>37.220000000000006</v>
      </c>
      <c r="P8">
        <f t="shared" si="5"/>
        <v>42.900000000000006</v>
      </c>
      <c r="Q8">
        <f>VLOOKUP(A8,CAD!$A$3:$J$15, 10, FALSE)</f>
        <v>85.7</v>
      </c>
      <c r="S8">
        <f t="shared" si="0"/>
        <v>48.620000000000005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0.78293210000000002</v>
      </c>
      <c r="E9" cm="1">
        <f t="array" ref="E9">_xll.FDSB(B9,"FG_PRICE_CHANGE(0,-1AY)")</f>
        <v>-2.8576969999999999</v>
      </c>
      <c r="F9" cm="1">
        <f t="array" ref="F9">_xll.FDSB(B9,"FG_PRICE_CHANGE(0,-1AM)")</f>
        <v>-1.5188873000000001</v>
      </c>
      <c r="G9" cm="1">
        <f t="array" ref="G9">_xll.FDSB(B9,"FG_PRICE_CHANGE(0,-3AM)")</f>
        <v>-0.21139383</v>
      </c>
      <c r="H9" cm="1">
        <f t="array" ref="H9">_xll.FDSB(B9,"FG_PRICE_CHANGE(0,-6AM)")</f>
        <v>-1.3975263</v>
      </c>
      <c r="I9" cm="1">
        <f t="array" ref="I9">_xll.FDS(B9,"STD(FG_PRICE_CHANGE(0,-1AY,AM))")</f>
        <v>1.6509816216617299</v>
      </c>
      <c r="J9" cm="1">
        <f t="array" ref="J9">_xll.FDS(B9,"STD(FG_PRICE_CHANGE(0,-3AY,M))")*SQRT(12)</f>
        <v>8.2382000316723918</v>
      </c>
      <c r="L9">
        <f t="shared" si="1"/>
        <v>78.600000000000009</v>
      </c>
      <c r="M9">
        <f t="shared" si="2"/>
        <v>78.600000000000009</v>
      </c>
      <c r="N9">
        <f t="shared" si="3"/>
        <v>92.9</v>
      </c>
      <c r="O9">
        <f>SUMPRODUCT($L$1:$N$1,L9:N9)</f>
        <v>84.320000000000022</v>
      </c>
      <c r="P9">
        <f t="shared" si="5"/>
        <v>50</v>
      </c>
      <c r="Q9">
        <f>VLOOKUP(A9,CAD!$A$3:$J$15, 10, FALSE)</f>
        <v>28.499999999999996</v>
      </c>
      <c r="S9">
        <f t="shared" si="0"/>
        <v>62.860000000000014</v>
      </c>
      <c r="U9" cm="1">
        <f t="array" ref="U9">_xlfn.PERCENTRANK.EXC(_xlfn._xlws.FILTER(S$3:S$15, ISNUMBER(S$3:S$15)),S9)*100</f>
        <v>78.5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35.799999999999997</v>
      </c>
      <c r="M10">
        <f t="shared" si="2"/>
        <v>71.500000000000014</v>
      </c>
      <c r="N10">
        <f t="shared" si="3"/>
        <v>50</v>
      </c>
      <c r="O10">
        <f t="shared" si="4"/>
        <v>55.760000000000005</v>
      </c>
      <c r="P10">
        <f t="shared" si="5"/>
        <v>92.9</v>
      </c>
      <c r="Q10">
        <f>VLOOKUP(A10,CAD!$A$3:$J$15, 10, FALSE)</f>
        <v>14.2</v>
      </c>
      <c r="S10">
        <f t="shared" si="0"/>
        <v>58.59</v>
      </c>
      <c r="U10" cm="1">
        <f t="array" ref="U10">_xlfn.PERCENTRANK.EXC(_xlfn._xlws.FILTER(S$3:S$15, ISNUMBER(S$3:S$15)),S10)*100</f>
        <v>57.099999999999994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35.799999999999997</v>
      </c>
      <c r="M11">
        <f t="shared" si="2"/>
        <v>71.500000000000014</v>
      </c>
      <c r="N11">
        <f t="shared" si="3"/>
        <v>50</v>
      </c>
      <c r="O11">
        <f t="shared" si="4"/>
        <v>55.760000000000005</v>
      </c>
      <c r="P11">
        <f t="shared" si="5"/>
        <v>92.9</v>
      </c>
      <c r="Q11">
        <f>VLOOKUP(A11,CAD!$A$3:$J$15, 10, FALSE)</f>
        <v>14.2</v>
      </c>
      <c r="S11">
        <f t="shared" si="0"/>
        <v>58.59</v>
      </c>
      <c r="U11" cm="1">
        <f t="array" ref="U11">_xlfn.PERCENTRANK.EXC(_xlfn._xlws.FILTER(S$3:S$15, ISNUMBER(S$3:S$15)),S11)*100</f>
        <v>57.099999999999994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0.89205000000000001</v>
      </c>
      <c r="E12" cm="1">
        <f t="array" ref="E12">_xll.FDSB(B12,"FG_PRICE_CHANGE(0,-1AY)")</f>
        <v>-1.8268823999999999</v>
      </c>
      <c r="F12" cm="1">
        <f t="array" ref="F12">_xll.FDSB(B12,"FG_PRICE_CHANGE(0,-1AM)")</f>
        <v>-1.4363766</v>
      </c>
      <c r="G12" cm="1">
        <f t="array" ref="G12">_xll.FDSB(B12,"FG_PRICE_CHANGE(0,-3AM)")</f>
        <v>1.1681318000000001</v>
      </c>
      <c r="H12" cm="1">
        <f t="array" ref="H12">_xll.FDSB(B12,"FG_PRICE_CHANGE(0,-6AM)")</f>
        <v>2.1061063</v>
      </c>
      <c r="I12" cm="1">
        <f t="array" ref="I12">_xll.FDS(B12,"STD(FG_PRICE_CHANGE(0,-1AY,AM))")</f>
        <v>2.2269904054424901</v>
      </c>
      <c r="J12" cm="1">
        <f t="array" ref="J12">_xll.FDS(B12,"STD(FG_PRICE_CHANGE(0,-3AY,M))")*SQRT(12)</f>
        <v>8.5214245205419274</v>
      </c>
      <c r="L12">
        <f t="shared" si="1"/>
        <v>71.500000000000014</v>
      </c>
      <c r="M12">
        <f t="shared" si="2"/>
        <v>35.799999999999997</v>
      </c>
      <c r="N12">
        <f t="shared" si="3"/>
        <v>21.499999999999996</v>
      </c>
      <c r="O12">
        <f t="shared" ref="O12:O15" si="6">SUMPRODUCT($L$1:$N$1,L12:N12)</f>
        <v>37.220000000000006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38.620000000000005</v>
      </c>
      <c r="U12" cm="1">
        <f t="array" ref="U12">_xlfn.PERCENTRANK.EXC(_xlfn._xlws.FILTER(S$3:S$15, ISNUMBER(S$3:S$15)),S12)*100</f>
        <v>14.2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35.799999999999997</v>
      </c>
      <c r="M13" s="183">
        <f t="shared" si="2"/>
        <v>71.500000000000014</v>
      </c>
      <c r="N13" s="183">
        <f t="shared" si="3"/>
        <v>50</v>
      </c>
      <c r="O13" s="183">
        <f t="shared" si="6"/>
        <v>55.760000000000005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70.02000000000001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10.424250000000001</v>
      </c>
      <c r="E14" cm="1">
        <f t="array" ref="E14">_xll.FDSB(B14,"FG_PRICE_CHANGE(0,-1AY)")</f>
        <v>-4.4737935000000002</v>
      </c>
      <c r="F14" cm="1">
        <f t="array" ref="F14">_xll.FDSB(B14,"FG_PRICE_CHANGE(0,-1AM)")</f>
        <v>-3.4129858</v>
      </c>
      <c r="G14" cm="1">
        <f t="array" ref="G14">_xll.FDSB(B14,"FG_PRICE_CHANGE(0,-3AM)")</f>
        <v>1.3213992000000001</v>
      </c>
      <c r="H14" cm="1">
        <f t="array" ref="H14">_xll.FDSB(B14,"FG_PRICE_CHANGE(0,-6AM)")</f>
        <v>-0.15230178999999999</v>
      </c>
      <c r="I14" cm="1">
        <f t="array" ref="I14">_xll.FDS(B14,"STD(FG_PRICE_CHANGE(0,-1AY,AM))")</f>
        <v>3.6951027069963698</v>
      </c>
      <c r="J14" cm="1">
        <f t="array" ref="J14">_xll.FDS(B14,"STD(FG_PRICE_CHANGE(0,-3AY,M))")*SQRT(12)</f>
        <v>10.383201952057005</v>
      </c>
      <c r="L14">
        <f t="shared" si="1"/>
        <v>92.9</v>
      </c>
      <c r="M14">
        <f t="shared" si="2"/>
        <v>21.499999999999996</v>
      </c>
      <c r="N14">
        <f t="shared" si="3"/>
        <v>57.2</v>
      </c>
      <c r="O14">
        <f t="shared" si="6"/>
        <v>50.06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47.89</v>
      </c>
      <c r="U14" cm="1">
        <f t="array" ref="U14">_xlfn.PERCENTRANK.EXC(_xlfn._xlws.FILTER(S$3:S$15, ISNUMBER(S$3:S$15)),S14)*100</f>
        <v>35.699999999999996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1779.9054000000001</v>
      </c>
      <c r="E15" cm="1">
        <f t="array" ref="E15">_xll.FDSB(B15,"FG_PRICE_CHANGE(0,-1AY)")</f>
        <v>-1.7281770999999999</v>
      </c>
      <c r="F15" cm="1">
        <f t="array" ref="F15">_xll.FDSB(B15,"FG_PRICE_CHANGE(0,-1AM)")</f>
        <v>-0.90085269999999995</v>
      </c>
      <c r="G15" cm="1">
        <f t="array" ref="G15">_xll.FDSB(B15,"FG_PRICE_CHANGE(0,-3AM)")</f>
        <v>0.26658773000000002</v>
      </c>
      <c r="H15" cm="1">
        <f t="array" ref="H15">_xll.FDSB(B15,"FG_PRICE_CHANGE(0,-6AM)")</f>
        <v>-0.80432890000000001</v>
      </c>
      <c r="I15" cm="1">
        <f t="array" ref="I15">_xll.FDS(B15,"STD(FG_PRICE_CHANGE(0,-1AY,AM))")</f>
        <v>1.8230645872634099</v>
      </c>
      <c r="J15" cm="1">
        <f t="array" ref="J15">_xll.FDS(B15,"STD(FG_PRICE_CHANGE(0,-3AY,M))")*SQRT(12)</f>
        <v>7.5470674626913894</v>
      </c>
      <c r="L15">
        <f t="shared" si="1"/>
        <v>57.2</v>
      </c>
      <c r="M15">
        <f t="shared" si="2"/>
        <v>50</v>
      </c>
      <c r="N15">
        <f t="shared" si="3"/>
        <v>71.500000000000014</v>
      </c>
      <c r="O15">
        <f t="shared" si="6"/>
        <v>60.040000000000006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60.730000000000004</v>
      </c>
      <c r="U15" cm="1">
        <f t="array" ref="U15">_xlfn.PERCENTRANK.EXC(_xlfn._xlws.FILTER(S$3:S$15, ISNUMBER(S$3:S$15)),S15)*100</f>
        <v>71.399999999999991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-6.1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-0.35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6.09669740069846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3.6105395544238701</v>
      </c>
      <c r="H7" cm="1">
        <f t="array" ref="H7">IFERROR(_xll.FDS($F7,"EE_ACTUAL_ANNUAL(MED,+1)"),0)</f>
        <v>3.55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7.6422111054326596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-2.9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-0.75681715730573196</v>
      </c>
      <c r="H12" cm="1">
        <f t="array" ref="H12">IFERROR(_xll.FDS($F12,"EE_ACTUAL_ANNUAL(MED,+1)"),0)</f>
        <v>-0.5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10.0884806997308</v>
      </c>
      <c r="H13" cm="1">
        <f t="array" ref="H13">IFERROR(_xll.FDS($F13,"EE_ACTUAL_ANNUAL(MED,+1)"),0)</f>
        <v>9.1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0.50820581194102399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8.3559627813130994</v>
      </c>
      <c r="G17">
        <v>14.538819869127099</v>
      </c>
      <c r="H17">
        <v>12.871054505932801</v>
      </c>
      <c r="I17">
        <v>25.011729152832</v>
      </c>
      <c r="J17">
        <v>18.292929264234399</v>
      </c>
      <c r="K17">
        <v>10.914009650308399</v>
      </c>
      <c r="L17">
        <v>13.0917636337237</v>
      </c>
      <c r="M17">
        <v>13.4117967547049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9.7147154363071397</v>
      </c>
      <c r="F18">
        <v>7.4385992870476301</v>
      </c>
      <c r="G18">
        <v>14.667779515581</v>
      </c>
      <c r="H18">
        <v>11.2050609778507</v>
      </c>
      <c r="I18">
        <v>24.534442850508999</v>
      </c>
      <c r="J18">
        <v>17.2298191446197</v>
      </c>
      <c r="K18">
        <v>8.9422344864210306</v>
      </c>
      <c r="L18">
        <v>9.7785656650372808</v>
      </c>
      <c r="M18">
        <v>11.9085678571898</v>
      </c>
      <c r="N18">
        <v>8.27578853786002</v>
      </c>
    </row>
    <row r="19" spans="1:17" ht="25.5" customHeight="1" x14ac:dyDescent="0.35">
      <c r="A19" s="2">
        <v>44561</v>
      </c>
      <c r="B19">
        <v>6.4440018120205602</v>
      </c>
      <c r="C19">
        <v>12.8471719199911</v>
      </c>
      <c r="D19">
        <v>14.1061782856045</v>
      </c>
      <c r="E19">
        <v>12.199709394090799</v>
      </c>
      <c r="F19">
        <v>9.2207656765267796</v>
      </c>
      <c r="G19">
        <v>16.3837417700753</v>
      </c>
      <c r="H19">
        <v>13.922769951646799</v>
      </c>
      <c r="I19">
        <v>26.637202164256799</v>
      </c>
      <c r="J19">
        <v>20.6862902761839</v>
      </c>
      <c r="K19">
        <v>12.253955540201501</v>
      </c>
      <c r="L19">
        <v>10.899145951859399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14.002940310619</v>
      </c>
      <c r="E20">
        <v>11.818711551142201</v>
      </c>
      <c r="F20">
        <v>9.2254455739887007</v>
      </c>
      <c r="G20">
        <v>16.690651733527702</v>
      </c>
      <c r="H20">
        <v>15.8587443966116</v>
      </c>
      <c r="I20">
        <v>24.048321572288899</v>
      </c>
      <c r="J20">
        <v>20.5983105929019</v>
      </c>
      <c r="K20">
        <v>13.147634170684601</v>
      </c>
      <c r="L20">
        <v>12.015889153241799</v>
      </c>
      <c r="M20">
        <v>14.691567354429599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9.2993760884677794</v>
      </c>
      <c r="G21">
        <v>19.299686812780902</v>
      </c>
      <c r="H21">
        <v>14.720728882990199</v>
      </c>
      <c r="I21">
        <v>25.319915596617101</v>
      </c>
      <c r="J21">
        <v>20.350503776156899</v>
      </c>
      <c r="K21">
        <v>13.220962408242601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6.4440018120205602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8.9422344864210306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14.442959459592949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9.2993760884677794</v>
      </c>
      <c r="G25" s="8">
        <f t="shared" si="2"/>
        <v>19.299686812780902</v>
      </c>
      <c r="H25" s="8">
        <f t="shared" si="2"/>
        <v>14.720728882990199</v>
      </c>
      <c r="I25" s="8">
        <f t="shared" si="2"/>
        <v>25.319915596617101</v>
      </c>
      <c r="J25" s="8">
        <f t="shared" si="2"/>
        <v>20.350503776156899</v>
      </c>
      <c r="K25" s="8">
        <f t="shared" si="2"/>
        <v>13.220962408242601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45419</v>
      </c>
      <c r="M1" s="116"/>
    </row>
    <row r="2" spans="1:20" ht="15" thickBot="1" x14ac:dyDescent="0.4">
      <c r="K2" s="12" t="s">
        <v>772</v>
      </c>
      <c r="L2" s="187">
        <f ca="1">EDATE(TODAY(), -4)</f>
        <v>45329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49.999670000000002</v>
      </c>
      <c r="N4" cm="1">
        <f t="array" aca="1" ref="N4" ca="1">_xll.FDSRC("-","DUMMY","ECON_EXPR_DATA('FDS_ECON["&amp;H4&amp;"]',"&amp;$N$3&amp;",,Q)")</f>
        <v>47.799872999999998</v>
      </c>
      <c r="O4" cm="1">
        <f t="array" aca="1" ref="O4" ca="1">_xll.FDSRC("-","DUMMY","ECON_EXPR_DATA('FDS_ECON["&amp;H4&amp;"]',"&amp;$O$3&amp;",,Q)")</f>
        <v>44.485503999999999</v>
      </c>
      <c r="P4">
        <f t="shared" ref="P4:P12" ca="1" si="0">IFERROR(N4-O4,$M$20)</f>
        <v>3.3143689999999992</v>
      </c>
      <c r="Q4" cm="1">
        <f t="array" ref="Q4">_xlfn.PERCENTRANK.EXC(_xlfn._xlws.FILTER(M$4:M$16, ISNUMBER(M$4:M$16)),M4)*100</f>
        <v>50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61.400000000000006</v>
      </c>
      <c r="T4" cm="1">
        <f t="array" aca="1" ref="T4" ca="1">_xlfn.PERCENTRANK.EXC(_xlfn._xlws.FILTER(S$4:S$16, ISNUMBER(S$4:S$16)),S4)*100</f>
        <v>64.2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49.677512999999998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31.359999999999996</v>
      </c>
      <c r="T5" cm="1">
        <f t="array" aca="1" ref="T5" ca="1">_xlfn.PERCENTRANK.EXC(_xlfn._xlws.FILTER(S$4:S$16, ISNUMBER(S$4:S$16)),S5)*100</f>
        <v>14.2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49.275509999999997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35.699999999999996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35.699999999999996</v>
      </c>
      <c r="T6" cm="1">
        <f t="array" aca="1" ref="T6" ca="1">_xlfn.PERCENTRANK.EXC(_xlfn._xlws.FILTER(S$4:S$16, ISNUMBER(S$4:S$16)),S6)*100</f>
        <v>28.499999999999996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45.385258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50.359417000000001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41.36</v>
      </c>
      <c r="T8" cm="1">
        <f t="array" aca="1" ref="T8" ca="1">_xlfn.PERCENTRANK.EXC(_xlfn._xlws.FILTER(S$4:S$16, ISNUMBER(S$4:S$16)),S8)*100</f>
        <v>42.8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46.441544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28.499999999999996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34.22</v>
      </c>
      <c r="T9" cm="1">
        <f t="array" aca="1" ref="T9" ca="1">_xlfn.PERCENTRANK.EXC(_xlfn._xlws.FILTER(S$4:S$16, ISNUMBER(S$4:S$16)),S9)*100</f>
        <v>21.4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51.211129999999997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71.399999999999991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62.839999999999996</v>
      </c>
      <c r="T10" cm="1">
        <f t="array" aca="1" ref="T10" ca="1">_xlfn.PERCENTRANK.EXC(_xlfn._xlws.FILTER(S$4:S$16, ISNUMBER(S$4:S$16)),S10)*100</f>
        <v>71.399999999999991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51.294792000000001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51.294792000000001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46.413870000000003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50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52.487343000000003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92.800000000000011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92.800000000000011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49.999670000000002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38.56</v>
      </c>
      <c r="T15" cm="1">
        <f t="array" aca="1" ref="T15" ca="1">_xlfn.PERCENTRANK.EXC(_xlfn._xlws.FILTER(S$4:S$16, ISNUMBER(S$4:S$16)),S15)*100</f>
        <v>35.699999999999996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45.618243999999997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14.2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42.8</v>
      </c>
      <c r="T16" cm="1">
        <f t="array" aca="1" ref="T16" ca="1">_xlfn.PERCENTRANK.EXC(_xlfn._xlws.FILTER(S$4:S$16, ISNUMBER(S$4:S$16)),S16)*100</f>
        <v>57.099999999999994</v>
      </c>
    </row>
    <row r="18" spans="8:13" x14ac:dyDescent="0.35">
      <c r="K18" t="str" cm="1">
        <f t="array" aca="1" ref="K18" ca="1">_xll.FDSRC("-","DUMMY","ECON_DATE("&amp;$L$1&amp;",,, 'MM/YYYY')")</f>
        <v>05/2024</v>
      </c>
      <c r="L18" t="str" cm="1">
        <f t="array" aca="1" ref="L18" ca="1">_xll.FDSRC("-","DUMMY","ECON_DATE("&amp;$L$2&amp;",,, 'MM/YYYY')")</f>
        <v>02/2024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49.999670000000002</v>
      </c>
      <c r="K19" cm="1">
        <f t="array" aca="1" ref="K19" ca="1">_xll.FDSRC("-","DUMMY","ECON_EXPR_DATA('FDS_ECON["&amp;H19&amp;"]',"&amp;$K$18&amp;",,Q)")</f>
        <v>49.135413999999997</v>
      </c>
      <c r="L19" cm="1">
        <f t="array" aca="1" ref="L19" ca="1">_xll.FDSRC("-","DUMMY","ECON_EXPR_DATA('FDS_ECON["&amp;H19&amp;"]',"&amp;$L$18&amp;",,Q)")</f>
        <v>47.377968000000003</v>
      </c>
      <c r="M19">
        <f ca="1">K19-L19</f>
        <v>1.7574459999999945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51.967289999999998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87.504999999999995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93940.89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1681.7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1710122.4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2552.9279999999999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2732933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960.49800000000005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2316525.5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16046.37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6408625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1183.4762499999999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2234077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2850.12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3304992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275033.2635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55472610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535051.42458600004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55472610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657.69600000000003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3401736.8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281.62400000000002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1202403.8999999999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393.07724999999999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1045240.6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462.15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900075.06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296942.56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759452"><![CDATA[{"EWI^FREF_MARKET_VALUE_COMPANY(0,,,USD,,0,,\"LEGACY\")":462.15,"EWQ^FREF_MARKET_VALUE_COMPANY(0,,,USD,,0,,\"LEGACY\")":657.696,"QQQ^FREF_MARKET_VALUE_COMPANY(0,,,USD,,0,,\"LEGACY\")":275033.2635,"FC0000CH^FMA_MCAP(0,,,USD,\"PORTAGG\")":2234077.0,"FC0000ZA^FG_MCAP_IDX(0,,,USD)":296942.56,"FC0000GB^FMA_MCAP(0,,,USD,\"PORTAGG\")":3304992.0,"NQG00809^FMA_MCAP(0,,,USD,\"PORTAGG\")":null,"EWD^FREF_MARKET_VALUE_COMPANY(0,,,USD,,0,,\"LEGACY\")":393.07725,"SPY^FREF_MARKET_VALUE_COMPANY(0,,,USD,,0,,\"LEGACY\")":535051.424586,"FC0000US^FMA_MCAP(0,,,USD,\"PORTAGG\")":55472610.0,"FC0000AU^FMA_MCAP(0,,,USD,\"PORTAGG\")":1710122.4,"CC_ZA^FG_COMPANY_NAME":"South Africa","FC0000IT^FMA_MCAP(0,,,USD,\"PORTAGG\")":900075.06,"EWA^FREF_MARKET_VALUE_COMPANY(0,,,USD,,0,,\"LEGACY\")":1681.7,"EWN^FREF_MARKET_VALUE_COMPANY(0,,,USD,,0,,\"LEGACY\")":281.624,"FC0000FR^FMA_MCAP(0,,,USD,\"PORTAGG\")":3401736.8,"EWU^FREF_MARKET_VALUE_COMPANY(0,,,USD,,0,,\"LEGACY\")":2850.12,"EWG^FREF_MARKET_VALUE_COMPANY(0,,,USD,,0,,\"LEGACY\")":960.498,"FC0000CA^FMA_MCAP(0,,,USD,\"PORTAGG\")":2732933.0,"FC0000NZ^FMA_MCAP(0,,,USD,\"PORTAGG\")":93940.89,"FC0000SE^FMA_MCAP(0,,,USD,\"PORTAGG\")":1045240.6,"EWL^FREF_MARKET_VALUE_COMPANY(0,,,USD,,0,,\"LEGACY\")":1183.47625,"EWC^FREF_MARKET_VALUE_COMPANY(0,,,USD,,0,,\"LEGACY\")":2552.928,"FC0000JP^FMA_MCAP(0,,,USD,\"PORTAGG\")":6408625.0,"FC0000NL^FMA_MCAP(0,,,USD,\"PORTAGG\")":1202403.9,"EWJ^FREF_MARKET_VALUE_COMPANY(0,,,USD,,0,,\"LEGACY\")":16046.37,"NQG00809^FG_COMPANY_NAME":"Nasdaq South Africa","FC0000DE^FMA_MCAP(0,,,USD,\"PORTAGG\")":2316525.5,"ENZL^FREF_MARKET_VALUE_COMPANY(0,,,USD,,0,,\"LEGACY\")":87.505,"DUMMY^ECON_EXPR_DATA('FDS_ECON[NTCPMIMFGSA@IT]',,,M)":45.618244,"DUMMY^ECON_EXPR_DATA('FDS_ECON[]',,,M)":null,"DUMMY^ECON_EXPR_DATA('FDS_ECON[NTCPMIMFGSA@NL]',,,M)":52.487343,"DUMMY^ECON_EXPR_DATA('FDS_ECON[NTCPMIMFGSA@FR]',,,M)":46.41387,"DUMMY^ECON_EXPR_DATA('FDS_ECON[NTCPMIMFGSA@GB]',,,M)":51.21113,"DUMMY^ECON_EXPR_DATA('FDS_ECON[NTCPMIMFGMESA@US]',,,M)":51.294792,"DUMMY^ECON_EXPR_DATA('FDS_ECON[NTCPMIMFGSA@CH]',,,M)":46.441544,"DUMMY^ECON_EXPR_DATA('FDS_ECON[NTCPMIMFGSA@DE]',,,M)":45.385258,"DUMMY^ECON_EXPR_DATA('FDS_ECON[NTCPMIMFGSA@JP]',,,M)":50.359417,"DUMMY^ECON_EXPR_DATA('FDS_ECON[NTCPMIMFGSA@CA]',,,M)":49.27551,"DUMMY^ECON_EXPR_DATA('FDS_ECON[NTCPMIMFGSA@AU]',,,M)":49.677513,"DUMMY^ECON_EXPR_DATA('FDS_ECON[NTCPMIMFGSA@NZ]',,,M)":null,"DUMMY^ECON_EXPR_DATA('FDS_ECON[NTCPMIMFGSA@EME]',,,M)":51.96729,"DUMMY^ECON_EXPR_DATA('FDS_ECON[PMIDMMANHE]',,,M)":49.9996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FC0000CA^FG_PRICE(0)":291.66013,"CAGDPY@US^EE_ACTUAL_ANNUAL(MED,+1)":-3.0,"CAGDPY@NZ^EE_ACTUAL_ANNUAL(MED,+1)":-6.1,"USDITL^FG_PRICE_CHANGE(0,-1AY)":-1.7281771,"USDANG^FG_PRICE_CHANGE(0,-1AY)":0.0,"USDUSD^FG_PRICE_CHANGE(0,-1AY)":0.0,"USDGBP^FG_PRICE_CHANGE(0,-1AY)":-2.857697,"USDJPY^FG_PRICE_CHANGE(0,-1AY)":11.610687,"USDCAD^FG_PRICE_CHANGE(0,-1AY)":2.1994472,"USDNZD^FG_PRICE_CHANGE(0,-1AY)":-1.9804358,"EWA^JULIAN(FMA_EPS(NTMA,-20AY,0,CY,,\"PORTAGG\",\"MEANR\").DATES)":[38352,38716,39080,39447,39813,40178,40543,40907,41274,41639,42004,42369,42734,43098,43465,43830,44196,44561,44925,45289],"EWD^FG_TOTAL_RETURNC(-10AY,0,AM)":[2.1101594,-2.2716284,-5.847454,0.87007284,-3.5395563,0.8325696,2.1100879,-8.376718,6.9476366,3.10961,2.4186254,-1.7201185,0.622952,-5.8507147,2.5283575,-6.481189,2.3326635,-0.1982212,0.99304914,-9.260738,-2.0968914,5.1698685,3.0898929,-1.1580408,3.3425212,-8.762825,5.889058,5.0592065,0.20492077,-8.316297,4.7211885,3.4610152,4.7700763,0.065505505,1.4402628,10.06776,0.087952614,1.9416451,1.2048244,0.5516887,4.302621,-1.3289034,-5.415267,5.105734,-1.5678525,-1.7955363,-3.7746966,0.7968068,0.63848495,-2.1700263,2.5210023,-0.47288537,0.2850771,-5.653816,-4.5530677,-0.010460615,5.0895095,0.30059814,5.5611014,-0.6624639,-4.826933,6.0596466,-8.344155,3.2235265,-1.7501712,12.015367,0.6860018,3.1663418,1.7325163,-9.8297,-16.434729,5.3528905,22.54423,0.25280714,7.7750444,1.3972163,-0.056242943,4.305005,7.5263023,5.474937,0.4313469,2.1235943,7.3130846,3.5053372,3.7442088,-3.0450046,3.316927,0.82850456,-8.648312,9.916794,-7.2217703,4.395056,-7.8431425,-18.723398,12.79813,-12.429089,8.833921,-15.563,9.297729,-11.342388,-4.593396,8.630526,10.37426,1.1999011,4.6704054,1.412034,-2.2834837,5.8991194,-5.7588816,-3.2267332,2.419591,-4.2350826,-0.39109588,-0.9060681,12.618101,4.4383883,-0.9824693,7.3478103,-0.099915266,-0.27506948,6.845534],"EWQ^FMA_DIV_YLD(NTMA,-10AY,0,AM,\"PORTAGG\",\"MEANR\")":[3.34162246722842,3.39466547962953,3.64770608768693,3.46749899724491,3.65823430430998,3.69986193342606,3.53290061991129,3.80392064646133,3.30404039513404,3.20161742069989,3.16365250527782,3.29142462394865,3.35655294382262,3.51478246424804,3.24064231978215,3.72022612204557,3.59582305445628,3.3893872254008,3.53260877580856,3.73341138106705,3.93953558182136,3.73328352804335,3.85814000094312,3.8246589992731,3.74144535894815,4.05081468535547,3.75618682580255,3.65757840124432,3.72806610715344,3.84206700365282,3.6170837807207,3.43831566040366,3.52334537555298,3.44763163888566,3.35361529526998,3.17032446638413,3.27280790114846,3.38067381824012,3.34982234157062,3.41681581391067,3.29009593732754,3.23719716087218,3.28074443317306,3.23442388689356,3.42399247351012,3.44938327813613,3.41576556182762,3.30371098310647,3.31026471818992,3.42476501822102,3.40082665869878,3.55802440746147,3.52274892922425,3.72034412433374,3.95973284956952,4.0029931113699,3.73789356344315,3.61519124975034,3.52473592660524,3.52638442654989,3.6802580431406,3.50449494052289,3.74933650006362,3.52685884446085,3.601927865917,3.3832420373611,3.399738606702,3.34014132041285,3.3200747581656,3.813946533595,4.2729318029738,3.61051553495016,2.99381741558035,3.06255818619564,3.16876627272151,3.15095585208018,3.22445904717674,3.19663901830141,2.85953983055325,2.9036508191425,2.92046197710793,2.85198374947521,2.72875228028735,2.68831596862267,2.6710612303236,2.71125087778005,2.68634461042384,2.75631012567026,2.8924174667737,2.72638444999471,2.83438908842075,2.71517638438035,2.891724229686,3.40070067105343,3.16589822193076,3.31412273493958,3.17974156376714,3.5609894928668,3.28844247533104,3.5365723063197,3.66538480636826,3.42318174817808,3.29316180441361,3.20400627570091,3.10364331673513,3.13434182882763,3.17223968092417,3.16064410046966,3.28920532951792,3.38464013224349,3.30763000281717,3.37832067904599,3.45365053194596,3.4729490756643,3.28611251369434,3.28218049652134,3.19416742483885,3.13014366176691,3.1082523456368,3.13369021160474,3.16050257009295],"QQQ^FMA_PE(NTMA,-10AY,0,AM,\"PORTAGG\",\"MEANR\")":[17.4028137553397,17.7656502883482,17.100728812943,17.8700790044185,17.243732269665,17.7267356835472,18.1220754903796,16.9014706285887,17.2612905088474,17.8808500001419,17.7134822094548,17.5912557436586,17.855331423085,17.5112121436472,18.3656819585239,16.8907951485815,17.3346657100631,18.8870771590035,18.8344373393543,17.8246525665614,16.2715783946949,17.3457942482943,18.0897288139693,17.4176921963423,17.9830888088778,17.7301626619594,18.8563992192482,18.6780275225582,18.6097720735336,17.6296222986152,17.9176017698095,18.5604214079561,19.3103320720447,20.0687340102911,20.0543903334952,20.6494621966511,21.0785969643298,19.8436146454986,20.6417750448389,20.5344327229939,20.5995972317531,20.933982226359,20.6174868448016,21.5427321411286,20.522176040606,20.922083092832,19.2870439885063,19.7470859391111,20.7220051645062,20.5328392171625,20.6649628526392,20.5223844499779,20.2285718990108,18.8701666199104,18.4915748390335,17.6695794783275,19.3290610581528,19.6919421921143,20.862815753356,21.2862666022726,19.7245582991088,21.2244620489772,20.1515421790445,20.8392824071894,20.411648772202,21.3847205289668,21.9288253111551,22.9849077560255,23.925469404644,21.5527114910813,21.6091134792129,25.5382072900275,27.979128207337,29.4730593955137,29.6694833477678,30.1632566756378,28.78577184147,29.7470552408474,30.139721885605,29.3768371111261,29.9671218696576,27.2359709914801,28.9015392638799,27.1742598780532,27.025989998426,28.690223456375,28.0392864372922,28.7401387137877,26.9814046440346,29.6505377796329,28.4155168027121,28.1178613590946,25.8669137255324,24.0416846836349,24.9603368621463,22.0750031162492,21.7116757270877,20.5303970320434,23.4492314385006,21.2963139705515,20.4126257144908,20.2643594163648,21.437076023064,21.0619732121136,24.0698110284901,23.54801865323,24.8026212678994,24.553189140732,26.0923747363732,26.5592658866156,24.9004058224312,24.3891295301089,23.5248442177638,23.4285067189724,23.9213124466508,24.2508432947538,25.8346718954037,26.0800628858261,25.9156114753271,25.5747210575716,26.3530110316244],"EWL^FMA_PE(LTMA,-10AY,0,AM,\"PORTAGG\",\"MEANR\")":[17.2144241280077,17.2597702996767,16.951517846309,17.4556852486492,17.1301215583341,17.361579864781,17.6835024755792,16.8762058201484,17.1166336423429,17.9695809905651,18.0697128963549,17.9625833702277,17.9634151902583,17.7126978959346,18.1249297462774,17.1691832618721,17.435995484328,17.7019987994125,17.4902701636845,16.8932224083375,16.6424843373393,16.6344526418168,16.6523554734958,16.684269223119,17.1545394062605,16.9751492900956,17.6878684984531,18.0611348526318,18.0225539258723,17.2419120869675,17.5968041665925,18.6401355812124,18.5408993426414,19.654437608482,19.4415163565394,19.5688032532538,19.5086228287857,19.2743006330552,19.46967483232,19.0536516878638,19.5937693596644,20.3189197833239,20.3874845855935,21.0571881074149,20.5412809972668,21.0891339219366,20.5710922479933,20.2444108893736,19.5867267923116,19.3008446693988,19.202887055534,18.5378337437299,18.3122112676716,17.9108317737766,17.0107364773806,16.4991314313888,17.839995148717,18.3281425466674,18.2938420500146,18.2175532329494,18.1777788863962,18.4026630063264,17.9669175171299,18.51899978141,18.1417193729842,18.8605018324261,19.1153989537791,19.6926434079956,20.060196138857,17.9943584392494,17.9030063342011,18.582788184161,19.3875425348279,19.8421179507795,20.0811275155818,20.4419869614541,20.8055984597273,20.9543361846843,20.9651291212946,22.0552259987246,21.2017027155629,20.417164040447,20.479980423559,20.4678000588148,20.7389530193878,20.8490328925078,20.9724541274135,21.1174303918721,19.9453072494023,20.8484374996188,20.6796514755192,21.3740044170201,19.7278824743864,18.3281041295579,18.620817757072,18.2794694544933,18.1191599170451,17.6387466467389,18.2293976230257,17.7727125063534,17.0662262340072,18.6915925518893,19.7495204129627,20.9084740759864,20.6396976815372,20.6485893000803,20.4236985985638,20.29931360474,19.6354199683456,19.0157891765332,19.0267071074674,18.6511997037746,18.1957141892598,17.7268850281445,18.1205056932792,18.4112361041034,18.9715445270193,19.1884068923745,19.0355123284699,18.7656777262044,18.8684922722106],"WL-FDS^FG_PRICE(0)/MAX(FG_PRICE(0,-1AY))":0.734608331150118,"NI-FDS^FG_PRICE(0)/MAX(FG_PRICE(0,-1AY))":0.783491789109767,"CPALM-FDS^FG_PRICE(0)/MAX(FG_PRICE(0,-1AY))":0.859357938414501,"BRENT-FDS^FG_PRICE(0)/MAX(FG_PRICE(0,-1AY))":0.870614479821537,"TIOS-FDS^FG_PRICE(0)/MAX(FG_PRICE(0,-1AY))":0.752635960044395,"FC0000US^FG_PRICE(0)":400.1963,"FC0000GB^FG_PRICE(0)":129.57199,"EWI^FG_COMPANY_NAME":"iShares MSCI Italy ETF"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03084,8.94223448642103,12.2539555402015,13.1476341706846,13.2209624082426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TIOS-FDS^FG_PRICE_CHANGE(0,-1AY)":-0.0828805599042304,"EWG^FG_PRICE_MAVG(0,,,,30)":31.786,"EWD^FG_COMPANY_NAME":"iShares MSCI Sweden ETF","FXI^FG_TOTAL_RETURNC(0,-3AM)":15.554607,"VWO^FG_TOTAL_RETURNC(0,-12AM)":11.203468,"VGK^PERCENT_CHANGE(FMA_EPS(+1,0,,,,\"PORTAGG\",\"MEAN\"),FMA_EPS(+1,-1AM,,,,\"PORTAGG\",\"MEAN\"))":0.0,"EWD^FG_TOTAL_RETURNC(0,-1AM)":6.845534,"EWQ^FG_TOTAL_RETURNC(0,-6AM)":12.738013,"QQQ^P_PRICE(0)/P_PRICE_LOW_PR(0,,,,,,\"PRICE\",\"INTRA\",\"52W\")-1":0.35349786,"EWU^FMA_PCT_ABOVE_MAVG(200,0,,,,\"PORTAGG\")":72.5,"EWJ^PERCENT_CHANGE(FMA_EPS(+1,0,,,,\"PORTAGG\",\"MEAN\"),FMA_EPS(+1,-3AM,,,,\"PORTAGG\",\"MEAN\"))":-3.97452478567243,"EWC^FG_TOTAL_RETURNC(0,-3AM)":1.9318461,"EWL^FMA_COS_UP(\"EPS\",\"1M\",+1,0,,,\"PORTAGG\",\"MEANR\")":22.0,"REFCATARG-FDS^FG_YIELD(NOW,,,0)":4.75,"CAGDPY@US^EE_ACTUAL_ANNUAL(MED,0)":-2.99561673751749,"CAGDPY@NZ^EE_ACTUAL_ANNUAL(MED,0)":-6.9,"USDITL^FG_PRICE(0)":1779.9054,"USDANG^FG_PRICE(0)":1.79,"USDUSD^FG_PRICE(0)":1.0,"USDGBP^FG_PRICE(0)":0.7829321,"USDJPY^FG_PRICE(0)":156.015,"USDCAD^FG_PRICE(0)":1.37075,"USDNZD^FG_PRICE(0)":1.6166842,"EWI^P_PRICE_RETURNS_PR('52W',2,-10AY,0,AM)":[42.216553,53.476418,20.487701,26.841759,4.333985,-5.635476,3.7394881,-15.789318,-10.834753,-14.255309,-12.341804,-12.57937,-13.433552,-18.301737,2.2055864,-10.47247,1.2499452,4.254186,2.4690032,4.7804832,-17.639668,-16.57129,-21.89598,-18.692852,-19.184053,-24.961329,-27.235985,-17.155064,-23.95835,-23.391169,-17.408096,-1.8498957,7.19769,5.622256,12.935972,20.043373,19.92842,40.17205,44.502686,36.67027,43.462444,48.25114,35.996246,30.958294,42.338898,35.00762,30.973137,26.959455,10.782766,8.556211,-1.817888,-7.106143,-9.321612,-14.543146,-15.611374,-17.777222,-16.593338,-11.240196,-9.883213,-14.90621,-7.7958765,0.34786463,-3.2847047,5.2597165,3.3450484,18.973457,20.614338,23.91057,19.193518,0.08419752,-23.49053,-24.119026,-1.9382656,-9.812755,-2.0060182,-5.4678917,-6.820667,-11.377043,2.946353,5.115092,3.827548,15.485263,56.72455,62.968983,41.094337,32.189404,31.749905,33.085884,31.62154,38.408707,12.592279,11.666441,12.1616955,-8.70803,-7.180989,-14.343816,-13.621891,-25.275242,-21.485579,-28.203785,-27.319973,-23.29244,-11.368632,-10.4612465,-3.8590312,21.426083,11.941921,22.810614,12.128555,39.319073,35.33162,42.50058,41.49431,29.784906,25.621784,25.745142,16.934658,23.01587,26.135612,21.18863,31.537878],"EWN^FG_TOTAL_RETURNC(-10AY,0,AM)":[3.3738732,0.13731718,-8.220762,4.4995785,-4.2655888,-0.2101779,5.3917527,-8.761698,5.18682,5.766821,3.2398224,-0.4592359,0.34601688,-3.047502,6.237507,-10.613471,2.4842143,3.122437,-2.1912396,-6.0653505,-0.43630004,3.6371589,3.002119,0.0,3.5303712,-10.219187,7.5268865,5.708337,-0.82775354,-4.848963,-0.29239655,3.3678055,2.134645,3.9991975,3.246379,9.114731,1.2006879,-0.8328438,7.128024,-0.936687,2.1193385,0.7662773,-0.8555114,4.487014,-0.6767094,-0.24775863,-0.83824396,0.06260872,0.93866587,-2.7524948,2.3647547,-4.4620275,-2.616763,-2.4149656,-3.590101,-3.8050473,9.780968,1.1695862,4.318261,1.9556761,-3.069055,5.063033,-3.4737885,4.3985367,-0.9894669,5.222428,1.3174057,2.5058866,1.3921857,-10.371017,-13.885265,4.9583673,18.860435,3.7748694,3.6176443,-1.0218561,1.3191938,5.519378,8.503222,4.7418118,3.7887812,-0.79854727,9.222639,2.1899343,2.9466271,-3.2465637,5.0603867,6.382549,-8.664054,8.363926,-8.697289,1.4484406,-5.834353,-16.269493,6.7011595,-9.966051,6.167507,-13.057107,11.291754,-11.792832,-2.981025,3.3985019,15.56356,3.8879156,5.7232738,-1.3206422,1.326263,0.5949497,0.40217638,0.42939186,2.7995229,-6.2081757,-6.274605,2.9404044,7.753122,2.2806883,7.530892,5.5941105,2.1355271,-0.20105243,6.0435176],"SPY^FMA_DIV_YLD(NTMA,-10AY,0,AM,\"PORTAGG\",\"MEANR\")":[2.09874950053167,2.07287838127132,2.16442831975938,2.08219627248286,2.14308406249087,2.09562236670916,2.07069378160549,2.16357041844717,2.14225873981895,2.17023939518584,2.16685284125469,2.18055949644479,2.17737742560943,2.20236772976566,2.21558502483705,2.41531906080632,2.34849887610687,2.23665278271199,2.2641211874548,2.38135716972919,2.45182025901469,2.47519773454617,2.29179874134034,2.29270141173246,2.26176671969918,2.28067494817223,2.20251445545465,2.20804672211248,2.22921291771373,2.32384116037786,2.20286658611757,2.15460539903595,2.15967705381808,2.09732360866114,2.12213276527342,2.09855010863938,2.08512556246108,2.12514311538192,2.08220043472711,2.10425755679001,2.03837399615971,2.02316272382373,1.98614513718295,1.91577386898982,1.97894825160735,1.98049447688898,2.09006805519341,2.06639210659848,1.99831090663892,2.02899688068925,1.98289724726197,1.97336093249728,1.98040058262349,2.07723599672442,2.13859687394249,2.29908188709377,2.14321607957628,2.12051483531305,2.05074860195764,2.03299881556124,2.11116395593936,2.01572118645368,2.10332647531823,2.0461837942364,2.0732652104928,2.00561938425257,1.97284994136286,1.92555891105131,1.88569815484305,2.13470753282309,2.34228846576635,2.13256087418088,1.88872635899281,1.87900936641964,1.77730609910617,1.74173338276709,1.77705863597968,1.70801612603208,1.62208323933263,1.58144879819163,1.54276610518147,1.56901380446748,1.48827651098629,1.45355103766857,1.45319438417443,1.43178843548281,1.41797160601292,1.39709799464068,1.45884050856292,1.36645703429069,1.40425336163496,1.37757789219207,1.45574928485835,1.52746580553944,1.47184335826979,1.60517748149701,1.61534455223306,1.74762484202599,1.63707192555468,1.7497418335563,1.83189021780599,1.83328458374818,1.75947008329586,1.78456819286165,1.70291843644172,1.73590047620133,1.71859505285292,1.70309078813362,1.65645051622067,1.61141178936201,1.59904650146594,1.61156358423363,1.68241468999913,1.66750330080869,1.60453226351606,1.56737805914559,1.50712283499609,1.47245963058709,1.44373541071087,1.47408136777443,1.45119487844159],"EWU^FMA_PE(NTMA,-10AY,0,AM,\"PORTAGG\",\"MEANR\")":[13.691689693845,13.8295425863518,13.3432076463487,13.5299709300625,12.9029895784903,13.1700441687714,13.8123218921419,13.2962972533536,15.4061475461788,15.5660303135901,15.5735549672227,15.9156584107041,15.5657557469797,14.9330168631313,15.5516208706903,13.8779037354283,14.9648929602342,15.2645531378868,15.088114860838,14.8244100862472,15.1307915439873,16.0190635420138,15.947587920191,15.7151276673697,15.8912038887185,15.5711592036247,16.1636142535901,16.0037530245602,15.6264889027724,14.3522619546099,14.2385922259725,14.4500724871746,14.2583949005923,14.4147792302717,14.3956575517123,14.4673287201972,14.7975651199731,14.4433633240645,14.8909741982064,14.4911020810687,14.6079572946423,14.5677691718739,14.1845199908847,14.8192911705612,13.4880492723672,13.4387091571531,13.4410708315087,13.7275503828248,13.6603654062543,13.2340943764275,13.1329685896235,12.3936183702124,12.4109587895274,11.8275132290279,11.262956138292,11.5835868385297,12.4473390882049,12.520797922937,12.7883971307857,12.6243300012092,12.3115267200128,12.6752699618371,11.9463918529228,12.2483961799062,12.072441573793,12.8730333529448,12.890374186244,13.4875571418108,13.4046300570585,11.8220949359102,12.1349993531405,14.8873239043745,16.9909019336216,16.1135270334941,15.4923345294182,14.8264427565213,14.4302513417847,13.772818764594,15.2025518344183,15.0818035803724,13.8148033747624,14.0030538222103,13.5874898900141,13.3486001183086,13.1803681250863,12.6128887889214,12.304873621714,12.2419563226345,11.8231275239274,12.1358772167425,11.9065578345348,12.30384122761,12.2266361075214,11.1822219282581,11.2473446731222,10.3021784529593,10.5396542265582,9.28098408434482,9.74236648986491,9.22629828397731,8.72072700799148,9.21074654124603,9.93448894936857,10.1828519241928,10.3657300945424,10.5290888832024,10.5816316697775,10.6292105586726,10.30032585404,10.0250846438018,10.5725881108624,10.2621314150314,10.243615711363,10.2699106780149,10.5185595183988,11.0377465597886,11.1380126769613,11.2492135293019,11.4735465147104,11.636409865565,11.6365834404623],"EWJ^FMA_PE(LTMA,-10AY,0,AM,\"PORTAGG\",\"MEANR\")":[15.3097483476255,15.3810728766151,14.9971959411728,15.1081770837807,15.1725358583169,15.5926291095749,16.2277875734756,15.3259386236807,15.6408115008451,16.9314156890226,16.8463616546683,16.8699678861632,17.1100057369139,16.680275437854,16.8999718205332,15.2574437940338,15.2638141830924,15.9135660672985,16.0308345788856,15.0898933568162,14.136253206001,13.9379006042755,13.6123365235429,13.6412413864766,14.0266504283105,13.6043769272777,13.841499679465,14.4661357394836,14.3873590197457,14.347881767995,15.902779141294,16.6966801191728,16.1928137252572,15.9444759453944,15.6070469774337,15.6278790724519,15.6783090086484,15.5120572397608,15.4156211265165,14.7734932699391,15.0267002580787,15.6036053866011,15.8223646555029,16.9229040055479,15.3749592869363,14.3994964697526,14.2408250489234,14.2649089849868,14.1723496643665,13.8176867822779,13.7742800230073,13.3912885867487,13.8262055007928,12.8978965008711,12.4317510889786,11.2917931477768,12.3706810723587,12.7031197572245,12.760892941707,12.7955074856193,12.6832810727878,13.0301334202961,12.6734186779951,13.0549612097348,13.3349983185123,14.319978745317,14.9868450768448,15.088609202065,15.5115252506952,13.9150146429316,13.7362159207764,14.2525442079452,16.1581574033087,17.2369246703866,17.9055013561502,19.1827587407589,20.3473326378296,21.0282566865571,22.4630208176504,23.2645468151594,23.6983345600669,21.5976677243343,21.2397593390262,20.7309110542324,20.270344713472,19.7264518778871,19.0046344459795,18.6774611627148,17.4536755206511,17.6581248985461,16.3153903128046,16.1373595066597,15.2522253689435,14.6403459535915,14.5424464335337,14.3515193762447,14.2590588662082,13.7721129354002,13.9287308067608,13.6157289219698,13.3508357199071,13.1728811602023,13.349743093125,12.6865989266868,13.4561355136541,13.7113741984137,13.5825968461102,13.816590063767,14.3408678651825,14.5743324338236,14.5572458564325,15.07215074355,14.5077969293225,15.0804946616839,15.2660242151196,15.4485811335502,16.3436401291512,17.0853854649276,16.8979839920528,16.7958867944653,16.8786020132602],"WL-FDS^FG_PRICE_CHANGE(0,-1AY)":-16.4107914741392,"NI-FDS^FG_PRICE_CHANGE(0,-1AY)":-13.8717339667458,"CPALM-FDS^FG_PRICE_CHANGE(0,-1AY)":17.2526817640048,"BRENT-FDS^FG_PRICE_CHANGE(0,-1AY)":12.8994082840237,"EWD^FG_PRICE_MAVG(0,,,,30)":40.7435,"QQQ^FG_PRICE_MAVG(0,,,,30)":445.89532,"EWN^FG_COMPANY_NAME":"iShares MSCI Netherlands ETF","EWJ^P_PRICE(0)/P_PRICE_HIGH_PR(0,,,,,,\"PRICE\",\"INTRA\",\"52W\")":0.9607992,"ENZL^P_PRICE(0)/P_PRICE_HIGH_PR(0,,,,,,\"PRICE\",\"INTRA\",\"52W\")":0.922207,"URTH^SIZE(FG_CONSTITUENTS)":1437,"EWN^FMA_COS_DOWN(\"EPS\",\"1M\",+1,0,,,\"PORTAGG\",\"MEANR\")":20.0,"EWQ^FMA_RBICS_REV_CURRENT(30, LOC, \"PORTAGG\")":11.8223044537397,"EWU^FG_ROE(0)":14.618163691281,"TRYDE10Y-FDS^FG_YIELD_NAME":"Germany Benchmark Bond - 10 Year","ENZL^FG_COMPANY_NAME":"iShares MSCI New Zealand ETF","REFFFUND-FDS^(SUBARRAY(NOT_NA(NO_REPEAT_F(FG_YIELD(NOW,-10AY,D))),0,1)-SUBARRAY(NOT_NA(NO_REPEAT_F(FG_YIELD(NOW,-10AY,D))),1,1))*100":25.0,"TRYUS10Y-FDS^PCTCHG(FG_YIELD(0,,,,\"YTM\"),FG_YIELD(-3AM,,,,\"YTM\"))":4.43713,"TRYNZ10Y-FDS^PCTCHG(FG_YIELD(0,,,,\"YTM\"),FG_YIELD(-3AM,,,,\"YTM\"))":-0.8886469,"TRYGB10Y-FDS^FG_YIELD(0,,,,\"YTM\")":4.189,"CC_NL^IMF_IFS_RCPI_Q(0)":3.0237906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3105929019,20.3505037761569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USDCAD^FG_COMPANY_NAME":"Canadian Dollar per U.S. Dollar","USDNZD^FG_COMPANY_NAME":"New Zealand Dollar per U.S. Dollar","EWD^P_PRICE_RETURNS_PR('52W',2,-10AY,0,AM)":[19.102049,21.768236,4.0995836,6.352806,-1.2726307,-1.1193752,2.3420215,-9.7275915,-3.0664861,-6.0333967,-1.7928302,-4.275632,-4.5944033,-9.124446,-1.0401487,-8.794773,-2.6668787,-3.6618888,-4.1704836,-5.6351366,-14.976764,-13.995302,-11.311996,-10.804778,-8.394069,-11.227518,-8.692986,2.9960513,0.854516,-8.109623,-3.929007,9.540272,17.223476,11.534095,9.749353,21.79426,18.36506,32.25231,26.857018,20.97863,25.92585,35.522903,22.404993,24.137878,16.828453,14.655638,8.761287,0.7822275,0.14823675,-3.8911045,-2.641189,-3.633231,-7.422,-11.406321,-10.598737,-14.315426,-9.198248,-7.260126,1.2410879,0.2646327,-5.18049,3.0958295,-8.098352,-4.685158,-7.7558336,10.868788,16.95435,20.67014,16.815449,5.0171614,-16.865337,-11.8311405,13.867605,7.310045,26.182281,26.378452,26.086784,17.407835,26.56002,28.189957,26.323938,41.8226,84.05726,80.829445,54.751133,48.05187,41.927696,43.636013,28.998697,37.048172,17.293953,16.093075,6.6045284,-14.979535,-10.884487,-24.60363,-20.904667,-31.116772,-27.994287,-35.92541,-33.081264,-33.687996,-21.321285,-23.729342,-13.372916,8.088053,-6.363809,10.914946,-1.9489348,12.376356,3.5244346,13.746298,18.756378,8.330858,10.533154,17.330456,7.909775,14.225876,17.3805,9.969891,24.677967],"EWQ^FG_TOTAL_RETURNC(-10AY,0,AM)":[3.1900525,-2.4912894,-8.313459,3.6046028,-7.0659933,-2.585876,3.8034916,-9.970676,8.63986,1.6141772,3.9907098,1.4157891,-1.9103527,-4.973358,8.897793,-10.967976,4.3406367,2.337563,-2.8648853,-7.117009,-2.0241141,3.8681269,0.80406666,1.7212391,2.97153,-9.139061,6.696832,4.3257,-1.7886221,-2.6076138,2.804935,3.5539746,-0.24037957,2.3694754,3.6877275,11.502075,-0.033932924,-0.92998147,4.3569207,-0.13360381,3.3444762,1.3592243,-0.7662833,4.0798903,-0.65116286,-1.3108611,0.031614304,3.319633,-0.70379376,-1.9379079,0.1283288,-2.9477656,0.5282283,-5.45156,-5.31435,-1.9355297,6.5764785,3.4555674,3.1015635,0.46280622,-2.3362935,5.8633327,-6.066537,4.444444,-1.9281924,7.22034,0.18969774,3.5649896,-1.0076404,-11.967916,-18.60547,1.0331511,23.008108,-1.089859,1.9034147,1.3836026,-3.2753289,3.0335069,15.2687435,1.8679738,-1.1426866,1.30409,4.2714953,6.172836,3.6205053,-3.0349255,3.9627671,-0.15349388,-4.176265,8.021391,-5.297035,4.9957514,-2.2256315,-16.457355,6.7647934,-5.280137,6.875181,-12.771731,8.823526,-8.73664,-3.9944947,10.186518,9.505213,4.2689204,4.7210217,2.0491838,2.2489905,3.1683803,-4.6700535,0.2758503,3.338766,-3.8350403,-3.1685352,-0.028216839,6.2076807,1.8278837,1.5493631,4.758215,0.7652521,0.195992,3.080678],"QQQ^FMA_DIV_YLD(NTMA,-10AY,0,AM,\"PORTAGG\",\"MEANR\")":[1.2935133528735,1.24295239364795,1.27262744350757,1.2097027697176,1.25023196436983,1.22478969380234,1.19951148862498,1.24421411638127,1.26378981655031,1.24707005571013,1.27301150113455,1.2669829701531,1.24874124183833,1.26799587881068,1.28097346647296,1.39250307387024,1.35618272419182,1.25695128964085,1.2594201906243,1.3040370770279,1.46120013120521,1.37525834454113,1.31686512828147,1.39634986907099,1.34219937845684,1.35854718278324,1.27754360869111,1.27612194404185,1.26155338638722,1.33313270243846,1.3009121602181,1.26571296089826,1.23848217527212,1.21977358624253,1.21280009704935,1.17903978476108,1.14745005122761,1.22706962548484,1.1733588326675,1.16699696702331,1.14682092509251,1.11093350359066,1.11723491602821,1.06048881214953,1.07967765497598,1.05687543481637,1.15165503253931,1.11070277517455,1.04736643412129,1.05318304107693,1.07367538937059,1.07945580155376,1.09618532527142,1.17716695725255,1.21137051430035,1.30354729744351,1.20618249387999,1.17722773392464,1.10989012907364,1.08750045529403,1.1770963985545,1.09114878018342,1.14228399602296,1.09598663225616,1.11610304227057,1.07050568584253,1.07390036822496,1.03523242317863,0.97623546746779,1.08698419837115,1.14735410170488,1.0144535234698,0.924012857421957,0.858616501297273,0.8099406071922,0.786850768282955,0.81053524004384,0.766444169880087,0.741361956033625,0.780109081414191,0.7304977440829,0.790552458438972,0.741003706786166,0.744634114759136,0.739173930389873,0.693909603122495,0.699039679730203,0.67707934468187,0.724918727659413,0.657785839394719,0.684774698603581,0.693746466746218,0.753452139056871,0.811310912196727,0.777337111069255,0.892025127416803,0.905698395238555,0.971115664783021,0.876986141323823,0.970234668398211,1.02342081010161,1.0907144875189,1.0257113611794,1.03036804414255,0.923052571418952,0.942344967449302,0.891956678312046,0.86331283263253,0.791565807554602,0.767786771841721,0.882725924090372,0.881571846105164,0.930702665606082,0.926181922729226,0.897830322079891,0.948194863420289,0.900463248584022,0.886313148260329,0.891825944784923,0.915960331682196,0.873882771773862],"EWL^FMA_PE(NTMA,-10AY,0,AM,\"PORTAGG\",\"MEANR\")":[16.3383987184734,16.2902501563557,15.5892133483416,16.2478737619288,15.6990053845404,15.9781722080449,16.1962799667207,15.4012373595711,16.8011736672765,17.4955610904169,17.8397024775383,17.4111130025498,17.3557305956885,16.8370528356657,17.6157428275655,16.2301395906278,16.5251990380523,17.0196256402252,16.8326321726504,16.4081937225444,16.1979533424086,16.5832884320209,16.3935437460227,16.2777307921967,17.1138902821511,16.4212751590659,17.3027692451943,17.4832842138398,17.0889737196982,16.0822832120136,16.4150584689164,17.1809395607071,17.1366347236182,17.6062049057824,17.3510776528678,18.0689627079573,18.0081533858935,17.6258468623691,17.9831562785605,17.3512227952493,17.8614504259141,17.8848014671862,17.5946535312696,17.9765016165031,16.5776262322702,16.2319110544406,15.9360434507666,16.1413610611255,15.5918597176844,15.7657766319585,16.254707171854,15.7406432030282,15.8339585840615,15.6560043647156,14.9886641450671,14.7844400374552,15.7944637550512,16.3629844096377,16.7459303992304,16.7476978192737,16.7842051553774,17.2133598523198,16.4865223763065,17.2932003564495,16.7562358891189,17.4563643864106,17.5316842765651,17.8273282500766,18.3462420667877,16.5289442645514,16.463470400126,18.2179045566999,19.5376052794719,19.673713708159,19.3281889719064,19.1309374560409,18.9955556615197,18.8754770235786,18.3906129466795,18.9174522006025,18.6723927107936,18.0929921729976,18.9615071194576,18.9953248959287,19.6130224461203,19.7046757662622,19.7490281979689,19.7512107869726,18.1333055670943,19.2619217341405,18.9207771316752,19.484293229402,18.0722229904065,17.0992650573977,18.4144594367596,17.1848709825099,16.7859704755347,15.8840869985386,16.7357902264594,15.9542835743543,15.1235769410399,15.9973445283015,16.6994878714368,16.868135764275,17.2557762644569,17.0970358198536,17.3221795652853,17.681170655061,16.7448401798455,16.0786052659543,16.6317183808077,16.3594939448264,15.9277955922243,15.7357394226188,16.4863008675343,16.9205055579589,17.1801449760606,17.5341560199768,17.2791385715663,16.7504290462871,17.2609570230609],"EWG^FMA_PE(LTMA,-10AY,0,AM,\"PORTAGG\",\"MEANR\")":[14.7226989513609,14.7021212436149,13.9750555462418,14.3897508616592,13.7416319572369,13.8155718490759,14.710912343684,13.8077896650738,15.6745758685522,16.4901061338623,16.5033485213336,16.1122526833369,15.7393681661656,15.3059728142001,15.5603607241714,14.1915337180314,14.0074240261752,14.6358773442415,14.2539952798487,13.3101176175119,12.3271567066351,12.7186772140856,12.6844894630414,12.7556559977459,12.877132294154,12.4461858637507,13.1558264403894,13.6405614616,13.6678911210931,13.3256283544746,13.854242918641,14.9314930705752,14.6786859281485,14.9833075299796,14.9375065765534,14.9403757085166,14.7707952750272,14.5106758193964,14.3844621450596,14.1506376154929,14.7335976622253,15.4742073669962,15.3318252469147,15.7535137770254,14.314591643229,14.1870651559509,14.1069426522337,14.2092224463604,14.1352116685279,13.9999670214322,14.0771999944952,13.7226148806775,13.7812156913564,13.0944497031955,12.4176834436857,12.2768786939817,13.1309909721986,13.2288372521781,13.2825238403055,13.3643012211461,13.1563638398012,13.5702585425229,13.2056995499244,13.8632395082939,13.8112607171591,15.1413857707322,15.2153091437456,15.3504086900513,15.609785887104,13.9592228334231,13.9978348208671,15.042356016042,17.2154679389063,18.2636110967683,18.9619706492299,19.8786602187384,20.6643701264062,19.5623556935551,20.9036572517995,22.1657056246094,21.4657319997156,20.2089392757942,20.0396892231826,19.2209563003068,18.8453064906651,18.2198636063667,17.4514362846595,16.8386908857609,15.7044407452253,15.6517092743259,14.1854538792857,14.246880827656,13.2834768294268,12.3152136331719,12.3820346380522,12.0411509749621,12.1906136163293,11.2630768548818,11.2822825893904,10.7735003609098,10.2675820323862,10.5727900905028,10.8820635693317,11.0150226960281,11.6541502702578,11.3884288485491,11.3692985645576,11.3842359903944,11.2499178695942,11.0720857622229,11.213051958938,11.2084438585406,10.9698475197425,10.8717127353237,11.8650502640237,11.8153198488426,12.1188360424438,12.5096293457188,12.5574666945581,12.5440877216439,12.5635961901632],"WL-FDS^FG_PRICE_CHANGE(0,-6AM)":-12.8651336233686,"NI-FDS^FG_PRICE_CHANGE(0,-6AM)":11.5692307692308,"CPALM-FDS^FG_PRICE_CHANGE(0,-6AM)":9.24486396446418,"BRENT-FDS^FG_PRICE_CHANGE(0,-6AM)":0.0,"TIOS-FDS^FG_PRICE_CHANGE(0,-6AM)":-18.3719530544688,"EWD^FG_PRICE(0)":42.61,"QQQ^FG_PRICE(0)":463.37,"EWG^FG_PRICE(0)":32.34,"EWQ^FG_COMPANY_NAME":"iShares MSCI France ETF","FXI^FG_TOTAL_RETURNC(0,-1AM)":-0.43939352,"EWJ^FG_TOTAL_RETURNC(0,-6AM)":12.040747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9155966171],"TRYMY10Y-FDS^FG_YIELD(-10AY,0,Y,,\"YTM\")":[4.131911,4.345605,4.195897,3.902544,4.235642,3.300551,2.804181,3.573893,4.131847,3.727505],"TRYAU10Y-FDS^FG_YIELD(-10AY,0,Y,,\"YTM\")":[2.81,2.88,2.76,2.63,2.315,1.375,0.972,1.671,4.051,3.955],"FXI^PERCENT_CHANGE(FMA_EPS(+1,0,,,,\"PORTAGG\",\"MEAN\"),FMA_EPS(+1,-3AM,,,,\"PORTAGG\",\"MEAN\"))":-0.329201654155525,"EWJ^FG_TOTAL_RETURNC(0,-3AM)":-2.9844522,"VWO^P_PRICE(0)/P_PRICE_HIGH_PR(0,,,,,,\"PRICE\",\"INTRA\",\"52W\")":0.9691789,"EWL^P_PRICE(0)/P_PRICE_LOW_PR(0,,,,,,\"PRICE\",\"INTRA\",\"52W\")-1":0.21853197,"ENZL^FG_TOTAL_RETURNC(0,-3AM)":3.8647294,"URTH^FMA_COS_UP(\"EPS\",\"1M\",+1,0,,,\"PORTAGG\",\"MEANR\")":647.0,"EWQ^SIZE(FG_CONSTITUENTS)":64,"QQQ^FMA_RBICS_REV_CURRENT(30, LOC, \"PORTAGG\")":0.853987069260759,"EWJ^FG_ROE(0)":9.51573177070897,"TRYAU10Y-FDS^FG_YIELD_NAME":"Australia Benchmark Bond - 10 Year","REFEUREFI-FDS^FG_YIELD(NOW,,,0)":4.5,"REFAUCASH-FDS^(SUBARRAY(NOT_NA(NO_REPEAT_F(FG_YIELD(NOW,-10AY,D))),0,1)-SUBARRAY(NOT_NA(NO_REPEAT_F(FG_YIELD(NOW,-10AY,D))),1,1))*100":25.0,"USDSEK^STD(FG_PRICE_CHANGE(0,-3AY,M))":2.99737222103518,"USDCHF^STD(FG_PRICE_CHANGE(0,-3AY,M))":2.45992337040698,"USDUSD^STD(FG_PRICE_CHANGE(0,-3AY,M))":0.0,"USDEUR^STD(FG_PRICE_CHANGE(0,-3AY,M))":2.17865114035896,"USDAUD^STD(FG_PRICE_CHANGE(0,-3AY,M))":3.0914742648789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23.738457,26.24979,4.8238635,11.073864,1.2006164,-3.2031238,3.8391113,-8.690643,-1.5573263,-0.6021261,2.657652,4.270828,1.6797543,-2.0024478,13.435411,-2.459693,3.8711667,7.3400855,0.4601121,2.5608778,-4.9865065,-5.7332096,-5.095583,-4.6577396,-1.6321778,-8.908552,-7.7682853,9.032,5.5084467,-2.4919987,-0.7574141,9.208775,12.028778,12.42013,12.686718,23.66854,20.190954,32.75659,33.207703,23.949766,27.633154,35.16532,34.401955,35.2741,32.11757,26.722372,21.708988,12.538612,11.323082,9.168137,4.3141603,0.6019592,-4.216683,-7.092518,-9.655083,-16.335875,-8.067381,-6.76114,-2.3406923,-0.056940317,-4.0251255,4.1604996,-2.2259116,6.842029,7.9298854,17.129004,23.091162,31.166649,21.143686,7.324612,-11.403531,-8.794284,12.563885,10.468685,18.58443,13.734388,15.049017,15.373683,25.414694,26.25153,29.842651,41.24279,81.42092,76.63568,54.43909,42.63543,44.621456,54.730392,40.124416,45.38374,21.089745,17.282354,6.8714023,-9.078466,-12.260145,-22.697222,-20.27865,-28.362185,-24.472492,-37.078403,-33.16335,-36.28589,-19.279945,-17.338913,-7.193321,9.375942,3.866303,13.902485,9.74785,26.771832,15.261555,24.512243,20.28532,19.752407,11.658859,13.530111,11.810982,19.645918,21.00464,19.64718,26.369846],"SPY^FG_TOTAL_RETURNC(-10AY,0,AM)":[4.6016693,1.9308925,-3.0928314,4.7066092,-1.9399643,3.494835,2.3874044,-3.4047604,2.8675795,0.9486675,0.6021142,0.101041794,0.83158016,-0.9724498,0.78850985,-7.564199,3.243053,6.193435,-0.19996166,-4.5776725,-5.46726,6.6400647,3.5174847,-0.33911467,2.7367353,-0.28160214,4.0637136,0.38995743,-0.98457336,-3.3506334,6.3054442,3.0905604,0.75700283,3.835237,-0.5232513,1.8093705,1.4643312,-0.6114423,2.8517962,-0.2061367,3.5359502,1.7612219,1.6959548,4.3938637,-1.5690148,1.3933778,-4.441941,2.4256825,4.277873,-0.26751757,3.3476114,1.2366414,0.33444166,-4.412484,-1.9191623,-5.909002,8.062911,1.6829252,4.5090556,1.4727831,-2.738893,5.306673,-3.5716712,3.5614967,-0.7832825,4.331577,2.5301218,3.288424,3.1949043,-10.934793,-10.412466,7.320857,12.344766,-0.2776146,5.4502487,2.4646401,-1.8342078,4.5472264,5.62315,1.4326572,3.7906528,-1.0523319,6.209731,3.1887174,0.84234476,2.7840972,2.208209,2.3932695,-3.701973,7.7328086,-2.078843,2.357316,-4.1116357,-3.6839783,3.6379457,-7.878703,0.109398365,-6.5295935,7.885194,-5.4925385,-4.0983677,0.84404945,4.6446085,-1.0020137,5.6045175,-1.307857,1.557672,0.84068775,3.7321568,3.1000495,1.6262531,-0.13204813,-3.3943355,1.4317632,4.3769717,3.3117056,5.569327,3.1924367,2.020955,-0.35877228,3.5019398],"EWU^FMA_DIV_YLD(NTMA,-10AY,0,AM,\"PORTAGG\",\"MEANR\")":[3.83624820576473,3.80061627739297,3.96824097685002,3.8818166126938,4.1081047377074,4.10371589460407,4.02221858651168,4.31594779715015,3.99281187621056,3.92998776945232,4.00893120576075,3.94331366692392,4.03297010684339,4.21388525734675,4.04513547253889,4.57520747761562,4.29115442857226,4.25732439791914,4.28635507854789,4.44023320722201,4.57676856912857,4.3451297176959,4.39792322044772,4.3765577537848,4.25987813422118,4.3166230515573,4.11060721362042,4.10849894829181,4.19830315440843,4.47265640204697,4.40572690291395,4.24289732685022,4.31578341613052,4.30622638955213,4.35128581591594,4.32373255079122,4.23168359225659,4.33895314010375,4.22797446184224,4.34902639124754,4.27894317617627,4.28399634206897,4.39063827903152,4.17152665215576,4.4977472829283,4.5164850381698,4.48158775465838,4.35461890472312,4.32357190377624,4.41281405416275,4.43700972312118,4.66467658839811,4.62694051410397,4.86237958019928,5.18779556858668,5.25680202750783,4.96130546775284,4.93858277152956,4.81200067122581,4.85713888336001,4.87641858563867,4.74976759941222,5.10554593996164,4.99153672362276,5.05931907955311,4.76249262794686,4.78478998691143,4.56618537467224,4.65385310913245,5.38802050173031,6.18937672275123,4.74380746193145,3.89000315176969,4.05720429089406,4.0141273671554,4.18449642586879,4.21573516684033,4.34490548673294,3.84858808424841,3.76264535833269,4.06699042055385,3.99419101627861,3.98407615367796,3.90556325283827,3.88651397388147,4.01608478622403,4.14823294654854,4.16450288493737,4.21774018537049,4.03331189423518,4.05312921815185,3.86969584658879,3.83763462481412,4.18269313339946,3.94082418553628,4.17919565572355,4.02361484259331,4.38893479090684,4.20427379643366,4.4289973925916,4.62860313004432,4.44385866645048,4.23753310309083,4.17557633676269,4.14244458419548,4.13215407198382,4.1550143975544,4.19853378068065,4.33303674025625,4.52366507342697,4.3878762091821,4.52253714727669,4.53095960218053,4.55305111284228,4.42150312252481,4.28882447179392,4.27054166074903,4.15086470871432,4.03529654579011,3.90781058674176,3.8975562625239],"EWJ^FMA_PE(NTMA,-10AY,0,AM,\"PORTAGG\",\"MEANR\")":[13.581976027703,13.9379781926158,13.4646997402329,13.7343078281918,13.7251666795747,14.2324356788498,14.8041853556246,13.7189251247128,14.0750121725037,15.2697682374511,15.3526039555623,15.6415077086193,16.1572551168506,15.2729210619728,15.6123414265487,13.3308657736671,13.5814934631837,14.4371392271685,14.4319964693314,13.4919695034937,12.5659814346831,13.0918787470464,12.0586676514004,12.4680316687043,13.3595822151225,12.5030641861805,12.9886030719345,13.7271946601855,13.5393201302841,13.3340396907029,14.5708219954932,14.9488060207786,14.3028011356691,14.2571339098449,13.4746208467884,14.0296312178468,14.4009623243583,14.2623321625583,14.2334736352065,13.4840325028983,14.0591307527614,14.7601212913348,14.4333082584771,15.2347988861082,13.8636493603722,12.852636258826,12.7760290561892,13.1840853880057,13.1750803538474,12.6449227079606,12.7602258495064,12.3556480079364,13.092114958757,12.123166961372,11.8684298660566,10.9548340208761,12.0997255143571,12.5752133469266,12.7446481052659,12.7443906100598,12.3627067710607,13.0226087119607,12.3129719004748,12.8286520906082,13.0727551560052,14.0754563648224,14.4788178936548,14.3019938974754,14.627881504794,12.7216697946512,12.2984315767869,13.784681048767,17.3183548655158,17.8855541957546,17.6299692985041,18.2180370437472,18.2386905276519,17.82248075754,18.5712869430176,18.1423771296368,18.7015712694698,17.6261328028944,17.486552025547,16.9069211361201,16.634587308079,16.2760445351622,15.6878359673374,15.7491388648641,14.7564875611827,15.4263148396724,14.3649531295213,14.5350356147592,13.7802967302216,12.7648424887294,13.0725161683003,12.9143558911101,12.967301666536,12.2452415555424,12.7678879798978,12.5859723589065,12.4421552354861,12.4068215482135,12.7147171902788,12.1685693262555,12.9222303243019,13.4185498993803,12.8980042563252,13.6269253564947,14.6816674456173,14.7729287795632,14.4390281144804,14.9101082302624,13.9672916710377,14.3848638719639,14.2678440941266,14.150672595243,14.8909882406202,15.8770756377629,15.4498865491275,15.4313852337695,15.7529227384706],"EWC^FMA_PE(LTMA,-10AY,0,AM,\"PORTAGG\",\"MEANR\")":[16.1994279869132,16.3289123304105,16.2577902035854,16.4556365719838,15.7777799473983,15.5775487156582,15.564710823245,15.1385666082883,16.3267395429862,17.0035867268895,17.1396620390759,17.2576661805182,17.2149388067691,17.0532717592398,16.9735003118072,16.3289756829073,16.7000988893378,16.8241701935249,16.5771509376271,15.3812490795157,15.5297259416792,15.806776648673,15.96963311113,16.3276002313818,16.7692107123201,16.9232034442183,17.3146709775102,17.7242630834034,17.8354433396888,17.9708370643136,18.890696851539,19.6015646290249,19.5585965139708,19.3885399841943,19.0853042503833,18.7408572029035,18.3783647813859,17.960320760246,18.0045353284545,17.3646113118497,17.6476208964657,17.5339143802014,17.1537766198726,17.3595918329497,16.0942844344517,15.8237636890363,15.6157284490258,15.5888812557178,15.5732071836564,15.504726122439,15.4814104072835,15.1086333598293,14.9694145905974,14.3071822748332,13.8221606368755,13.2373247902731,14.7371327102567,14.7319967545465,14.7606766347791,14.5986152989762,14.4307933600245,14.5243856543913,14.2981442066958,14.5216135852786,14.5155283080125,14.9840701021219,15.1145658772977,15.2903707234766,15.767876260581,14.3850025058356,14.3664569348021,15.8164428897994,17.3164305478997,17.5198044766905,18.2311835740168,18.1013456003587,18.4834693865614,18.5943677610659,20.0369285715154,21.089378257216,20.9570402441176,19.92742109319,19.560319080621,19.1734467549964,18.7762277565505,18.3700711255967,17.7173217210988,17.2307850610811,16.3797064143527,16.663784082601,15.5710299959019,15.302979598251,15.4053006106557,15.241983480752,14.9933734981675,14.4661101510887,14.2406374924748,13.3249258953943,13.2356482006498,12.6540616891125,12.3388598369773,12.4251735409757,12.5737448421909,12.2980958276015,12.8317072744895,12.6240929057007,12.6559109153111,12.8065103851918,12.915783082891,12.9347334625336,13.4132407090427,13.5314900322209,13.1010499211487,13.4430278479131,13.9188486487742,14.5970817609926,14.5832786673845,14.8908215466196,14.9833806590998,14.9692948282329,14.8578125154919],"WL-FDS^FG_PRICE_CHANGE(0,-3AM)":-8.21603927986907,"NI-FDS^FG_PRICE_CHANGE(0,-3AM)":3.74821173104436,"CPALM-FDS^FG_PRICE_CHANGE(0,-3AM)":-4.99758570738773,"BRENT-FDS^FG_PRICE_CHANGE(0,-3AM)":0.0,"TIOS-FDS^FG_PRICE_CHANGE(0,-3AM)":-7.23324213406292,"FC0000CH^FG_PRICE(0)":337.54053,"FC0000AU^FG_PRICE(0)":363.85654,"EWN^FG_PRICE_MAVG(0,,,,200)":44.506855,"EWU^FG_PRICE_MAVG(0,,,,200)":32.966,"EWC^FG_PRICE_MAVG(0,,,,200)":35.8299,"EWI^FG_TOTAL_RETURNC(0,-12AM)":31.537878,"EWD^PERCENT_CHANGE(FMA_EPS(+1,0,,,,\"PORTAGG\",\"MEAN\"),FMA_EPS(+1,-1AM,,,,\"PORTAGG\",\"MEAN\"))":4.56824270241876,"EWQ^FG_TOTAL_RETURNC(0,-1AM)":3.080678,"QQQ^FG_TOTAL_RETURNC(0,-6AM)":20.800531,"EWJ^FMA_PCT_ABOVE_MAVG(200,0,,,,\"PORTAGG\")":73.5294117647059,"EWC^PERCENT_CHANGE(FMA_EPS(+1,0,,,,\"PORTAGG\",\"MEAN\"),FMA_EPS(+1,-3AM,,,,\"PORTAGG\",\"MEAN\"))":0.161263571466032,"EWJ^FMA_COS_DOWN(\"EPS\",\"1M\",+1,0,,,\"PORTAGG\",\"MEANR\")":82.0,"REFFFUND-FDS^PROPER_NAME(0,,,\"SECURITY\",\"NAME\")":"US Federal Funds Target Rate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59328,11.2050609778507,13.9227699516468,15.8587443966116,14.7207288829902],"TRYMX10Y-FDS^FG_YIELD(-10AY,0,Y,,\"YTM\")":[5.8237,6.2537,7.5651,7.6401,8.7069,6.8373,5.552,7.558,9.0223,8.95],"TRYPE10Y-FDS^FG_YIELD(-10AY,0,Y,,\"YTM\")":[5.681629,7.426917,6.415413,5.167133,5.645114,4.243226,3.535983,5.889906,7.923381,6.6087],"EWA^FMA_PE(LTMA,-10AY,0,AM,\"PORTAGG\",\"MEANR\")":[15.165065184907,15.2291980254451,15.3259866095166,15.4287814317086,14.658771214042,15.2123078703656,14.479613828904,14.6422069476042,15.8637742850143,16.2015961004084,16.2789146526875,16.2429324663725,15.9034076406753,15.8624107187674,16.0549608737648,15.0967343099177,15.4123986114577,15.5405114159289,15.5206311202538,15.4498522958867,15.2038563512921,15.0670649567759,15.0430146132962,15.5564555379923,15.7984223100888,15.6890800958371,16.3848729529623,16.5273896601435,16.8734757102131,16.4497033585976,17.0603556309243,17.9944173334142,17.4636938755494,17.4972625840073,17.3280404492047,17.1693280887931,16.7650926049915,16.8034476527698,16.7726012076477,16.5336276263185,16.3605479638982,16.7151815046095,16.4889817957836,16.9233709424541,16.1075367676151,16.5142295149566,16.2729891033,16.3189205214321,16.1634591964835,16.3747364683711,16.3344370646359,16.0585430119576,15.9777701229299,15.3858695989612,14.7732756090128,14.6043015986726,15.6306035267892,15.9288319313117,15.8273105397965,15.8351701961921,15.94888803944,16.4177999086978,16.0463965769998,16.58479427772,16.5624234257992,17.3058112871919,17.5188756447492,17.8155129483565,18.5511740093714,16.8710000174158,16.5536132563878,17.2744096083798,18.5483217528395,18.7098216524194,19.2548368744493,19.4760473060604,19.4782166987244,20.5392822982421,22.732353364669,23.1142490037421,23.1150878054756,21.722389990913,21.2797735750497,20.9434761953151,20.7909363987482,19.7730626030813,19.339892017413,19.1294168598437,18.2998417139257,18.6369761832307,17.5357417489642,17.4953795319166,16.0393361768342,15.704104198327,15.7584145869165,15.2429036493485,14.9862774088791,14.0031032032933,14.5158510191603,14.0674809850566,13.7330225745456,13.5207993888735,14.3538989285745,13.9836515171127,14.8035280848147,14.2901983079833,14.2678494278165,14.3223122304917,14.3142161062879,14.5723684839591,14.978178529504,15.0807244591538,14.536618052016,14.9443811159088,15.3623814871907,16.2955018368134,16.3542563660458,16.6242658468087,16.6490074828537,16.6643889982375,16.7345707602512],"WL-FDS^FG_PRICE_CHANGE(0,-1AM)":-1.95804195804197,"NI-FDS^FG_PRICE_CHANGE(0,-1AM)":-3.35820895522388,"CPALM-FDS^FG_PRICE_CHANGE(0,-1AM)":0.665131747249936,"BRENT-FDS^FG_PRICE_CHANGE(0,-1AM)":0.0,"TIOS-FDS^FG_PRICE_CHANGE(0,-1AM)":-9.25058548009368,"EWN^FG_PRICE_MAVG(0,,,,60)":49.651833,"EWU^FG_PRICE_MAVG(0,,,,60)":34.878,"SPY^FG_COMPANY_NAME":"SPDR S&P 500 ETF Trust","EWJ^FG_TOTAL_RETURNC(0,-1AM)":-0.6171942,"QQQ^FG_TOTAL_RETURNC(0,-3AM)":5.7401896,"CAGDPY@GB^EE_ACTUAL_ANNUAL(MED,+1)":-2.9,"CC_GB^FG_COMPANY_NAME":"United Kingdom","USDSEK^STD(FG_PRICE_CHANGE(0,-1AY,AM))":3.69510270699637,"USDCHF^STD(FG_PRICE_CHANGE(0,-1AY,AM))":2.22699040544249,"USDUSD^STD(FG_PRICE_CHANGE(0,-1AY,AM))":0.0,"USDEUR^STD(FG_PRICE_CHANGE(0,-1AY,AM))":1.82306558338501,"USDAUD^STD(FG_PRICE_CHANGE(0,-1AY,AM))":1.78752893606908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559165,2.21310873729953,2.48981565223205,2.56381617157873,2.51009258677617],"EWQ^P_PRICE_RETURNS_PR('52W',2,-10AY,0,AM)":[26.863121,29.733551,7.0026517,13.230538,-1.7795682,-6.760037,-0.2676785,-12.842989,-4.413271,-9.484548,-6.000364,-5.853951,-9.802908,-12.785369,3.5864234,-10.727442,-0.057816505,4.993391,-1.147747,1.3627648,-10.696441,-7.8093886,-9.422577,-9.149772,-4.6281934,-8.809018,-10.322041,4.6958327,-1.4542758,-6.288785,-0.74203014,10.661352,12.676037,11.050308,14.22708,25.729286,21.555828,32.538116,30.461407,24.090517,30.576206,35.894646,31.17397,31.31404,31.29728,26.576948,22.11374,15.145254,12.394357,11.250866,6.7429185,3.734982,0.9080887,-5.8723745,-10.186428,-14.582729,-9.221,-4.8366013,-2.1943629,-4.628122,-6.1960993,1.7232656,-4.998893,2.2370934,-1.1698604,13.106465,19.68131,26.394331,17.399967,-0.10240078,-21.13487,-20.687151,-0.037568808,-6.666106,1.2529731,-0.85739493,-3.064406,-6.8496346,8.159744,5.413866,5.792153,18.483948,55.1891,63.083767,41.043877,34.678185,37.399876,35.594296,34.056328,40.73875,15.470386,19.015825,19.554626,-2.6413262,-0.6049752,-11.326819,-8.541632,-17.72548,-13.922792,-21.282022,-21.132696,-18.950064,-6.977743,-7.6216936,-1.0584116,20.859325,15.747368,24.30067,12.452507,29.273117,21.762753,29.35078,30.463636,18.369139,14.804686,15.317524,8.72134,11.607492,10.421646,6.8190813,15.50392],"QQQ^FG_TOTAL_RETURNC(-10AY,0,AM)":[6.923163,3.379631,-1.2330174,5.681336,-1.6988754,3.8076758,3.6286712,-4.6867967,3.0578613,4.1501045,-1.105833,0.6888032,2.427137,-1.2359738,2.5533915,-7.5056553,3.033626,9.323812,0.3049016,-5.6822596,-9.36634,7.6946497,5.0417066,-4.5992556,4.62209,-1.6915381,7.8300953,0.9162545,0.9991288,-4.278618,2.8420568,4.6302795,3.1985521,3.8941383,1.2123227,4.165399,3.867972,-4.337591,5.4002523,1.0302901,1.9665122,4.1514277,-0.18856525,5.704379,0.24086237,3.8383365,-6.9127617,5.2608013,6.6658616,0.07190704,3.1490207,0.36988258,-0.73536634,-5.500966,-1.9678116,-6.113058,9.146774,1.7827749,6.588781,2.8593063,-6.4915237,7.8047276,-4.0774703,4.54545,-1.2522817,5.7994843,2.6231527,5.378413,6.7869782,-9.631175,-5.3465843,11.461723,9.447491,7.987106,6.2889457,3.2551646,-2.8283536,7.06861,3.7032008,0.8440852,7.7453256,-6.8445206,7.3052406,0.20856857,1.2337446,7.450843,2.1821737,3.6734223,-5.6327524,10.823811,-3.1108856,-0.4361272,-6.7730784,-5.784762,4.86145,-12.458247,-0.65642595,-5.8193264,11.409283,-8.919972,-4.3649673,-5.39034,6.4228535,-4.340702,12.942707,-1.1759281,6.1732054,1.5217781,9.895002,3.6987662,1.2464046,0.7257223,-2.5385737,1.2366295,4.290235,3.297305,7.773161,2.619338,0.5144596,-0.049948692,5.2515626],"EWL^FMA_DIV_YLD(NTMA,-10AY,0,AM,\"PORTAGG\",\"MEANR\")":[3.21226610346514,3.27782530149552,3.45009325105518,3.2757776239486,3.38160433250165,3.31222558964702,3.21625906426219,3.37270059850552,3.29727110281968,3.17106423932275,3.10488770562606,3.16001139053935,3.17635742491703,3.27845700317194,3.10751830345945,3.39346671177993,3.33417508540231,3.24257617645985,3.28451161991089,3.36813838925023,3.52264299233504,3.48595322964661,3.56035853309347,3.60416406242199,3.45723729661766,3.61660952552956,3.47730822009615,3.42345251340483,3.49772243169909,3.71827232610039,3.65852632160612,3.47853398060787,3.45880230987988,3.3531763657888,3.42942899257753,3.30095324943237,3.31718990319418,3.3036887480939,3.23855101744722,3.34197614382195,3.24819797185085,3.24042355344082,3.24240041298878,3.16477620439948,3.38465804090773,3.47324240026996,3.520914840161,3.471129052571,3.5691941756334,3.51934254235369,3.38230884601673,3.47177097968039,3.46864616560649,3.51674745268988,3.66717016207934,3.636441554693,3.40703598128611,3.34903759486923,3.299568902249,3.29083403914528,3.28442594552564,3.21408492524736,3.33702641914346,3.1688809272603,3.27933245349102,3.12894639579368,3.09801381424772,3.03120713818725,2.95524991506223,3.28983319432317,3.44506837963528,3.32459540429116,3.0635304381136,3.01606734086857,2.97804461398537,2.98287087833223,2.95497709682438,2.91872827225348,2.92200975383172,2.81254139954437,2.84778190512066,2.9306160719392,2.76527309353292,2.76082926384766,2.67233855706077,2.63320347592058,2.59134329422048,2.57558710693509,2.78518018486368,2.59736401657929,2.63399338465976,2.56306050210476,2.77485801484989,2.96721915783942,2.7722003882918,2.9506141177816,2.98372779855747,3.18804089847588,3.08733317068248,3.22656122805546,3.38891184760227,3.28862045824417,3.12895558939828,3.11301894016644,3.05432063811303,3.15205853992435,3.13297294749822,3.04483551917609,3.1282322651849,3.25429503588392,3.2027226644569,3.2980659765067,3.39651733136635,3.47257577121683,3.34187268667256,3.28064902742492,3.34051683971704,3.2833596093724,3.31722226517507,3.37875044097213,3.21855104042415],"EWG^FMA_PE(NTMA,-10AY,0,AM,\"PORTAGG\",\"MEANR\")":[13.3869398811036,13.3314700479341,12.2103075873379,12.9073321289977,12.13481044621,12.3735386889711,13.2537162847636,12.4221875881229,14.1424025484798,14.9875154505114,15.3841949212584,14.3434902581543,13.7602464332273,13.2498252413426,14.0264845646393,12.1909707472067,12.2201101838535,13.589915821574,13.4161150303784,12.688347836718,11.7522985987955,12.5663689423759,12.3152881954956,12.3966666978659,12.515246655399,11.5844880354666,12.764414883923,13.152982939709,12.9532800978088,12.4291032450206,12.908852901897,13.7500463586584,13.4438705802739,13.8772269256745,13.96157000565,14.1134663053273,13.77495963012,13.3503355894439,13.2515016007289,13.0587653572935,13.7973459082423,14.2763986391564,13.8850258642557,14.1699902504967,13.0717348417655,12.8162162402249,12.8758492670057,13.3662469696264,13.2697466496859,12.9361874134064,13.0171034705808,12.417220887949,12.5039332969612,11.74606163632,11.1591277555883,11.1728077094826,11.9536764172538,12.2442393976859,12.6313708440491,12.8465910726754,12.2620700214318,12.9834588066123,12.2085825354485,12.9186575689387,12.6712000276239,13.891144386397,14.0188039704474,14.0006864812014,14.3841089127969,12.3648301883838,12.5897982497517,14.9211454419171,18.433436694067,18.3609325615779,17.7368577304716,17.4460328297695,16.963668197603,15.4921658903506,16.0193050028657,16.1650027924313,15.8454672454303,15.3741941153767,16.2793409124825,14.9608547255024,15.0248160706633,14.6362219139912,14.3161399952549,14.1714929365441,13.3018610954649,13.9058611555734,13.0265691094255,13.4874660628155,12.6296919472422,10.6512178505404,11.4045182786887,10.5976472781197,11.1703794320877,9.55732551427196,10.2017222164704,9.6346873298495,9.23859065074438,10.033085311993,10.7109694800535,11.0496304104333,11.6803113283807,11.7058704254341,11.3238314607596,11.2163098357458,10.8038169324612,10.4010541829728,10.6651354219102,10.5756062043345,10.2076257451608,10.1163777154626,11.2162062413391,11.0404001224321,11.6052047598442,12.0220947593333,12.1704618807763,12.0220544223688,11.9874865224613],"EWC^FG_PRICE_MAVG(0,,,,60)":37.834667,"FXI^PERCENT_CHANGE(FMA_EPS(+1,0,,,,\"PORTAGG\",\"MEAN\"),FMA_EPS(+1,-1AM,,,,\"PORTAGG\",\"MEAN\"))":0.147110309160216,"VWO^FG_TOTAL_RETURNC(0,-6AM)":10.705149,"EWI^P_PRICE(0)/P_PRICE_LOW_PR(0,,,,,,\"PRICE\",\"INTRA\",\"52W\")-1":0.34413242,"EWD^FMA_PCT_ABOVE_MAVG(200,0,,,,\"PORTAGG\")":88.6363636363636,"EWQ^PERCENT_CHANGE(FMA_EPS(+1,0,,,,\"PORTAGG\",\"MEAN\"),FMA_EPS(+1,-3AM,,,,\"PORTAGG\",\"MEAN\"))":0.565974528001859,"EWL^P_PRICE(0)/P_PRICE_HIGH_PR(0,,,,,,\"PRICE\",\"INTRA\",\"52W\")":1.0,"EWG^FG_TOTAL_RETURNC(0,-12AM)":16.554737,"EWC^PERCENT_CHANGE(FMA_EPS(+1,0,,,,\"PORTAGG\",\"MEAN\"),FMA_EPS(+1,-1AM,,,,\"PORTAGG\",\"MEAN\"))":0.485184281275239,"ENZL^FG_TOTAL_RETURNC(0,-1AM)":4.0017605,"VWO^SIZE(FG_CONSTITUENTS)":4780,"EWQ^FMA_COS_DOWN(\"EPS\",\"1M\",+1,0,,,\"PORTAGG\",\"MEANR\")":20.0,"EWJ^FMA_COS_UP(\"EPS\",\"1M\",+1,0,,,\"PORTAGG\",\"MEANR\")":109.0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IN10Y-FDS^FG_YIELD(-10AY,0,Y,,\"YTM\")":[7.86,7.89,6.63,7.35,7.35,6.55,5.9,6.45,7.33,7.19],"TRYGR10Y-FDS^FG_YIELD(-10AY,0,Y,,\"YTM\")":[9.61,8.24,7.15,4.14,4.37,1.45,0.618,1.315,4.585,3.099],"EWJ^FMA_DIV_YLD(NTMA,-10AY,0,AM,\"PORTAGG\",\"MEANR\")":[2.10601277629105,2.04869438770492,2.10982139530287,2.06319538628193,2.0749395309814,1.98841660758046,1.90970939643325,2.05495140446159,2.00295141553699,1.86480719478219,1.87042778104331,1.86658167583408,1.85881223176462,1.93607702880632,1.88752634283043,2.20556783206123,2.16803050830644,2.05038792734742,2.0516927131749,2.18476046920475,2.38252674203107,2.33487126205417,2.54820978292485,2.47079049693391,2.37620397461999,2.56224798666687,2.45863710880569,2.32580578572147,2.35354477613607,2.39090100670584,2.16922873165637,2.08160148748912,2.15902579689107,2.14191344902474,2.26997278495432,2.19003384652388,2.16236837667732,2.16688495052324,2.16454066370686,2.25069767590705,2.14784098165971,2.04247942404851,2.11189440293176,1.98855582613455,2.17922262169932,2.26178024973112,2.27244617383314,2.21512025713478,2.23735289733549,2.35253099303608,2.30521957101342,2.37601569926782,2.24935512268578,2.44486645882018,2.54415148612394,2.79422796757495,2.61215552904177,2.55372599122118,2.55054687766502,2.56875843878194,2.73185646658442,2.62157623365677,2.78091242695417,2.69893745776104,2.65087043620892,2.47443979207215,2.45117905822663,2.4821055660892,2.4261213317658,2.83127081393428,3.02469216929993,2.86378420404786,2.45690917410835,2.47990743692835,2.50560129131832,2.38062230713563,2.36756299353127,2.34554552376455,2.16331508727304,2.15645629443252,2.06794076139249,2.10421562162755,2.07028873653481,2.12906722581158,2.14244312815284,2.18672789063116,2.24230441037,2.19252581731811,2.31018061130189,2.21398253020704,2.35152312195362,2.30971569003785,2.43842931263453,2.62267968345481,2.55068088609225,2.57627100365841,2.57492417365288,2.7271044680068,2.60703729282843,2.64930207033383,2.68565507053355,2.69459021734616,2.65081276078567,2.77070286698833,2.62234843599235,2.5596677334072,2.68149979933935,2.53785845639841,2.3595462814957,2.35147823654884,2.38157952320115,2.29643323918515,2.4500682658624,2.37276832084194,2.38921638947812,2.40440896519297,2.28988560514046,2.14270145998356,2.20731037325054,2.21540917784141,2.19845497105487],"WL-FDS^FG_PRICE_MAVG(0,,,,30)":556.77,"NI-FDS^FG_PRICE_MAVG(0,,,,30)":19316.666,"CPALM-FDS^FG_PRICE_MAVG(0,,,,30)":3908.8667,"BRENT-FDS^FG_PRICE_MAVG(0,,,,30)":85.86,"EWU^FG_PRICE_MAVG(0,,,,30)":35.906666,"EWC^FG_PRICE_MAVG(0,,,,30)":37.923,"QQQ^FG_COMPANY_NAME":"Invesco QQQ Trust Series I","EWI^P_PRICE(0)/P_PRICE_HIGH_PR(0,,,,,,\"PRICE\",\"INTRA\",\"52W\")":0.990602,"EWG^P_PRICE(0)/P_PRICE_LOW_PR(0,,,,,,\"PRICE\",\"INTRA\",\"52W\")-1":0.30904675,"ENZL^PERCENT_CHANGE(FMA_EPS(+1,0,,,,\"PORTAGG\",\"MEAN\"),FMA_EPS(+1,-3AM,,,,\"PORTAGG\",\"MEAN\"))":1.48258333667107,"VWO^FMA_COS_DOWN(\"EPS\",\"1M\",+1,0,,,\"PORTAGG\",\"MEANR\")":1617.0,"EWQ^FMA_COS_UP(\"EPS\",\"1M\",+1,0,,,\"PORTAGG\",\"MEANR\")":27.0,"EWG^SIZE(FG_CONSTITUENTS)":58,"EWC^FG_ROE(0)":11.0214913708581,"CAGDPY@GB^EE_ACTUAL_ANNUAL(MED,0)":-3.3,"CC_CH^FG_COMPANY_NAME":"Switzerland","USDSEK^FG_PRICE_CHANGE(0,-6AM)":-0.15230179,"USDCHF^FG_PRICE_CHANGE(0,-6AM)":2.1061063,"USDUSD^FG_PRICE_CHANGE(0,-6AM)":0.0,"USDEUR^FG_PRICE_CHANGE(0,-6AM)":-0.8043349,"USDAUD^FG_PRICE_CHANGE(0,-6AM)":-1.0599971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22.481464,25.307869,15.386808,23.562145,18.481493,16.891502,18.498325,11.7139225,18.077194,12.419737,13.673222,13.556564,9.984434,6.3458204,10.605192,-1.918006,2.8040886,5.4846883,2.9873967,1.5705705,-6.9173098,-2.6772082,1.4607191,1.0145783,2.9232025,3.6412358,6.132984,16.217363,11.458456,1.2868762,8.053577,16.736853,24.423086,21.150541,16.421509,19.366503,17.458366,17.06984,16.652966,15.019417,20.270575,26.631773,21.14092,23.111332,19.840479,17.02224,12.412369,13.538122,16.228867,16.631054,17.193306,18.887638,15.080225,8.221722,4.3746233,-5.299425,3.2792091,3.5741448,10.751545,12.222136,4.6708226,11.455833,3.1214595,5.4895997,3.730595,13.856804,19.02175,30.656158,24.770378,9.287775,-6.316036,-0.91685057,15.193605,8.38027,18.520414,18.864323,16.023016,16.262829,21.081425,17.618238,18.695318,29.25067,55.807686,49.80868,37.916924,38.599075,34.337902,33.148266,31.690132,35.671795,25.807392,26.954247,17.749989,16.26923,11.4044075,-0.54418445,-1.2670457,-10.213643,-5.069995,-12.52557,-12.885642,-18.17308,-12.857032,-15.717041,-7.1768403,-4.8869014,-6.79605,1.4168262,5.7179213,16.609335,9.658611,16.074657,16.926788,17.608225,17.307436,25.226307,22.378195,27.958548,29.043686,27.013313,26.731419],"EWU^FG_TOTAL_RETURNC(-10AY,0,AM)":[0.92378855,2.2294044,-5.284172,0.96702576,-6.0412645,-1.4113903,1.219511,-8.068716,7.844281,-0.10775328,-0.8630097,3.5364628,-0.8933246,-2.2806168,2.7071834,-12.04949,5.1376104,-0.11634827,-0.931859,-6.757784,-3.9871395,4.2866707,-0.5138099,2.194965,2.7163625,-6.228894,4.7042966,4.172015,-3.0807137,-6.3572764,4.1072726,2.872312,0.8033395,1.4344931,1.5399218,4.3330193,2.788496,-2.0650506,3.585422,-1.5416026,2.392912,1.1829138,-1.0265231,6.821084,-2.99533,-1.5014112,1.4380217,2.268219,1.3861895,-2.156639,-2.0314693,-3.5630882,1.5445113,-3.3104718,-5.7680426,0.21262169,6.3084126,2.8885365,3.1431198,-0.62130094,-3.6618054,2.7564168,-7.587904,3.4045458,-1.2588739,7.3880315,0.15221834,5.307436,-3.0543327,-12.32959,-18.590187,4.2444825,13.517916,-3.8366973,1.0602117,-1.9857645,-1.8348634,1.6355157,14.367819,5.2119136,-4.0257635,4.9664497,1.886189,4.8948884,2.0341039,-2.1262884,1.2488604,0.6919384,-3.0176342,3.2963634,-2.3859203,5.421412,1.697433,-8.023429,8.213949,-7.0609035,4.6850204,-10.266108,5.1475644,-6.462139,-6.5247717,7.5401187,9.649431,1.8175721,0.7573366,1.8164635,1.6917944,2.48034,-3.600949,-2.271247,3.3216238,-2.3802102,-0.31665564,-0.31766295,2.9955387,3.8848042,-0.5179703,1.2557387,3.3272743,4.0983677,2.3622036],"EWC^FMA_PE(NTMA,-10AY,0,AM,\"PORTAGG\",\"MEANR\")":[14.8027605367709,15.1112937218677,14.937559119125,15.1799267930553,14.2642788053491,14.3319413629031,14.6672505986709,15.1110800933393,17.168342123964,17.1756059107594,17.2117520594958,16.9987654765962,16.4878539188705,15.8559088853958,15.60523483864,14.501702845761,14.813102328672,14.7925534003849,14.5116256698864,13.7703550203093,14.5780205643591,15.3121315579067,15.7141179831059,16.2915331232812,16.7299447176437,16.416083019282,16.4490961390644,16.4236612719198,15.9930177173763,15.4998692488029,15.8553151158223,15.9046482608851,15.9597294488211,16.1199769279788,15.9626645903167,15.6889903586278,15.4815265615327,15.1432228909553,15.7243994529745,15.1962427560178,15.8066924813931,15.9936933448588,15.7824781422846,16.0119499480903,14.6211876542055,14.4305405961643,13.9891647370478,14.1585075546921,14.3162524811071,14.2774106348255,14.1468437809111,13.6341910800264,13.4301621829886,12.7439759975795,12.4998114099521,12.3790409167286,13.8353751162691,14.1876357748313,14.2862832062362,13.8241788044543,13.5011700963203,13.741183366669,13.429121665197,13.7771208573892,13.7403541728782,14.2167374722115,14.3221290806966,14.4296027150844,14.8635828573917,13.9389894022328,13.6561024768671,16.8118992065428,18.5972743230184,17.6922085342893,17.7968415871748,16.7949894250864,16.2009682635509,15.6711228895558,16.2812045631427,16.1474424271694,16.0366049573975,15.3415716872814,15.5694070309674,15.5045148372353,15.5890171863838,15.5902768812884,15.1540595947622,15.0059607722278,14.4476811402765,14.9975714125687,14.2037227621379,14.3292163650846,14.1827105139414,13.9791952098913,13.4884768557782,12.3965682584384,12.4345106608769,11.0307259115722,11.504987698383,11.1952315129042,11.0785042735308,11.5186146675421,12.1759553580852,12.2201575774045,12.9778355967398,12.9266925898701,12.7642705625729,13.0171436362616,12.9496419264447,12.7687025797954,13.2089591843777,13.129134627743,12.3673854646741,12.5347657343865,12.9990138081577,13.6417179963574,13.793554581948,14.3488421118531,14.6653160443817,14.4575736259307,14.073631654769],"ENZL^FMA_PE(LTMA,-10AY,0,AM,\"PORTAGG\",\"MEANR\")":[17.9542838646496,18.0160973330219,17.8914988890964,17.9836273862335,17.8742958519226,18.454806849786,18.9500358494259,19.2024103423043,20.0490429965878,20.5177576990093,20.2487214950265,20.0806766997301,20.0336627665395,19.7525867922965,19.9021609854412,18.960416878999,18.7825742323497,19.6650458755318,19.5659708040725,19.6385201862591,19.065479037999,19.3301639469493,19.3462444029259,19.5494573362396,19.8186269405129,19.7878447430534,20.5127422810263,21.3565709823966,20.6081400537484,19.476175382873,19.9715931786697,20.2504633820836,20.525593272303,19.8171286639947,19.8553090064846,19.9256887239669,20.0045107121143,20.1114275439806,20.4993157209764,20.5552841281206,20.7026463826383,21.2115377700825,21.4931846683634,22.5179605673982,21.8676702452761,22.5711335283977,22.3962719887514,22.4001870149689,22.6261048961249,23.0043961402302,22.873533304221,23.2834202329609,23.4499931253208,22.809918004389,22.7887905442609,22.7918941770155,23.4429017338657,24.1817229515975,24.1399481058379,24.1602610820161,24.085985023673,24.8714794493471,25.0074722321997,28.9400529311444,28.5934771235445,28.8108427122926,31.1293727925276,32.6448353159375,32.3545017765437,31.0834697630674,30.5763841942284,31.6804733247213,32.2066638783874,33.2704805698477,33.9506267237553,33.6290782545707,34.3017435432475,35.8304931752729,35.8585888067486,38.646361295616,36.4862036143977,34.3556536883641,34.3604219496096,34.5920531527912,35.2895620560326,36.4113469795694,36.9224877856688,38.5269567438967,38.646741004829,39.3725233426677,38.3598717208776,39.0782103740638,37.1552301371641,35.3194494266874,34.6940647882517,34.6365272661495,33.4186721878374,33.2312410015195,33.5390528308907,34.1027977879031,31.8061786055311,31.2708705353861,29.802850274796,29.5084915927528,30.1618192677606,29.4410199474281,28.8377979758142,28.3562335512945,26.7278783306399,26.0052245725822,25.1971049821125,24.4162600875765,23.5962185674825,23.0445149363271,23.4587318027964,23.882163073788,23.6153345673127,23.7488861570881,24.0747462182146,24.4086441067061,24.2613132399537],"TIOS-FDS^FG_PRICE_MAVG(0,,,,30)":115.29933,"EWN^FG_PRICE_MAVG(0,,,,30)":50.508,"FXI^FMA_PCT_ABOVE_MAVG(200,0,,,,\"PORTAGG\")":76.4705882352941,"VWO^FG_TOTAL_RETURNC(0,-3AM)":4.781008,"EWN^FG_TOTAL_RETURNC(0,-12AM)":26.369846,"EWQ^PERCENT_CHANGE(FMA_EPS(+1,0,,,,\"PORTAGG\",\"MEAN\"),FMA_EPS(+1,-1AM,,,,\"PORTAGG\",\"MEAN\"))":1.59343513628223,"QQQ^FG_TOTAL_RETURNC(0,-1AM)":5.2515626,"EWL^FG_TOTAL_RETURNC(0,-6AM)":10.666668,"EWC^FMA_PCT_ABOVE_MAVG(200,0,,,,\"PORTAGG\")":68.1818181818182,"EWL^FMA_RBICS_REV_CURRENT(30, LOC, \"PORTAGG\")":18.424673270129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,7.43859928704763,9.22076567652678,9.2254455739887,9.29937608846778],"TRYQA10Y-FDS^FG_YIELD(-10AY,0,Y,,\"YTM\")":[null,null,null,null,null,null,null,null,null,null],"TRYCH10Y-FDS^FG_YIELD(-10AY,0,Y,,\"YTM\")":[0.314,null,-0.12,-0.09,-0.176,-0.434,-0.49,-0.111,1.617,0.703],"EWU^FG_PRICE(0)":36.4,"EWJ^PERCENT_CHANGE(FMA_EPS(+1,0,,,,\"PORTAGG\",\"MEAN\"),FMA_EPS(+1,-1AM,,,,\"PORTAGG\",\"MEAN\"))":-3.19320524447351,"VWO^FG_TOTAL_RETURNC(0,-1AM)":0.06889105,"CAGDPY@CH^EE_ACTUAL_ANNUAL(MED,+1)":8.1,"CC_JP^FG_COMPANY_NAME":"Japan","USDSEK^FG_PRICE_CHANGE(0,-3AM)":1.3213992,"USDCHF^FG_PRICE_CHANGE(0,-3AM)":1.1681318,"USDUSD^FG_PRICE_CHANGE(0,-3AM)":0.0,"USDEUR^FG_PRICE_CHANGE(0,-3AM)":0.26658773,"USDAUD^FG_PRICE_CHANGE(0,-3AM)":-1.2554526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628031,1.85109750631934,2.46081747041971,2.80266518747483,2.92070468056675],"QQQ^P_PRICE_RETURNS_PR('52W',2,-10AY,0,AM)":[30.239498,34.90254,25.357235,31.996464,25.193727,24.323845,25.243843,17.703283,22.080326,19.373178,24.066973,24.288404,19.745922,13.746405,18.10708,3.8896203,8.346105,14.103401,10.45413,9.290171,-4.4689536,-1.5673637,5.5637836,0.019693375,2.1630406,1.6918063,5.209577,16.659964,14.356411,-0.07240772,2.660489,13.885212,29.673553,25.097406,20.536877,32.312645,30.662203,27.145313,25.472868,24.420654,25.612366,36.67487,32.64724,35.184193,30.168224,30.09832,19.65431,21.353745,24.169624,29.893135,27.118767,26.287819,23.10822,11.547697,9.559238,-1.7118514,5.956447,3.8589597,15.947032,16.209675,1.8750548,11.454463,2.0584583,6.304276,4.4576406,18.396627,23.941278,39.111317,36.103653,20.840954,7.309699,16.284298,37.18693,36.33586,51.069786,51.78802,46.823883,48.58513,52.055157,43.68813,46.2291,46.926723,69.42421,52.31918,43.681442,40.188374,34.7718,33.5145,31.412422,36.123074,27.08379,25.47047,8.931839,11.452341,7.2981,-6.2648654,-8.015037,-19.37517,-12.479937,-22.77271,-21.735186,-33.122017,-26.611359,-29.489428,-14.577734,-10.399037,-9.2781725,3.949213,16.384197,28.146194,15.505242,28.789722,31.249285,40.44269,37.628365,52.719486,41.814995,47.261284,40.352596,37.2543,31.454826],"EWL^FG_TOTAL_RETURNC(-10AY,0,AM)":[1.260376,0.15670061,-6.2987566,3.7002802,-5.0252733,0.37571192,3.2439113,-7.009059,5.6530237,0.52274466,4.0685296,2.175188,-0.028765202,-3.6812544,3.1202197,-7.950157,2.159202,-0.15773177,-0.31595826,-4.405701,-5.006629,2.094245,2.632475,-0.8327782,4.366815,-3.7150145,3.1228542,3.0615687,-2.0665169,-5.605012,0.7684231,4.605949,1.790452,2.312696,1.3689876,8.165825,1.1904716,-0.4996121,2.5036812,-1.5229821,2.2176743,-1.1989653,0.34672022,4.491794,-2.480024,-1.6953886,-2.5582075,0.5014658,-1.1153519,0.92544556,3.949356,-0.6380558,-1.0215938,-1.8283665,-2.282977,-1.5062928,4.588008,3.1632423,3.2108784,0.89685917,2.5000095,3.2165647,-2.2240043,4.3299437,-2.731812,4.347825,1.449275,4.285717,2.2015572,-7.467687,-7.5788918,1.7072558,8.200323,3.5903454,2.8692603,0.800395,-0.7459104,3.0787945,1.7168403,4.7946095,-1.8322229,-2.6534736,4.781699,3.6375642,5.254209,0.38309097,2.7680874,1.2370348,-7.41033,8.365261,-1.6892552,3.4765244,-5.6381583,-6.0159564,7.0542097,-9.334951,0.40376186,-6.0299277,4.002905,-6.648004,-5.0724626,3.658855,8.100557,2.9128551,2.2825837,-1.852268,5.0250053,5.4557323,-3.1410336,-2.5010526,3.400755,-3.1169415,-3.4169078,-0.9648502,6.1238647,4.2622924,-1.0482192,0.38136244,-1.6462684,-0.49356222,9.186983],"EWG^FMA_DIV_YLD(NTMA,-10AY,0,AM,\"PORTAGG\",\"MEANR\")":[2.9538234214719,2.97712171938965,3.28144403577923,3.08481980944803,3.28395238510937,3.2554449857172,3.0951867599607,3.30443190627134,2.91586253779329,2.74806096107438,2.69333781297805,2.90378824630546,3.00391352307825,3.11625476848729,2.94186181206653,3.40086124311739,3.37388908741738,2.96597257643505,3.02327542846115,3.19196911100956,3.52752405127054,3.35807651938531,3.39939301886733,3.37596338814692,3.32154502677344,3.59404780305843,3.24839105494283,3.15870573763207,3.14264169593391,3.27905138003926,3.15547801277386,2.94677034624954,3.01185213516271,2.93122832852104,2.91112720009072,2.85886108568954,2.92681170590506,3.02472239825364,3.04664267387214,3.11727868833568,2.9595091627242,2.85609205202281,2.92324629163518,2.86620808405078,3.13506450690604,3.2095290392957,3.22878039724483,3.11958434234051,3.13392878885833,3.22813560132798,3.20837913485441,3.37427990552549,3.362331966612,3.61219352479863,3.83590259256478,3.8803184061531,3.65921042716906,3.58019963858471,3.47987791597743,3.4297838204394,3.60834172288016,3.44044000016035,3.64114983578041,3.44170282196985,3.49708801396196,3.18846836192655,3.11460982665375,3.1234981667915,3.04655837856122,3.54280618529636,3.79423014019121,3.41258267180679,2.78770446813248,2.83307243129967,2.87442997958829,2.85912471611751,2.84873687454481,2.98427298609663,2.77894699151275,2.70775365701068,2.72984605295561,2.84042654530965,2.68478815695582,2.81201195865894,2.7778429559406,2.82219125772131,2.85004404179017,2.84332633997915,3.04218456131493,2.91910874439328,3.11415643736021,3.03067565618728,3.24229452925837,3.86061467885405,3.60300029487456,3.90191405846583,3.68357678659967,4.28714850927504,3.98833582101205,4.19287104244597,4.356241696165,4.06163412591048,3.75499355558239,3.64503963109543,3.45493697172015,3.46885541233683,3.54684958805782,3.54027754351364,3.63779736351455,3.77972038793306,3.70327429974667,3.74960093862485,3.90024808389897,3.93667390133876,3.55917885419493,3.60242301858412,3.50915658162614,3.34272650016465,3.3075656858496,3.35742691793737,3.3502569915798],"EWA^FMA_PE(NTMA,-10AY,0,AM,\"PORTAGG\",\"MEANR\")":[14.2627121233112,14.470144161433,14.6797143755859,14.8049258179585,13.8597944972488,14.4554801414709,13.9789630555931,14.4265762708317,15.9352115722224,16.1812902486457,16.2755026121025,15.9899494134616,15.1263465654091,15.1000359276958,15.4914742058262,13.999494154228,14.6741328975496,15.0160196141613,15.064781264346,15.1940703569611,15.2458777697315,15.8199453818539,15.194508941149,16.3515838527955,16.4141789436785,15.7350182752329,16.5640865694745,16.3674367252884,16.3644021396606,15.3783155559203,15.5465205776487,16.0245964165602,15.5725708269953,15.7740838580677,15.7356136848182,15.658325546941,15.100188337937,15.4981709630251,15.6506028945661,15.5366474484638,15.4490759846931,15.9213531268421,15.7221797134986,16.1431458345104,15.1473428595258,15.4240517157515,14.8301680400188,15.310383772271,15.1058906993327,15.6735217757629,15.5765516543495,15.2530798266588,15.1487851805058,14.5199968729128,13.9954563731638,13.9949240615902,15.0208847891267,15.49505495179,15.1885238526581,15.3146760197725,15.5791583681968,16.4503077429916,15.6447420321997,16.4063482362639,16.2497435015316,16.9689194441829,17.099588987477,17.2213685768624,17.9967912583336,16.0989788355279,15.0576689568427,17.081654571247,19.617897566741,19.1928299362222,19.2766694500663,18.9553895113679,18.368100278687,18.5982006445303,19.8955331411633,19.0553099874253,19.1059453987592,17.9797579693345,17.8233773654636,17.9412935762511,18.4410063144998,17.2237294916179,17.1865534820249,17.387460383849,16.8689991419479,17.6986701468017,16.9213267801109,17.1422156627005,15.8324556469375,15.6991855448931,16.0194355841636,14.4983071737409,14.2177744350121,12.6158611031236,13.8903658313484,13.5120358012167,13.3286805752921,13.4695934600517,14.575407904458,14.1066494266599,14.9647807965494,14.6094861766839,14.4088833649342,14.521848117362,14.4336472260171,14.8419931868111,15.4026298204681,15.4204917069428,14.5141422218141,14.9412449547524,15.4036805345046,16.1868971539152,16.3049031338004,16.6420295188955,16.6656702076462,16.5995792668412,16.6996332258166],"ENZL^JULIAN(FMA_DIV_YLD(LTMA,-10AY,0,AM,\"PORTAGG\",\"MEANR\"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6],"WL-FDS^FG_PRICE(0)":560.8,"NI-FDS^FG_PRICE(0)":18130.0,"CPALM-FDS^FG_PRICE(0)":3935.0,"BRENT-FDS^FG_PRICE(0)":85.86,"TIOS-FDS^FG_PRICE(0)":108.5,"EWN^FG_PRICE(0)":52.64,"EWC^FG_PRICE(0)":37.99,"EWU^FG_COMPANY_NAME":"iShares MSCI United Kingdom ETF","SPY^FG_TOTAL_RETURNC(0,-12AM)":26.731419,"EWI^FG_TOTAL_RETURNC(0,-6AM)":19.491768,"EWN^P_PRICE(0)/P_PRICE_LOW_PR(0,,,,,,\"PRICE\",\"INTRA\",\"52W\")-1":0.45053732,"EWQ^FMA_PCT_ABOVE_MAVG(200,0,,,,\"PORTAGG\")":74.1935483870968,"QQQ^PERCENT_CHANGE(FMA_EPS(+1,0,,,,\"PORTAGG\",\"MEAN\"),FMA_EPS(+1,-3AM,,,,\"PORTAGG\",\"MEAN\"))":0.271060732951907,"EWL^FG_TOTAL_RETURNC(0,-3AM)":6.8594337,"EWG^P_PRICE(0)/P_PRICE_HIGH_PR(0,,,,,,\"PRICE\",\"INTRA\",\"52W\")":0.9875563,"EWA^FG_TOTAL_RETURNC(0,-12AM)":14.983929,"ENZL^PERCENT_CHANGE(FMA_EPS(+1,0,,,,\"PORTAGG\",\"MEAN\"),FMA_EPS(+1,-1AM,,,,\"PORTAGG\",\"MEAN\"))":5.54285751611551,"VWO^FMA_COS_UP(\"EPS\",\"1M\",+1,0,,,\"PORTAGG\",\"MEANR\")":857.0,"SPY^SIZE(FG_CONSTITUENTS)":504,"EWG^FMA_COS_DOWN(\"EPS\",\"1M\",+1,0,,,\"PORTAGG\",\"MEANR\")":21.0,"EWJ^FMA_RBICS_REV_CURRENT(30, LOC, \"PORTAGG\")":18.8758256480555,"EWA^FG_ROE(0)":12.6155283848127,"REFSEREPO-FDS^FG_YIELD(NOW,,,0)":3.75,"REFGBBANK-FDS^PROPER_NAME(0,,,\"SECURITY\",\"NAME\")":"UK Bank Rate","REFNZOCR-FDS^(SUBARRAY(NOT_NA(NO_REPEAT_F(FG_YIELD(NOW,-10AY,D))),0,1)-SUBARRAY(NOT_NA(NO_REPEAT_F(FG_YIELD(NOW,-10AY,D))),1,1))*100":25.0,"TRYGB10Y-FDS^PCTCHG(FG_YIELD(0,,,,\"YTM\"),FG_YIELD(-1AM,,,,\"YTM\"))":-0.7816199,"TRYIT10Y-FDS^FG_YIELD_NAME":"Italy Benchmark Bond - 10 Year","TRYJP10Y-FDS^FG_YIELD_NAME":"Japan Benchmark Bond - 10 Year","CC_CH^IMF_IFS_RCPI_Q(0)":1.1636324,"VGK^FMA_DIV_YLD(NTMA,NOW,NOW,M,\"PORTAGG\",\"MEANR\")":3.51985388875282,"EWD^FMA_PE(LTM,0,,,\"PORTAGG\",\"MEANR\")":14.381312883942,"SPY^FMA_EVAL_EBIT(LTMA,NOW,NOW,M,\"PORTAGG\",\"MEANR\")":20.4829725431772,"EWU^FG_FCF_YIELD_NTM(0)":6.09675195077835,"EWJ^FMA_PE(NTMA,0,,,\"PORTAGG\",\"MEANR\")":15.7529227384706,"EWC^JULIAN(FMA_DIV_YLD(NTMA,NOW,NOW,M,\"PORTAGG\",\"MEANR\").DATES)":45443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4,12.1997093940908,11.8187115511422,11.9489916743573],"TRYUS10Y-FDS^FG_YIELD(-10AY,0,Y,,\"YTM\")":[2.1881,2.2961,2.4752,2.4325,2.6836,1.9185,0.9174,1.5119,3.8776,3.8791],"TRYEU10Y-FDS^FG_YIELD(-10AY,0,Y,,\"YTM\")":[0.5475,0.636,0.2082,0.4294,0.239,-0.189,-0.575,-0.181,2.533,2.004],"SPY^P_PRICE(0)/P_PRICE_LOW_PR(0,,,,,,\"PRICE\",\"INTRA\",\"52W\")-1":0.30656624,"EWI^FG_TOTAL_RETURNC(0,-3AM)":6.615627,"EWN^P_PRICE(0)/P_PRICE_HIGH_PR(0,,,,,,\"PRICE\",\"INTRA\",\"52W\")":0.9990511,"EWL^FG_TOTAL_RETURNC(0,-1AM)":9.186983,"ENZL^FMA_PCT_ABOVE_MAVG(200,0,,,,\"PORTAGG\")":42.8571428571429,"VGK^SIZE(FG_CONSTITUENTS)":1281,"EWG^FMA_COS_UP(\"EPS\",\"1M\",+1,0,,,\"PORTAGG\",\"MEANR\")":30.0,"TRYZA10Y-FDS^JULIAN(FG_YIELD(-10AY,0,CY,,\"YTM\").DATES)":[42004,42369,42734,43098,43465,43830,44196,44561,44925,45289],"CAGDPY@CH^EE_ACTUAL_ANNUAL(MED,0)":7.64221110543266,"CC_DE^FG_COMPANY_NAME":"Germany","USDSEK^FG_PRICE_CHANGE(0,-1AM)":-3.4129858,"USDCHF^FG_PRICE_CHANGE(0,-1AM)":-1.4363766,"USDUSD^FG_PRICE_CHANGE(0,-1AM)":0.0,"USDEUR^FG_PRICE_CHANGE(0,-1AM)":-0.9008527,"USDAUD^FG_PRICE_CHANGE(0,-1AM)":-0.368374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U^P_PRICE_RETURNS_PR('52W',2,-10AY,0,AM)":[20.293701,26.970911,13.20231,12.805653,4.2496443,-2.0009398,1.3268352,-10.5304,-0.86271167,-6.302297,-4.447913,-5.958194,-6.970179,-11.725521,-4.2776403,-16.781504,-6.6975174,-5.471921,-7.2867928,-6.1617556,-17.347252,-14.261234,-12.474167,-13.6082115,-10.461635,-14.079356,-12.6435995,3.746605,-4.3629885,-12.776971,-5.777931,3.9533615,9.140026,6.1551094,8.3464985,10.893464,10.6909275,15.606081,14.444172,8.09772,14.202654,23.398352,17.31329,21.03852,17.22586,13.832891,13.718677,12.908363,9.947395,9.844589,3.8882852,1.7553091,0.7668257,-3.5691679,-8.188879,-13.488388,-5.607897,-1.4009655,-0.027036667,-2.5762677,-7.426977,-2.4995625,-8.292609,-1.6666949,-5.0047216,6.198573,12.870657,18.609,8.162916,-7.835335,-27.255375,-23.693651,-9.357876,-15.855265,-7.9808354,-12.353259,-13.286429,-17.931467,-5.536139,-6.3676653,-7.5579405,9.059322,38.8955,39.762093,28.433395,27.857744,28.096426,32.05025,30.010366,32.49023,12.778473,13.003039,20.306896,6.2824607,11.439741,-1.2620211,1.3032675,-7.121772,-3.805846,-10.398406,-13.638639,-9.713644,0.9947777,-2.457744,-3.359437,6.9794416,0.53168535,9.295464,2.078259,11.172951,8.639622,14.00963,21.581532,12.697756,5.8588862,10.483503,6.64109,6.0537934,8.713055,9.460807,16.231955],"EWJ^FG_TOTAL_RETURNC(-10AY,0,AM)":[6.014359,3.8388014,-3.4893274,0.7230997,-3.125,1.220572,1.2058616,-6.260103,6.3926935,5.6652427,4.305446,-0.15576482,1.0920405,-0.6587267,0.70257187,-10.930234,3.0461311,4.729724,0.16129017,-3.73258,-7.7506304,5.205488,-3.906256,4.2457104,2.6863098,-2.3536384,5.4007053,3.5537124,-0.6384671,-0.56224465,0.5250335,2.5549054,1.010704,0.54934025,-0.5658567,3.551805,3.7142277,-2.5187492,4.018116,-1.1969507,2.7716637,5.697441,-0.40554404,5.964875,-1.9825935,-0.32889247,-1.6333938,1.8617868,-0.11526346,-4.9654303,1.6258717,-1.9095123,3.7706017,-6.3038707,-2.7056277,-1.9708037,2.8206587,0.24096966,2.385354,0.036120415,-2.9969335,4.1382074,-3.7150621,2.697134,3.44702,5.0952077,1.7614484,-0.89756846,1.0772586,-12.406331,-6.235737,2.7980566,12.544382,-1.2828529,0.17895699,3.697753,1.8776894,4.0243506,7.3797107,3.6136389,1.5693784,-1.5740037,1.1150122,-0.2901852,1.2078047,-2.0034015,0.23647547,5.883217,-5.6120276,3.806436,-4.2069316,0.87673664,-4.2920947,-4.7337294,-2.1085322,-5.343133,1.1113048,-7.16055,4.952562,-6.798053,-2.3860335,1.0930061,7.3127627,0.5527139,5.039251,-0.2607286,0.74938536,2.9752612,5.896187,-2.9203355,1.662004,0.7283926,-4.5797825,3.065002,2.40196,2.8011084,4.171264,7.8422546,-2.1017253,-0.2862513,-0.6171942],"EWC^FMA_DIV_YLD(NTMA,-10AY,0,AM,\"PORTAGG\",\"MEANR\")":[2.85732207593149,2.79690860600783,2.80629899946129,2.7569493359575,2.92607507758338,2.97792848563941,2.98355777834539,3.02043435555499,2.87483940899567,2.90517102645312,2.87121495832642,2.88499545762234,2.91074862865312,3.0139769594097,3.07329137785706,3.25660419980678,3.2313704757621,3.26038384271024,3.31273288692691,3.44618496381709,3.38575422336119,3.25532814973938,3.19458606410886,3.11786178052236,3.00672951959962,3.05148950684569,2.96718892835535,2.93496978590098,2.95480025118617,2.99276323441794,2.87139248029401,2.81333912472327,2.83594049466162,2.87255082660017,2.89815211011696,2.93545696984261,2.98253714724283,3.06705229553894,3.01971169312734,3.10212709615005,2.96339099217586,2.90481753356966,2.94541782647687,2.88691410143745,3.09228256343407,3.13993310135888,3.22638768948066,3.13343568726582,3.07324828144393,3.05770191665969,3.07248824923286,3.15653257612966,3.19796068151106,3.35540436901003,3.44540707915098,3.57435364282132,3.30395804182139,3.25835436701417,3.21620762299097,3.22397498642368,3.34333293183219,3.29319282279123,3.43641502962915,3.36246810170534,3.38862059274526,3.30008429255735,3.2608191064873,3.26696806061845,3.20488378546664,3.57666978187694,4.20831163585326,3.84850830975664,3.4679865140888,3.52039839574727,3.33810075045551,3.41112968466877,3.43090187378878,3.41676735017911,3.12503235027304,3.05875536464582,3.00291213960726,2.91776358027713,2.78459379357137,2.75626905385107,2.5945381468635,2.69410762404414,2.6797012757017,2.71305785779172,2.81662219176305,2.71077423394695,2.84523060943204,2.80109899147875,2.80362679520632,2.84557885474321,2.84730240915564,3.09809463205786,3.09892909268655,3.45924607863536,3.3419175608108,3.50998372166299,3.53733352849732,3.46403487133021,3.36075468068422,3.39356929432981,3.27037445388773,3.29531540063778,3.32349366972571,3.24642873478358,3.29974621637647,3.30167480184639,3.44564650882637,3.50226968266624,3.7033930062049,3.61754636668,3.47175978045724,3.35331791870779,3.33860222179981,3.21281700272729,3.08516886956719,3.06464636865298,3.31585610366913],"ENZL^FMA_PE(NTMA,-10AY,0,AM,\"PORTAGG\",\"MEANR\")":[17.2002913002185,17.32041006322,16.9995835657644,17.3696722871819,17.0817891710916,17.696252011793,18.0535354714861,18.3397721771,19.1707753473895,19.3138261673669,18.4655494041224,18.3028346187022,18.3620406543346,18.0153998107911,18.4535916304161,17.2015824314033,17.1782532613835,18.2058631857923,18.1877637495649,18.0815168658008,17.3443307412184,18.0124966648951,18.4949058809521,19.0797059583099,19.4664780515508,19.1960620070365,20.1265999077536,21.2096937241223,19.781042576142,18.2150531619003,18.6566144279095,18.7778806884712,19.0921426355346,19.053654203023,19.2927264493871,19.4206340055456,19.469417269834,19.5061863756649,19.8184185668558,19.7982998011995,19.8563286949991,20.2229445937973,20.2093441692945,21.0528578665492,20.3647117732393,20.3121856306024,20.0978708252272,20.3470634754239,20.9801865365252,21.4121441045083,21.0045147728688,21.3653023490864,21.2787198375952,20.2599688283773,20.0514497701916,19.9014809258006,20.6324382957351,21.792698862964,22.2878621959659,22.6143688060124,22.5186001235699,24.0612151789682,24.0234950927966,26.7183170821539,25.315679184783,24.6382173405067,25.6550697743331,25.9761193262365,26.0261589933823,26.2419153328932,25.5810507411163,29.4667820078337,30.2809319295963,31.80297541162,32.2456491516697,32.2310139877911,32.3432326230937,33.3523814494226,32.5104823611867,34.8765269128279,33.0700934901662,31.692085825627,31.8515088175801,32.3097391062478,33.1818415210105,34.4239964186306,34.1074373783085,35.0558025094772,34.0746971665323,33.7343972752431,31.5727914571243,32.0253089221071,30.2786270119634,29.4592610621962,28.66565260558,28.7083171108863,26.3678625928899,26.1774033321289,26.7136736118174,26.8185476282782,24.1437874152622,23.5137564579036,23.2911965512493,23.4860208600488,24.423868681286,23.6122352804504,23.3792101612306,23.42924077286,21.0524652962659,21.0868589260128,20.9424546735886,20.4778576707787,19.9112123171235,20.3857190643667,21.7325348887119,22.7887186845584,22.576624119567,24.7552436578637,25.1045278675832,25.1244553000139,24.3289399276116],"DDR3512M-FDS^MAX(FG_PRICE(0,-5AY))":3.3053632,"PASP-FDS^MAX(FG_PRICE(0,-5AY))":3158.12,"PLATI-FDS^MAX(FG_PRICE(0,-5AY))":1272.59,"W-FDS^MAX(FG_PRICE(0,-5AY))":14.2525,"COPP-FDS^MAX(FG_PRICE(0,-5AY))":5.119,"FC0000JP^FG_PRICE(0)":173.17494,"FC0000NZ^FG_PRICE(0)":399.43588,"EWQ^FG_PRICE_MAVG(0,,,,200)":38.590824,"EWL^FG_PRICE_MAVG(0,,,,200)":46.1284,"EWA^FG_PRICE_MAVG(0,,,,200)":23.1516,"EWL^FG_COMPANY_NAME":"iShares MSCI Switzerland ETF","VWO^PERCENT_CHANGE(FMA_EPS(+1,0,,,,\"PORTAGG\",\"MEAN\"),FMA_EPS(+1,-3AM,,,,\"PORTAGG\",\"MEAN\"))":-2.61682430332933,"QQQ^PERCENT_CHANGE(FMA_EPS(+1,0,,,,\"PORTAGG\",\"MEAN\"),FMA_EPS(+1,-1AM,,,,\"PORTAGG\",\"MEAN\"))":0.70833960343178,"EWG^FG_TOTAL_RETURNC(0,-6AM)":12.453723,"EWA^P_PRICE(0)/P_PRICE_LOW_PR(0,,,,,,\"PRICE\",\"INTRA\",\"52W\")-1":0.22678399,"SPY^FMA_COS_DOWN(\"EPS\",\"1M\",+1,0,,,\"PORTAGG\",\"MEANR\")":144.0,"EWG^FMA_RBICS_REV_CURRENT(30, LOC, \"PORTAGG\")":23.4356830968269,"ENZL^FG_ROE(0)":5.00375136203347,"REFSEREPO-FDS^PROPER_NAME(0,,,\"SECURITY\",\"NAME\")":"Sweden Repo Rate","REFCHMPR-FDS^(SUBARRAY(NOT_NA(NO_REPEAT_F(FG_YIELD(NOW,-10AY,D))),0,1)-SUBARRAY(NOT_NA(NO_REPEAT_F(FG_YIELD(NOW,-10AY,D))),1,1))*100":-25.0,"REFNZOCR-FDS^FG_YIELD(NOW,,,0)":5.5,"TRYCH10Y-FDS^PCTCHG(FG_YIELD(0,,,,\"YTM\"),FG_YIELD(-3AM,,,,\"YTM\"))":11.279232,"TRYSE10Y-FDS^FG_YIELD(0,,,,\"YTM\")":2.323,"TRYDE10Y-FDS^FG_YIELD(0,,,,\"YTM\")":2.56,"CC_JP^IMF_IFS_RCPI_Q(0)":2.5231562,"VGK^FG_PE_NTM(0,,,90,0)":13.2982893039796,"EWD^JULIAN(FMA_DIV_YLD(NTMA,NOW,NOW,M,\"PORTAGG\",\"MEANR\").DATES)":45443,"SPY^FMA_EVAL_EBITDA(NTMA,0,,,\"PORTAGG\",\"MEANR\")":14.1308972613205,"EWU^FMA_DIV_YLD(NTMA,NOW,NOW,M,\"PORTAGG\",\"MEANR\")":3.86617068653733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IPSCL10Y-FDS^FG_YIELD(-10AY,0,Y,,\"YTM\")":[null,null,null,null,null,null,null,null,null,null],"CAGDPY@IT^EE_ACTUAL_ANNUAL(MED,+1)":0.9,"CAGDPY@JP^EE_ACTUAL_ANNUAL(MED,+1)":3.55,"CC_CA^FG_COMPANY_NAME":"Canada","USDSEK^FG_PRICE_CHANGE(0,-1AY)":-4.4737935,"USDCHF^FG_PRICE_CHANGE(0,-1AY)":-1.8268824,"USDEUR^FG_PRICE_CHANGE(0,-1AY)":-1.7281771,"USDAUD^FG_PRICE_CHANGE(0,-1AY)":0.1653909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EWL^P_PRICE_RETURNS_PR('52W',2,-10AY,0,AM)":[21.742773,23.149193,8.593428,15.83457,5.2981853,2.4259448,6.849754,-3.17536,2.2352695,-2.9844463,1.9385815,1.858604,0.7613659,-3.2916367,6.4296126,-5.443102,1.619029,1.0789871,-2.2881508,0.3259778,-9.962338,-9.411359,-9.650225,-12.310052,-8.454466,-8.486551,-9.18467,2.463615,-1.7746925,-7.6879206,-6.123531,2.7261853,10.0765705,10.312117,8.954084,18.721127,15.223921,19.071781,18.712389,13.091909,18.039227,23.548912,23.031855,22.653603,17.741596,13.12908,8.746279,1.8988132,-1.2616217,0.15251637,1.5650272,2.4777174,-0.9959042,-1.401931,-3.9858043,-9.071302,-2.9378116,1.8593907,7.6043606,8.31449,12.2746105,15.414894,8.004248,13.4043455,10.5322,18.456114,22.9805,30.212475,27.241337,14.129162,2.1979928,3.0188322,9.013891,9.141803,14.82712,11.971855,13.20752,11.830723,13.106704,12.67283,7.967329,12.460148,29.08386,31.533741,27.789795,23.990786,23.868835,24.705482,16.05221,22.900057,17.918587,16.435455,11.445117,8.708275,10.398865,-3.4199715,-7.870686,-13.7564,-13.49681,-19.518095,-17.48594,-21.577942,-13.209701,-13.682479,-6.4369736,-2.2919357,-4.143983,9.794164,7.5572014,11.59631,9.645796,15.146923,17.155098,11.929393,9.8827,13.499737,7.6983094,10.149277,4.3041587,-2.666849,9.721529],"EWG^FG_TOTAL_RETURNC(-10AY,0,AM)":[3.6194682,-0.032496452,-10.567826,3.6684275,-8.234096,0.29662848,6.321633,-8.831716,8.466827,2.1097064,5.4407716,-2.7759671,-3.1911373,-3.4889877,5.52305,-11.334491,-0.31274557,5.5686235,0.037145615,-7.0553246,-5.713147,4.0677905,2.4022818,2.3061633,1.671207,-8.768415,9.4849825,4.6256423,-1.5736222,-4.1111526,1.4688373,5.1221848,1.340282,2.2410035,2.443409,8.312869,1.2629628,-1.6061544,2.9158354,0.6761193,3.8695216,2.6477814,-1.4097214,4.7053695,-2.4468422,-3.075552,-1.1398613,2.3371816,-1.0962248,-3.355819,-0.26100874,-3.925413,-0.61287284,-5.1044884,-5.7400703,-1.3404846,4.503107,1.4487386,2.3068547,2.5769472,-3.6287487,4.414618,-7.1962953,3.1094074,-1.5636623,9.568834,-0.0690341,1.3816953,0.5792141,-11.8902445,-16.186089,3.9449573,25.50751,0.15466213,3.9020896,1.9119143,-1.3065398,-2.7834356,8.729053,6.039977,0.09199381,-1.715678,6.982541,1.5151501,4.0183783,-3.4363568,0.9590268,1.0938287,-7.801819,6.639898,-6.921518,3.6582708,-3.1789243,-19.043154,6.5662503,-7.8651667,8.300554,-17.541355,7.2207093,-8.979249,-4.7929287,9.042036,12.415957,5.1389813,6.5250397,0.035607815,1.7443895,3.2190323,-3.3559322,-1.2904286,3.066814,-3.5423338,-4.1865587,-0.11498928,10.360706,0.9440899,0.8611798,5.225408,1.7526865,-0.22328496,3.3887506],"EWA^FMA_DIV_YLD(NTMA,-10AY,0,AM,\"PORTAGG\",\"MEANR\")":[4.79263727370508,4.78954796615276,4.74711363554663,4.71252775946433,5.07058431636786,4.87123368221232,5.02552678633894,5.02625648717392,4.65700931634745,4.58721810112436,4.60312389308295,4.72356288917145,4.9567301006173,4.9785236080569,4.87681021557507,5.51200695998104,5.31522494580806,5.26784682510675,5.27467957117332,5.30514229797943,5.16136970836855,4.8076398435174,4.99780365055437,4.63004258100395,4.56837656751093,4.73075290589268,4.49072669295295,4.54075889062887,4.50948935685191,4.77689300525309,4.62539792419898,4.45836389008903,4.60088321717507,4.54893765787038,4.53296286727773,4.56623868700022,4.70594657682055,4.60448867387774,4.60261092780464,4.60465765039471,4.61602787523283,4.47312837139314,4.53966523965416,4.41591578376079,4.69046795030047,4.63609556990807,4.81356575888658,4.67529411445381,4.7398969323641,4.54970522122001,4.60404750793036,4.75631089406569,4.78868931937573,5.03806542885325,5.33752249254603,5.35555764450583,4.98270894971302,4.89683164539855,4.9467614713689,4.91428340674522,4.81234642085415,4.54968052967786,4.75380971566202,4.5229883117362,4.55438622426741,4.38612967152585,4.33759446766056,4.29153995178835,4.1349093245121,4.61450672757828,4.86620667184179,3.92483229131347,3.34360422616842,3.40914498948037,3.37126778219721,3.50955811925958,3.63492547434455,3.61577427599308,3.42438036489861,3.56746414261983,3.56650770761183,3.91331478468549,3.93613640815748,3.91694573449428,3.82089686941806,4.08177627633348,4.03203289722332,4.01386602730576,4.12334919799914,3.91626239307172,4.03198955908653,3.94759709453073,4.3114491725966,4.30561087042062,4.3143785079963,4.63011506829889,4.68417144904338,5.26845439272083,4.79555472113381,4.89645227579996,4.95200165372644,4.92670943172705,4.43115599394548,4.56581832422176,4.29210351280324,4.43118812202847,4.50458110386338,4.45010543577399,4.46988346804274,4.32104223016525,4.16466087153078,4.17061696921576,4.41220842369113,4.36001214095312,4.24211278943842,4.03722504723455,4.02162171243031,3.95640026446955,3.94404844539709,3.99306379644334,3.95260133666397],"ENZL^JULIAN(FMA_DIV_YLD(NTMA,-10AY,0,AM,\"PORTAGG\",\"MEANR\"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6],"DDR3512M-FDS^FG_PRICE(0)/MAX(FG_PRICE(0,-1AY))":0.923076923076923,"PASP-FDS^FG_PRICE(0)/MAX(FG_PRICE(0,-1AY))":0.662676056338028,"PLATI-FDS^FG_PRICE(0)/MAX(FG_PRICE(0,-1AY))":0.932647333956969,"W-FDS^FG_PRICE(0)/MAX(FG_PRICE(0,-1AY))":0.841170667543571,"COPP-FDS^FG_PRICE(0)/MAX(FG_PRICE(0,-1AY))":0.916389919906232,"EWQ^FG_PRICE_MAVG(0,,,,60)":41.1535,"EWL^FG_PRICE_MAVG(0,,,,60)":47.319168,"EWA^FG_PRICE_MAVG(0,,,,60)":24.326834,"EWJ^FG_COMPANY_NAME":"iShares MSCI Japan ETF","SPY^P_PRICE(0)/P_PRICE_HIGH_PR(0,,,,,,\"PRICE\",\"INTRA\",\"52W\")":0.9985805,"URTH^FG_TOTAL_RETURNC(0,-12AM)":23.241997,"VWO^PERCENT_CHANGE(FMA_EPS(+1,0,,,,\"PORTAGG\",\"MEAN\"),FMA_EPS(+1,-1AM,,,,\"PORTAGG\",\"MEAN\"))":0.0,"EWI^FG_TOTAL_RETURNC(0,-1AM)":4.3338656,"EWN^FG_TOTAL_RETURNC(0,-6AM)":25.531721,"QQQ^FMA_PCT_ABOVE_MAVG(200,0,,,,\"PORTAGG\")":61.7647058823529,"EWL^PERCENT_CHANGE(FMA_EPS(+1,0,,,,\"PORTAGG\",\"MEAN\"),FMA_EPS(+1,-3AM,,,,\"PORTAGG\",\"MEAN\"))":3.20383247593628,"EWG^FG_TOTAL_RETURNC(0,-3AM)":4.965925,"EWA^P_PRICE(0)/P_PRICE_HIGH_PR(0,,,,,,\"PRICE\",\"INTRA\",\"52W\")":0.99445325,"FXI^SIZE(FG_CONSTITUENTS)":53,"VGK^FMA_COS_DOWN(\"EPS\",\"1M\",+1,0,,,\"PORTAGG\",\"MEANR\")":540.0,"SPY^FMA_COS_UP(\"EPS\",\"1M\",+1,0,,,\"PORTAGG\",\"MEANR\")":205.0,"EWC^SIZE(FG_CONSTITUENTS)":88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FR10Y-FDS^FG_YIELD(-10AY,0,Y,,\"YTM\")":[0.837,0.9989,0.682,0.785,0.71,0.118,-0.344,0.201,3.07,2.534],"CAGDPY@IT^EE_ACTUAL_ANNUAL(MED,0)":0.508205811941024,"CAGDPY@JP^EE_ACTUAL_ANNUAL(MED,0)":3.61053955442387,"CC_AU^FG_COMPANY_NAME":"Australia","USDSEK^FG_PRICE(0)":10.42425,"USDCHF^FG_PRICE(0)":0.89205,"USDEUR^FG_PRICE(0)":0.9192444,"USDAUD^FG_PRICE(0)":1.5035332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585659,2.03463841720374,2.71427224340632,3.12760121442787,3.0028044332351],"EWJ^P_PRICE_RETURNS_PR('52W',2,-10AY,0,AM)":[12.821424499999999,7.8951716,1.4716983,6.4640045,-0.90414286,-0.58376193,1.0844231,-7.3531985,4.784739,6.3753366,14.57231,16.550266,11.138773,6.325066,10.943258,-2.3050785,4.3571234,7.975018,6.951618,9.74189,-5.6564865,-4.8743067,-12.719261,-8.871627,-7.4344993,-9.013807,-5.063355,10.716879,6.7579865,1.8563747,1.7316461,8.376015,18.668974,13.416958,17.359543,17.187643,17.74534,17.546236,16.389084,10.682476,14.481139,21.68783,20.561337,24.372828,20.878578,19.822777,18.53634,17.246115,12.296427,9.47789,6.960094,6.1887145,7.163441,-4.953432,-7.1484804,-13.866073,-9.89275,-9.377575,-7.1546373,-7.365799,-10.038292,-0.77878237,-6.6014233,-2.2151232,-2.503562,9.339369,14.359474,15.611494,13.6512165,-0.68802834,-9.050333,-6.5392733,8.555722,2.7897954,6.9468856,9.143448,6.3506603,5.267024,11.909019,16.135204,17.58176,29.873264,41.412758,37.164474,25.124132,22.447586,22.517883,25.793434,15.903044,15.75433,3.1801105,0.45466423,-4.59857,-7.635927,-11.302048,-15.7969475,-15.877223,-20.304256,-16.7265,-26.54857,-24.038141,-25.92898,-17.12764,-17.393827,-9.339869,-5.0831437,-2.3120582,6.6867113,11.301827,16.38527,12.047482,21.840168,19.101965,21.42527,15.868652,21.430433,17.480612,27.024948,22.89878,19.520878,12.16948],"EWC^FG_TOTAL_RETURNC(-10AY,0,AM)":[1.0794878,6.0886145,-2.2126675,3.2055378,-7.216811,-3.7085652,-0.20449758,-4.747641,0.3635049,-1.2314379,2.3102283,3.1541228,-3.752607,-3.9230704,-3.8621724,-7.955885,3.2092452,-2.487564,-1.7857134,-9.479719,1.6965628,7.8169703,2.9177666,3.865981,5.004132,-1.8259764,1.5365958,4.2214274,-3.1333566,-1.6568065,5.736065,3.029883,0.7065892,-0.7385552,0.11161566,-2.3039699,0.760746,1.4337301,4.202628,1.5844345,2.6231885,1.3126016,-1.4319837,6.2904835,-6.8226757,-1.8747807,-0.86517334,2.945447,2.2253633,0.23670197,1.9457936,-3.6468983,0.91969967,-5.502987,-3.783375,-3.3819199,10.344828,1.029408,2.43814,0.674963,-1.1997163,4.368317,-4.558009,3.5817623,-1.187557,3.5701632,0.61433315,3.0535579,1.3008714,-10.108667,-19.047619,8.325791,12.531328,-1.730442,7.592523,0.035452843,-2.0205617,2.0622253,11.095357,2.769971,0.723052,3.3083558,4.8338413,4.8703074,5.001378,-1.6753793,0.40172338,1.6270876,-3.2283425,7.5671315,-4.538578,1.6957164,0.9997368,0.3907323,3.5287976,-7.719302,3.6393285,-12.824577,5.2695274,-4.2577686,-4.507208,4.940212,1.6191959,1.0080934,4.119742,-1.3378918,-0.46162605,2.7536273,-2.59521,-0.3032148,2.1713495,-1.5508354,-4.4048967,2.6243567,3.8953185,5.5110097,-0.7148683,3.2124043,2.736783,-0.44398308,-0.341022],"ENZL^FMA_DIV_YLD(NTMA,-10AY,0,AM,\"PORTAGG\",\"MEANR\")":[4.19909336871741,4.421391511775,4.51210564026304,4.52534921163172,4.6019138364754,4.50105518769339,4.49520848139429,4.44402698624554,4.27268321119821,4.25811120187523,4.41687024886871,4.48472996159863,4.42790179091871,4.66282500205728,4.53760866784798,5.22260074814821,5.21703392815338,4.85205613497846,4.78887374216258,4.78124939874505,4.85472424234688,4.73556904345562,4.55723440636841,4.5315968173533,4.32804141976342,4.36662296823173,4.16684417878478,4.13982194790254,4.41533955966099,4.75554800541407,4.59023619449492,4.55074531002983,4.49045938530885,4.52902105957301,4.50904629879114,4.50055330050299,4.41768608860358,4.39571313255929,4.36176346834037,4.40885177263142,4.41006635553814,4.41546244104551,4.3780035117403,4.17995788421276,4.32044067871976,4.27712882696011,4.27193683380835,4.2158892253854,4.08540400573807,4.00834583120928,4.12179278517095,4.01415009009084,4.05448228840631,4.22447424429425,4.17336817582233,4.19553378891551,4.0675461804921,3.8840174851852,3.76040007602577,3.73616540677345,3.75297748127547,3.50019431866391,3.49445820589229,3.23149163721542,3.34547837244413,3.39226170507879,3.24908407320282,3.14121731349188,3.12358209283689,3.12562822798756,3.11443416822965,2.67390703962505,2.55857496601101,2.4273209580883,2.34660308593456,2.39127378621893,2.42104644279756,2.37901707132661,2.41266385854858,2.36930505215766,2.49316450473801,2.61979497184764,2.61580127295357,2.57561573441649,2.68506159599807,2.60791986834215,2.65232680874998,2.5643717151279,2.64213640915103,2.6617941247068,2.82720640542407,2.78205004239065,2.94815473087788,3.00442008444934,3.08177115588244,3.12433143004608,3.20288648754504,3.29055912694563,3.18824640503185,3.21534241697441,3.40101488601027,3.40173226780716,3.39178111448805,3.40446171201675,3.27393290825689,3.38080363260994,3.39777525684039,3.42547841092884,3.42731316678772,3.41342186523997,3.44364643311656,3.35533166820889,3.42792917623685,3.41733676446774,3.11256196783473,2.99176570643426,2.95338288411805,2.76156752070531,2.7630904069089,2.7725413204421,2.72931241554296],"EWI^FMA_PE(LTMA,-10AY,0,AM,\"PORTAGG\",\"MEANR\")":[17.3842555223602,17.6402971957018,16.6280917568956,18.1262399627989,17.140126555194,17.2371593406345,19.0348977577156,17.3645043065196,25.6972325038397,44.679315913512,41.9068054173272,39.0331098645772,36.1193443230913,32.727855386688,30.945756155748,27.2539900020776,25.0536801603672,22.919586901987,20.6936266018261,17.4816851611465,14.2108707535768,15.4230131530954,15.0864634893354,15.1075203001822,14.9800968068915,14.0465929990076,14.9832031710918,15.0404237848488,14.6973059080549,14.3428184222674,15.0958901321054,28.5649331499547,18.2714231241064,84.6228442685082,77.3793140378908,70.7948878002706,63.0446980150096,56.1107694613191,49.538256012373,41.7325047102013,35.0089495980116,28.0613130186709,21.1889363083839,15.5876928086994,14.7420024440992,14.1777710761566,14.1138103952722,14.2418853683048,13.4935461237499,13.3302544349714,13.1105338644877,12.4123772097124,12.1324381587575,11.463269998317,10.76523469032,10.7065671091417,11.2966659615415,11.3003098441465,11.3501727253494,11.2880846285597,10.9119758510189,11.3090457726126,10.9208370082404,11.2725373409062,11.0771423928189,11.9375588833666,11.8781554697696,12.1428758456743,12.7541360297315,11.2510844006537,11.2064679292408,13.2251001694105,15.7615297031287,17.1867039730776,17.4592235505681,17.7000312946623,18.4853616082562,19.4398028753799,22.3904884468905,23.8815260138818,22.0368687940317,20.1575238448834,19.7126898039372,18.9604536124586,18.585789715606,17.8783812204068,16.4102984506083,15.5697007485226,14.4840342512079,14.1624224917559,12.4356622218491,12.2803954001816,11.7158048150002,10.4791778418614,10.4962650031208,10.2431907474875,10.0217413480455,9.19273108722003,8.92636138424176,8.37128302677465,8.0590757929283,8.25302799110711,7.73738453067721,7.82173870847202,8.17564172653064,8.33123150133039,8.33331269656689,8.34909173838988,8.42722165885998,8.48942055581409,8.30455360663595,8.30077406054835,8.11992920463171,8.18009511957462,8.75509087593699,8.93356817376648,9.10468846140626,9.38175947690287,9.43651631125358,9.50187934405974,9.56797496262135],"DDR3512M-FDS^FG_PRICE_CHANGE(0,-1AY)":-6.49105036557617,"PASP-FDS^FG_PRICE_CHANGE(0,-1AY)":-33.7323943661972,"PLATI-FDS^FG_PRICE_CHANGE(0,-1AY)":-3.48499515972894,"W-FDS^FG_PRICE_CHANGE(0,-1AY)":1.87176423735562,"COPP-FDS^FG_PRICE_CHANGE(0,-1AY)":24.5288027608176,"EWG^FG_COMPANY_NAME":"iShares MSCI Germany ETF"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6,7.7689690341127,6.57910753918315],"TRYCN10Y-FDS^FG_YIELD(-10AY,0,Y,,\"YTM\")":[3.653331,2.901145,3.070911,3.93859,3.259862,3.197311,3.1948,2.7893,2.855,2.574],"CAGDPY@SE^EE_ACTUAL_ANNUAL(MED,+1)":5.4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WG^P_PRICE_RETURNS_PR('52W',2,-10AY,0,AM)":[25.681282,32.593227,9.469736,15.853489,-1.7354786,-5.752474,-1.3443947,-13.152808,-3.6089003,-5.890006,-0.3264308,-2.7208507,-8.83292,-12.257183,3.5297275,-10.846418,-3.8096309,1.2465358,-3.8689137,-2.881813,-17.719095,-15.070605,-16.438711,-12.070769,-7.6544228,-12.705988,-9.397072,6.874752,5.5229545,-3.9027572,-2.7809203,9.956622,18.182278,16.107727,16.154348,23.840487,22.480345,32.095837,25.200676,19.48272,26.090313,34.97807,31.148888,30.192638,25.747227,19.208347,15.038681,10.335505,6.1596513,4.2719007,1.0532022,-3.5655677,-7.698697,-14.695835,-18.442625,-22.36032,-17.67701,-13.834297,-11.162376,-10.6212435,-12.909871,-5.258483,-12.450254,-6.0396376,-7.82271,7.4512005,13.915896,17.059004,12.663674,-2.1498978,-19.837236,-18.768156,5.982816,1.4748335,13.610184,13.644671,12.584066,-0.10813475,8.499122,13.680434,13.475704,24.944569,61.077118,57.3118,32.85301,25.702583,22.142006,20.918476,13.187563,24.289167,6.28742,3.9001465,1.0309815,-17.34298,-17.5363,-25.1562,-22.075064,-33.45752,-29.755037,-36.372,-34.295498,-32.795994,-18.857569,-17.698479,-9.449744,11.889863,6.827128,17.916166,6.797731,27.845383,21.452105,30.233156,31.062614,20.056366,17.861425,16.01981,7.142341,12.700832,13.544297,8.951176,16.554737],"EWA^FG_TOTAL_RETURNC(-10AY,0,AM)":[0.49185753,1.4294267,-0.6028712,3.108418,-11.250008,2.2783756,-5.5083036,-3.5217464,5.4587126,0.2609849,0.60738325,-0.9055674,-6.4839005,-0.912869,-1.2987018,-14.522415,7.6396704,-1.2711883,4.0235996,-5.159366,-3.9127946,10.820234,-1.3123333,3.5638332,2.0030856,-1.0333538,7.378745,-0.5285859,1.014483,-4.830223,4.271364,3.614056,2.1489859,2.4778008,2.281022,-1.4272928,-2.7601838,2.1511674,4.9813747,0.93126297,-2.3725867,3.240335,-1.4821291,7.4493885,-3.1645596,0.3050089,-5.256301,4.2182446,1.5398145,1.5141845,-1.1749387,-3.9189756,-1.5123725,-1.5356004,-3.449905,-0.2075553,6.1131,2.784443,0.5604863,0.4180193,2.1739125,5.230212,-6.760317,4.6610117,-1.8443525,3.5747051,0.2654791,1.8191814,1.149416,-13.548946,-18.705767,2.0522356,23.826933,-0.86479783,3.4760714,-1.2171388,-1.4292777,6.2000036,10.969866,5.6835294,0.44534206,1.3704181,0.35785437,4.833591,3.4769416,-4.457271,2.093029,0.75930357,-5.312741,5.173099,-6.6969395,2.9719949,-5.673468,7.183039,7.226479,-9.299696,3.52844,-13.201785,6.7238927,-4.066128,-4.704237,4.2522073,8.110642,1.6854525,5.5603743,-4.320985,-0.6881714,0.90948343,-2.5750995,-1.6109049,2.5091171,-2.7147233,-2.012813,1.4005542,3.7753344,7.7655673,-0.7142842,3.131616,0.7796407,-0.570029,2.7846098],"EWD^FMA_PE(LTMA,-10AY,0,AM,\"PORTAGG\",\"MEANR\")":[15.7038340648198,15.9551548654774,15.7423446183984,15.8463473408699,15.7643970916254,16.6676121234999,17.5684259641001,17.4706919785171,19.1066885503061,20.1801148730767,19.9117014151195,19.0581523978349,19.0488071638603,18.3323134174639,18.6125805208541,17.1706881063775,16.8343140076051,17.1558061190872,16.8085658844358,15.3532328583139,14.8066543465371,15.6493999203538,15.5219671225888,15.544650821879,15.4815673266319,15.0969187449019,15.7900628623453,16.1432028682209,16.6505641824621,16.5204798150493,17.5795633653048,18.2264933868151,17.8420638612474,17.4309294857029,17.5530520262479,17.6864132403546,17.6025492907277,17.5991243323785,17.0737358104253,16.8526950114585,17.658160109261,18.5604087738719,17.9012383471871,18.3176032331515,17.7900560321597,16.9323247437526,16.7405454763571,16.7673617804807,16.5733273082505,16.4421454474693,16.5631652193297,16.640424519574,16.4764189521547,15.2849517388662,14.1034029313938,14.0807560582387,16.2933660523589,18.1000646393607,17.9040572479203,17.7480352003298,17.0192495529651,17.1623459427188,15.9765451537695,16.0309891797797,16.0628918239538,17.0305928390471,15.9625765155611,16.3250066093743,14.1428420065839,12.8612082205849,13.2290632053624,14.9041195098915,16.625731638922,17.8996748590622,17.2755624916982,17.2302053557219,18.2389778984803,15.8842784714408,17.112838893059,18.0736634801084,17.8190294693559,17.6643862100718,18.2662530474257,17.5482449007108,17.8751874311757,18.0156589219318,17.5547754756276,17.5730623977127,16.7439854801791,16.6909513095076,16.4050110047295,17.0302507410647,12.2284218628565,11.5184289186643,12.1173085991085,12.0523012138097,13.7105894729703,13.555152564085,14.5614597474848,14.4570454881362,14.7468452830022,13.5867342597877,14.4259697163352,16.055004125026,26.7297061931019,25.4890955266854,24.1311364131465,23.1187847678833,21.8436309108047,20.4534962359055,19.2385300767574,17.8335075563431,16.4254357739133,15.7903817656554,17.7407534734591,17.2805050746453,15.0618962502986,15.8216488062468,15.9011144358011,15.9458543683393,16.1059528832942],"DDR3512M-FDS^FG_PRICE_CHANGE(0,-6AM)":-4.0,"EWC^FG_COMPANY_NAME":"iShares MSCI Canada ETF","EWA^JULIAN(FMA_ROE(NTMA,-20AY,NOW,FY,\"PORTAGG\",\"MEANR\").DATES)":[38352,38716,39080,39447,39813,40178,40543,40907,41274,41639,42004,42369,42734,43098,43465,43830,44196,44561,44925,45289],"CAGDPY@SE^EE_ACTUAL_ANNUAL(MED,0)":6.4686639012956,"CAGDPY@DE^EE_ACTUAL_ANNUAL(MED,0)":6.09669740069846,"USDITL^STD(FG_PRICE_CHANGE(0,-3AY,M))":2.17865071558857,"USDANG^STD(FG_PRICE_CHANGE(0,-3AY,M))":0.0594600681310969,"USDGBP^STD(FG_PRICE_CHANGE(0,-3AY,M))":2.37816350296202,"USDJPY^STD(FG_PRICE_CHANGE(0,-3AY,M))":3.04350180805915,"USDCAD^STD(FG_PRICE_CHANGE(0,-3AY,M))":1.82099997018593,"USDNZD^STD(FG_PRICE_CHANGE(0,-3AY,M))":3.51758480344381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3,4.61613856769821,4.46089543101883,4.5665392599763],"EWC^P_PRICE_RETURNS_PR('52W',2,-10AY,0,AM)":[14.894426,27.272224,18.943977,20.161772,9.914648,1.77598,4.9914837,-2.2720754,0.20935535,-5.55557,-4.507041,-3.8473308,-8.146638,-17.084145,-18.482803,-27.210014,-19.129223,-18.10376,-19.893826,-23.405462,-23.167294,-17.161304,-14.774817,-14.1866865,-6.3792586,-4.335779,0.9568691,14.403367,7.372844,6.210375,16.580856,32.691944,31.40024,20.973312,17.67485,10.822117,6.2116623,9.738255,12.5300045,9.770155,16.293537,19.804932,11.683142,15.00374,6.60342,5.3831577,4.35493,12.007177,11.560535,10.243988,7.8563213,2.301991,0.46503544,-6.164068,-8.40258,-16.434938,-1.3972402,1.5210867,3.7718534,2.5902152,-0.8470893,4.217577,-3.3464968,3.9047003,1.1324883,11.503208,16.599632,24.36602,14.172864,1.5857697,-19.721199,-13.620377,-1.0145366,-7.364625,4.428613,1.9932866,0.0031113625,-1.452899,8.997655,8.513355,8.394074,21.331894,60.578857,55.456566,48.584152,45.135593,35.43563,36.525787,35.89444,43.173386,23.068882,21.782434,23.34894,20.377445,17.190886,3.1222105,1.7845392,-9.756994,-5.2300453,-10.8607235,-12.038726,-13.730043,-8.651436,-9.2691,-6.466317,-8.07687,-11.619967,-2.2534072,-7.5097027,5.7750583,2.1331072,5.5645823,5.677676,3.345549,5.660343,13.188648,5.2458167,10.099745,13.604605,10.101223,12.649226],"ENZL^FG_TOTAL_RETURNC(-10AY,0,AM)":[-2.8091192,2.927649,-5.4391384,1.860559,-6.031215,2.393341,2.0325184,2.0884871,-1.0556698,1.2443304,1.7521977,-1.9188225,-4.5397463,-6.954372,0.028967857,-9.788585,6.3884377,7.242012,3.7985325,0.03347397,-2.3996115,8.796846,5.9557915,2.5773168,3.1347156,2.5206208,5.798757,5.675912,-7.913083,-5.5654526,0.25931597,-1.0211647,7.2007895,-3.8514435,2.0743966,0.60733557,5.572331,2.3604274,3.9396048,-2.6531935,0.15141964,-1.2958944,-0.7221043,8.907342,-1.0932326,2.3774743,-0.32593012,-0.6539941,2.7977824,0.54376125,-3.66323,-0.042009354,-2.2488534,0.0860095,2.4633765,-0.862205,4.348767,2.5789142,3.218019,0.11692047,-0.27247667,6.0683966,-1.6436338,4.2726874,-4.3343663,-1.1041284,9.624636,3.2429934,-1.771754,-3.0238688,-18.289566,7.48806,16.390598,4.3094635,2.8719783,-0.60251355,-1.6977608,7.4480534,5.292535,9.210467,-4.9502134,-7.273531,-1.543355,4.9773693,-3.5714269,-0.93138814,0.50406456,4.7888637,-3.7980497,1.7653584,-8.253116,1.4829397,-7.5303373,4.0729046,-1.2687624,-12.144793,0.16480684,-6.1514435,7.8270555,-5.387628,-9.650076,7.3129654,9.863257,2.0430923,3.6668658,-4.8163595,1.5679121,1.2630224,-4.019004,1.3760328,-0.69872737,-7.636589,0.8962512,-1.1769891,4.2471886,5.0296783,-2.1160662,-2.5256872,0.32937527,-0.45961738,4.0017605],"EWI^FMA_PE(NTMA,-10AY,0,AM,\"PORTAGG\",\"MEANR\")":[14.6365672044194,14.7785325321067,13.0255474340161,14.3492624858678,13.1189122096311,12.6051518287019,13.1702736873067,11.6952527561683,14.2180800873304,15.3976343150635,15.9160308158986,15.4944876182054,15.1761108563383,14.1512706382326,15.6583983833689,14.0801466921182,14.5756388027189,14.9093166439215,14.5402042731772,13.7909564661114,12.3491324875447,13.2250057853165,12.484977175261,12.9328850543761,12.8799849272849,11.2251111500789,12.5622974644577,12.39241904743,11.7952784112654,11.4746380817115,12.5045061244861,13.6750609547641,12.8637925261641,13.2262394783429,13.4144255628441,13.9287063203837,13.1865906963451,13.279554640614,13.5749941714021,13.3021024381754,13.5478535937768,13.6684053876002,13.3992180919304,13.3881803412911,12.5425651271938,12.4588736646292,12.6930713337238,13.2173491316891,11.5580421810788,11.5173811681789,11.3742930257407,10.5702986083704,10.4332237677228,9.83630379217057,9.27876532279796,9.42590620139115,10.1698939468983,10.5620821202444,10.9223291540742,10.7360508609294,9.95188170777262,10.8465089231132,10.1621043270435,10.7323296323406,10.4737335321711,11.3577535583487,11.2133284981736,11.4107038610597,11.6893796259786,10.0320925542642,10.0493984106001,14.52765154231,18.1278794103107,17.9147583545612,16.4852635120823,15.5007221673687,14.7865850668371,14.1688682691179,15.1804070132994,15.0644825724079,14.1684624478274,13.3944684231507,14.0822443841409,13.3881601448983,13.7319688728286,13.3792986847983,12.2381983319551,11.9288059196513,11.5057030202485,11.9087191143198,10.8645616240828,11.2244232659344,10.5799456219617,8.93157367124482,9.54961056372852,9.04181511708551,8.90502898630127,7.53340669504419,7.69335394669742,7.48101413266792,7.32504404353082,8.07487083045603,7.76699669215985,8.05887501862821,8.35092114282594,8.80192288077973,8.57519902882603,8.50871075255758,8.54341026964335,8.55845790543088,8.38897770850312,8.34977154922935,8.08333039251632,8.15308875613882,8.79420836326058,8.9524141174062,9.06068723390809,9.44799723454513,9.58784120035373,9.64022865325371,9.67195311886573],"EWN^FMA_PE(LTMA,-10AY,0,AM,\"PORTAGG\",\"MEANR\")":[16.8981940971337,16.9181601049196,16.2153988512632,16.8108522847625,16.5893719504103,17.1887162159683,17.9716059754912,17.0691613894852,18.6594701827679,20.134401820915,19.9030492849293,19.455230180398,19.2076391194278,18.7013751645787,19.0522377123093,17.2843428009239,17.012111948691,17.6275897091541,17.5155796876613,16.2753039348147,15.7003699241801,16.4170373863784,16.3036078524645,16.1277999793431,16.2816082427319,15.494577930558,16.0370972234049,16.3388624271031,16.1716124737624,15.3777867010343,15.6373254159972,16.3754897507297,15.9894176299351,16.4393005778272,16.5050118876943,16.8037536270969,16.6917674156495,16.4955876368051,16.7746606403712,16.5689853316563,17.0983079508484,17.5679514505106,17.0825291626894,17.5555633645405,16.5203396120224,16.6279054034877,16.5677178712125,16.566287067404,16.6632934317167,16.5277837591184,16.7952233571464,16.3678982867933,16.072184616543,15.6378510266213,14.8582395450217,14.3128616096014,15.6749380626192,16.1341970608213,16.2521159452987,16.3056850750266,16.1232269949394,16.4936670792521,16.1246332378573,16.9385211372274,16.8626803084222,17.7865934322953,18.3279817042037,18.6694503402951,19.7952589332292,17.2922870556419,17.0274690606496,17.7749830246767,19.3465566793962,20.0133649826402,20.5011688467628,21.0197924715645,22.11179854993,22.9770942906747,25.9897044053461,27.453199957346,28.5542728264823,28.718257066069,28.5871663151963,27.6797896874132,27.0441752376023,26.4300348489043,26.2965092582615,25.910921233497,23.8600768623045,24.8817462422519,22.4095189616785,22.2710366405321,19.9167754286406,18.1190720837917,18.4344313206968,17.9570260467496,18.6759758443453,17.9799602180773,19.6490133056496,18.3432866533354,17.7902465567753,17.4139832729967,18.458886617292,18.7193372067121,19.5095662844833,20.6189247686917,20.2336526473783,19.7760938030766,19.3558628294397,18.9874099683769,18.7272124530946,17.7001598155351,16.5480424009862,16.0818949932615,16.4963170210794,16.2131143432052,17.6012566372721,18.499358604174,18.4023822433287,18.1765488042054,18.2861294103249],"DDR3512M-FDS^FG_PRICE_CHANGE(0,-3AM)":-0.92318946417197,"PASP-FDS^FG_PRICE_CHANGE(0,-3AM)":-7.74509803921568,"PLATI-FDS^FG_PRICE_CHANGE(0,-3AM)":10.7777777777778,"W-FDS^FG_PRICE_CHANGE(0,-3AM)":22.6858513189448,"COPP-FDS^FG_PRICE_CHANGE(0,-3AM)":21.198811523059,"FC0000GR^FG_PRICE(0)":9.810778,"EWI^FG_PRICE_MAVG(0,,,,200)":34.096,"SPY^FG_PRICE_MAVG(0,,,,200)":478.06235,"EWJ^FG_PRICE_MAVG(0,,,,200)":65.01155,"ENZL^FG_PRICE_MAVG(0,,,,200)":45.328766,"EWA^FG_COMPANY_NAME":"iShares MSCI Australia ETF","SPY^FG_TOTAL_RETURNC(0,-1AM)":3.5019398,"URTH^FG_TOTAL_RETURNC(0,-6AM)":16.733015,"VGK^P_PRICE(0)/P_PRICE_LOW_PR(0,,,,,,\"PRICE\",\"INTRA\",\"52W\")-1":0.28350878,"EWI^FMA_PCT_ABOVE_MAVG(200,0,,,,\"PORTAGG\")":60.0,"EWN^PERCENT_CHANGE(FMA_EPS(+1,0,,,,\"PORTAGG\",\"MEAN\"),FMA_EPS(+1,-3AM,,,,\"PORTAGG\",\"MEAN\"))":-0.451285278895094,"SPY^FG_TOTAL_RETURNC(0,-3AM)":5.2148223,"EWU^P_PRICE(0)/P_PRICE_HIGH_PR(0,,,,,,\"PRICE\",\"INTRA\",\"52W\")":0.99007213,"EWJ^FG_TOTAL_RETURNC(0,-12AM)":12.16948,"EWG^PERCENT_CHANGE(FMA_EPS(+1,0,,,,\"PORTAGG\",\"MEAN\"),FMA_EPS(+1,-1AM,,,,\"PORTAGG\",\"MEAN\"))":2.47677398903858,"EWA^FG_TOTAL_RETURNC(0,-1AM)":2.7846098,"EWI^FMA_COS_DOWN(\"EPS\",\"1M\",+1,0,,,\"PORTAGG\",\"MEANR\")":3.0,"QQQ^FMA_COS_UP(\"EPS\",\"1M\",+1,0,,,\"PORTAGG\",\"MEANR\")":44.0,"EWI^FG_PRICE_MAVG(0,,,,60)":37.617832,"SPY^FG_PRICE_MAVG(0,,,,60)":517.4583,"EWJ^FG_PRICE_MAVG(0,,,,60)":68.99433,"ENZL^FG_PRICE_MAVG(0,,,,60)":45.211296,"VGK^P_PRICE(0)/P_PRICE_HIGH_PR(0,,,,,,\"PRICE\",\"INTRA\",\"52W\")":0.9999292,"EWD^FG_TOTAL_RETURNC(0,-12AM)":24.677967,"EWN^PERCENT_CHANGE(FMA_EPS(+1,0,,,,\"PORTAGG\",\"MEAN\"),FMA_EPS(+1,-1AM,,,,\"PORTAGG\",\"MEAN\"))":-1.26707328605682,"EWU^FG_TOTAL_RETURNC(0,-6AM)":15.216553,"EWJ^P_PRICE(0)/P_PRICE_LOW_PR(0,,,,,,\"PRICE\",\"INTRA\",\"52W\")-1":0.21048951,"EWG^FMA_PCT_ABOVE_MAVG(200,0,,,,\"PORTAGG\")":75.8620689655172,"EWA^PERCENT_CHANGE(FMA_EPS(+1,0,,,,\"PORTAGG\",\"MEAN\"),FMA_EPS(+1,-3AM,,,,\"PORTAGG\",\"MEAN\"))":-0.154067527698866,"EWI^FMA_COS_UP(\"EPS\",\"1M\",+1,0,,,\"PORTAGG\",\"MEANR\")":17.0,"EWU^SIZE(FG_CONSTITUENTS)":82,"EWA^FMA_COS_DOWN(\"EPS\",\"1M\",+1,0,,,\"PORTAGG\",\"MEANR\")":28.0,"TRYUS10Y-FDS^FG_YIELD_NAME":"US Benchmark Bond - 10 Year","REFJPTON-FDS^PROPER_NAME(0,,,\"SECURITY\",\"NAME\")":"Japan Policy Rate","CAGDPY@NL^EE_ACTUAL_ANNUAL(MED,+1)":9.1,"CAGDPY@CA^EE_ACTUAL_ANNUAL(MED,+1)":-0.35,"USDITL^STD(FG_PRICE_CHANGE(0,-1AY,AM))":1.82306458726341,"USDANG^STD(FG_PRICE_CHANGE(0,-1AY,AM))":0.0,"USDGBP^STD(FG_PRICE_CHANGE(0,-1AY,AM))":1.65098162166173,"USDJPY^STD(FG_PRICE_CHANGE(0,-1AY,AM))":2.03124856056099,"USDCAD^STD(FG_PRICE_CHANGE(0,-1AY,AM))":1.00806646685606,"USDNZD^STD(FG_PRICE_CHANGE(0,-1AY,AM))":2.43401513041847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WA^P_PRICE_RETURNS_PR('52W',2,-10AY,0,AM)":[16.042948,24.479712,17.283928,16.215492,-1.9675374,-4.8196735,-1.531744,-6.1326084,1.9225836,-5.339426,-6.1255035,-8.876217,-14.881206,-17.159922,-17.739851,-31.9309,-17.291218,-20.161617,-12.89196,-13.599766,-21.787952,-14.942569,-14.64712,-10.797501,-2.7019978,-2.820301,3.1104326,23.031712,15.459145,9.245718,11.562085,21.882343,29.57145,19.817425,24.180162,17.953121,12.676048,16.301691,14.530647,15.373861,11.505318,20.961153,14.2867565,17.89782,12.3521805,9.970009,1.8660784,8.189785,12.462807,11.761522,5.20761,0.15186071,1.0343313,-3.639549,-5.5642366,-11.772644,-3.8908303,-1.5151024,3.3467531,0.7197261,1.3486981,6.495297,-0.8790076,7.972443,7.159722,13.19338,17.549229,19.936598,14.326286,-3.8412094,-22.264153,-20.999062,-3.6462784,-9.802448,0.09995699,-3.7026525,-5.1225004,-2.717656,8.43389,11.754572,11.171031,27.67576,60.643913,65.02213,41.666805,32.90473,31.128347,32.059715,28.482426,27.480148,6.982994,4.2381167,-1.0750234,4.1222334,10.584986,-4.323685,-4.276073,-13.0371685,-9.092599,-13.446212,-12.889981,-13.027495,0.05095005,-1.1990964,10.567617,-1.2996674,-8.584982,0.20714998,-4.2913675,8.489382,3.4651756,5.6728125,8.657324,5.6851625,1.4471173,11.33374,1.1222601,8.998847,10.609829,8.988106,14.983929],"ENZL^JULIAN(FG_TOTAL_RETURNC(-10AY,0,AM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9],"EWD^FMA_PE(NTMA,-10AY,0,AM,\"PORTAGG\",\"MEANR\")":[15.7489028185732,15.8493885641385,14.9907529320838,14.6844678734655,14.2701501472581,15.3032652021327,15.8227990432284,15.5014215287757,16.5417652012629,17.0218257038724,16.9696009432761,15.424406245776,16.029086457872,15.2462042975694,16.2070354771737,14.5337713870876,14.6687743838911,15.7144071239604,15.301358425341,14.3617336722043,14.6405935831534,15.5575452499885,14.886175794796,14.9086535946193,14.7681457438246,14.0508385141247,15.139774064396,15.5770965383007,15.9491859369132,15.466357740438,16.1935183493282,16.4731174412254,16.4094782880774,16.4141229582959,16.9280273050909,17.1834954979713,16.8046638877942,16.629287165864,16.1106291583542,15.8064747332056,16.7172509265841,17.3418774111409,16.3525709932486,16.4954480624898,15.6788726305765,16.0951094515635,15.5328801413881,15.820382466456,15.4592804293338,15.2234576321798,15.5219574529443,15.5991019724891,15.5075391880147,14.424399991514,13.443950659206,13.6203556981464,14.4637236188223,14.8044443809208,15.2068229941098,15.4359035768769,14.3247940776924,15.1272899896748,13.6329846876699,14.172494057507,14.5270133616478,15.9713130597903,15.7983693636667,16.22217594061,16.6129563863909,14.642119785731,14.8690409905832,17.5397040403441,19.9292697952609,19.9727182838326,18.5249664923931,17.9755184660006,18.300873090261,16.5644424474714,17.3840201739702,18.131709669514,18.6360494442655,19.0812398438371,20.4369867026848,18.1207006292915,18.6787386632513,18.6877474442164,18.5422618342233,18.6210487673886,17.5125260884275,18.6146926881126,18.7644094961306,18.7119304859116,16.3173333593777,14.0254634310239,15.0823374308483,13.734253299427,15.9055529444813,14.3943223234205,14.9036843388862,13.817996003274,13.3956586293732,12.6357197291214,13.0437549544767,13.139702249576,14.2905891282012,14.2840780766146,13.4634808127087,13.6681760437012,13.6387887325869,13.1492986440601,13.1148555229454,13.1241143641396,12.8551416679339,12.8331383217583,14.9679351285007,15.2256918589234,15.5941384268243,16.3466654652065,16.2745289819703,16.0629299310315,16.2612283449617],"EWQ^FMA_PE(LTMA,-10AY,0,AM,\"PORTAGG\",\"MEANR\")":[15.9474939606491,15.7590828940171,15.1645775395697,15.6191410911619,15.0873651749724,14.9301485376472,15.5728654067632,14.4025942206446,16.4637611839354,17.5482075270273,17.5873382159334,17.3915221373284,17.2431034931243,16.7694451447254,17.3310250935154,15.8143877385292,16.0036783659309,16.5999341855677,15.8426349844756,14.8839344853354,14.7644074538864,15.1988117677065,15.0472977061465,15.0393310868305,15.1648856182378,14.5126491652884,14.9545166599993,15.1190771174197,14.9322296508327,14.5633468580625,15.1290589283168,15.9093055254088,15.4605560659017,15.6131524890958,15.6646757597772,15.9135986208447,15.7306997267465,15.5648625961227,15.6458437199166,15.4982057715008,15.9777607850008,16.3487158448947,16.1399886789591,16.4294175874924,15.4856477832838,15.5441096617291,15.4994648367966,15.6045680442604,15.4368377905709,15.2155455631476,15.205276185875,14.73920402008,14.8126744162232,14.1103223879745,13.208512846172,12.936133117115,13.9953819002797,14.5735323145617,14.6151371973519,14.6110879106775,14.3893004193765,14.7436353933473,14.3810341450561,14.9809441678241,14.849826970126,15.9242456709183,16.0703106667647,16.557862947556,16.5388897255689,14.5686394170814,14.5779445196497,15.8366032252104,18.0867626490599,19.2195421299142,21.4347843261131,22.6902141939165,23.6931211658145,24.6521521189606,28.3827797542208,29.0672419154663,28.0506486050575,26.8996785391982,26.1949027232597,25.2625233235209,24.519172669051,23.4046570467629,22.1400117971341,20.965989707165,19.2392704600484,18.9096247688404,17.3647908397252,17.3308326278509,16.2028161271994,15.2349935423945,15.0943418574482,14.5771023304002,14.3998759262406,13.3575260288491,13.2580760296083,12.4087805118645,11.7073688672658,11.9132045729828,12.0667869585885,12.1603476483941,12.8943771422048,12.9458218354754,13.0301886738249,13.1973835243678,13.0826339231839,12.9968909179784,13.2911365449596,13.129369036042,12.8814887999397,12.8335587270889,13.6954232795926,13.8728624499737,14.4530538096979,15.4845681650519,15.4619632592855,15.4028554934731,15.3683036131142],"DDR3512M-FDS^FG_PRICE_CHANGE(0,-1AM)":-0.799520729417824,"PASP-FDS^FG_PRICE_CHANGE(0,-1AM)":-3.9795918367347,"PLATI-FDS^FG_PRICE_CHANGE(0,-1AM)":1.73469387755103,"W-FDS^FG_PRICE_CHANGE(0,-1AM)":1.1466982997232,"COPP-FDS^FG_PRICE_CHANGE(0,-1AM)":1.2191174884022,"SPY^PERCENT_CHANGE(FMA_EPS(+1,0,,,,\"PORTAGG\",\"MEAN\"),FMA_EPS(+1,-3AM,,,,\"PORTAGG\",\"MEAN\"))":0.209640418003658,"URTH^FG_TOTAL_RETURNC(0,-3AM)":4.479182,"EWD^FG_ROE(0)":17.0261764685124,"TRYSE10Y-FDS^PCTCHG(FG_YIELD(0,,,,\"YTM\"),FG_YIELD(-1AM,,,,\"YTM\"))":-1.734354,"TRYDE10Y-FDS^PCTCHG(FG_YIELD(0,,,,\"YTM\"),FG_YIELD(-1AM,,,,\"YTM\"))":3.643721,"TRYFR10Y-FDS^FG_YIELD_NAME":"France Benchmark Bond - 10 Year","VWO^FMA_EVAL_EBIT(LTMA,NOW,NOW,M,\"PORTAGG\",\"MEANR\")":14.3802570618771,"EWI^FG_FCF_YIELD_NTM(0)":6.06766900099592,"EWN^FMA_PE(NTMA,0,,,\"PORTAGG\",\"MEANR\")":16.2123023575543,"SPY^JULIAN(FMA_DIV_YLD(NTMA,NOW,NOW,M,\"PORTAGG\",\"MEANR\").DATES)":45443,"EWL^FMA_EVAL_EBITDA(NTMA,0,,,\"PORTAGG\",\"MEANR\")":12.8606577749266,"EWG^FMA_DIV_YLD(NTMA,NOW,NOW,M,\"PORTAGG\",\"MEANR\")":3.38058523748159,"EWA^FMA_PE(LTM,0,,,\"PORTAGG\",\"MEANR\")":18.9609887303028,"DBA^FG_TOTAL_RETURNC(0,-3AM)":14.228189,"TRYBR10Y-FDS^FG_YIELD(-10AY,0,Y,,\"YTM\")":[12.319731,15.989595,11.062725,9.887577,8.936093,6.883678,6.961219,10.970291,12.900059,10.455909],"USDANG^FG_PRICE_CHANGE(0,-6AM)":0.0,"USDGBP^FG_PRICE_CHANGE(0,-6AM)":-1.3975263,"USDJPY^FG_PRICE_CHANGE(0,-6AM)":5.9776545,"USDCAD^FG_PRICE_CHANGE(0,-6AM)":1.0616779,"USDNZD^FG_PRICE_CHANGE(0,-6AM)":-0.4365027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SPY^FMA_PE(LTMA,-10AY,0,AM,\"PORTAGG\",\"MEANR\")":[16.3725895879344,16.4996505616026,16.109783710192,16.5414741530062,16.3418688581651,16.8274780786085,17.2264384592387,16.8158619301581,17.2088643291289,17.5375144623393,17.5112328986693,17.4654149839862,17.4590440655969,17.3444156557605,17.4242248474059,16.5216733276677,16.8383360128799,17.5716217957678,17.4949842320588,16.6953523225737,16.2966838906097,16.18819342752,16.4452153070474,16.565182572191,16.8230210079016,16.9294283453795,17.4688495841606,17.67329605525,17.7359099709158,17.2918700891375,18.4025297502104,19.1011250883114,18.9918841820209,19.4820084244639,19.3027827049436,19.2360496087891,19.1931376965346,19.0054089623247,19.1759928307014,19.0256153164578,19.5052224002881,19.6705581888894,19.9061591868864,20.7309814694718,19.8780945760851,19.7599309892462,19.3005112064645,19.0584991730264,18.9821434586938,18.6780670577365,18.6746365139641,18.560949423326,18.4236688674789,17.4493123935792,16.8427092214625,15.6618488826115,16.8263876682493,17.0855494984763,17.2259723789061,17.2974990462543,17.0944070371373,17.5793723721593,17.3270787078878,17.7608297676381,17.7945638470984,18.5623316736305,19.1640072756239,19.9565103845074,20.3542970634785,17.917881165958,17.9087188878082,19.3570062611736,21.0659222525134,21.6632516519355,22.5176827953257,23.3883618434079,23.6363655306121,24.2911665957273,25.9027611350028,27.2531571257546,27.1919831962441,26.216283280056,26.0506430289679,25.4928444846784,25.0640225211116,24.8499779795872,24.138865277313,24.0082796586278,22.9990402125385,23.5697418381932,22.6737167180256,22.857276786331,21.5223124904584,20.6614603521962,20.6170783647452,19.9443096330318,19.6559875882618,18.8007625176396,19.3686056423827,18.4569604685799,17.7395147537825,17.6683217517993,18.0439171602644,17.6768451648335,18.690442986565,18.1120250452954,18.2308694176573,18.2990844229028,18.6246880427449,19.0923942956933,19.378638345783,19.4624196785929,19.1604869966219,19.5364662009899,20.4249935850558,21.3985320951619,22.3285957662434,22.7424166088589,22.6757992917571,22.4790758346946,22.4975063137663],"DDR3512M-FDS^FG_PRICE_MAVG(0,,,,30)":0.9652785,"PASP-FDS^FG_PRICE_MAVG(0,,,,30)":977.7,"PLATI-FDS^FG_PRICE_MAVG(0,,,,30)":1006.5,"W-FDS^FG_PRICE_MAVG(0,,,,30)":6.4816666,"COPP-FDS^FG_PRICE_MAVG(0,,,,30)":4.7316666,"EWI^FG_PRICE_MAVG(0,,,,30)":38.165,"SPY^FG_PRICE_MAVG(0,,,,30)":521.41864,"EWJ^FG_PRICE_MAVG(0,,,,30)":68.37666,"ENZL^FG_PRICE_MAVG(0,,,,30)":45.3765,"EWN^FMA_PCT_ABOVE_MAVG(200,0,,,,\"PORTAGG\")":66.0377358490566,"EWU^FG_TOTAL_RETURNC(0,-3AM)":10.102844,"EWC^FG_TOTAL_RETURNC(0,-12AM)":12.649226,"EWD^SIZE(FG_CONSTITUENTS)":45,"EWA^FMA_COS_UP(\"EPS\",\"1M\",+1,0,,,\"PORTAGG\",\"MEANR\")":25.0,"CAGDPY@NL^EE_ACTUAL_ANNUAL(MED,0)":10.0884806997308,"CAGDPY@CA^EE_ACTUAL_ANNUAL(MED,0)":-0.725414399026327,"USDITL^FG_PRICE_CHANGE(0,-6AM)":-0.8043289,"ENZL^P_PRICE_RETURNS_PR('52W',2,-10AY,0,AM)":[23.790813,30.837477,19.831562,21.643913,2.8004527,0.42479038,11.394954,10.347891,8.208442,1.0688305,1.400578,-3.4534335,-4.698449,-14.27691,-9.319866,-18.822788,-9.076017,-4.7704697,-3.8832843,-5.0723195,-7.3734403,-2.192074,4.780388,9.583628,18.393528,30.449749,37.337864,61.62647,39.899445,21.719158,18.991375,17.736864,29.317963,14.283979,10.097504,8.216154,10.535299,10.362589,8.658624,-0.12241006,8.624363,13.535463,12.424088,22.885859,14.130629,21.524502,18.666792,18.918526,14.099466,12.074459,3.8766026,6.662929,3.3033967,5.5641413,8.95133,-0.55550337,4.634762,4.8406243,8.302677,9.410763,6.142986,12.430382,14.322734,19.257486,15.398109,15.325284,23.385477,28.49474,20.957958,14.35132,-9.476119,-2.811265,14.342308,11.546648,16.667843,14.080179,14.278197,24.160599,20.438362,26.146984,22.086727,16.334188,40.63649,37.351536,16.183472,8.077097,5.589378,11.862826,8.938253,3.7722826,-10.096699,-16.458082,-18.412853,-7.857114,-8.526337,-23.446,-20.479828,-24.66985,-19.46773,-27.029758,-31.468582,-27.123564,-13.462757999999999,-12.98511,-2.4484336,-10.780674,-8.217293,5.032575,1.3711452,9.501993,-0.4055202,-1.5533149,9.938133,1.24048,-3.9348006,1.0907888,-6.6389027,-4.3920875,-6.4581037,-7.16455,0.5933523],"EWI^FMA_DIV_YLD(NTMA,-10AY,0,AM,\"PORTAGG\",\"MEANR\")":[3.37685017046477,3.27729158249929,3.72741709519386,3.45705515416657,3.79241257341025,3.97511849904341,3.8071381502552,4.27787159347751,3.73023311296931,3.44645041305917,3.13624753690835,3.25808621717792,3.29556379506172,3.48738058414897,3.10147831905681,3.44948068556542,3.56872787631976,3.56419118153809,3.66096458058875,4.02873742980268,4.68863223580702,4.33356723923275,4.64678992828166,4.51166236039182,4.64968763423363,5.24625344804059,4.79515990107208,4.74665426397216,4.95290977406635,4.99690749768347,4.65357498730662,4.24441022808978,4.48121644792135,4.11059272922524,3.94245592442759,3.76524424297897,3.82273616019694,3.81758879268317,3.71121267419804,3.77732274653986,3.80593599671067,3.74521169387617,3.8865804696557,3.85138490300387,3.97949467898862,4.09572256444426,4.01669623197419,3.83974969635014,4.39470025988848,4.44828036324808,4.44682350857069,4.7203958824868,4.7912200536953,5.07041400310732,5.35506710742545,5.27869322700623,5.00582910694992,4.73950673379375,4.60943346111865,4.71406912353225,5.07246218456008,4.67015501110782,5.01320069262443,4.76433485796438,4.88007232021736,4.54551606994131,4.56643255353449,4.50020485331118,4.44440450391865,5.23624990318193,6.06534180868289,5.14442724002166,4.12937559239682,4.25997797811933,3.97888240463441,4.10458469206802,4.14178744634919,4.20361577338502,3.93680627810488,3.8732190785975,3.94970660278308,4.2113991689531,3.98824273311124,4.19785669652229,4.0578080931421,4.14878577873423,4.31692142612895,4.42179265808709,4.5616248821657,4.28906842877682,4.64717673614344,4.56077866390306,4.8217482873472,5.65037610221175,5.14754347177242,5.25804342280522,5.17708890208122,6.04542909134965,5.79492623663874,5.77651936402317,6.08984572282767,5.54664553856193,5.77239486040487,5.56147232376388,5.45082887664328,5.21307376370124,5.40993204345518,5.39124202011965,5.44885175697762,5.42514213872263,5.46083748857183,5.46322609314487,5.6366160844751,5.59871858261926,5.39697689563884,5.44988772731352,5.46392479438235,5.21522026852899,5.20189858149149,5.26388185418291,5.2741020246094],"EWN^FMA_PE(NTMA,-10AY,0,AM,\"PORTAGG\",\"MEANR\")":[14.5638007034092,14.7610889154335,13.7672938491803,14.7454045604345,14.4110350440878,14.7452681092564,15.3083943657787,14.3986175476152,15.6776327345079,17.3245758840039,17.2740686236255,16.507194531078,16.4798089120771,15.9443785532139,16.9581770618103,14.6664536541852,14.8923591137928,16.1980271453207,15.7565480733989,14.8893691071441,14.4436773137466,15.1896219004673,15.0053956352897,14.6464936681969,15.09492743841,13.6468133794406,14.6759983798178,15.2310946058434,15.0149543198918,14.2561430437559,14.5247395663142,15.0737025301477,15.0426404438696,15.7205457973389,16.0135779909301,16.7052454776284,16.1935662956684,15.6783623614659,16.0716205213413,15.6007005411514,16.0694216878217,16.3953412568093,15.8821510414958,16.2318082404437,15.3681167290877,15.4640538205607,15.4697508610501,15.6208701701628,15.8838231122788,15.5099934830281,15.9120459558645,15.146453013651,14.6816865275829,14.1880956754777,13.5662780451957,13.120370306583,14.5669976108692,14.8961651936583,15.5548849074364,15.616309987471,15.0235128711191,15.6685502463642,14.9197755495069,15.8988673839042,15.9062926833346,16.6769908103308,16.8759328086306,17.0524196249992,17.8670173135282,15.5422572969224,14.8755494551259,16.9857894362282,19.8781395059142,20.1714367748803,19.823032590876,19.1851884100136,19.4141604079875,19.9455850320724,20.5535144863822,20.8152675457559,21.8421679310469,20.7674517732252,22.8163516652214,21.60821288737,21.3284085323718,21.1614683296834,21.6827918582973,21.9478952210125,20.015720707405,21.5606452541615,19.8996162060553,20.099715371216,18.2609067673293,16.2720875161472,17.7998989647959,16.2547323218642,17.4828154004724,15.7314889780638,17.8448634188039,15.7948672677266,15.051159854905,14.9663822101944,16.2345555698226,16.3380873670115,16.9998820587683,16.6465993376384,16.3025969272609,15.7952981779816,15.6816887339779,15.4755442489686,15.6724653349198,14.6061045005435,13.5073921877881,13.8042879421954,14.7349029488305,14.7152607110854,15.923165403826,16.1305357973455,16.2604361314444,15.8494925890405,16.2123023575543],"FXI^FG_TOTAL_RETURNC(0,-12AM)":0.27725697,"SPY^PERCENT_CHANGE(FMA_EPS(+1,0,,,,\"PORTAGG\",\"MEAN\"),FMA_EPS(+1,-1AM,,,,\"PORTAGG\",\"MEAN\"))":0.391493222522839,"URTH^FG_TOTAL_RETURNC(0,-1AM)":3.1291485,"VGK^FG_TOTAL_RETURNC(0,-6AM)":15.781939,"EWD^P_PRICE(0)/P_PRICE_LOW_PR(0,,,,,,\"PRICE\",\"INTRA\",\"52W\")-1":0.38862646,"EWA^PERCENT_CHANGE(FMA_EPS(+1,0,,,,\"PORTAGG\",\"MEAN\"),FMA_EPS(+1,-1AM,,,,\"PORTAGG\",\"MEAN\"))":0.127863968521058,"EWU^FMA_COS_DOWN(\"EPS\",\"1M\",+1,0,,,\"PORTAGG\",\"MEANR\")":33.0,"EWN^FG_ROE(0)":11.7269876040735,"REFEUREFI-FDS^PROPER_NAME(0,,,\"SECURITY\",\"NAME\")":"Eurozone Main Refinancing Operations Minimum Bid Rate"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EWI^FG_PRICE(0)":39.0,"ENZL^FG_PRICE(0)":47.3,"FXI^P_PRICE(0)/P_PRICE_LOW_PR(0,,,,,,\"PRICE\",\"INTRA\",\"52W\")-1":0.30345154,"SPY^FMA_PCT_ABOVE_MAVG(200,0,,,,\"PORTAGG\")":68.6626746506986,"URTH^PERCENT_CHANGE(FMA_EPS(+1,0,,,,\"PORTAGG\",\"MEAN\"),FMA_EPS(+1,-3AM,,,,\"PORTAGG\",\"MEAN\"))":0.304068970207798,"VGK^FG_TOTAL_RETURNC(0,-3AM)":7.4913144,"EWD^P_PRICE(0)/P_PRICE_HIGH_PR(0,,,,,,\"PRICE\",\"INTRA\",\"52W\")":0.9990621,"EWQ^FG_TOTAL_RETURNC(0,-12AM)":15.50392,"EWU^FG_TOTAL_RETURNC(0,-1AM)":2.3622036,"EWC^P_PRICE(0)/P_PRICE_LOW_PR(0,,,,,,\"PRICE\",\"INTRA\",\"52W\")-1":0.20948744,"EWA^FMA_PCT_ABOVE_MAVG(200,0,,,,\"PORTAGG\")":61.0169491525424,"EWJ^SIZE(FG_CONSTITUENTS)":204,"EWD^FMA_COS_DOWN(\"EPS\",\"1M\",+1,0,,,\"PORTAGG\",\"MEANR\")":12.0,"EWU^FMA_COS_UP(\"EPS\",\"1M\",+1,0,,,\"PORTAGG\",\"MEANR\")":37.0,"ENZL^SIZE(FG_CONSTITUENTS)":14,"EWQ^FG_ROE(0)":12.8404941601671,"CAGDPY@FR^EE_ACTUAL_ANNUAL(MED,+1)":-0.5,"CAGDPY@AU^EE_ACTUAL_ANNUAL(MED,+1)":0.5,"USDITL^FG_PRICE_CHANGE(0,-3AM)":0.26658773,"USDANG^FG_PRICE_CHANGE(0,-3AM)":0.0,"USDGBP^FG_PRICE_CHANGE(0,-3AM)":-0.21139383,"USDJPY^FG_PRICE_CHANGE(0,-3AM)":4.4381976,"USDCAD^FG_PRICE_CHANGE(0,-3AM)":1.4280915,"USDNZD^FG_PRICE_CHANGE(0,-3AM)":-0.92151165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9],"EWD^FMA_DIV_YLD(NTMA,-10AY,0,AM,\"PORTAGG\",\"MEANR\")":[4.09406340512304,4.05135199817431,4.33264387529218,4.22022047488622,4.32520395790037,4.1720377972067,4.04465724549582,4.120371783392,3.78313223287027,3.67969602860569,3.66071548762236,3.91558363377029,3.89751932998674,4.12585128619082,3.95902380876164,4.40894771797914,4.41556757361527,4.13024308596647,4.21571381315639,4.4980032195956,4.5118476951911,4.27244227416144,4.44636128977966,4.47857212561496,4.45158526643972,4.66445813334824,4.3282773507648,4.20280496315125,4.13969747368061,4.24570555871851,3.98434019888384,3.89032669033731,3.70213469302227,3.65570293636941,3.67325308080832,3.51148492820939,3.57456264341701,3.57597505861438,3.68728274697132,3.7881343069154,3.54281311519734,3.51664632133223,3.7275496563911,3.67701968342481,3.99791703825108,3.90321261106435,4.13997213667804,4.03374338245727,4.10184681972732,4.22013284985084,4.10751615831298,4.08604793910654,4.09447674709715,4.36601366225089,4.67802715468412,4.64469829440776,4.25012451304004,4.16010043948097,4.05990732302421,4.08091225990381,4.35991521415164,4.12903427568524,4.27250770981425,4.09687558975546,4.04028716127548,3.67488957370809,3.68321933956647,3.59918598583783,3.48734204201116,3.92288491098523,3.83886517944245,3.40500705930192,2.89088974891302,2.95943148398001,3.02808858099031,3.04570659621102,3.00295928951031,3.13511673163128,3.01231083922418,3.09031533401139,3.02134928803651,2.93183873284771,2.72689684611412,2.81030964736473,2.67614979047287,2.68642229514348,2.72477959927196,2.72957627045986,2.95858170791204,2.98389108951211,2.96405963732323,2.82626810195418,2.94404820193675,3.37007909247062,3.1430442118514,3.49104252459402,3.24801495679539,3.61509823847197,3.51381921965793,3.74197950647404,3.68979884125056,3.71661084312565,3.6075084460933,3.62237481726857,3.48590338371293,3.49307997460471,3.71913940336648,3.67976019950454,3.72916155530383,3.84823091654336,3.8619696146599,3.91254918435613,3.8191773224062,3.86788117170539,3.0709898692988,3.02048542510454,3.34205804595773,3.28089256702636,3.25116036688711,3.25261256887135,3.17174063606841],"EWQ^FMA_PE(NTMA,-10AY,0,AM,\"PORTAGG\",\"MEANR\")":[14.4747641538155,14.1361001037127,13.2384572757306,13.9246147685909,13.2491172820745,13.1954757645108,14.0495761080612,13.1749224066077,15.5692861004768,16.3915782567511,16.6561270243133,16.102097162924,15.7766711185196,14.9167558694871,16.01542088169,13.9508657899878,14.5020090919071,15.4299042321563,14.7690731045913,14.0343860313442,13.674557435682,14.5520858214009,14.0146408305509,14.0841129222042,14.3241163098933,13.0801829173337,13.9694280404453,14.2023796402553,13.9176264034469,13.5104488661513,14.0556008929342,14.6675364111617,14.1781641587269,14.4660659584612,14.889330421138,15.6120915263983,15.0305632948924,14.6364846584701,14.7740514540149,14.5439704075174,15.180351903551,15.4116940668438,15.0461109766065,15.2008318915706,14.2977334172507,14.2700110856853,14.3921011635061,14.8102091998853,14.420533342548,14.0533068283025,14.0402460720221,13.3793782805917,13.489985179604,12.7515732991861,12.0029317671789,11.906856111504,13.0723952276586,13.556413201997,13.9049758048223,13.8939249597068,13.3293547698623,14.0000507023583,13.2723045963096,14.085375882445,13.7723280171083,14.7058142900292,14.6659231415424,14.9403686157087,15.0296322472586,13.1389717905573,13.2373406630034,16.1320652925289,19.6296350648839,19.414528416873,19.6163514618251,19.1745322969297,18.3076635637364,17.6705910095861,19.043900371957,18.146855093721,17.9382318263176,17.8495191204849,18.3559453675373,17.8774951734296,17.8811494405902,17.2808569984667,16.8901905741388,16.2899795591675,15.3958106036885,15.9884831395738,15.326028613217,15.9170958632022,14.8151799421668,12.5930133805326,13.0838898195802,12.198652545790999,12.5376957642317,10.9796091632421,11.7139106307556,11.0013673867838,10.5784009246681,11.4254810189932,12.1035663250828,12.5360032563858,13.2109995311614,13.3914413276624,13.3527528258456,13.5474729070507,13.0059012047589,12.6986534360182,13.0453058406158,12.7206676761627,12.3459208018161,12.3909091594146,13.1445972833722,13.2133707013845,13.7157801202703,14.3449743111022,14.473857709249,14.3976715571196,14.3449380417246],"QQQ^FMA_PE(LTMA,-10AY,0,AM,\"PORTAGG\",\"MEANR\")":[18.999968898549,19.2148765330994,18.8742871160098,19.4893289057431,19.207544443393,19.7547115920766,20.433601547646,19.4755973586892,19.7527433849128,20.7064768364277,20.462771751999,20.2167629141958,20.1724923135089,19.8678274942631,20.2616380920138,19.1647038302447,19.3738318982742,20.5682531037362,20.6064489807126,19.6559890205767,17.6390356083387,18.2516666867713,18.4587786800214,18.3100905546533,18.6444608489622,18.6745288106032,19.5329308689128,19.7127191266926,19.993556141054,19.2478778038632,19.8308154949195,20.8704140811933,21.2633058133932,21.7009042050653,21.6276594475605,21.809418313998,22.0640823928386,21.5350392509214,22.0850486522561,22.2197218368869,22.5497422568063,22.9863770499768,22.941165792152,24.3929807083622,23.7531016491527,24.0949523442985,23.4273999314916,23.265680097237,23.4125973179372,23.1783055904291,23.1769811750161,23.0168395538439,22.7236725992533,21.0958695777467,20.379776961037,19.0476001414982,20.6094373758161,20.8930125188706,21.1868404069312,21.4751200484369,20.9708217676467,21.8802676808185,21.4575100977247,22.1811735954294,22.129203862312,23.2649987853345,24.2058673638671,25.7590519661332,26.7509014263903,23.8037670762906,23.760076331943,25.2840338209872,26.9233321336434,28.4662114753618,29.3522361255594,30.6448883050624,30.7066891687702,32.2838399207601,33.909425848717,34.4188950680234,35.1932530871739,32.7442548639758,32.7571649079355,31.8729286936527,31.4616990484072,32.0381467541868,31.3918843537787,31.8010792817601,30.2777894323665,32.21371251121,31.051757879946,30.7677465524224,27.8003756988071,26.5577278574984,26.658243584339,25.6338636664886,25.2408045206378,24.3604685521213,25.9400740511543,24.3339908109852,23.3711658401755,22.3801722673231,23.1744910504674,22.903823386218,26.0023797947378,25.3059345510486,25.6386052283689,25.6826817498517,26.6116017362477,27.2510071694753,26.5559265578716,26.6635771817956,26.3215665712546,26.4475316644584,27.4195017420035,28.2226101616818,29.8336791191541,30.2413619528499,29.9420841877968,29.6130772993959,29.8125596385434],"DDR3512M-FDS^FG_PRICE(0)":0.96,"PASP-FDS^FG_PRICE(0)":941.0,"PLATI-FDS^FG_PRICE(0)":997.0,"W-FDS^FG_PRICE(0)":6.395,"COPP-FDS^FG_PRICE(0)":4.691,"SPY^FG_PRICE(0)":534.66,"EWJ^FG_PRICE(0)":69.24,"EWI^FMA_RBICS_REV_CURRENT(30, LOC, \"PORTAGG\")":37.3007280733583,"TRYGB10Y-FDS^FG_YIELD_NAME":"United Kingdom Benchmark Bond - 10 Year"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547049,11.9085678571898,15.3602779627681,14.6915673544296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NI-FDS^MAX(FG_PRICE(0,-5AY))":48241.0,"CPALM-FDS^MAX(FG_PRICE(0,-5AY))":8163.0,"EWD^FG_PRICE_MAVG(0,,,,200)":37.071674,"QQQ^FG_PRICE_MAVG(0,,,,200)":407.7942,"CAGDPY@FR^EE_ACTUAL_ANNUAL(MED,0)":-0.756817157305732,"CAGDPY@AU^EE_ACTUAL_ANNUAL(MED,0)":0.275776825503169,"USDITL^FG_PRICE_CHANGE(0,-1AM)":-0.9008527,"USDANG^FG_PRICE_CHANGE(0,-1AM)":0.0,"USDGBP^FG_PRICE_CHANGE(0,-1AM)":-1.5188873,"USDJPY^FG_PRICE_CHANGE(0,-1AM)":1.3413429,"USDCAD^FG_PRICE_CHANGE(0,-1AM)":0.39550066,"USDNZD^FG_PRICE_CHANGE(0,-1AM)":-2.813029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3.1460762,-1.9130111,-12.387389,5.91259,-8.191747,-5.155319,3.2055736,-12.971247,8.203125,3.6823034,6.4763308,-0.32701492,0.5249381,-5.9434233,9.604526,-7.731962,4.3994427,-2.3411334,-0.5479455,-9.230673,-12.861496,4.366815,-2.0920515,3.7606835,-0.08237362,-12.6672325,6.2135816,5.118835,-4.1739106,-1.8148899,7.4399233,7.8679442,-4.8289776,2.832985,4.6875,10.290659,-0.17806292,2.074349,7.7935934,0.99042654,0.588429,1.4624596,-1.4413774,4.080999,3.2339096,-2.4635077,1.5590906,4.3598413,-10.767878,0.022816658,-2.507621,-4.4490814,-1.4914513,-4.6898127,-2.6733756,0.3908515,5.7831407,3.796506,3.365028,-1.6985118,-3.3117354,8.48825,-5.717331,3.992474,-2.3904383,8.71985,-1.3310552,3.1344056,1.7561555,-12.844336,-20.982487,-2.5060236,23.9743,0.56271553,2.4439096,-0.11731982,-3.367269,3.4035683,14.615989,5.307102,-0.49099922,-0.5921066,5.625415,1.3784528,5.4079056,-4.062766,2.103293,0.30294657,-3.8659036,8.011317,-6.137294,4.441166,-1.5949428,-18.715595,8.577883,-6.444907,6.296301,-17.005747,6.5339684,-7.6360703,-2.682501,12.968826,9.440004,5.5104136,5.6610346,2.6622295,0.09723902,3.6269426,-3.8749993,3.119874,3.7790775,-3.0189872,-3.369701,3.6200643,5.929482,2.9773831,0.7735729,8.001184,1.339519,0.8362651,4.3338656],"EWN^FMA_DIV_YLD(NTMA,-10AY,0,AM,\"PORTAGG\",\"MEANR\")":[2.78096666639836,2.74809731260379,3.05935856195538,2.93033574002951,3.062542624128,3.09709929471835,2.95784260854013,3.17963508556731,2.88697312488126,2.66217383931863,2.65850642400812,2.81477016250553,2.91415902741765,3.01668689788939,2.96947989063556,3.48373985946937,3.46030882854861,3.15336287019061,3.24592202388408,3.24809814014166,3.43624703398987,3.30689514791493,3.36403182750665,3.44284641611631,3.1542386063695,3.4566595952967,3.19458960729355,3.08812108969689,3.09303575611081,3.22947777603248,3.10770187246542,2.9514950570331,2.96548940111473,2.83080468534165,2.78018539788842,2.68732243535339,2.72639918577232,2.81613196555842,2.75012306960095,2.88366022247003,2.77758071443943,2.74932599688993,2.84686319779724,2.79701804588147,2.96453571955264,2.96678446839798,2.95933927832064,2.93207103567599,2.86591353855686,2.96218341495329,2.84038256548271,3.01700693967862,3.07769270807318,3.20766340682111,3.35803183996333,3.45552055978227,3.16146017149416,3.12135250148404,3.00265218336253,2.9832657303837,3.14730199334919,2.96598196137378,3.06051072742851,2.87614101894872,2.81032375622627,2.66830010805802,2.62939507612684,2.59689479567965,2.52775477233742,2.91618508551387,3.05588396092076,2.72142346644344,2.34175617970438,2.30745283649601,2.36968424557309,2.35778111984221,2.33228202695971,2.24292726580332,2.05513811422638,1.94580449042796,1.94041706196809,2.11093874146747,1.90950687525217,1.9515722007447,2.00071758896601,2.02072573531062,1.92941157811738,1.83825568935758,1.99447185845894,1.84750184152742,2.00763951023225,1.97927175861117,2.23184375197412,2.4978094853736,2.29928733618686,2.55406401291734,2.5199000804981,3.48652182566227,3.10424593651705,3.80214291622077,2.93954986081791,2.94884023564603,2.67139091598077,2.64687927002606,2.55895609599571,2.64003956389339,2.6726122833806,2.68633971153875,2.7007990230482,2.77097587724934,2.72530884733243,2.89511787386477,3.03179518622154,2.99041279818994,2.75629893620809,2.74054586513354,2.5321954212995,2.5705646332927,2.53248348437515,2.52778443824627,2.48428394115969],"SPY^FMA_PE(NTMA,-10AY,0,AM,\"PORTAGG\",\"MEANR\")":[15.3677559301432,15.5382568404618,14.8024639828465,15.3598336414679,14.9545407878897,15.5875068541066,15.9668267734917,15.5677520517918,16.5339567891051,16.6139555054195,16.5743525650829,16.4510255504177,16.4047314613622,16.1297950931336,16.2636338097094,14.9541919634132,15.4445203551429,16.4665849807477,16.3317084868427,15.5663822314575,15.5099438140132,15.5167363536305,16.5004635460184,16.5226770167304,16.6576656454397,16.4906658332618,17.0063753894613,16.8686440640109,16.570979521747,15.9314009319239,16.7512271055935,17.0525416960878,17.149484591724,17.7196022780858,17.4379531139185,17.5232922034499,17.5797724056676,17.2886060121549,17.6558176903749,17.4243048982447,17.9068193319014,17.9928383732943,18.0829500524271,18.376298371219,16.9738138874377,16.9389203786543,16.0671951139822,16.1223922939324,16.5599791044802,16.3332854999168,16.6175400615129,16.6409180279271,16.5707543037262,15.7393700929676,15.3614677529786,14.6350443624539,15.920160632521,16.1208755182633,16.7576232046103,16.8189287527611,16.1914356083086,17.0111406732017,16.3844244529064,16.8402291195465,16.6653498847481,17.3822125802292,17.718219025576,18.2128193567419,18.776090949182,16.7381398630808,16.7132304067319,20.1276418288706,22.6403510993092,22.1616411381462,22.3249308897899,22.3212655853796,21.3951894437861,21.5189862553245,22.1743846007759,22.2764641781967,22.0662875285021,21.4655747379076,22.2770201552948,21.5920751606643,21.3040721777523,21.5113506863087,21.0495192177776,21.2531059530314,20.2968868245852,21.4617578871406,20.7496826605568,20.9651296111504,19.8383787585873,18.860331896685,19.1566919403355,17.4449372412989,17.257876503485,16.0467893200261,17.4881973032697,16.4345569184578,15.8239212076721,16.3196021842603,17.0306809613762,16.9184497308991,18.1362499987098,17.8011146202462,18.0557897410503,18.0138802144007,18.450382801838,18.9530409942598,19.013549978386,18.6461879151848,17.9198529318191,18.0536477328505,18.6118981382248,19.2062981299927,20.1162833187743,20.4616118484511,20.6906376629156,20.3306496415221,20.4897845686018],"EWU^FMA_PE(LTMA,-10AY,0,AM,\"PORTAGG\",\"MEANR\")":[14.3969345192513,14.4635631367125,14.1769601682885,14.2715438638989,13.7494172441946,13.7987419118492,14.0599915353285,13.2233747593199,14.496170870605,15.1738676917607,15.2983809188272,15.567199564861,15.5868895374244,15.4150534836668,15.8548628755838,14.7873240569561,15.5008316446823,15.7898109994369,15.7034169706265,15.2325656241574,14.7802774680551,15.5936516191535,15.7362631359518,15.8149554715798,16.0677443045766,16.1021798786269,16.7567999863651,16.986788011071,17.0579435844931,16.2431460224896,16.5292533507918,17.2800960052656,17.0899090721205,17.3269478957678,17.0669524104219,16.8590838583221,16.7481954564889,16.4097831468038,16.468691944279,15.9560469845866,15.8773705031177,15.6247463388617,15.0847218878997,15.5927094309669,14.3665681269989,13.957871777422,13.937546631079,14.0284792862355,14.0159461553589,13.8172160374072,13.8466033808698,13.3445824538655,13.3784612273675,12.8077126575832,12.0852540659142,12.1286869949997,12.7900042031601,12.9512642577182,13.0138519249314,12.9964401895278,12.8966416588691,13.1134573833558,12.7474020583296,12.9633422337543,12.8429168766009,13.451260922366,13.4597012469972,14.1854095814373,14.0294458139227,12.3179855099045,12.4574634299667,13.7221702854966,15.2100237893666,15.4485191224234,15.9763194422671,16.338313497532,16.9642686872574,16.6786553170387,19.3739861459485,20.611267515435,19.2756225642222,18.7493227921013,18.1802612052781,17.5997777733878,17.0557852280271,16.2300225353389,15.3203112436798,14.7353980770434,13.7416580956071,13.4335821302977,12.5495154733579,12.4901183031147,12.6552817760773,12.4091222467952,12.2842271054392,11.8302776616428,11.7312540721383,10.9172235284845,10.8441057802161,10.2378683753501,9.555411054346,9.6052821907449,9.93323700853697,9.92692340886421,9.95453177613569,10.265591002365,10.3240240584735,10.3872361947272,10.309267446148,10.192736196355,10.5596032663597,10.4447091398512,10.4528473905009,10.5462910420722,10.8973761362424,11.3248592426337,11.3295015563721,11.4520065474377,11.5317973540742,11.637159170308,11.7076263306195],"WL-FDS^MAX(FG_PRICE(0,-5AY))":763.4,"BRENT-FDS^MAX(FG_PRICE(0,-5AY))":140.85,"TIOS-FDS^MAX(FG_PRICE(0,-5AY))":219.77,"EWG^FG_PRICE_MAVG(0,,,,200)":29.0728,"FXI^P_PRICE(0)/P_PRICE_HIGH_PR(0,,,,,,\"PRICE\",\"INTRA\",\"52W\")":0.8903078,"URTH^PERCENT_CHANGE(FMA_EPS(+1,0,,,,\"PORTAGG\",\"MEAN\"),FMA_EPS(+1,-1AM,,,,\"PORTAGG\",\"MEAN\"))":0.228068989203161,"VGK^FG_TOTAL_RETURNC(0,-1AM)":4.9606323,"EWD^FG_TOTAL_RETURNC(0,-6AM)":18.165695,"EWQ^P_PRICE(0)/P_PRICE_LOW_PR(0,,,,,,\"PRICE\",\"INTRA\",\"52W\")-1":0.2525252,"EWU^PERCENT_CHANGE(FMA_EPS(+1,0,,,,\"PORTAGG\",\"MEAN\"),FMA_EPS(+1,-3AM,,,,\"PORTAGG\",\"MEAN\"))":3.72854339135107,"URTH^FMA_COS_DOWN(\"EPS\",\"1M\",+1,0,,,\"PORTAGG\",\"MEANR\")":471.0,"REFJPTON-FDS^(SUBARRAY(NOT_NA(NO_REPEAT_F(FG_YIELD(NOW,-10AY,D))),0,1)-SUBARRAY(NOT_NA(NO_REPEAT_F(FG_YIELD(NOW,-10AY,D))),1,1))*100":10.0,"EWI^FMA_EVAL_EBIT(LTMA,NOW,NOW,M,\"PORTAGG\",\"MEANR\")":10.8518583483408,"SPY^FMA_DIV_YLD(NTMA,NOW,NOW,M,\"PORTAGG\",\"MEANR\")":1.45391594357288,"ENZL^FMA_PE(LTM,0,,,\"PORTAGG\",\"MEANR\")":33.0948725827124,"EWJ^P_PRICE(0)/P_PRICE_HIGH_PR(0,,,USD,,,\"PRICE\",\"INTRA\",\"52W\")":0.9607992,"GLD^FG_TOTAL_RETURNC(0,-6AM)":16.817497,"EWJ^JULIAN(FMA_DIV_YLD(NTMA,NOW,NOW,M,\"PORTAGG\",\"MEANR\").DATES)":45443,"ENZL^JULIAN(FMA_DIV_YLD(NTMA,NOW,NOW,M,\"PORTAGG\",\"MEANR\").DATES)":45443,"GLD^FG_TOTAL_RETURNC(0,-3AM)":10.371709,"TRYUS10Y-FDS^FG_YIELD(0,,,,\"YTM\")":4.2861,"EWD^FMA_EVAL_EBIT(LTMA,NOW,NOW,M,\"PORTAGG\",\"MEANR\")":15.9881022680904,"TRYPH10Y-FDS^FG_YIELD(-10AY,0,Y,,\"YTM\")":[3.8633,4.1,4.6281,5.6986,7.1730304,4.847582,3.4208684,4.796723,6.9293385,6.0028777],"EWI^PERCENT_CHANGE(FMA_EPS(+1,0,,,,\"PORTAGG\",\"MEAN\"),FMA_EPS(+1,-1AM,,,,\"PORTAGG\",\"MEAN\"))":2.56930266821107,"EWL^FMA_PCT_ABOVE_MAVG(200,0,,,,\"PORTAGG\")":64.4444444444444,"TRYDE10Y-FDS^PCTCHG(FG_YIELD(0,,,,\"YTM\"),FG_YIELD(-3AM,,,,\"YTM\"))":9.918418,"TRYAU10Y-FDS^FG_YIELD(0,,,,\"YTM\")":4.228,"TRYCA10Y-FDS^PCTCHG(FG_YIELD(0,,,,\"YTM\"),FG_YIELD(-3AM,,,,\"YTM\"))":1.268781,"TRYNZ10Y-FDS^FG_YIELD(0,,,,\"YTM\")":4.6397,"EWI^FMA_EVAL_EBITDA(NTMA,0,,,\"PORTAGG\",\"MEANR\")":6.84898902689307,"SPY^FMA_PE(NTMA,0,,,\"PORTAGG\",\"MEANR\")":20.4897845686018,"CC_US^IMF_IFS_RCPI_Q(0)":3.209516,"TLT^P_PRICE(0)/P_PRICE_HIGH_PR(0,,,USD,,,\"PRICE\",\"INTRA\",\"52W\")":0.89668113,"SPY^FG_TOTAL_RETURNC(0,-6AM)":18.416477,"TRYTR7Y-FDS^FG_YIELD(-10AY,0,Y,,\"YTM\")":[7.979133,10.679033,11.110786,11.586128,15.896213,12.034795,12.534946,23.870693,7.323803,21.984322],"REFJPTON-FDS^FG_YIELD(NOW,,,0)":0.1,"EWG^FG_FCF_YIELD_NTM(0)":5.81318736053519,"CC_CA^IMF_IFS_RCPI_Q(0)":2.8466706,"EWQ^FMA_EVAL_EBIT(LTMA,NOW,NOW,M,\"PORTAGG\",\"MEANR\")":13.2732210485283,"EWD^FG_TOTAL_RETURNC(0,-3AM)":6.4451694,"VGK^FMA_COS_UP(\"EPS\",\"1M\",+1,0,,,\"PORTAGG\",\"MEANR\")":466.0,"REFEUREFI-FDS^(SUBARRAY(NOT_NA(NO_REPEAT_F(FG_YIELD(NOW,-10AY,D))),0,1)-SUBARRAY(NOT_NA(NO_REPEAT_F(FG_YIELD(NOW,-10AY,D))),1,1))*100":25.0,"TRYCA10Y-FDS^PCTCHG(FG_YIELD(0,,,,\"YTM\"),FG_YIELD(-1AM,,,,\"YTM\"))":-6.254842,"TRYNZ10Y-FDS^FG_YIELD_NAME":"New Zealand Benchmark Bond - 10 Year","EWI^FMA_DIV_YLD(NTMA,NOW,NOW,M,\"PORTAGG\",\"MEANR\")":5.24661167333255,"EWG^FMA_EVAL_EBIT(LTMA,NOW,NOW,M,\"PORTAGG\",\"MEANR\")":13.3890041970805,"EWD^FMA_EVAL_EBITDA(NTMA,0,,,\"PORTAGG\",\"MEANR\")":11.1798070055144,"EWG^FMA_PE(NTMA,0,,,\"PORTAGG\",\"MEANR\")":11.9874865224613,"EWC^FG_FCF_YIELD_NTM(0)":5.11319296639173,"EWJ^FMA_DIV_YLD(NTMA,NOW,NOW,M,\"PORTAGG\",\"MEANR\")":2.22796624506812,"EWD^PERCENT_CHANGE(FMA_EPS(+1,0,,,,\"PORTAGG\",\"MEAN\"),FMA_EPS(+1,-3AM,,,,\"PORTAGG\",\"MEAN\"))":4.89882765428755,"EWD^FMA_RBICS_REV_CURRENT(30, LOC, \"PORTAGG\")":26.1566900370565,"TRYAU10Y-FDS^PCTCHG(FG_YIELD(0,,,,\"YTM\"),FG_YIELD(-3AM,,,,\"YTM\"))":5.4364076,"CC_IT^IMF_IFS_RCPI_Q(0)":0.92385906,"EWI^FMA_PE(NTMA,0,,,\"PORTAGG\",\"MEANR\")":9.67195311886573,"SPY^FMA_PE(LTM,0,,,\"PORTAGG\",\"MEANR\")":25.4493924958873,"VGK^P_PRICE(0)/P_PRICE_HIGH_PR(0,,,USD,,,\"PRICE\",\"INTRA\",\"52W\")":0.9999292,"GLD^FG_TOTAL_RETURNC(0,-1AM)":1.9656062,"EWI^SIZE(FG_CONSTITUENTS)":26,"EWN^FMA_RBICS_REV_CURRENT(30, LOC, \"PORTAGG\")":25.3332048466313,"TRYAU10Y-FDS^PCTCHG(FG_YIELD(0,,,,\"YTM\"),FG_YIELD(-1AM,,,,\"YTM\"))":-3.5363843,"CC_SE^IMF_IFS_RCPI_Q(0)":4.6701536,"EWI^FMA_PE(LTM,0,,,\"PORTAGG\",\"MEANR\")":10.2315729914237,"QQQ^FMA_EVAL_EBIT(LTMA,NOW,NOW,M,\"PORTAGG\",\"MEANR\")":24.3336238130634,"EWG^FMA_EVAL_EBITDA(NTMA,0,,,\"PORTAGG\",\"MEANR\")":8.37863549607452,"REFCATARG-FDS^PROPER_NAME(0,,,\"SECURITY\",\"NAME\")":"Canada Target Rate","QQQ^FG_FCF_YIELD_NTM(0)":3.60789539079114,"FXI^FG_TOTAL_RETURNC(0,-6AM)":16.538298,"SPY^FMA_RBICS_REV_CURRENT(30, LOC, \"PORTAGG\")":12.3968672783065,"REFCATARG-FDS^(SUBARRAY(NOT_NA(NO_REPEAT_F(FG_YIELD(NOW,-10AY,D))),0,1)-SUBARRAY(NOT_NA(NO_REPEAT_F(FG_YIELD(NOW,-10AY,D))),1,1))*100":-25.0,"TRYNZ10Y-FDS^PCTCHG(FG_YIELD(0,,,,\"YTM\"),FG_YIELD(-1AM,,,,\"YTM\"))":-2.707177,"CC_FR^IMF_IFS_RCPI_Q(0)":2.79402,"EWI^JULIAN(FMA_DIV_YLD(NTMA,NOW,NOW,M,\"PORTAGG\",\"MEANR\").DATES)":45443,"QQQ^FMA_EVAL_EBITDA(NTMA,0,,,\"PORTAGG\",\"MEANR\")":16.4798542330272,"SPY^P_PRICE(0)/P_PRICE_HIGH_PR(0,,,USD,,,\"PRICE\",\"INTRA\",\"52W\")":0.9985805,"QQQ^FMA_DIV_YLD(NTMA,NOW,NOW,M,\"PORTAGG\",\"MEANR\")":0.896391194359673,"EWN^FG_TOTAL_RETURNC(0,-3AM)":8.090342,"EWD^FMA_COS_UP(\"EPS\",\"1M\",+1,0,,,\"PORTAGG\",\"MEANR\")":16.0,"EWU^FMA_RBICS_REV_CURRENT(30, LOC, \"PORTAGG\")":19.3898803393085,"ENZL^P_PRICE(0)/P_PRICE_LOW_PR(0,,,,,,\"PRICE\",\"INTRA\",\"52W\")-1":0.15281212,"SPY^FG_FCF_YIELD_NTM(0)":4.17614259905682,"EWG^FG_TOTAL_RETURNC(0,-1AM)":3.3887506,"EWN^SIZE(FG_CONSTITUENTS)":53,"REFAUCASH-FDS^FG_YIELD(NOW,,,0)":4.35,"EWN^FG_TOTAL_RETURNC(0,-1AM)":6.0435176,"EWN^FMA_COS_UP(\"EPS\",\"1M\",+1,0,,,\"PORTAGG\",\"MEANR\")":13.0,"EWC^FMA_RBICS_REV_CURRENT(30, LOC, \"PORTAGG\")":39.7998235576266,"REFAUCASH-FDS^PROPER_NAME(0,,,\"SECURITY\",\"NAME\")":"Australia Target Cash Rate","TRYIT10Y-FDS^FG_YIELD(0,,,,\"YTM\")":3.879,"CC_GB^IMF_IFS_RCPI_Q(0)":3.9194994,"EWD^FG_FCF_YIELD_NTM(0)":4.95695345569571,"QQQ^FMA_PE(NTMA,0,,,\"PORTAGG\",\"MEANR\")":26.3530110316244,"EWG^FMA_PE(LTM,0,,,\"PORTAGG\",\"MEANR\")":16.4888519903574,"TLT^FG_TOTAL_RETURNC(0,-6AM)":-0.85000396,"TRYSE10Y-FDS^FG_YIELD_NAME":"Sweden Benchmark Bond - 10 Year","VWO^P_PRICE(0)/P_PRICE_HIGH_PR(0,,,USD,,,\"PRICE\",\"INTRA\",\"52W\")":0.9691789,"REFFFUND-FDS^FG_YIELD(NOW,,,0)":5.5,"EWG^PERCENT_CHANGE(FMA_EPS(+1,0,,,,\"PORTAGG\",\"MEAN\"),FMA_EPS(+1,-3AM,,,,\"PORTAGG\",\"MEAN\"))":1.99877313098716,"EWD^FMA_DIV_YLD(NTMA,NOW,NOW,M,\"PORTAGG\",\"MEANR\")":3.19182312279385,"QQQ^FMA_PE(LTM,0,,,\"PORTAGG\",\"MEANR\")":34.1351563698287,"EWG^JULIAN(FMA_DIV_YLD(NTMA,NOW,NOW,M,\"PORTAGG\",\"MEANR\").DATES)":45443,"TLT^FG_TOTAL_RETURNC(0,-3AM)":-1.9006908,"EWQ^P_PRICE(0)/P_PRICE_HIGH_PR(0,,,,,,\"PRICE\",\"INTRA\",\"52W\")":0.9896714,"EWA^FMA_RBICS_REV_CURRENT(30, LOC, \"PORTAGG\")":41.3569255279872,"REFNZOCR-FDS^PROPER_NAME(0,,,\"SECURITY\",\"NAME\")":"New Zealand Official Cash Rate","EWD^FMA_PE(NTMA,0,,,\"PORTAGG\",\"MEANR\")":16.2612283449617,"QQQ^JULIAN(FMA_DIV_YLD(NTMA,NOW,NOW,M,\"PORTAGG\",\"MEANR\").DATES)":45443,"EWC^FMA_EVAL_EBIT(LTMA,NOW,NOW,M,\"PORTAGG\",\"MEANR\")":16.2526747821198,"TLT^FG_TOTAL_RETURNC(0,-1AM)":3.6963224,"USO^P_PRICE(0)/P_PRICE_HIGH_PR(0,,,USD,,,\"PRICE\",\"INTRA\",\"52W\")":0.87831193,"TRYNL10Y-FDS^FG_YIELD(0,,,,\"YTM\")":2.856,"EWU^FMA_EVAL_EBITDA(NTMA,0,,,\"PORTAGG\",\"MEANR\")":7.53542688120755,"ENZL^FMA_DIV_YLD(NTMA,NOW,NOW,M,\"PORTAGG\",\"MEANR\")":2.70122124532592,"CC_DE^IMF_IFS_RCPI_Q(0)":2.5173564,"USO^FG_TOTAL_RETURNC(0,-6AM)":13.125383,"EWQ^FG_TOTAL_RETURNC(0,-3AM)":4.0730715,"EWC^P_PRICE(0)/P_PRICE_HIGH_PR(0,,,,,,\"PRICE\",\"INTRA\",\"52W\")":0.98013425,"QQQ^SIZE(FG_CONSTITUENTS)":102,"EWU^FMA_EVAL_EBIT(LTMA,NOW,NOW,M,\"PORTAGG\",\"MEANR\")":10.5864678116422,"EWC^FMA_EVAL_EBITDA(NTMA,0,,,\"PORTAGG\",\"MEANR\")":9.69422145675073,"EWN^FMA_EVAL_EBIT(LTMA,NOW,NOW,M,\"PORTAGG\",\"MEANR\")":21.8192755017014,"DBA^FG_TOTAL_RETURNC(0,-1AM)":7.359123,"EWD^FG_PRICE_MAVG(0,,,,60)":40.308918,"EWC^FG_TOTAL_RETURNC(0,-6AM)":10.210705,"ENZL^FMA_RBICS_REV_CURRENT(30, LOC, \"PORTAGG\")":14.3512586842186,"REFSEREPO-FDS^(SUBARRAY(NOT_NA(NO_REPEAT_F(FG_YIELD(NOW,-10AY,D))),0,1)-SUBARRAY(NOT_NA(NO_REPEAT_F(FG_YIELD(NOW,-10AY,D))),1,1))*100":-25.0,"TRYIT10Y-FDS^PCTCHG(FG_YIELD(0,,,,\"YTM\"),FG_YIELD(-3AM,,,,\"YTM\"))":5.9836025,"EWC^FG_TOTAL_RETURNC(0,-1AM)":-0.341022,"QQQ^FMA_COS_DOWN(\"EPS\",\"1M\",+1,0,,,\"PORTAGG\",\"MEANR\")":28.0,"EWC^FMA_DIV_YLD(NTMA,NOW,NOW,M,\"PORTAGG\",\"MEANR\")":3.26075896237099,"EWA^FG_TOTAL_RETURNC(0,-6AM)":13.651919,"EWL^FMA_COS_DOWN(\"EPS\",\"1M\",+1,0,,,\"PORTAGG\",\"MEANR\")":10.0,"QQQ^FG_ROE(0)":22.7176127158801,"TRYSE10Y-FDS^PCTCHG(FG_YIELD(0,,,,\"YTM\"),FG_YIELD(-3AM,,,,\"YTM\"))":-1.06474,"TRYFR10Y-FDS^FG_YIELD(0,,,,\"YTM\")":3.042,"CC_NZ^IMF_IFS_RCPI_Q(0)":4.022989,"EWA^FMA_EVAL_EBIT(LTMA,NOW,NOW,M,\"PORTAGG\",\"MEANR\")":12.4410798879827,"USO^FG_TOTAL_RETURNC(0,-1AM)":-3.1720877,"EWQ^FG_PRICE_MAVG(0,,,,30)":41.494667,"URTH^P_PRICE(0)/P_PRICE_LOW_PR(0,,,,,,\"PRICE\",\"INTRA\",\"52W\")-1":0.28727114,"EWI^FG_ROE(0)":13.9554886736945,"TRYIT10Y-FDS^PCTCHG(FG_YIELD(0,,,,\"YTM\"),FG_YIELD(-1AM,,,,\"YTM\"))":3.3022592,"TRYNL10Y-FDS^FG_YIELD_NAME":"Netherlands Benchmark Bond - 10 Year","CC_AU^IMF_IFS_RCPI_Q(0)":3.61991,"EWN^FMA_EVAL_EBITDA(NTMA,0,,,\"PORTAGG\",\"MEANR\")":12.4254415235409,"EWU^FMA_PE(NTMA,0,,,\"PORTAGG\",\"MEANR\")":11.6365834404623,"EWC^FMA_PE(NTMA,0,,,\"PORTAGG\",\"MEANR\")":14.073631654769,"USO^FG_TOTAL_RETURNC(0,-3AM)":-1.4527738,"EWN^FG_FCF_YIELD_NTM(0)":3.64877383828759,"EWN^JULIAN(FMA_DIV_YLD(NTMA,NOW,NOW,M,\"PORTAGG\",\"MEANR\").DATES)":45443,"EWQ^FG_PRICE(0)":42.16,"EWL^SIZE(FG_CONSTITUENTS)":46,"SPY^FG_ROE(0)":18.426413068303,"EWC^FMA_PE(LTM,0,,,\"PORTAGG\",\"MEANR\")":16.9962256599889,"EWU^FMA_PE(LTM,0,,,\"PORTAGG\",\"MEANR\")":12.8854582604256,"VWO^FG_PE_NTM(0,,,90,0)":12.7458146650358,"EWL^FMA_EVAL_EBIT(LTMA,NOW,NOW,M,\"PORTAGG\",\"MEANR\")":16.5943928309281,"TRYUS10Y-FDS^PCTCHG(FG_YIELD(0,,,,\"YTM\"),FG_YIELD(-1AM,,,,\"YTM\"))":-4.5178165,"EWL^FG_FCF_YIELD_NTM(0)":4.88415053609182,"GLD^P_PRICE(0)/P_PRICE_HIGH_PR(0,,,USD,,,\"PRICE\",\"INTRA\",\"52W\")":0.972392,"URTH^P_PRICE(0)/P_PRICE_HIGH_PR(0,,,,,,\"PRICE\",\"INTRA\",\"52W\")":0.99884987,"DBA^FG_TOTAL_RETURNC(0,-6AM)":23.88178,"QQQ^FG_PRICE_MAVG(0,,,,60)":441.40717,"EWL^FG_ROE(0)":24.0995421225309,"TRYNL10Y-FDS^PCTCHG(FG_YIELD(0,,,,\"YTM\"),FG_YIELD(-3AM,,,,\"YTM\"))":8.140853,"VWO^FMA_EVAL_EBITDA(NTMA,0,,,\"PORTAGG\",\"MEANR\")":8.9048656348805,"UUP^FG_TOTAL_RETURNC(0,-1AM)":-0.5230129,"URTH^FMA_PCT_ABOVE_MAVG(200,0,,,,\"PORTAGG\")":70.2513966480447,"QQQ^FG_TOTAL_RETURNC(0,-12AM)":31.454826,"EWA^FG_TOTAL_RETURNC(0,-3AM)":2.995479,"EWG^FG_ROE(0)":9.51739743238735,"TRYNL10Y-FDS^PCTCHG(FG_YIELD(0,,,,\"YTM\"),FG_YIELD(-1AM,,,,\"YTM\"))":3.4033258,"VWO^FG_FCF_YIELD_NTM(0)":5.38071052006143,"EWN^FMA_DIV_YLD(NTMA,NOW,NOW,M,\"PORTAGG\",\"MEANR\")":2.51422504808819,"EWU^JULIAN(FMA_DIV_YLD(NTMA,NOW,NOW,M,\"PORTAGG\",\"MEANR\").DATES)":45443,"EWA^FMA_EVAL_EBITDA(NTMA,0,,,\"PORTAGG\",\"MEANR\")":8.63537923296095,"DBA^P_PRICE(0)/P_PRICE_HIGH_PR(0,,,USD,,,\"PRICE\",\"INTRA\",\"52W\")":0.95959413,"TRYFR10Y-FDS^PCTCHG(FG_YIELD(0,,,,\"YTM\"),FG_YIELD(-1AM,,,,\"YTM\"))":3.0487857,"EWL^FG_PRICE_MAVG(0,,,,30)":47.82733,"VWO^P_PRICE(0)/P_PRICE_LOW_PR(0,,,,,,\"PRICE\",\"INTRA\",\"52W\")-1":0.16352952,"QQQ^P_PRICE(0)/P_PRICE_HIGH_PR(0,,,,,,\"PRICE\",\"INTRA\",\"52W\")":0.99748135,"TRYFR10Y-FDS^PCTCHG(FG_YIELD(0,,,,\"YTM\"),FG_YIELD(-3AM,,,,\"YTM\"))":9.071353,"VWO^FMA_DIV_YLD(NTMA,NOW,NOW,M,\"PORTAGG\",\"MEANR\")":3.06492878676021,"EWN^FMA_PE(LTM,0,,,\"PORTAGG\",\"MEANR\")":20.508284221118,"ENZL^FG_TOTAL_RETURNC(0,-12AM)":0.5933523,"EWC^FMA_COS_DOWN(\"EPS\",\"1M\",+1,0,,,\"PORTAGG\",\"MEANR\")":34.0,"EWA^FG_FCF_YIELD_NTM(0)":5.10846333901549,"VWO^FG_PE(0)":14.3836045216878,"EWL^FG_PRICE(0)":50.63,"PASP-FDS^FG_PRICE_CHANGE(0,-6AM)":-2.48704663212436,"EWG^FG_PRICE_MAVG(0,,,,60)":31.418,"VWO^FMA_PCT_ABOVE_MAVG(200,0,,,,\"PORTAGG\")":46.87432867884,"EWU^FG_TOTAL_RETURNC(0,-12AM)":16.231955,"ENZL^FG_TOTAL_RETURNC(0,-6AM)":4.0834665,"EWC^FMA_COS_UP(\"EPS\",\"1M\",+1,0,,,\"PORTAGG\",\"MEANR\")":40.0,"TRYCH10Y-FDS^FG_YIELD(0,,,,\"YTM\")":0.809,"VWO^JULIAN(FMA_DIV_YLD(NTMA,NOW,NOW,M,\"PORTAGG\",\"MEANR\").DATES)":45412,"EWQ^FMA_EVAL_EBITDA(NTMA,0,,,\"PORTAGG\",\"MEANR\")":9.37007297055535,"EWL^FMA_DIV_YLD(NTMA,NOW,NOW,M,\"PORTAGG\",\"MEANR\")":3.19699536639889,"EWA^FMA_DIV_YLD(NTMA,NOW,NOW,M,\"PORTAGG\",\"MEANR\")":3.99280646326719,"QQQ^P_PRICE(0)/P_PRICE_HIGH_PR(0,,,USD,,,\"PRICE\",\"INTRA\",\"52W\")":0.99748135,"TRYCH10Y-FDS^FG_YIELD_NAME":"Treasury - Switzerland Benchmark Bond 10Y","VGK^FMA_EVAL_EBIT(LTMA,NOW,NOW,M,\"PORTAGG\",\"MEANR\")":13.2006102704795,"EWQ^FG_FCF_YIELD_NTM(0)":5.64938414745813,"EWL^FMA_PE(NTMA,0,,,\"PORTAGG\",\"MEANR\")":17.2609570230609,"REFGBBANK-FDS^(SUBARRAY(NOT_NA(NO_REPEAT_F(FG_YIELD(NOW,-10AY,D))),0,1)-SUBARRAY(NOT_NA(NO_REPEAT_F(FG_YIELD(NOW,-10AY,D))),1,1))*100":25.0,"VGK^FMA_EVAL_EBITDA(NTMA,0,,,\"PORTAGG\",\"MEANR\")":8.84150042753743,"EWQ^FMA_DIV_YLD(NTMA,NOW,NOW,M,\"PORTAGG\",\"MEANR\")":3.15898101192403,"EWL^FMA_PE(LTM,0,,,\"PORTAGG\",\"MEANR\")":16.514449221451,"EWA^FMA_PE(NTMA,0,,,\"PORTAGG\",\"MEANR\")":16.6996332258166,"PLATI-FDS^FG_PRICE_CHANGE(0,-6AM)":9.80176211453745,"EWA^FG_PRICE_MAVG(0,,,,30)":24.483334,"VGK^FG_TOTAL_RETURNC(0,-12AM)":19.105934,"EWU^P_PRICE(0)/P_PRICE_LOW_PR(0,,,,,,\"PRICE\",\"INTRA\",\"52W\")-1":0.20769751,"EWA^SIZE(FG_CONSTITUENTS)":59,"TRYGB10Y-FDS^PCTCHG(FG_YIELD(0,,,,\"YTM\"),FG_YIELD(-3AM,,,,\"YTM\"))":2.3204756,"TRYJP10Y-FDS^FG_YIELD(0,,,,\"YTM\")":0.9659,"EWA^FG_PRICE(0)":25.1,"FXI^FMA_COS_DOWN(\"EPS\",\"1M\",+1,0,,,\"PORTAGG\",\"MEANR\")":17.0,"ENZL^FMA_COS_DOWN(\"EPS\",\"1M\",+1,0,,,\"PORTAGG\",\"MEANR\")":8.0,"REFGBBANK-FDS^FG_YIELD(NOW,,,0)":5.25,"VGK^FG_FCF_YIELD_NTM(0)":5.34893335581801,"EWQ^FMA_PE(NTMA,0,,,\"PORTAGG\",\"MEANR\")":14.3449380417246,"EWL^JULIAN(FMA_DIV_YLD(NTMA,NOW,NOW,M,\"PORTAGG\",\"MEANR\").DATES)":45443,"EWA^JULIAN(FMA_DIV_YLD(NTMA,NOW,NOW,M,\"PORTAGG\",\"MEANR\").DATES)":45443,"VGK^PERCENT_CHANGE(FMA_EPS(+1,0,,,,\"PORTAGG\",\"MEAN\"),FMA_EPS(+1,-3AM,,,,\"PORTAGG\",\"MEAN\"))":-1.87723316345765,"EWU^PERCENT_CHANGE(FMA_EPS(+1,0,,,,\"PORTAGG\",\"MEAN\"),FMA_EPS(+1,-1AM,,,,\"PORTAGG\",\"MEAN\"))":1.21252155867851,"ENZL^FMA_COS_UP(\"EPS\",\"1M\",+1,0,,,\"PORTAGG\",\"MEANR\")":5.0,"TRYCH10Y-FDS^PCTCHG(FG_YIELD(0,,,,\"YTM\"),FG_YIELD(-1AM,,,,\"YTM\"))":15.078237,"EWQ^FMA_PE(LTM,0,,,\"PORTAGG\",\"MEANR\")":16.5789705076071,"EWJ^FMA_EVAL_EBIT(LTMA,NOW,NOW,M,\"PORTAGG\",\"MEANR\")":17.7777094132742,"ENZL^FMA_EVAL_EBIT(LTMA,NOW,NOW,M,\"PORTAGG\",\"MEANR\")":20.7796575161614,"UUP^P_PRICE(0)/P_PRICE_HIGH_PR(0,,,USD,,,\"PRICE\",\"INTRA\",\"52W\")":0.9457981,"REFCHMPR-FDS^FG_YIELD(NOW,,,0)":1.5,"VGK^FG_PE(0)":12.9337346409367,"EWQ^JULIAN(FMA_DIV_YLD(NTMA,NOW,NOW,M,\"PORTAGG\",\"MEANR\").DATES)":45443,"EWJ^FMA_EVAL_EBITDA(NTMA,0,,,\"PORTAGG\",\"MEANR\")":10.565756137114,"ENZL^FG_FCF_YIELD_NTM(0)":0.0655483598423677,"W-FDS^FG_PRICE_CHANGE(0,-6AM)":3.85708485586682,"VGK^FMA_PCT_ABOVE_MAVG(200,0,,,,\"PORTAGG\")":67.3015873015873,"EWL^FG_TOTAL_RETURNC(0,-12AM)":9.721529,"FXI^FMA_COS_UP(\"EPS\",\"1M\",+1,0,,,\"PORTAGG\",\"MEANR\")":22.0,"ENZL^FMA_EVAL_EBITDA(NTMA,0,,,\"PORTAGG\",\"MEANR\")":11.7519452171894,"UUP^FG_TOTAL_RETURNC(0,-6AM)":2.8515935,"EWJ^FG_FCF_YIELD_NTM(0)":3.82729278396591,"UUP^FG_TOTAL_RETURNC(0,-3AM)":2.2214293,"TRYJP10Y-FDS^PCTCHG(FG_YIELD(0,,,,\"YTM\"),FG_YIELD(-3AM,,,,\"YTM\"))":36.138126,"TRYCA10Y-FDS^FG_YIELD(0,,,,\"YTM\")":3.3842,"TRYCA10Y-FDS^FG_YIELD_NAME":"Canada Benchmark Bond - 10 Year","REFCHMPR-FDS^PROPER_NAME(0,,,\"SECURITY\",\"NAME\")":"Swiss Policy Rate - Sight Deposit Rate","VGK^JULIAN(FMA_DIV_YLD(NTMA,NOW,NOW,M,\"PORTAGG\",\"MEANR\").DATES)":45412,"COPP-FDS^FG_PRICE_CHANGE(0,-6AM)":26.2209067671196,"EWI^PERCENT_CHANGE(FMA_EPS(+1,0,,,,\"PORTAGG\",\"MEAN\"),FMA_EPS(+1,-3AM,,,,\"PORTAGG\",\"MEAN\"))":1.99941359207195,"EWL^PERCENT_CHANGE(FMA_EPS(+1,0,,,,\"PORTAGG\",\"MEAN\"),FMA_EPS(+1,-1AM,,,,\"PORTAGG\",\"MEAN\"))":2.77380313586041,"TRYJP10Y-FDS^PCTCHG(FG_YIELD(0,,,,\"YTM\"),FG_YIELD(-1AM,,,,\"YTM\"))":7.1912136,"EWJ^FMA_PE(LTM,0,,,\"PORTAGG\",\"MEANR\")":16.2229909610497,"ENZL^FMA_PE(NTMA,0,,,\"PORTAGG\",\"MEANR\")":24.3289399276116,"DUMMY^ECON_DATE(45329,,, 'MM/YYYY')":"02/2024","DUMMY^ECON_DATE(45419,,, 'MM/YYYY')":"05/2024","DUMMY^ECON_EXPR_DATA('FDS_ECON[NTCPMIMFGSA@NZ]',05/2024,,Q)":47.799873,"DUMMY^ECON_EXPR_DATA('FDS_ECON[NTCPMIMFGSA@NZ]',02/2024,,Q)":44.485504,"DUMMY^ECON_EXPR_DATA('FDS_ECON[NTCPMIMFGSA@AU]',05/2024,,Q)":48.39547,"DUMMY^ECON_EXPR_DATA('FDS_ECON[NTCPMIMFGSA@AU]',02/2024,,Q)":47.862293,"DUMMY^ECON_EXPR_DATA('FDS_ECON[NTCPMIMFGSA@CA]',05/2024,,Q)":49.30091,"DUMMY^ECON_EXPR_DATA('FDS_ECON[NTCPMIMFGSA@CA]',02/2024,,Q)":47.255585,"DUMMY^ECON_EXPR_DATA('FDS_ECON[NTCPMIMFGSA@DE]',05/2024,,Q)":43.319096,"DUMMY^ECON_EXPR_DATA('FDS_ECON[NTCPMIMFGSA@DE]',02/2024,,Q)":42.238945,"DUMMY^ECON_EXPR_DATA('FDS_ECON[NTCPMIMFGSA@JP]',05/2024,,Q)":47.808857,"DUMMY^ECON_EXPR_DATA('FDS_ECON[NTCPMIMFGSA@JP]',02/2024,,Q)":48.31877,"DUMMY^ECON_EXPR_DATA('FDS_ECON[NTCPMIMFGSA@CH]',05/2024,,Q)":44.08605,"DUMMY^ECON_EXPR_DATA('FDS_ECON[NTCPMIMFGSA@CH]',02/2024,,Q)":41.921543,"DUMMY^ECON_EXPR_DATA('FDS_ECON[NTCPMIMFGSA@GB]',05/2024,,Q)":48.24796,"DUMMY^ECON_EXPR_DATA('FDS_ECON[NTCPMIMFGSA@GB]',02/2024,,Q)":46.0587,"DUMMY^ECON_EXPR_DATA('FDS_ECON[NTCPMIMFGMESA@US]',05/2024,,Q)":51.582687,"DUMMY^ECON_EXPR_DATA('FDS_ECON[NTCPMIMFGMESA@US]',02/2024,,Q)":49.098827,"DUMMY^ECON_EXPR_DATA('FDS_ECON[NTCPMIMFGSA@FR]',05/2024,,Q)":45.498753,"DUMMY^ECON_EXPR_DATA('FDS_ECON[NTCPMIMFGSA@FR]',02/2024,,Q)":42.573967,"DUMMY^ECON_EXPR_DATA('FDS_ECON[NTCPMIMFGSA@NL]',05/2024,,Q)":49.325874,"DUMMY^ECON_EXPR_DATA('FDS_ECON[NTCPMIMFGSA@NL]',02/2024,,Q)":44.495136,"DUMMY^ECON_EXPR_DATA('FDS_ECON[]',05/2024,,Q)":null,"DUMMY^ECON_EXPR_DATA('FDS_ECON[]',02/2024,,Q)":null,"DUMMY^ECON_EXPR_DATA('FDS_ECON[NTCPMIMFGSA@IT]',05/2024,,Q)":49.208153,"DUMMY^ECON_EXPR_DATA('FDS_ECON[NTCPMIMFGSA@IT]',02/2024,,Q)":44.859455,"DUMMY^ECON_EXPR_DATA('FDS_ECON[PMIDMMANHE]',05/2024,,Q)":49.135414,"DUMMY^ECON_EXPR_DATA('FDS_ECON[PMIDMMANHE]',02/2024,,Q)":47.377968,"DUMMY^ECON_EXPR_DATA('FDS_ECON[NTCPMIMFGSA@EME]',05/2024,,Q)":51.51058,"DUMMY^ECON_EXPR_DATA('FDS_ECON[NTCPMIMFGSA@EME]',02/2024,,Q)":50.624123}]]></FdsFormulaCache>
</file>

<file path=customXml/itemProps1.xml><?xml version="1.0" encoding="utf-8"?>
<ds:datastoreItem xmlns:ds="http://schemas.openxmlformats.org/officeDocument/2006/customXml" ds:itemID="{804C6B02-4F9A-45AD-88B2-F5C11A70A08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2024-06-07T11:24:12Z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